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1.AzureAD\Downloads\"/>
    </mc:Choice>
  </mc:AlternateContent>
  <xr:revisionPtr revIDLastSave="0" documentId="8_{52DB90A6-357C-4763-9391-7931A4A13CFB}" xr6:coauthVersionLast="47" xr6:coauthVersionMax="47" xr10:uidLastSave="{00000000-0000-0000-0000-000000000000}"/>
  <bookViews>
    <workbookView xWindow="-28920" yWindow="-120" windowWidth="29040" windowHeight="15840" firstSheet="25" activeTab="32" xr2:uid="{00000000-000D-0000-FFFF-FFFF00000000}"/>
  </bookViews>
  <sheets>
    <sheet name="Adj Highlights" sheetId="2" r:id="rId1"/>
    <sheet name="GAAP Highlights" sheetId="3" r:id="rId2"/>
    <sheet name="Earnings" sheetId="4" r:id="rId3"/>
    <sheet name="Enterprise Value" sheetId="5" r:id="rId4"/>
    <sheet name="Multiples" sheetId="6" r:id="rId5"/>
    <sheet name="Per Share" sheetId="7" r:id="rId6"/>
    <sheet name="Stock Value" sheetId="8" r:id="rId7"/>
    <sheet name="EV Ex Operating Leases" sheetId="9" r:id="rId8"/>
    <sheet name="Income - Adjusted" sheetId="10" r:id="rId9"/>
    <sheet name="Income - GAAP" sheetId="11" r:id="rId10"/>
    <sheet name="Income - As Reported" sheetId="12" r:id="rId11"/>
    <sheet name="Reconciliation" sheetId="13" r:id="rId12"/>
    <sheet name="SBC &amp; Amort" sheetId="14" r:id="rId13"/>
    <sheet name="Adj %" sheetId="15" r:id="rId14"/>
    <sheet name="GAAP %" sheetId="16" r:id="rId15"/>
    <sheet name="Bal Sheet - Standardized" sheetId="17" r:id="rId16"/>
    <sheet name="Bal Sheet - As Reported" sheetId="18" r:id="rId17"/>
    <sheet name="Bal Sheet - Common Size" sheetId="19" r:id="rId18"/>
    <sheet name="Fair Value Analysis" sheetId="20" r:id="rId19"/>
    <sheet name="Cash Flow - Standardized" sheetId="21" r:id="rId20"/>
    <sheet name="Cash Flow - As Reported" sheetId="22" r:id="rId21"/>
    <sheet name="Profitability" sheetId="23" r:id="rId22"/>
    <sheet name="Growth" sheetId="24" r:id="rId23"/>
    <sheet name="Credit" sheetId="25" r:id="rId24"/>
    <sheet name="Credit Ex Operating Leases" sheetId="26" r:id="rId25"/>
    <sheet name="Liquidity" sheetId="27" r:id="rId26"/>
    <sheet name="Working Capital" sheetId="28" r:id="rId27"/>
    <sheet name="Yield Analysis" sheetId="29" r:id="rId28"/>
    <sheet name="DuPont Analysis" sheetId="30" r:id="rId29"/>
    <sheet name="By Measure" sheetId="31" r:id="rId30"/>
    <sheet name="By Geography" sheetId="32" r:id="rId31"/>
    <sheet name="By Segment" sheetId="33" r:id="rId32"/>
    <sheet name="ESG Ratios" sheetId="34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" i="4" l="1"/>
  <c r="T35" i="4"/>
  <c r="T36" i="4"/>
  <c r="T49" i="4"/>
  <c r="T15" i="4"/>
  <c r="T14" i="4"/>
  <c r="X21" i="4"/>
  <c r="X15" i="5"/>
  <c r="W15" i="6"/>
  <c r="W11" i="6"/>
  <c r="X35" i="4"/>
  <c r="S49" i="4"/>
  <c r="S25" i="7"/>
  <c r="S42" i="4"/>
  <c r="T6" i="8"/>
  <c r="R33" i="6"/>
  <c r="S14" i="4"/>
  <c r="S21" i="4"/>
  <c r="S15" i="5"/>
  <c r="S21" i="10"/>
  <c r="N10" i="6"/>
  <c r="O7" i="4"/>
  <c r="O42" i="4"/>
  <c r="O25" i="7"/>
  <c r="O35" i="4"/>
  <c r="O22" i="5"/>
  <c r="N13" i="6"/>
  <c r="N16" i="6"/>
  <c r="N6" i="6"/>
  <c r="R15" i="5"/>
  <c r="R42" i="4"/>
  <c r="Q10" i="6"/>
  <c r="R14" i="4"/>
  <c r="R15" i="4"/>
  <c r="Q6" i="6"/>
  <c r="R49" i="4"/>
  <c r="R36" i="4"/>
  <c r="Q16" i="6"/>
  <c r="H28" i="4"/>
  <c r="H14" i="4"/>
  <c r="H22" i="7"/>
  <c r="G9" i="6"/>
  <c r="H21" i="4"/>
  <c r="Q22" i="4"/>
  <c r="Q43" i="4"/>
  <c r="I13" i="5"/>
  <c r="Y29" i="4"/>
  <c r="Y21" i="3"/>
  <c r="V11" i="6"/>
  <c r="V8" i="6"/>
  <c r="W21" i="4"/>
  <c r="W42" i="4"/>
  <c r="W14" i="4"/>
  <c r="G28" i="4"/>
  <c r="I21" i="3"/>
  <c r="G22" i="7"/>
  <c r="G21" i="4"/>
  <c r="F13" i="6"/>
  <c r="G14" i="4"/>
  <c r="M50" i="4"/>
  <c r="D10" i="10"/>
  <c r="C29" i="4"/>
  <c r="T50" i="4"/>
  <c r="T8" i="2"/>
  <c r="T22" i="4"/>
  <c r="U8" i="4"/>
  <c r="U50" i="4"/>
  <c r="U29" i="4"/>
  <c r="H22" i="10"/>
  <c r="O21" i="10"/>
  <c r="Y9" i="10"/>
  <c r="V50" i="4"/>
  <c r="V22" i="4"/>
  <c r="V8" i="2"/>
  <c r="L43" i="4"/>
  <c r="L21" i="5"/>
  <c r="L13" i="5"/>
  <c r="J10" i="6"/>
  <c r="K26" i="7"/>
  <c r="K7" i="4"/>
  <c r="M21" i="3"/>
  <c r="K28" i="4"/>
  <c r="R11" i="9"/>
  <c r="W39" i="6"/>
  <c r="X50" i="4"/>
  <c r="X8" i="4"/>
  <c r="Y28" i="4"/>
  <c r="Y42" i="4"/>
  <c r="X11" i="6"/>
  <c r="Y22" i="5"/>
  <c r="AA21" i="3"/>
  <c r="X8" i="6"/>
  <c r="Y35" i="4"/>
  <c r="Y7" i="4"/>
  <c r="Y14" i="4"/>
  <c r="M40" i="6"/>
  <c r="J24" i="2"/>
  <c r="J8" i="2"/>
  <c r="I38" i="6"/>
  <c r="D15" i="6"/>
  <c r="E21" i="4"/>
  <c r="G21" i="3"/>
  <c r="E14" i="4"/>
  <c r="F6" i="8"/>
  <c r="D33" i="6"/>
  <c r="E35" i="4"/>
  <c r="D11" i="6"/>
  <c r="F21" i="4"/>
  <c r="F28" i="4"/>
  <c r="H21" i="3"/>
  <c r="E9" i="6"/>
  <c r="F14" i="4"/>
  <c r="E15" i="6"/>
  <c r="D29" i="4"/>
  <c r="D8" i="4"/>
  <c r="D22" i="4"/>
  <c r="U35" i="4"/>
  <c r="W21" i="3"/>
  <c r="U14" i="4"/>
  <c r="U22" i="5"/>
  <c r="U21" i="4"/>
  <c r="U36" i="4"/>
  <c r="U15" i="4"/>
  <c r="L14" i="6"/>
  <c r="M7" i="4"/>
  <c r="N7" i="8"/>
  <c r="L10" i="6"/>
  <c r="L16" i="6"/>
  <c r="M15" i="4"/>
  <c r="M22" i="5"/>
  <c r="L6" i="6"/>
  <c r="O24" i="2"/>
  <c r="N40" i="6"/>
  <c r="P36" i="4"/>
  <c r="P22" i="5"/>
  <c r="Q14" i="8"/>
  <c r="O6" i="6"/>
  <c r="P42" i="4"/>
  <c r="O10" i="6"/>
  <c r="O13" i="6"/>
  <c r="P15" i="5"/>
  <c r="O16" i="6"/>
  <c r="C15" i="6"/>
  <c r="C9" i="6"/>
  <c r="D35" i="4"/>
  <c r="D36" i="4"/>
  <c r="C13" i="6"/>
  <c r="D21" i="4"/>
  <c r="D15" i="4"/>
  <c r="L22" i="5"/>
  <c r="K10" i="6"/>
  <c r="L28" i="4"/>
  <c r="L26" i="7"/>
  <c r="K14" i="6"/>
  <c r="L15" i="4"/>
  <c r="N21" i="3"/>
  <c r="L7" i="4"/>
  <c r="M10" i="6"/>
  <c r="N15" i="4"/>
  <c r="N7" i="4"/>
  <c r="N15" i="5"/>
  <c r="M16" i="6"/>
  <c r="M6" i="6"/>
  <c r="O7" i="8"/>
  <c r="N42" i="4"/>
  <c r="M14" i="6"/>
  <c r="U11" i="6"/>
  <c r="V36" i="4"/>
  <c r="X21" i="3"/>
  <c r="V14" i="4"/>
  <c r="V15" i="4"/>
  <c r="V49" i="4"/>
  <c r="I10" i="10"/>
  <c r="D13" i="7"/>
  <c r="C27" i="6"/>
  <c r="C19" i="6"/>
  <c r="D18" i="9"/>
  <c r="C25" i="6"/>
  <c r="D17" i="5"/>
  <c r="I23" i="9"/>
  <c r="I28" i="4"/>
  <c r="I15" i="4"/>
  <c r="H9" i="6"/>
  <c r="K21" i="3"/>
  <c r="I7" i="4"/>
  <c r="I14" i="4"/>
  <c r="I35" i="4"/>
  <c r="H8" i="6"/>
  <c r="K8" i="2"/>
  <c r="K24" i="2"/>
  <c r="P24" i="2"/>
  <c r="P50" i="4"/>
  <c r="R25" i="3"/>
  <c r="E22" i="4"/>
  <c r="E29" i="4"/>
  <c r="D40" i="6"/>
  <c r="G11" i="10"/>
  <c r="G14" i="2"/>
  <c r="P14" i="6"/>
  <c r="Q25" i="7"/>
  <c r="P9" i="6"/>
  <c r="P13" i="6"/>
  <c r="R7" i="8"/>
  <c r="Q36" i="4"/>
  <c r="Q49" i="4"/>
  <c r="P16" i="6"/>
  <c r="P6" i="6"/>
  <c r="U25" i="3"/>
  <c r="S21" i="5"/>
  <c r="S8" i="4"/>
  <c r="S11" i="9"/>
  <c r="P12" i="10"/>
  <c r="D10" i="8"/>
  <c r="C28" i="4"/>
  <c r="D7" i="8"/>
  <c r="C26" i="7"/>
  <c r="C7" i="4"/>
  <c r="E21" i="3"/>
  <c r="C15" i="5"/>
  <c r="C21" i="4"/>
  <c r="C36" i="4"/>
  <c r="D14" i="8"/>
  <c r="D9" i="8"/>
  <c r="C49" i="4"/>
  <c r="D13" i="8"/>
  <c r="C42" i="4"/>
  <c r="D6" i="8"/>
  <c r="C35" i="4"/>
  <c r="C15" i="9"/>
  <c r="C14" i="4"/>
  <c r="C25" i="7"/>
  <c r="C22" i="5"/>
  <c r="L24" i="10"/>
  <c r="J22" i="7"/>
  <c r="J27" i="7"/>
  <c r="I8" i="6"/>
  <c r="L21" i="3"/>
  <c r="J35" i="4"/>
  <c r="J28" i="4"/>
  <c r="J23" i="9"/>
  <c r="J7" i="4"/>
  <c r="C9" i="10"/>
  <c r="X10" i="8"/>
  <c r="V35" i="6"/>
  <c r="V10" i="6"/>
  <c r="V6" i="6"/>
  <c r="X9" i="8"/>
  <c r="V34" i="6"/>
  <c r="V9" i="6"/>
  <c r="W7" i="4"/>
  <c r="W15" i="9"/>
  <c r="X7" i="8"/>
  <c r="V16" i="6"/>
  <c r="V15" i="6"/>
  <c r="W26" i="7"/>
  <c r="W25" i="7"/>
  <c r="V13" i="6"/>
  <c r="W36" i="4"/>
  <c r="W28" i="4"/>
  <c r="W35" i="4"/>
  <c r="X6" i="8"/>
  <c r="V33" i="6"/>
  <c r="W49" i="4"/>
  <c r="W15" i="5"/>
  <c r="W15" i="4"/>
  <c r="X13" i="8"/>
  <c r="X14" i="8"/>
  <c r="F8" i="4"/>
  <c r="F8" i="2"/>
  <c r="F22" i="4"/>
  <c r="W11" i="9"/>
  <c r="W43" i="4"/>
  <c r="W8" i="4"/>
  <c r="W8" i="2"/>
  <c r="L27" i="7"/>
  <c r="L49" i="4"/>
  <c r="L36" i="4"/>
  <c r="K11" i="6"/>
  <c r="K15" i="6"/>
  <c r="M9" i="8"/>
  <c r="K34" i="6"/>
  <c r="M13" i="8"/>
  <c r="M14" i="8"/>
  <c r="K13" i="6"/>
  <c r="M7" i="8"/>
  <c r="L35" i="4"/>
  <c r="L42" i="4"/>
  <c r="L25" i="7"/>
  <c r="L22" i="7"/>
  <c r="L21" i="4"/>
  <c r="M8" i="8"/>
  <c r="K9" i="6"/>
  <c r="L14" i="4"/>
  <c r="L15" i="9"/>
  <c r="L15" i="5"/>
  <c r="M6" i="8"/>
  <c r="K33" i="6"/>
  <c r="K8" i="6"/>
  <c r="H29" i="4"/>
  <c r="H8" i="4"/>
  <c r="H8" i="2"/>
  <c r="H21" i="9"/>
  <c r="H20" i="5"/>
  <c r="K22" i="5"/>
  <c r="K27" i="7"/>
  <c r="K14" i="4"/>
  <c r="K15" i="4"/>
  <c r="K36" i="4"/>
  <c r="K49" i="4"/>
  <c r="K15" i="5"/>
  <c r="J8" i="6"/>
  <c r="L13" i="8"/>
  <c r="L9" i="8"/>
  <c r="J34" i="6"/>
  <c r="J9" i="6"/>
  <c r="L8" i="8"/>
  <c r="J11" i="6"/>
  <c r="L6" i="8"/>
  <c r="J33" i="6"/>
  <c r="J14" i="6"/>
  <c r="J13" i="6"/>
  <c r="J15" i="6"/>
  <c r="K35" i="4"/>
  <c r="K22" i="7"/>
  <c r="K42" i="4"/>
  <c r="K15" i="9"/>
  <c r="K21" i="4"/>
  <c r="Q19" i="6"/>
  <c r="Q28" i="6"/>
  <c r="R12" i="7"/>
  <c r="R11" i="7"/>
  <c r="H21" i="6"/>
  <c r="H19" i="6"/>
  <c r="H26" i="6"/>
  <c r="I11" i="7"/>
  <c r="V18" i="10"/>
  <c r="D15" i="9"/>
  <c r="E14" i="8"/>
  <c r="C10" i="6"/>
  <c r="E8" i="8"/>
  <c r="E13" i="8"/>
  <c r="D14" i="4"/>
  <c r="E6" i="8"/>
  <c r="C33" i="6"/>
  <c r="F21" i="3"/>
  <c r="D15" i="5"/>
  <c r="E9" i="8"/>
  <c r="C34" i="6"/>
  <c r="D28" i="4"/>
  <c r="E7" i="8"/>
  <c r="C6" i="6"/>
  <c r="D7" i="4"/>
  <c r="D42" i="4"/>
  <c r="C16" i="6"/>
  <c r="D22" i="7"/>
  <c r="C8" i="6"/>
  <c r="D22" i="5"/>
  <c r="D49" i="4"/>
  <c r="D26" i="7"/>
  <c r="C14" i="6"/>
  <c r="E13" i="7"/>
  <c r="E11" i="7"/>
  <c r="D27" i="6"/>
  <c r="D21" i="6"/>
  <c r="D19" i="6"/>
  <c r="V6" i="8"/>
  <c r="T33" i="6"/>
  <c r="U25" i="7"/>
  <c r="V14" i="8"/>
  <c r="U42" i="4"/>
  <c r="U15" i="9"/>
  <c r="T13" i="6"/>
  <c r="T6" i="6"/>
  <c r="V10" i="8"/>
  <c r="T35" i="6"/>
  <c r="T10" i="6"/>
  <c r="T11" i="6"/>
  <c r="U15" i="5"/>
  <c r="U23" i="9"/>
  <c r="T15" i="6"/>
  <c r="U7" i="4"/>
  <c r="T16" i="6"/>
  <c r="T9" i="6"/>
  <c r="V9" i="8"/>
  <c r="T34" i="6"/>
  <c r="U28" i="4"/>
  <c r="U26" i="7"/>
  <c r="U49" i="4"/>
  <c r="V13" i="8"/>
  <c r="V7" i="8"/>
  <c r="J11" i="10"/>
  <c r="J14" i="2"/>
  <c r="Q21" i="4"/>
  <c r="Q14" i="4"/>
  <c r="Q22" i="7"/>
  <c r="Q22" i="5"/>
  <c r="Q42" i="4"/>
  <c r="Q35" i="4"/>
  <c r="S21" i="3"/>
  <c r="R14" i="8"/>
  <c r="R8" i="8"/>
  <c r="Q27" i="7"/>
  <c r="Q26" i="7"/>
  <c r="Q15" i="5"/>
  <c r="P8" i="6"/>
  <c r="P11" i="6"/>
  <c r="Q7" i="4"/>
  <c r="Q23" i="9"/>
  <c r="Q15" i="4"/>
  <c r="Q15" i="9"/>
  <c r="R13" i="8"/>
  <c r="Q28" i="4"/>
  <c r="R10" i="8"/>
  <c r="P35" i="6"/>
  <c r="P10" i="6"/>
  <c r="F27" i="6"/>
  <c r="G13" i="7"/>
  <c r="F18" i="6"/>
  <c r="F21" i="6"/>
  <c r="F25" i="6"/>
  <c r="G17" i="5"/>
  <c r="G27" i="6"/>
  <c r="G18" i="6"/>
  <c r="G21" i="6"/>
  <c r="H18" i="9"/>
  <c r="H13" i="7"/>
  <c r="P8" i="8"/>
  <c r="O49" i="4"/>
  <c r="N11" i="6"/>
  <c r="O26" i="7"/>
  <c r="P13" i="8"/>
  <c r="O23" i="9"/>
  <c r="N8" i="6"/>
  <c r="P9" i="8"/>
  <c r="N34" i="6"/>
  <c r="N15" i="6"/>
  <c r="O14" i="4"/>
  <c r="O15" i="9"/>
  <c r="O15" i="5"/>
  <c r="N14" i="6"/>
  <c r="P14" i="8"/>
  <c r="O22" i="7"/>
  <c r="O21" i="4"/>
  <c r="P7" i="8"/>
  <c r="O15" i="4"/>
  <c r="O28" i="4"/>
  <c r="O27" i="7"/>
  <c r="Q21" i="3"/>
  <c r="P10" i="8"/>
  <c r="N35" i="6"/>
  <c r="X25" i="7"/>
  <c r="X14" i="4"/>
  <c r="Y10" i="8"/>
  <c r="W35" i="6"/>
  <c r="W16" i="6"/>
  <c r="X22" i="7"/>
  <c r="W8" i="6"/>
  <c r="W9" i="6"/>
  <c r="X22" i="5"/>
  <c r="Y13" i="8"/>
  <c r="Y6" i="8"/>
  <c r="W33" i="6"/>
  <c r="Y8" i="8"/>
  <c r="X27" i="7"/>
  <c r="X28" i="4"/>
  <c r="X7" i="4"/>
  <c r="Y7" i="8"/>
  <c r="W6" i="6"/>
  <c r="X49" i="4"/>
  <c r="Y14" i="8"/>
  <c r="X42" i="4"/>
  <c r="X36" i="4"/>
  <c r="W13" i="6"/>
  <c r="X15" i="4"/>
  <c r="F14" i="10"/>
  <c r="T27" i="6"/>
  <c r="U13" i="7"/>
  <c r="T28" i="6"/>
  <c r="U11" i="7"/>
  <c r="T19" i="6"/>
  <c r="Y11" i="7"/>
  <c r="X21" i="6"/>
  <c r="X26" i="6"/>
  <c r="X18" i="6"/>
  <c r="D9" i="6"/>
  <c r="E27" i="7"/>
  <c r="F7" i="8"/>
  <c r="D10" i="6"/>
  <c r="F14" i="8"/>
  <c r="E25" i="7"/>
  <c r="D16" i="6"/>
  <c r="D14" i="6"/>
  <c r="E7" i="4"/>
  <c r="E15" i="5"/>
  <c r="E28" i="4"/>
  <c r="F9" i="8"/>
  <c r="D34" i="6"/>
  <c r="F10" i="8"/>
  <c r="D35" i="6"/>
  <c r="E15" i="9"/>
  <c r="E49" i="4"/>
  <c r="E36" i="4"/>
  <c r="D13" i="6"/>
  <c r="E42" i="4"/>
  <c r="F13" i="8"/>
  <c r="D6" i="6"/>
  <c r="E15" i="4"/>
  <c r="E22" i="5"/>
  <c r="J19" i="9"/>
  <c r="I31" i="6"/>
  <c r="J18" i="5"/>
  <c r="I26" i="6"/>
  <c r="I21" i="6"/>
  <c r="G8" i="4"/>
  <c r="I25" i="3"/>
  <c r="G21" i="5"/>
  <c r="G8" i="2"/>
  <c r="P14" i="4"/>
  <c r="Q7" i="8"/>
  <c r="P49" i="4"/>
  <c r="R21" i="3"/>
  <c r="Q13" i="8"/>
  <c r="O8" i="6"/>
  <c r="P27" i="7"/>
  <c r="Q9" i="8"/>
  <c r="O34" i="6"/>
  <c r="Q8" i="8"/>
  <c r="P21" i="4"/>
  <c r="P28" i="4"/>
  <c r="P26" i="7"/>
  <c r="P16" i="7"/>
  <c r="P47" i="11"/>
  <c r="P49" i="10"/>
  <c r="P22" i="7"/>
  <c r="O15" i="6"/>
  <c r="P15" i="9"/>
  <c r="O11" i="6"/>
  <c r="P7" i="4"/>
  <c r="O14" i="6"/>
  <c r="P35" i="4"/>
  <c r="P15" i="4"/>
  <c r="Q10" i="8"/>
  <c r="O35" i="6"/>
  <c r="N14" i="10"/>
  <c r="T7" i="10"/>
  <c r="H7" i="8"/>
  <c r="F15" i="6"/>
  <c r="H14" i="8"/>
  <c r="H6" i="8"/>
  <c r="F33" i="6"/>
  <c r="G27" i="7"/>
  <c r="G15" i="5"/>
  <c r="F8" i="6"/>
  <c r="F6" i="6"/>
  <c r="F9" i="6"/>
  <c r="H8" i="8"/>
  <c r="G36" i="4"/>
  <c r="G49" i="4"/>
  <c r="G15" i="4"/>
  <c r="H10" i="8"/>
  <c r="F35" i="6"/>
  <c r="F16" i="6"/>
  <c r="F11" i="6"/>
  <c r="G7" i="4"/>
  <c r="G42" i="4"/>
  <c r="G35" i="4"/>
  <c r="H13" i="8"/>
  <c r="F10" i="6"/>
  <c r="G25" i="7"/>
  <c r="O9" i="8"/>
  <c r="M34" i="6"/>
  <c r="M9" i="6"/>
  <c r="M15" i="6"/>
  <c r="N23" i="9"/>
  <c r="N36" i="4"/>
  <c r="N14" i="4"/>
  <c r="M13" i="6"/>
  <c r="N25" i="7"/>
  <c r="M8" i="6"/>
  <c r="O8" i="8"/>
  <c r="O6" i="8"/>
  <c r="M33" i="6"/>
  <c r="N35" i="4"/>
  <c r="P21" i="3"/>
  <c r="N21" i="4"/>
  <c r="N28" i="4"/>
  <c r="M11" i="6"/>
  <c r="O10" i="8"/>
  <c r="M35" i="6"/>
  <c r="N22" i="5"/>
  <c r="N49" i="4"/>
  <c r="N26" i="7"/>
  <c r="N27" i="7"/>
  <c r="O14" i="8"/>
  <c r="V25" i="6"/>
  <c r="W17" i="5"/>
  <c r="V27" i="6"/>
  <c r="V21" i="6"/>
  <c r="W13" i="7"/>
  <c r="V18" i="6"/>
  <c r="I6" i="8"/>
  <c r="G33" i="6"/>
  <c r="H35" i="4"/>
  <c r="H22" i="5"/>
  <c r="H7" i="4"/>
  <c r="I7" i="8"/>
  <c r="G13" i="6"/>
  <c r="G16" i="6"/>
  <c r="H49" i="4"/>
  <c r="H15" i="4"/>
  <c r="H36" i="4"/>
  <c r="G6" i="6"/>
  <c r="I13" i="8"/>
  <c r="I8" i="8"/>
  <c r="H27" i="7"/>
  <c r="H23" i="9"/>
  <c r="I14" i="8"/>
  <c r="H42" i="4"/>
  <c r="H25" i="7"/>
  <c r="G8" i="6"/>
  <c r="H15" i="5"/>
  <c r="G15" i="6"/>
  <c r="G11" i="6"/>
  <c r="M36" i="4"/>
  <c r="M14" i="4"/>
  <c r="M42" i="4"/>
  <c r="L8" i="6"/>
  <c r="M22" i="7"/>
  <c r="L9" i="6"/>
  <c r="L15" i="6"/>
  <c r="N6" i="8"/>
  <c r="L33" i="6"/>
  <c r="N13" i="8"/>
  <c r="N8" i="8"/>
  <c r="M35" i="4"/>
  <c r="M15" i="5"/>
  <c r="L11" i="6"/>
  <c r="N10" i="8"/>
  <c r="L35" i="6"/>
  <c r="O21" i="3"/>
  <c r="M21" i="4"/>
  <c r="N9" i="8"/>
  <c r="L34" i="6"/>
  <c r="M23" i="9"/>
  <c r="M28" i="4"/>
  <c r="M49" i="4"/>
  <c r="M27" i="7"/>
  <c r="L13" i="6"/>
  <c r="P26" i="6"/>
  <c r="P25" i="6"/>
  <c r="Q17" i="5"/>
  <c r="P19" i="6"/>
  <c r="P28" i="6"/>
  <c r="G10" i="8"/>
  <c r="E35" i="6"/>
  <c r="G6" i="8"/>
  <c r="E33" i="6"/>
  <c r="F22" i="5"/>
  <c r="F35" i="4"/>
  <c r="G13" i="8"/>
  <c r="F15" i="9"/>
  <c r="E11" i="6"/>
  <c r="F49" i="4"/>
  <c r="E13" i="6"/>
  <c r="F22" i="7"/>
  <c r="G8" i="8"/>
  <c r="F15" i="5"/>
  <c r="E10" i="6"/>
  <c r="F25" i="7"/>
  <c r="F42" i="4"/>
  <c r="F7" i="4"/>
  <c r="E16" i="6"/>
  <c r="E6" i="6"/>
  <c r="F36" i="4"/>
  <c r="F15" i="4"/>
  <c r="E14" i="6"/>
  <c r="F26" i="7"/>
  <c r="X7" i="10"/>
  <c r="J18" i="6"/>
  <c r="K12" i="7"/>
  <c r="J27" i="6"/>
  <c r="J20" i="6"/>
  <c r="J26" i="6"/>
  <c r="K13" i="7"/>
  <c r="L26" i="6"/>
  <c r="L20" i="6"/>
  <c r="L21" i="6"/>
  <c r="L28" i="6"/>
  <c r="M12" i="7"/>
  <c r="R20" i="6"/>
  <c r="R19" i="6"/>
  <c r="S11" i="7"/>
  <c r="R27" i="6"/>
  <c r="S13" i="7"/>
  <c r="N18" i="6"/>
  <c r="N20" i="6"/>
  <c r="N31" i="6"/>
  <c r="O18" i="5"/>
  <c r="N28" i="6"/>
  <c r="E27" i="6"/>
  <c r="F17" i="9"/>
  <c r="F11" i="7"/>
  <c r="E19" i="6"/>
  <c r="E21" i="6"/>
  <c r="S14" i="6"/>
  <c r="U14" i="8"/>
  <c r="S10" i="6"/>
  <c r="T7" i="4"/>
  <c r="V21" i="3"/>
  <c r="T26" i="7"/>
  <c r="U8" i="8"/>
  <c r="T28" i="4"/>
  <c r="T23" i="9"/>
  <c r="U13" i="8"/>
  <c r="T22" i="5"/>
  <c r="S6" i="6"/>
  <c r="U7" i="8"/>
  <c r="T22" i="7"/>
  <c r="T15" i="5"/>
  <c r="S9" i="6"/>
  <c r="S15" i="6"/>
  <c r="S13" i="6"/>
  <c r="S16" i="6"/>
  <c r="U9" i="8"/>
  <c r="S34" i="6"/>
  <c r="U6" i="8"/>
  <c r="S33" i="6"/>
  <c r="T42" i="4"/>
  <c r="D12" i="3"/>
  <c r="C6" i="8"/>
  <c r="R16" i="10"/>
  <c r="S25" i="6"/>
  <c r="T17" i="5"/>
  <c r="S27" i="6"/>
  <c r="T11" i="7"/>
  <c r="T13" i="7"/>
  <c r="S19" i="6"/>
  <c r="S7" i="4"/>
  <c r="S35" i="4"/>
  <c r="R14" i="6"/>
  <c r="S27" i="7"/>
  <c r="S23" i="9"/>
  <c r="R9" i="6"/>
  <c r="R15" i="6"/>
  <c r="R16" i="6"/>
  <c r="T9" i="8"/>
  <c r="R34" i="6"/>
  <c r="S26" i="7"/>
  <c r="R10" i="6"/>
  <c r="S36" i="4"/>
  <c r="S28" i="4"/>
  <c r="R6" i="6"/>
  <c r="S22" i="7"/>
  <c r="T7" i="8"/>
  <c r="R8" i="6"/>
  <c r="T8" i="8"/>
  <c r="U21" i="3"/>
  <c r="T14" i="8"/>
  <c r="S22" i="5"/>
  <c r="R13" i="6"/>
  <c r="E24" i="10"/>
  <c r="U7" i="10"/>
  <c r="Q13" i="6"/>
  <c r="T21" i="3"/>
  <c r="S13" i="8"/>
  <c r="R21" i="4"/>
  <c r="R26" i="7"/>
  <c r="R28" i="4"/>
  <c r="Q11" i="6"/>
  <c r="S6" i="8"/>
  <c r="Q33" i="6"/>
  <c r="Q15" i="6"/>
  <c r="T24" i="12"/>
  <c r="S10" i="8"/>
  <c r="Q35" i="6"/>
  <c r="R25" i="7"/>
  <c r="R35" i="4"/>
  <c r="Q14" i="6"/>
  <c r="R22" i="7"/>
  <c r="R7" i="7"/>
  <c r="R49" i="11"/>
  <c r="R51" i="10"/>
  <c r="T12" i="3"/>
  <c r="Q8" i="6"/>
  <c r="S8" i="8"/>
  <c r="R22" i="5"/>
  <c r="R7" i="4"/>
  <c r="Q9" i="6"/>
  <c r="R15" i="9"/>
  <c r="U19" i="6"/>
  <c r="V11" i="7"/>
  <c r="V13" i="7"/>
  <c r="U27" i="6"/>
  <c r="U21" i="6"/>
  <c r="J15" i="4"/>
  <c r="K9" i="8"/>
  <c r="I34" i="6"/>
  <c r="K7" i="8"/>
  <c r="K14" i="8"/>
  <c r="I11" i="6"/>
  <c r="K10" i="8"/>
  <c r="I35" i="6"/>
  <c r="J14" i="4"/>
  <c r="I15" i="6"/>
  <c r="J22" i="5"/>
  <c r="J26" i="7"/>
  <c r="J15" i="5"/>
  <c r="I10" i="6"/>
  <c r="I9" i="6"/>
  <c r="I6" i="6"/>
  <c r="J42" i="4"/>
  <c r="J36" i="4"/>
  <c r="I14" i="6"/>
  <c r="J49" i="4"/>
  <c r="I16" i="6"/>
  <c r="I13" i="6"/>
  <c r="J21" i="4"/>
  <c r="J25" i="7"/>
  <c r="W8" i="8"/>
  <c r="V22" i="7"/>
  <c r="V21" i="4"/>
  <c r="V28" i="4"/>
  <c r="U14" i="6"/>
  <c r="W13" i="8"/>
  <c r="U6" i="6"/>
  <c r="V22" i="5"/>
  <c r="V15" i="5"/>
  <c r="U10" i="6"/>
  <c r="V26" i="7"/>
  <c r="V15" i="9"/>
  <c r="U13" i="6"/>
  <c r="V7" i="4"/>
  <c r="V42" i="4"/>
  <c r="V25" i="7"/>
  <c r="W6" i="8"/>
  <c r="U33" i="6"/>
  <c r="V23" i="9"/>
  <c r="U16" i="6"/>
  <c r="W10" i="8"/>
  <c r="U35" i="6"/>
  <c r="U9" i="6"/>
  <c r="U15" i="6"/>
  <c r="L12" i="7"/>
  <c r="K26" i="6"/>
  <c r="K18" i="6"/>
  <c r="K21" i="6"/>
  <c r="K20" i="6"/>
  <c r="M20" i="6"/>
  <c r="M28" i="6"/>
  <c r="M18" i="6"/>
  <c r="M26" i="6"/>
  <c r="N12" i="7"/>
  <c r="W7" i="10"/>
  <c r="W18" i="6"/>
  <c r="W21" i="6"/>
  <c r="W27" i="6"/>
  <c r="X13" i="7"/>
  <c r="W19" i="6"/>
  <c r="I15" i="9"/>
  <c r="I27" i="7"/>
  <c r="I36" i="4"/>
  <c r="I25" i="7"/>
  <c r="I7" i="7"/>
  <c r="I49" i="11"/>
  <c r="I51" i="10"/>
  <c r="K12" i="3"/>
  <c r="J13" i="8"/>
  <c r="J10" i="8"/>
  <c r="H35" i="6"/>
  <c r="I22" i="5"/>
  <c r="I49" i="4"/>
  <c r="I22" i="7"/>
  <c r="I42" i="4"/>
  <c r="J7" i="8"/>
  <c r="H11" i="6"/>
  <c r="H6" i="6"/>
  <c r="J14" i="8"/>
  <c r="J8" i="8"/>
  <c r="J6" i="8"/>
  <c r="H33" i="6"/>
  <c r="H14" i="6"/>
  <c r="H15" i="6"/>
  <c r="I21" i="4"/>
  <c r="H16" i="6"/>
  <c r="H13" i="6"/>
  <c r="K11" i="10"/>
  <c r="K14" i="2"/>
  <c r="M14" i="10"/>
  <c r="P12" i="7"/>
  <c r="O28" i="6"/>
  <c r="O26" i="6"/>
  <c r="O20" i="6"/>
  <c r="Q60" i="10"/>
  <c r="Y36" i="4"/>
  <c r="Z14" i="8"/>
  <c r="Y27" i="7"/>
  <c r="Z10" i="8"/>
  <c r="X35" i="6"/>
  <c r="Z13" i="8"/>
  <c r="X13" i="6"/>
  <c r="Y21" i="4"/>
  <c r="Y25" i="7"/>
  <c r="Y15" i="5"/>
  <c r="X10" i="6"/>
  <c r="X16" i="6"/>
  <c r="Y49" i="4"/>
  <c r="X15" i="6"/>
  <c r="X14" i="6"/>
  <c r="Z6" i="8"/>
  <c r="X33" i="6"/>
  <c r="Y23" i="9"/>
  <c r="X9" i="6"/>
  <c r="Y15" i="4"/>
  <c r="Y22" i="7"/>
  <c r="Z8" i="8"/>
  <c r="Z7" i="8"/>
  <c r="X6" i="6"/>
  <c r="M8" i="4"/>
  <c r="M24" i="2"/>
  <c r="M27" i="11"/>
  <c r="M29" i="10"/>
  <c r="M13" i="9"/>
  <c r="O25" i="3"/>
  <c r="M29" i="4"/>
  <c r="M43" i="4"/>
  <c r="L39" i="6"/>
  <c r="M17" i="10"/>
  <c r="M21" i="9"/>
  <c r="M20" i="5"/>
  <c r="M22" i="4"/>
  <c r="O14" i="3"/>
  <c r="M7" i="9"/>
  <c r="M7" i="5"/>
  <c r="M7" i="2"/>
  <c r="M8" i="2"/>
  <c r="M21" i="5"/>
  <c r="O20" i="12"/>
  <c r="M11" i="9"/>
  <c r="L40" i="6"/>
  <c r="M13" i="5"/>
  <c r="M29" i="11"/>
  <c r="M31" i="10"/>
  <c r="M22" i="9"/>
  <c r="O11" i="12"/>
  <c r="L38" i="6"/>
  <c r="V29" i="4"/>
  <c r="V24" i="2"/>
  <c r="V21" i="9"/>
  <c r="V20" i="5"/>
  <c r="V21" i="5"/>
  <c r="V11" i="9"/>
  <c r="X10" i="12"/>
  <c r="U40" i="6"/>
  <c r="V22" i="9"/>
  <c r="V41" i="11"/>
  <c r="V43" i="10"/>
  <c r="V43" i="4"/>
  <c r="X14" i="3"/>
  <c r="V7" i="9"/>
  <c r="V7" i="5"/>
  <c r="V7" i="2"/>
  <c r="U39" i="6"/>
  <c r="X25" i="3"/>
  <c r="V13" i="5"/>
  <c r="V8" i="4"/>
  <c r="U38" i="6"/>
  <c r="V27" i="11"/>
  <c r="V29" i="10"/>
  <c r="V13" i="9"/>
  <c r="X21" i="12"/>
  <c r="V36" i="11"/>
  <c r="V38" i="10"/>
  <c r="V26" i="10"/>
  <c r="V17" i="10"/>
  <c r="C63" i="10"/>
  <c r="C59" i="10"/>
  <c r="C13" i="2"/>
  <c r="C64" i="10"/>
  <c r="C62" i="10"/>
  <c r="C39" i="4"/>
  <c r="C65" i="10"/>
  <c r="C21" i="2"/>
  <c r="M11" i="12"/>
  <c r="K21" i="5"/>
  <c r="K43" i="4"/>
  <c r="K22" i="4"/>
  <c r="K50" i="4"/>
  <c r="K17" i="10"/>
  <c r="K29" i="4"/>
  <c r="J40" i="6"/>
  <c r="K13" i="9"/>
  <c r="K26" i="10"/>
  <c r="K8" i="4"/>
  <c r="K21" i="9"/>
  <c r="K20" i="5"/>
  <c r="J38" i="6"/>
  <c r="M25" i="3"/>
  <c r="M20" i="12"/>
  <c r="M14" i="3"/>
  <c r="K7" i="9"/>
  <c r="K7" i="5"/>
  <c r="K7" i="2"/>
  <c r="K22" i="9"/>
  <c r="K29" i="11"/>
  <c r="K31" i="10"/>
  <c r="J39" i="6"/>
  <c r="K13" i="5"/>
  <c r="K11" i="9"/>
  <c r="M35" i="12"/>
  <c r="F24" i="2"/>
  <c r="F13" i="5"/>
  <c r="E38" i="6"/>
  <c r="F11" i="9"/>
  <c r="F22" i="9"/>
  <c r="H14" i="12"/>
  <c r="F29" i="4"/>
  <c r="F21" i="9"/>
  <c r="F20" i="5"/>
  <c r="F13" i="9"/>
  <c r="F50" i="4"/>
  <c r="F21" i="5"/>
  <c r="H14" i="3"/>
  <c r="F7" i="9"/>
  <c r="F7" i="5"/>
  <c r="F7" i="2"/>
  <c r="E39" i="6"/>
  <c r="H25" i="3"/>
  <c r="F26" i="10"/>
  <c r="H46" i="12"/>
  <c r="F43" i="4"/>
  <c r="F17" i="10"/>
  <c r="F37" i="11"/>
  <c r="F39" i="10"/>
  <c r="E40" i="6"/>
  <c r="H56" i="12"/>
  <c r="H41" i="12"/>
  <c r="J43" i="4"/>
  <c r="I40" i="6"/>
  <c r="J37" i="11"/>
  <c r="J39" i="10"/>
  <c r="J13" i="5"/>
  <c r="J11" i="9"/>
  <c r="L25" i="3"/>
  <c r="J8" i="4"/>
  <c r="J29" i="4"/>
  <c r="J21" i="9"/>
  <c r="J20" i="5"/>
  <c r="J22" i="4"/>
  <c r="J36" i="11"/>
  <c r="J38" i="10"/>
  <c r="J13" i="9"/>
  <c r="L8" i="13"/>
  <c r="L14" i="12"/>
  <c r="L35" i="12"/>
  <c r="J17" i="10"/>
  <c r="J26" i="10"/>
  <c r="J50" i="4"/>
  <c r="J22" i="9"/>
  <c r="J21" i="5"/>
  <c r="L14" i="3"/>
  <c r="J7" i="9"/>
  <c r="J7" i="5"/>
  <c r="J7" i="2"/>
  <c r="I39" i="6"/>
  <c r="I17" i="10"/>
  <c r="I13" i="9"/>
  <c r="I28" i="11"/>
  <c r="I30" i="10"/>
  <c r="H38" i="6"/>
  <c r="I50" i="4"/>
  <c r="I26" i="10"/>
  <c r="K25" i="3"/>
  <c r="I11" i="9"/>
  <c r="K45" i="12"/>
  <c r="I24" i="2"/>
  <c r="I21" i="5"/>
  <c r="K14" i="3"/>
  <c r="I7" i="9"/>
  <c r="I7" i="5"/>
  <c r="I7" i="2"/>
  <c r="I43" i="4"/>
  <c r="I22" i="4"/>
  <c r="I8" i="4"/>
  <c r="I22" i="9"/>
  <c r="H40" i="6"/>
  <c r="I29" i="4"/>
  <c r="I21" i="9"/>
  <c r="I20" i="5"/>
  <c r="K20" i="12"/>
  <c r="H39" i="6"/>
  <c r="I8" i="2"/>
  <c r="X38" i="6"/>
  <c r="Y8" i="2"/>
  <c r="Y26" i="10"/>
  <c r="Y50" i="4"/>
  <c r="Y43" i="4"/>
  <c r="Y22" i="9"/>
  <c r="Y41" i="11"/>
  <c r="Y43" i="10"/>
  <c r="AA14" i="3"/>
  <c r="Y7" i="9"/>
  <c r="Y7" i="5"/>
  <c r="Y7" i="2"/>
  <c r="X39" i="6"/>
  <c r="Y11" i="9"/>
  <c r="AA8" i="12"/>
  <c r="Y22" i="4"/>
  <c r="Y21" i="9"/>
  <c r="Y20" i="5"/>
  <c r="Y13" i="9"/>
  <c r="Y42" i="11"/>
  <c r="Y30" i="11"/>
  <c r="Y44" i="10"/>
  <c r="Y32" i="10"/>
  <c r="Y24" i="2"/>
  <c r="Y13" i="5"/>
  <c r="Y21" i="5"/>
  <c r="Y17" i="10"/>
  <c r="X40" i="6"/>
  <c r="Y8" i="4"/>
  <c r="AA25" i="3"/>
  <c r="S59" i="10"/>
  <c r="S63" i="10"/>
  <c r="S64" i="10"/>
  <c r="S65" i="10"/>
  <c r="S13" i="2"/>
  <c r="S62" i="10"/>
  <c r="S39" i="4"/>
  <c r="S21" i="2"/>
  <c r="R8" i="4"/>
  <c r="T25" i="3"/>
  <c r="R28" i="11"/>
  <c r="R30" i="10"/>
  <c r="R50" i="4"/>
  <c r="Q39" i="6"/>
  <c r="R13" i="5"/>
  <c r="R13" i="9"/>
  <c r="R21" i="9"/>
  <c r="R20" i="5"/>
  <c r="R24" i="2"/>
  <c r="R8" i="2"/>
  <c r="R26" i="10"/>
  <c r="T14" i="13"/>
  <c r="R17" i="10"/>
  <c r="Q38" i="6"/>
  <c r="T14" i="3"/>
  <c r="R7" i="9"/>
  <c r="R7" i="5"/>
  <c r="R7" i="2"/>
  <c r="T15" i="12"/>
  <c r="R43" i="4"/>
  <c r="Q40" i="6"/>
  <c r="R21" i="5"/>
  <c r="R22" i="4"/>
  <c r="R22" i="9"/>
  <c r="R29" i="4"/>
  <c r="J65" i="10"/>
  <c r="J13" i="2"/>
  <c r="J21" i="2"/>
  <c r="J59" i="10"/>
  <c r="J62" i="10"/>
  <c r="J39" i="4"/>
  <c r="J64" i="10"/>
  <c r="J63" i="10"/>
  <c r="U28" i="11"/>
  <c r="U30" i="10"/>
  <c r="U21" i="5"/>
  <c r="U22" i="4"/>
  <c r="W25" i="3"/>
  <c r="U27" i="11"/>
  <c r="U29" i="10"/>
  <c r="U13" i="5"/>
  <c r="U13" i="9"/>
  <c r="W14" i="3"/>
  <c r="U7" i="9"/>
  <c r="U7" i="5"/>
  <c r="U7" i="2"/>
  <c r="T40" i="6"/>
  <c r="U11" i="9"/>
  <c r="U65" i="11"/>
  <c r="U67" i="10"/>
  <c r="U8" i="2"/>
  <c r="W11" i="14"/>
  <c r="W21" i="12"/>
  <c r="U24" i="2"/>
  <c r="U26" i="10"/>
  <c r="T38" i="6"/>
  <c r="T39" i="6"/>
  <c r="U17" i="10"/>
  <c r="U22" i="9"/>
  <c r="U21" i="9"/>
  <c r="U20" i="5"/>
  <c r="U43" i="4"/>
  <c r="D24" i="2"/>
  <c r="F10" i="12"/>
  <c r="F16" i="12"/>
  <c r="D13" i="5"/>
  <c r="D22" i="9"/>
  <c r="D50" i="4"/>
  <c r="F25" i="3"/>
  <c r="D11" i="9"/>
  <c r="D13" i="9"/>
  <c r="C38" i="6"/>
  <c r="C40" i="6"/>
  <c r="D21" i="5"/>
  <c r="F31" i="12"/>
  <c r="D27" i="11"/>
  <c r="D29" i="10"/>
  <c r="D21" i="9"/>
  <c r="D20" i="5"/>
  <c r="F36" i="12"/>
  <c r="F14" i="3"/>
  <c r="D7" i="9"/>
  <c r="D7" i="5"/>
  <c r="D7" i="2"/>
  <c r="D17" i="10"/>
  <c r="D26" i="10"/>
  <c r="D43" i="4"/>
  <c r="C39" i="6"/>
  <c r="D8" i="2"/>
  <c r="M39" i="6"/>
  <c r="N22" i="4"/>
  <c r="N8" i="4"/>
  <c r="N26" i="10"/>
  <c r="N11" i="9"/>
  <c r="N8" i="2"/>
  <c r="N43" i="4"/>
  <c r="N50" i="4"/>
  <c r="P17" i="12"/>
  <c r="N24" i="2"/>
  <c r="P25" i="3"/>
  <c r="N13" i="5"/>
  <c r="N37" i="11"/>
  <c r="N39" i="10"/>
  <c r="N21" i="5"/>
  <c r="N29" i="11"/>
  <c r="N31" i="10"/>
  <c r="P11" i="12"/>
  <c r="P14" i="3"/>
  <c r="N7" i="9"/>
  <c r="N7" i="5"/>
  <c r="N7" i="2"/>
  <c r="N13" i="9"/>
  <c r="N29" i="4"/>
  <c r="M38" i="6"/>
  <c r="N22" i="9"/>
  <c r="P20" i="12"/>
  <c r="M29" i="5"/>
  <c r="M30" i="9"/>
  <c r="M33" i="11"/>
  <c r="M35" i="10"/>
  <c r="M28" i="9"/>
  <c r="M27" i="5"/>
  <c r="M9" i="11"/>
  <c r="M28" i="5"/>
  <c r="M24" i="11"/>
  <c r="M16" i="11"/>
  <c r="M8" i="11"/>
  <c r="M18" i="11"/>
  <c r="M7" i="11"/>
  <c r="M11" i="11"/>
  <c r="M34" i="11"/>
  <c r="M36" i="10"/>
  <c r="M14" i="11"/>
  <c r="M23" i="11"/>
  <c r="M35" i="11"/>
  <c r="M37" i="10"/>
  <c r="M29" i="9"/>
  <c r="O13" i="9"/>
  <c r="O28" i="11"/>
  <c r="O30" i="10"/>
  <c r="O8" i="2"/>
  <c r="O8" i="4"/>
  <c r="O21" i="9"/>
  <c r="O20" i="5"/>
  <c r="N38" i="6"/>
  <c r="O22" i="9"/>
  <c r="O22" i="4"/>
  <c r="Q9" i="12"/>
  <c r="Q61" i="12"/>
  <c r="Q14" i="3"/>
  <c r="O7" i="9"/>
  <c r="O7" i="5"/>
  <c r="O7" i="2"/>
  <c r="O29" i="4"/>
  <c r="O13" i="5"/>
  <c r="Q25" i="3"/>
  <c r="Q17" i="12"/>
  <c r="O21" i="5"/>
  <c r="O29" i="11"/>
  <c r="O31" i="10"/>
  <c r="N39" i="6"/>
  <c r="O36" i="11"/>
  <c r="O38" i="10"/>
  <c r="O43" i="4"/>
  <c r="O17" i="10"/>
  <c r="O50" i="4"/>
  <c r="O16" i="11"/>
  <c r="O7" i="11"/>
  <c r="O10" i="11"/>
  <c r="O35" i="11"/>
  <c r="O37" i="10"/>
  <c r="O29" i="9"/>
  <c r="O28" i="9"/>
  <c r="O27" i="5"/>
  <c r="O20" i="11"/>
  <c r="O13" i="11"/>
  <c r="O33" i="11"/>
  <c r="O35" i="10"/>
  <c r="O11" i="11"/>
  <c r="O34" i="11"/>
  <c r="O36" i="10"/>
  <c r="O28" i="5"/>
  <c r="O18" i="11"/>
  <c r="O23" i="11"/>
  <c r="O30" i="9"/>
  <c r="O29" i="5"/>
  <c r="O9" i="11"/>
  <c r="G11" i="9"/>
  <c r="G21" i="9"/>
  <c r="G20" i="5"/>
  <c r="G27" i="11"/>
  <c r="G29" i="10"/>
  <c r="F40" i="6"/>
  <c r="G22" i="4"/>
  <c r="I22" i="12"/>
  <c r="G13" i="5"/>
  <c r="G24" i="2"/>
  <c r="I41" i="12"/>
  <c r="I46" i="12"/>
  <c r="G67" i="11"/>
  <c r="G69" i="10"/>
  <c r="I14" i="3"/>
  <c r="G7" i="9"/>
  <c r="G7" i="5"/>
  <c r="G7" i="2"/>
  <c r="F39" i="6"/>
  <c r="I10" i="12"/>
  <c r="F38" i="6"/>
  <c r="G66" i="11"/>
  <c r="G68" i="10"/>
  <c r="G13" i="9"/>
  <c r="G43" i="4"/>
  <c r="G50" i="4"/>
  <c r="G26" i="10"/>
  <c r="I16" i="12"/>
  <c r="G29" i="4"/>
  <c r="L23" i="11"/>
  <c r="L21" i="11"/>
  <c r="L14" i="11"/>
  <c r="L15" i="11"/>
  <c r="L29" i="5"/>
  <c r="L35" i="11"/>
  <c r="L37" i="10"/>
  <c r="L7" i="11"/>
  <c r="L16" i="11"/>
  <c r="L28" i="5"/>
  <c r="L30" i="9"/>
  <c r="L26" i="11"/>
  <c r="L28" i="10"/>
  <c r="L29" i="9"/>
  <c r="L33" i="11"/>
  <c r="L35" i="10"/>
  <c r="L18" i="11"/>
  <c r="L28" i="9"/>
  <c r="L27" i="5"/>
  <c r="L12" i="11"/>
  <c r="L9" i="11"/>
  <c r="K38" i="6"/>
  <c r="L22" i="4"/>
  <c r="L21" i="9"/>
  <c r="L20" i="5"/>
  <c r="N25" i="3"/>
  <c r="L11" i="9"/>
  <c r="L36" i="11"/>
  <c r="L38" i="10"/>
  <c r="L26" i="10"/>
  <c r="K40" i="6"/>
  <c r="K39" i="6"/>
  <c r="N14" i="12"/>
  <c r="N8" i="13"/>
  <c r="L13" i="9"/>
  <c r="N14" i="3"/>
  <c r="L7" i="9"/>
  <c r="L7" i="5"/>
  <c r="L7" i="2"/>
  <c r="N11" i="12"/>
  <c r="L8" i="2"/>
  <c r="N20" i="12"/>
  <c r="N35" i="12"/>
  <c r="L29" i="4"/>
  <c r="L22" i="9"/>
  <c r="L24" i="2"/>
  <c r="L50" i="4"/>
  <c r="L8" i="4"/>
  <c r="R17" i="12"/>
  <c r="P29" i="4"/>
  <c r="P67" i="11"/>
  <c r="P69" i="10"/>
  <c r="P22" i="9"/>
  <c r="P11" i="9"/>
  <c r="O38" i="6"/>
  <c r="P8" i="4"/>
  <c r="P8" i="2"/>
  <c r="P21" i="9"/>
  <c r="P20" i="5"/>
  <c r="P13" i="5"/>
  <c r="P43" i="4"/>
  <c r="O39" i="6"/>
  <c r="P17" i="10"/>
  <c r="P68" i="11"/>
  <c r="P70" i="10"/>
  <c r="P29" i="11"/>
  <c r="P31" i="10"/>
  <c r="P28" i="11"/>
  <c r="P30" i="10"/>
  <c r="P22" i="4"/>
  <c r="O40" i="6"/>
  <c r="P26" i="10"/>
  <c r="R14" i="3"/>
  <c r="P7" i="9"/>
  <c r="P7" i="5"/>
  <c r="P7" i="2"/>
  <c r="P13" i="9"/>
  <c r="P21" i="5"/>
  <c r="G14" i="3"/>
  <c r="E7" i="9"/>
  <c r="E7" i="5"/>
  <c r="E7" i="2"/>
  <c r="E21" i="9"/>
  <c r="E20" i="5"/>
  <c r="E37" i="11"/>
  <c r="E39" i="10"/>
  <c r="E8" i="4"/>
  <c r="G36" i="12"/>
  <c r="E27" i="11"/>
  <c r="E29" i="10"/>
  <c r="G10" i="12"/>
  <c r="E43" i="4"/>
  <c r="D39" i="6"/>
  <c r="E50" i="4"/>
  <c r="E11" i="9"/>
  <c r="E13" i="9"/>
  <c r="E41" i="11"/>
  <c r="E43" i="10"/>
  <c r="E24" i="2"/>
  <c r="E8" i="2"/>
  <c r="E22" i="9"/>
  <c r="E13" i="5"/>
  <c r="G25" i="3"/>
  <c r="D38" i="6"/>
  <c r="E21" i="5"/>
  <c r="E26" i="10"/>
  <c r="E17" i="10"/>
  <c r="H22" i="9"/>
  <c r="H24" i="2"/>
  <c r="J8" i="12"/>
  <c r="H13" i="9"/>
  <c r="G39" i="6"/>
  <c r="H26" i="10"/>
  <c r="J14" i="12"/>
  <c r="H36" i="11"/>
  <c r="H38" i="10"/>
  <c r="H21" i="5"/>
  <c r="J25" i="3"/>
  <c r="J14" i="3"/>
  <c r="H7" i="9"/>
  <c r="H7" i="5"/>
  <c r="H7" i="2"/>
  <c r="H50" i="4"/>
  <c r="H13" i="5"/>
  <c r="H43" i="4"/>
  <c r="J46" i="12"/>
  <c r="H37" i="11"/>
  <c r="H39" i="10"/>
  <c r="J16" i="12"/>
  <c r="G38" i="6"/>
  <c r="H11" i="9"/>
  <c r="H17" i="10"/>
  <c r="H22" i="4"/>
  <c r="G40" i="6"/>
  <c r="Q13" i="5"/>
  <c r="S25" i="3"/>
  <c r="S10" i="12"/>
  <c r="Q21" i="5"/>
  <c r="Q24" i="2"/>
  <c r="P40" i="6"/>
  <c r="Q8" i="4"/>
  <c r="P38" i="6"/>
  <c r="S14" i="3"/>
  <c r="Q7" i="9"/>
  <c r="Q7" i="5"/>
  <c r="Q7" i="2"/>
  <c r="Q50" i="4"/>
  <c r="Q36" i="11"/>
  <c r="Q38" i="10"/>
  <c r="Q26" i="10"/>
  <c r="S31" i="12"/>
  <c r="Q29" i="4"/>
  <c r="Q8" i="2"/>
  <c r="S17" i="12"/>
  <c r="P39" i="6"/>
  <c r="Q21" i="9"/>
  <c r="Q20" i="5"/>
  <c r="Q17" i="10"/>
  <c r="Q22" i="9"/>
  <c r="Q11" i="9"/>
  <c r="Q13" i="9"/>
  <c r="C21" i="9"/>
  <c r="C20" i="5"/>
  <c r="C17" i="10"/>
  <c r="E56" i="12"/>
  <c r="C24" i="2"/>
  <c r="C8" i="4"/>
  <c r="C21" i="5"/>
  <c r="C22" i="4"/>
  <c r="C13" i="5"/>
  <c r="C26" i="10"/>
  <c r="C13" i="9"/>
  <c r="E36" i="12"/>
  <c r="E31" i="12"/>
  <c r="E47" i="12"/>
  <c r="C8" i="2"/>
  <c r="C43" i="4"/>
  <c r="C11" i="9"/>
  <c r="E25" i="3"/>
  <c r="C27" i="11"/>
  <c r="C29" i="10"/>
  <c r="E14" i="3"/>
  <c r="C7" i="9"/>
  <c r="C7" i="5"/>
  <c r="C7" i="2"/>
  <c r="C41" i="11"/>
  <c r="C43" i="10"/>
  <c r="C22" i="9"/>
  <c r="C50" i="4"/>
  <c r="C18" i="11"/>
  <c r="C29" i="5"/>
  <c r="C30" i="9"/>
  <c r="C8" i="11"/>
  <c r="C20" i="11"/>
  <c r="C17" i="11"/>
  <c r="C28" i="9"/>
  <c r="C27" i="5"/>
  <c r="C29" i="9"/>
  <c r="C6" i="11"/>
  <c r="E6" i="3"/>
  <c r="C10" i="4"/>
  <c r="C28" i="5"/>
  <c r="C59" i="11"/>
  <c r="C24" i="4"/>
  <c r="C24" i="11"/>
  <c r="C15" i="11"/>
  <c r="C11" i="11"/>
  <c r="C9" i="11"/>
  <c r="C14" i="11"/>
  <c r="C13" i="11"/>
  <c r="I8" i="11"/>
  <c r="I28" i="9"/>
  <c r="I27" i="5"/>
  <c r="I35" i="11"/>
  <c r="I37" i="10"/>
  <c r="I12" i="11"/>
  <c r="I7" i="11"/>
  <c r="I29" i="5"/>
  <c r="I14" i="11"/>
  <c r="I29" i="9"/>
  <c r="I24" i="11"/>
  <c r="I10" i="11"/>
  <c r="I28" i="5"/>
  <c r="I23" i="11"/>
  <c r="I21" i="11"/>
  <c r="I30" i="9"/>
  <c r="I20" i="11"/>
  <c r="I17" i="11"/>
  <c r="Z41" i="12"/>
  <c r="X43" i="4"/>
  <c r="X13" i="9"/>
  <c r="X22" i="4"/>
  <c r="X21" i="9"/>
  <c r="X20" i="5"/>
  <c r="Z11" i="12"/>
  <c r="X21" i="5"/>
  <c r="Z14" i="13"/>
  <c r="Z14" i="3"/>
  <c r="X7" i="9"/>
  <c r="X7" i="5"/>
  <c r="X7" i="2"/>
  <c r="X29" i="4"/>
  <c r="X22" i="9"/>
  <c r="Z25" i="3"/>
  <c r="X11" i="9"/>
  <c r="X41" i="11"/>
  <c r="X43" i="10"/>
  <c r="X24" i="2"/>
  <c r="W40" i="6"/>
  <c r="W38" i="6"/>
  <c r="X26" i="10"/>
  <c r="X13" i="5"/>
  <c r="Z8" i="12"/>
  <c r="X8" i="2"/>
  <c r="X17" i="10"/>
  <c r="X14" i="11"/>
  <c r="X29" i="9"/>
  <c r="X21" i="11"/>
  <c r="X24" i="11"/>
  <c r="X58" i="11"/>
  <c r="X10" i="11"/>
  <c r="X29" i="5"/>
  <c r="X35" i="11"/>
  <c r="X37" i="10"/>
  <c r="X30" i="9"/>
  <c r="X26" i="11"/>
  <c r="X28" i="10"/>
  <c r="X28" i="9"/>
  <c r="X27" i="5"/>
  <c r="X8" i="11"/>
  <c r="X17" i="11"/>
  <c r="X12" i="11"/>
  <c r="X15" i="11"/>
  <c r="X11" i="11"/>
  <c r="X28" i="5"/>
  <c r="T21" i="9"/>
  <c r="T20" i="5"/>
  <c r="T21" i="5"/>
  <c r="T65" i="11"/>
  <c r="T67" i="10"/>
  <c r="T27" i="11"/>
  <c r="T29" i="10"/>
  <c r="S38" i="6"/>
  <c r="T28" i="11"/>
  <c r="T30" i="10"/>
  <c r="T43" i="4"/>
  <c r="T22" i="9"/>
  <c r="T11" i="9"/>
  <c r="T13" i="5"/>
  <c r="V31" i="12"/>
  <c r="S39" i="6"/>
  <c r="S40" i="6"/>
  <c r="T29" i="4"/>
  <c r="V25" i="3"/>
  <c r="V14" i="3"/>
  <c r="T7" i="9"/>
  <c r="T7" i="5"/>
  <c r="T7" i="2"/>
  <c r="T17" i="10"/>
  <c r="T13" i="9"/>
  <c r="V42" i="12"/>
  <c r="T24" i="2"/>
  <c r="T26" i="10"/>
  <c r="T8" i="4"/>
  <c r="D20" i="11"/>
  <c r="D8" i="11"/>
  <c r="D13" i="11"/>
  <c r="D34" i="11"/>
  <c r="D36" i="10"/>
  <c r="D15" i="11"/>
  <c r="D29" i="9"/>
  <c r="D23" i="11"/>
  <c r="D24" i="11"/>
  <c r="D10" i="11"/>
  <c r="D29" i="5"/>
  <c r="D11" i="11"/>
  <c r="D7" i="11"/>
  <c r="D18" i="11"/>
  <c r="D28" i="9"/>
  <c r="D27" i="5"/>
  <c r="D17" i="11"/>
  <c r="D28" i="5"/>
  <c r="D30" i="9"/>
  <c r="Q59" i="10"/>
  <c r="Q21" i="2"/>
  <c r="Q62" i="10"/>
  <c r="Q39" i="4"/>
  <c r="Q63" i="10"/>
  <c r="Q64" i="10"/>
  <c r="Q13" i="2"/>
  <c r="Q65" i="10"/>
  <c r="R29" i="5"/>
  <c r="R15" i="11"/>
  <c r="R13" i="11"/>
  <c r="R24" i="11"/>
  <c r="R29" i="9"/>
  <c r="R21" i="11"/>
  <c r="R30" i="9"/>
  <c r="R28" i="9"/>
  <c r="R27" i="5"/>
  <c r="R28" i="5"/>
  <c r="R11" i="11"/>
  <c r="R20" i="11"/>
  <c r="R26" i="11"/>
  <c r="R28" i="10"/>
  <c r="R33" i="11"/>
  <c r="R35" i="10"/>
  <c r="R18" i="11"/>
  <c r="R34" i="11"/>
  <c r="R36" i="10"/>
  <c r="R8" i="11"/>
  <c r="T29" i="5"/>
  <c r="T17" i="11"/>
  <c r="T13" i="11"/>
  <c r="T8" i="11"/>
  <c r="T11" i="11"/>
  <c r="T58" i="11"/>
  <c r="T28" i="5"/>
  <c r="T20" i="11"/>
  <c r="T15" i="11"/>
  <c r="T29" i="9"/>
  <c r="T28" i="9"/>
  <c r="T27" i="5"/>
  <c r="T10" i="11"/>
  <c r="T30" i="9"/>
  <c r="T33" i="11"/>
  <c r="T35" i="10"/>
  <c r="T7" i="11"/>
  <c r="T24" i="11"/>
  <c r="T23" i="11"/>
  <c r="Y25" i="3"/>
  <c r="V38" i="6"/>
  <c r="W22" i="9"/>
  <c r="W17" i="10"/>
  <c r="W28" i="11"/>
  <c r="W30" i="10"/>
  <c r="W65" i="11"/>
  <c r="W67" i="10"/>
  <c r="W22" i="4"/>
  <c r="W27" i="11"/>
  <c r="W29" i="10"/>
  <c r="W50" i="4"/>
  <c r="Y14" i="3"/>
  <c r="W7" i="9"/>
  <c r="W7" i="5"/>
  <c r="W7" i="2"/>
  <c r="W26" i="10"/>
  <c r="W29" i="11"/>
  <c r="W31" i="10"/>
  <c r="V40" i="6"/>
  <c r="V39" i="6"/>
  <c r="W21" i="9"/>
  <c r="W20" i="5"/>
  <c r="W13" i="5"/>
  <c r="W42" i="11"/>
  <c r="W30" i="11"/>
  <c r="W44" i="10"/>
  <c r="W32" i="10"/>
  <c r="W21" i="5"/>
  <c r="W29" i="4"/>
  <c r="Y8" i="12"/>
  <c r="W24" i="2"/>
  <c r="W13" i="9"/>
  <c r="P30" i="9"/>
  <c r="P29" i="5"/>
  <c r="P14" i="11"/>
  <c r="P11" i="11"/>
  <c r="P28" i="5"/>
  <c r="P29" i="9"/>
  <c r="P20" i="11"/>
  <c r="P18" i="11"/>
  <c r="P7" i="11"/>
  <c r="P23" i="11"/>
  <c r="P13" i="11"/>
  <c r="P34" i="11"/>
  <c r="P36" i="10"/>
  <c r="P9" i="11"/>
  <c r="P59" i="11"/>
  <c r="P24" i="4"/>
  <c r="P16" i="11"/>
  <c r="P28" i="9"/>
  <c r="P27" i="5"/>
  <c r="K28" i="9"/>
  <c r="K27" i="5"/>
  <c r="K16" i="11"/>
  <c r="K12" i="11"/>
  <c r="K29" i="5"/>
  <c r="K35" i="11"/>
  <c r="K37" i="10"/>
  <c r="K28" i="5"/>
  <c r="K7" i="11"/>
  <c r="K10" i="11"/>
  <c r="K23" i="11"/>
  <c r="K26" i="11"/>
  <c r="K28" i="10"/>
  <c r="K34" i="11"/>
  <c r="K36" i="10"/>
  <c r="K30" i="9"/>
  <c r="K9" i="11"/>
  <c r="K21" i="11"/>
  <c r="K59" i="11"/>
  <c r="K24" i="4"/>
  <c r="K29" i="9"/>
  <c r="K14" i="11"/>
  <c r="J28" i="9"/>
  <c r="J27" i="5"/>
  <c r="J12" i="11"/>
  <c r="J29" i="9"/>
  <c r="J28" i="5"/>
  <c r="J8" i="11"/>
  <c r="J29" i="5"/>
  <c r="J13" i="11"/>
  <c r="J26" i="11"/>
  <c r="J28" i="10"/>
  <c r="J16" i="11"/>
  <c r="J30" i="9"/>
  <c r="J34" i="11"/>
  <c r="J36" i="10"/>
  <c r="J23" i="11"/>
  <c r="J14" i="11"/>
  <c r="J17" i="11"/>
  <c r="J21" i="11"/>
  <c r="J10" i="11"/>
  <c r="J7" i="11"/>
  <c r="S26" i="10"/>
  <c r="R39" i="6"/>
  <c r="S43" i="4"/>
  <c r="S24" i="2"/>
  <c r="S13" i="5"/>
  <c r="U14" i="3"/>
  <c r="S7" i="9"/>
  <c r="S7" i="5"/>
  <c r="S7" i="2"/>
  <c r="S29" i="4"/>
  <c r="S8" i="2"/>
  <c r="U31" i="12"/>
  <c r="S22" i="4"/>
  <c r="R38" i="6"/>
  <c r="S13" i="9"/>
  <c r="S67" i="11"/>
  <c r="S69" i="10"/>
  <c r="R40" i="6"/>
  <c r="S29" i="11"/>
  <c r="S31" i="10"/>
  <c r="S65" i="11"/>
  <c r="S67" i="10"/>
  <c r="S21" i="9"/>
  <c r="S20" i="5"/>
  <c r="S50" i="4"/>
  <c r="S22" i="9"/>
  <c r="U15" i="12"/>
  <c r="U10" i="12"/>
  <c r="S17" i="10"/>
  <c r="S17" i="11"/>
  <c r="S11" i="11"/>
  <c r="S29" i="9"/>
  <c r="S9" i="11"/>
  <c r="S28" i="9"/>
  <c r="S27" i="5"/>
  <c r="S24" i="11"/>
  <c r="S15" i="11"/>
  <c r="S29" i="5"/>
  <c r="S28" i="5"/>
  <c r="S14" i="11"/>
  <c r="S34" i="11"/>
  <c r="S36" i="10"/>
  <c r="S13" i="11"/>
  <c r="S8" i="11"/>
  <c r="S35" i="11"/>
  <c r="S37" i="10"/>
  <c r="S18" i="11"/>
  <c r="S20" i="11"/>
  <c r="S30" i="9"/>
  <c r="N26" i="11"/>
  <c r="N28" i="10"/>
  <c r="N29" i="9"/>
  <c r="N17" i="11"/>
  <c r="N23" i="11"/>
  <c r="N21" i="11"/>
  <c r="N28" i="5"/>
  <c r="N16" i="11"/>
  <c r="N12" i="11"/>
  <c r="N30" i="9"/>
  <c r="N14" i="11"/>
  <c r="N20" i="11"/>
  <c r="N18" i="11"/>
  <c r="N9" i="11"/>
  <c r="N7" i="11"/>
  <c r="N11" i="11"/>
  <c r="N28" i="9"/>
  <c r="N27" i="5"/>
  <c r="N29" i="5"/>
  <c r="Y23" i="11"/>
  <c r="Y24" i="11"/>
  <c r="Y14" i="11"/>
  <c r="Y7" i="11"/>
  <c r="Y29" i="9"/>
  <c r="Y21" i="11"/>
  <c r="Y12" i="11"/>
  <c r="Y15" i="11"/>
  <c r="Y10" i="11"/>
  <c r="Y28" i="9"/>
  <c r="Y27" i="5"/>
  <c r="Y30" i="9"/>
  <c r="Y8" i="11"/>
  <c r="Y28" i="5"/>
  <c r="Y29" i="5"/>
  <c r="Y17" i="11"/>
  <c r="Y20" i="11"/>
  <c r="Q30" i="9"/>
  <c r="Q13" i="11"/>
  <c r="Q7" i="11"/>
  <c r="Q28" i="5"/>
  <c r="Q33" i="11"/>
  <c r="Q35" i="10"/>
  <c r="Q29" i="5"/>
  <c r="Q23" i="11"/>
  <c r="Q28" i="9"/>
  <c r="Q27" i="5"/>
  <c r="Q29" i="9"/>
  <c r="Q9" i="11"/>
  <c r="Q15" i="11"/>
  <c r="Q16" i="11"/>
  <c r="Q18" i="11"/>
  <c r="Q11" i="11"/>
  <c r="Q12" i="11"/>
  <c r="Q20" i="11"/>
  <c r="Q35" i="11"/>
  <c r="Q37" i="10"/>
  <c r="V28" i="5"/>
  <c r="V58" i="11"/>
  <c r="V33" i="11"/>
  <c r="V35" i="10"/>
  <c r="V15" i="11"/>
  <c r="V24" i="11"/>
  <c r="V13" i="11"/>
  <c r="V10" i="11"/>
  <c r="V20" i="11"/>
  <c r="V11" i="11"/>
  <c r="V29" i="9"/>
  <c r="V17" i="11"/>
  <c r="V8" i="11"/>
  <c r="V30" i="9"/>
  <c r="V12" i="11"/>
  <c r="V29" i="5"/>
  <c r="V9" i="11"/>
  <c r="V28" i="9"/>
  <c r="V27" i="5"/>
  <c r="U20" i="11"/>
  <c r="U18" i="11"/>
  <c r="U24" i="11"/>
  <c r="U29" i="9"/>
  <c r="U34" i="11"/>
  <c r="U36" i="10"/>
  <c r="U10" i="11"/>
  <c r="U29" i="5"/>
  <c r="U28" i="5"/>
  <c r="U13" i="11"/>
  <c r="U58" i="11"/>
  <c r="U15" i="11"/>
  <c r="U30" i="9"/>
  <c r="U28" i="9"/>
  <c r="U27" i="5"/>
  <c r="U17" i="11"/>
  <c r="U16" i="11"/>
  <c r="U11" i="11"/>
  <c r="U8" i="11"/>
  <c r="K63" i="10"/>
  <c r="K13" i="2"/>
  <c r="K62" i="10"/>
  <c r="K39" i="4"/>
  <c r="K65" i="10"/>
  <c r="K64" i="10"/>
  <c r="K59" i="10"/>
  <c r="K21" i="2"/>
  <c r="H30" i="9"/>
  <c r="H29" i="9"/>
  <c r="H14" i="11"/>
  <c r="H29" i="5"/>
  <c r="H8" i="11"/>
  <c r="H12" i="11"/>
  <c r="H10" i="11"/>
  <c r="H11" i="11"/>
  <c r="H28" i="5"/>
  <c r="H17" i="11"/>
  <c r="H21" i="11"/>
  <c r="H59" i="11"/>
  <c r="H24" i="4"/>
  <c r="H13" i="11"/>
  <c r="H15" i="11"/>
  <c r="H28" i="9"/>
  <c r="H27" i="5"/>
  <c r="H26" i="11"/>
  <c r="H28" i="10"/>
  <c r="H24" i="11"/>
  <c r="E18" i="11"/>
  <c r="E29" i="9"/>
  <c r="E28" i="9"/>
  <c r="E27" i="5"/>
  <c r="E16" i="11"/>
  <c r="E10" i="11"/>
  <c r="E8" i="11"/>
  <c r="E28" i="5"/>
  <c r="E17" i="11"/>
  <c r="E15" i="11"/>
  <c r="E13" i="11"/>
  <c r="E58" i="11"/>
  <c r="E26" i="11"/>
  <c r="E28" i="10"/>
  <c r="E20" i="11"/>
  <c r="E30" i="9"/>
  <c r="E29" i="5"/>
  <c r="E11" i="11"/>
  <c r="E24" i="11"/>
  <c r="G29" i="5"/>
  <c r="G10" i="11"/>
  <c r="G12" i="11"/>
  <c r="G58" i="11"/>
  <c r="G30" i="9"/>
  <c r="G28" i="5"/>
  <c r="G26" i="11"/>
  <c r="G28" i="10"/>
  <c r="G18" i="11"/>
  <c r="G15" i="11"/>
  <c r="G24" i="11"/>
  <c r="G20" i="11"/>
  <c r="G29" i="9"/>
  <c r="G13" i="11"/>
  <c r="G28" i="9"/>
  <c r="G27" i="5"/>
  <c r="G17" i="11"/>
  <c r="G8" i="11"/>
  <c r="G21" i="11"/>
  <c r="F11" i="11"/>
  <c r="F17" i="11"/>
  <c r="F33" i="11"/>
  <c r="F35" i="10"/>
  <c r="F9" i="11"/>
  <c r="F15" i="11"/>
  <c r="F29" i="5"/>
  <c r="F20" i="11"/>
  <c r="F29" i="9"/>
  <c r="F24" i="11"/>
  <c r="F10" i="11"/>
  <c r="F13" i="11"/>
  <c r="F8" i="11"/>
  <c r="F12" i="11"/>
  <c r="F18" i="11"/>
  <c r="F28" i="9"/>
  <c r="F27" i="5"/>
  <c r="F28" i="5"/>
  <c r="F30" i="9"/>
  <c r="W10" i="11"/>
  <c r="W8" i="11"/>
  <c r="W33" i="11"/>
  <c r="W35" i="10"/>
  <c r="W24" i="11"/>
  <c r="W21" i="11"/>
  <c r="W13" i="11"/>
  <c r="W58" i="11"/>
  <c r="W28" i="5"/>
  <c r="W29" i="9"/>
  <c r="W20" i="11"/>
  <c r="W17" i="11"/>
  <c r="W28" i="9"/>
  <c r="W27" i="5"/>
  <c r="W18" i="11"/>
  <c r="W15" i="11"/>
  <c r="W12" i="11"/>
  <c r="W29" i="5"/>
  <c r="W30" i="9"/>
  <c r="E65" i="10"/>
  <c r="E64" i="10"/>
  <c r="E13" i="2"/>
  <c r="E62" i="10"/>
  <c r="E39" i="4"/>
  <c r="E21" i="2"/>
  <c r="E59" i="10"/>
  <c r="E63" i="10"/>
  <c r="E36" i="11"/>
  <c r="E38" i="10"/>
  <c r="G13" i="12"/>
  <c r="G41" i="12"/>
  <c r="E29" i="11"/>
  <c r="E31" i="10"/>
  <c r="G54" i="12"/>
  <c r="E42" i="11"/>
  <c r="E30" i="11"/>
  <c r="E44" i="10"/>
  <c r="E32" i="10"/>
  <c r="G31" i="12"/>
  <c r="G18" i="12"/>
  <c r="G15" i="13"/>
  <c r="G59" i="12"/>
  <c r="E28" i="11"/>
  <c r="E30" i="10"/>
  <c r="G11" i="12"/>
  <c r="G17" i="13"/>
  <c r="G21" i="12"/>
  <c r="G29" i="17"/>
  <c r="G34" i="12"/>
  <c r="G8" i="12"/>
  <c r="E67" i="11"/>
  <c r="E69" i="10"/>
  <c r="G45" i="12"/>
  <c r="G48" i="12"/>
  <c r="G42" i="12"/>
  <c r="E65" i="11"/>
  <c r="E67" i="10"/>
  <c r="D62" i="10"/>
  <c r="D39" i="4"/>
  <c r="D63" i="10"/>
  <c r="D64" i="10"/>
  <c r="D65" i="10"/>
  <c r="D59" i="10"/>
  <c r="D21" i="2"/>
  <c r="D13" i="2"/>
  <c r="T63" i="10"/>
  <c r="T13" i="2"/>
  <c r="T64" i="10"/>
  <c r="T21" i="2"/>
  <c r="T65" i="10"/>
  <c r="T62" i="10"/>
  <c r="T39" i="4"/>
  <c r="T59" i="10"/>
  <c r="U13" i="2"/>
  <c r="U62" i="10"/>
  <c r="U39" i="4"/>
  <c r="U63" i="10"/>
  <c r="U21" i="2"/>
  <c r="U65" i="10"/>
  <c r="U59" i="10"/>
  <c r="U64" i="10"/>
  <c r="R65" i="10"/>
  <c r="R21" i="2"/>
  <c r="R64" i="10"/>
  <c r="R59" i="10"/>
  <c r="R62" i="10"/>
  <c r="R39" i="4"/>
  <c r="R63" i="10"/>
  <c r="R13" i="2"/>
  <c r="L13" i="2"/>
  <c r="L65" i="10"/>
  <c r="L21" i="2"/>
  <c r="L64" i="10"/>
  <c r="L59" i="10"/>
  <c r="L63" i="10"/>
  <c r="L62" i="10"/>
  <c r="L39" i="4"/>
  <c r="O64" i="10"/>
  <c r="O59" i="10"/>
  <c r="O21" i="2"/>
  <c r="O62" i="10"/>
  <c r="O39" i="4"/>
  <c r="O13" i="2"/>
  <c r="O63" i="10"/>
  <c r="O65" i="10"/>
  <c r="F59" i="10"/>
  <c r="F21" i="2"/>
  <c r="F63" i="10"/>
  <c r="F13" i="2"/>
  <c r="F65" i="10"/>
  <c r="F64" i="10"/>
  <c r="F62" i="10"/>
  <c r="F39" i="4"/>
  <c r="H62" i="10"/>
  <c r="H39" i="4"/>
  <c r="H64" i="10"/>
  <c r="H59" i="10"/>
  <c r="H13" i="2"/>
  <c r="H63" i="10"/>
  <c r="H65" i="10"/>
  <c r="H21" i="2"/>
  <c r="X13" i="2"/>
  <c r="X62" i="10"/>
  <c r="X39" i="4"/>
  <c r="X63" i="10"/>
  <c r="X64" i="10"/>
  <c r="X21" i="2"/>
  <c r="X65" i="10"/>
  <c r="X59" i="10"/>
  <c r="N63" i="10"/>
  <c r="N59" i="10"/>
  <c r="N62" i="10"/>
  <c r="N39" i="4"/>
  <c r="N21" i="2"/>
  <c r="N13" i="2"/>
  <c r="N65" i="10"/>
  <c r="N64" i="10"/>
  <c r="M21" i="2"/>
  <c r="M13" i="2"/>
  <c r="M64" i="10"/>
  <c r="M59" i="10"/>
  <c r="M63" i="10"/>
  <c r="M65" i="10"/>
  <c r="M62" i="10"/>
  <c r="M39" i="4"/>
  <c r="V59" i="10"/>
  <c r="V63" i="10"/>
  <c r="V21" i="2"/>
  <c r="V65" i="10"/>
  <c r="V64" i="10"/>
  <c r="V62" i="10"/>
  <c r="V39" i="4"/>
  <c r="V13" i="2"/>
  <c r="D9" i="12"/>
  <c r="D14" i="3"/>
  <c r="D54" i="12"/>
  <c r="D47" i="12"/>
  <c r="D31" i="12"/>
  <c r="D39" i="12"/>
  <c r="D21" i="12"/>
  <c r="D13" i="12"/>
  <c r="D18" i="12"/>
  <c r="D34" i="12"/>
  <c r="D31" i="13"/>
  <c r="D15" i="12"/>
  <c r="D15" i="13"/>
  <c r="D12" i="14"/>
  <c r="D25" i="3"/>
  <c r="D10" i="13"/>
  <c r="K16" i="12"/>
  <c r="I27" i="11"/>
  <c r="I29" i="10"/>
  <c r="K41" i="12"/>
  <c r="I65" i="11"/>
  <c r="I67" i="10"/>
  <c r="K22" i="12"/>
  <c r="K8" i="12"/>
  <c r="I41" i="11"/>
  <c r="I43" i="10"/>
  <c r="I36" i="11"/>
  <c r="I38" i="10"/>
  <c r="K67" i="12"/>
  <c r="I42" i="11"/>
  <c r="I30" i="11"/>
  <c r="I44" i="10"/>
  <c r="I32" i="10"/>
  <c r="K18" i="12"/>
  <c r="K32" i="12"/>
  <c r="K56" i="12"/>
  <c r="K58" i="12"/>
  <c r="I29" i="11"/>
  <c r="I31" i="10"/>
  <c r="I67" i="11"/>
  <c r="I69" i="10"/>
  <c r="K14" i="12"/>
  <c r="K60" i="12"/>
  <c r="I68" i="11"/>
  <c r="I70" i="10"/>
  <c r="K11" i="13"/>
  <c r="K46" i="12"/>
  <c r="K10" i="12"/>
  <c r="W13" i="2"/>
  <c r="W21" i="2"/>
  <c r="W62" i="10"/>
  <c r="W39" i="4"/>
  <c r="W63" i="10"/>
  <c r="W64" i="10"/>
  <c r="W65" i="10"/>
  <c r="W59" i="10"/>
  <c r="G13" i="2"/>
  <c r="G21" i="2"/>
  <c r="G65" i="10"/>
  <c r="G63" i="10"/>
  <c r="G64" i="10"/>
  <c r="G59" i="10"/>
  <c r="G62" i="10"/>
  <c r="G39" i="4"/>
  <c r="P13" i="2"/>
  <c r="P64" i="10"/>
  <c r="P62" i="10"/>
  <c r="P39" i="4"/>
  <c r="P21" i="2"/>
  <c r="P59" i="10"/>
  <c r="P63" i="10"/>
  <c r="P65" i="10"/>
  <c r="N58" i="12"/>
  <c r="N67" i="12"/>
  <c r="N61" i="12"/>
  <c r="N40" i="12"/>
  <c r="N32" i="12"/>
  <c r="N22" i="12"/>
  <c r="N44" i="12"/>
  <c r="N56" i="12"/>
  <c r="L68" i="11"/>
  <c r="L70" i="10"/>
  <c r="L41" i="11"/>
  <c r="L43" i="10"/>
  <c r="L29" i="11"/>
  <c r="L31" i="10"/>
  <c r="N9" i="12"/>
  <c r="N47" i="12"/>
  <c r="L27" i="11"/>
  <c r="L29" i="10"/>
  <c r="L28" i="11"/>
  <c r="L30" i="10"/>
  <c r="N60" i="12"/>
  <c r="N31" i="13"/>
  <c r="L31" i="11"/>
  <c r="L33" i="10"/>
  <c r="L66" i="11"/>
  <c r="L68" i="10"/>
  <c r="N45" i="12"/>
  <c r="L17" i="10"/>
  <c r="N30" i="12"/>
  <c r="L42" i="11"/>
  <c r="L30" i="11"/>
  <c r="L44" i="10"/>
  <c r="L32" i="10"/>
  <c r="H48" i="12"/>
  <c r="H67" i="12"/>
  <c r="F67" i="11"/>
  <c r="F69" i="10"/>
  <c r="F41" i="11"/>
  <c r="F43" i="10"/>
  <c r="F29" i="11"/>
  <c r="F31" i="10"/>
  <c r="H18" i="12"/>
  <c r="F27" i="11"/>
  <c r="F29" i="10"/>
  <c r="H45" i="12"/>
  <c r="H53" i="12"/>
  <c r="H21" i="12"/>
  <c r="F65" i="11"/>
  <c r="F67" i="10"/>
  <c r="H16" i="12"/>
  <c r="F28" i="11"/>
  <c r="F30" i="10"/>
  <c r="H59" i="12"/>
  <c r="H10" i="12"/>
  <c r="H31" i="12"/>
  <c r="F36" i="11"/>
  <c r="F38" i="10"/>
  <c r="H8" i="12"/>
  <c r="H36" i="12"/>
  <c r="H11" i="13"/>
  <c r="H13" i="12"/>
  <c r="F42" i="11"/>
  <c r="F30" i="11"/>
  <c r="F44" i="10"/>
  <c r="F32" i="10"/>
  <c r="I64" i="10"/>
  <c r="I13" i="2"/>
  <c r="I21" i="2"/>
  <c r="I62" i="10"/>
  <c r="I39" i="4"/>
  <c r="I63" i="10"/>
  <c r="I59" i="10"/>
  <c r="I65" i="10"/>
  <c r="Y21" i="2"/>
  <c r="Y13" i="2"/>
  <c r="Y64" i="10"/>
  <c r="Y59" i="10"/>
  <c r="Y65" i="10"/>
  <c r="Y63" i="10"/>
  <c r="Y62" i="10"/>
  <c r="Y39" i="4"/>
  <c r="K37" i="11"/>
  <c r="K39" i="10"/>
  <c r="K36" i="11"/>
  <c r="K38" i="10"/>
  <c r="M8" i="12"/>
  <c r="M11" i="13"/>
  <c r="M30" i="12"/>
  <c r="M58" i="12"/>
  <c r="M16" i="12"/>
  <c r="M44" i="12"/>
  <c r="K27" i="11"/>
  <c r="K29" i="10"/>
  <c r="M27" i="17"/>
  <c r="M17" i="12"/>
  <c r="K41" i="11"/>
  <c r="K43" i="10"/>
  <c r="M14" i="12"/>
  <c r="K67" i="11"/>
  <c r="K69" i="10"/>
  <c r="M56" i="12"/>
  <c r="M32" i="12"/>
  <c r="M46" i="12"/>
  <c r="M59" i="12"/>
  <c r="M60" i="12"/>
  <c r="M40" i="12"/>
  <c r="M54" i="12"/>
  <c r="M22" i="12"/>
  <c r="O60" i="12"/>
  <c r="O58" i="12"/>
  <c r="O35" i="12"/>
  <c r="O40" i="12"/>
  <c r="M66" i="11"/>
  <c r="M68" i="10"/>
  <c r="O44" i="12"/>
  <c r="M37" i="11"/>
  <c r="M39" i="10"/>
  <c r="O22" i="12"/>
  <c r="O47" i="12"/>
  <c r="M36" i="11"/>
  <c r="M38" i="10"/>
  <c r="O30" i="12"/>
  <c r="M26" i="10"/>
  <c r="O17" i="12"/>
  <c r="O9" i="12"/>
  <c r="M41" i="11"/>
  <c r="M43" i="10"/>
  <c r="M28" i="11"/>
  <c r="M30" i="10"/>
  <c r="O14" i="12"/>
  <c r="O41" i="12"/>
  <c r="O15" i="12"/>
  <c r="O11" i="13"/>
  <c r="O67" i="12"/>
  <c r="O32" i="12"/>
  <c r="I17" i="13"/>
  <c r="G17" i="10"/>
  <c r="G22" i="9"/>
  <c r="I18" i="12"/>
  <c r="I34" i="12"/>
  <c r="I53" i="12"/>
  <c r="I48" i="12"/>
  <c r="G28" i="11"/>
  <c r="G30" i="10"/>
  <c r="I47" i="12"/>
  <c r="G29" i="11"/>
  <c r="G31" i="10"/>
  <c r="I21" i="12"/>
  <c r="I13" i="12"/>
  <c r="I15" i="13"/>
  <c r="I31" i="12"/>
  <c r="I42" i="12"/>
  <c r="I58" i="12"/>
  <c r="G36" i="11"/>
  <c r="G38" i="10"/>
  <c r="I8" i="12"/>
  <c r="I13" i="13"/>
  <c r="G42" i="11"/>
  <c r="G30" i="11"/>
  <c r="G44" i="10"/>
  <c r="G32" i="10"/>
  <c r="I9" i="12"/>
  <c r="G65" i="11"/>
  <c r="G67" i="10"/>
  <c r="R42" i="11"/>
  <c r="R30" i="11"/>
  <c r="R44" i="10"/>
  <c r="R32" i="10"/>
  <c r="R66" i="11"/>
  <c r="R68" i="10"/>
  <c r="T9" i="12"/>
  <c r="R36" i="11"/>
  <c r="R38" i="10"/>
  <c r="T44" i="12"/>
  <c r="R29" i="11"/>
  <c r="R31" i="10"/>
  <c r="T17" i="12"/>
  <c r="T13" i="12"/>
  <c r="T31" i="12"/>
  <c r="R68" i="11"/>
  <c r="R70" i="10"/>
  <c r="T21" i="12"/>
  <c r="T34" i="12"/>
  <c r="T60" i="12"/>
  <c r="T35" i="12"/>
  <c r="T40" i="12"/>
  <c r="T39" i="12"/>
  <c r="T18" i="12"/>
  <c r="T20" i="12"/>
  <c r="R37" i="11"/>
  <c r="R39" i="10"/>
  <c r="T61" i="12"/>
  <c r="T43" i="12"/>
  <c r="T12" i="14"/>
  <c r="C14" i="3"/>
  <c r="C17" i="12"/>
  <c r="C43" i="12"/>
  <c r="C56" i="12"/>
  <c r="C25" i="3"/>
  <c r="C54" i="12"/>
  <c r="C34" i="12"/>
  <c r="C15" i="12"/>
  <c r="C8" i="17"/>
  <c r="C10" i="12"/>
  <c r="C13" i="13"/>
  <c r="C53" i="12"/>
  <c r="C42" i="12"/>
  <c r="C9" i="12"/>
  <c r="C13" i="12"/>
  <c r="C20" i="12"/>
  <c r="C31" i="12"/>
  <c r="L53" i="12"/>
  <c r="L18" i="12"/>
  <c r="L16" i="12"/>
  <c r="L12" i="14"/>
  <c r="L44" i="12"/>
  <c r="L47" i="12"/>
  <c r="L30" i="12"/>
  <c r="L8" i="12"/>
  <c r="L9" i="12"/>
  <c r="L22" i="12"/>
  <c r="J29" i="11"/>
  <c r="J31" i="10"/>
  <c r="L46" i="12"/>
  <c r="L41" i="12"/>
  <c r="J41" i="11"/>
  <c r="J43" i="10"/>
  <c r="J66" i="11"/>
  <c r="J68" i="10"/>
  <c r="J28" i="11"/>
  <c r="J30" i="10"/>
  <c r="L11" i="12"/>
  <c r="L32" i="12"/>
  <c r="L67" i="12"/>
  <c r="L58" i="12"/>
  <c r="J67" i="11"/>
  <c r="J69" i="10"/>
  <c r="J27" i="11"/>
  <c r="J29" i="10"/>
  <c r="P61" i="12"/>
  <c r="P10" i="12"/>
  <c r="N21" i="9"/>
  <c r="N20" i="5"/>
  <c r="P35" i="12"/>
  <c r="N41" i="11"/>
  <c r="N43" i="10"/>
  <c r="P59" i="12"/>
  <c r="N17" i="10"/>
  <c r="N68" i="11"/>
  <c r="N70" i="10"/>
  <c r="N66" i="11"/>
  <c r="N68" i="10"/>
  <c r="P9" i="12"/>
  <c r="P8" i="13"/>
  <c r="P22" i="12"/>
  <c r="P30" i="12"/>
  <c r="P40" i="12"/>
  <c r="N28" i="11"/>
  <c r="N30" i="10"/>
  <c r="N27" i="11"/>
  <c r="N29" i="10"/>
  <c r="N65" i="11"/>
  <c r="N67" i="10"/>
  <c r="P44" i="12"/>
  <c r="N42" i="11"/>
  <c r="N30" i="11"/>
  <c r="N44" i="10"/>
  <c r="N32" i="10"/>
  <c r="P32" i="12"/>
  <c r="P14" i="12"/>
  <c r="P45" i="12"/>
  <c r="H67" i="11"/>
  <c r="H69" i="10"/>
  <c r="H27" i="11"/>
  <c r="H29" i="10"/>
  <c r="J18" i="12"/>
  <c r="J10" i="12"/>
  <c r="J59" i="12"/>
  <c r="J11" i="12"/>
  <c r="J41" i="12"/>
  <c r="J54" i="12"/>
  <c r="H29" i="11"/>
  <c r="H31" i="10"/>
  <c r="J21" i="12"/>
  <c r="J32" i="12"/>
  <c r="J42" i="12"/>
  <c r="J48" i="12"/>
  <c r="J65" i="12"/>
  <c r="H65" i="11"/>
  <c r="H67" i="10"/>
  <c r="H41" i="11"/>
  <c r="H43" i="10"/>
  <c r="H42" i="11"/>
  <c r="H30" i="11"/>
  <c r="H44" i="10"/>
  <c r="H32" i="10"/>
  <c r="J67" i="12"/>
  <c r="J36" i="12"/>
  <c r="J53" i="12"/>
  <c r="J13" i="12"/>
  <c r="J60" i="12"/>
  <c r="X15" i="12"/>
  <c r="V67" i="11"/>
  <c r="V69" i="10"/>
  <c r="X43" i="12"/>
  <c r="V28" i="11"/>
  <c r="V30" i="10"/>
  <c r="X8" i="13"/>
  <c r="X14" i="12"/>
  <c r="X16" i="12"/>
  <c r="V68" i="11"/>
  <c r="V70" i="10"/>
  <c r="V29" i="11"/>
  <c r="V31" i="10"/>
  <c r="X31" i="12"/>
  <c r="X11" i="13"/>
  <c r="X61" i="12"/>
  <c r="X26" i="17"/>
  <c r="V65" i="11"/>
  <c r="V67" i="10"/>
  <c r="V37" i="11"/>
  <c r="V39" i="10"/>
  <c r="V42" i="11"/>
  <c r="V30" i="11"/>
  <c r="V44" i="10"/>
  <c r="V32" i="10"/>
  <c r="X34" i="12"/>
  <c r="X36" i="12"/>
  <c r="X39" i="12"/>
  <c r="X18" i="12"/>
  <c r="X8" i="12"/>
  <c r="X13" i="12"/>
  <c r="Z31" i="12"/>
  <c r="X36" i="11"/>
  <c r="X38" i="10"/>
  <c r="X27" i="11"/>
  <c r="X29" i="10"/>
  <c r="Z9" i="13"/>
  <c r="Z18" i="12"/>
  <c r="Z42" i="12"/>
  <c r="X42" i="11"/>
  <c r="X30" i="11"/>
  <c r="X44" i="10"/>
  <c r="X32" i="10"/>
  <c r="X67" i="11"/>
  <c r="X69" i="10"/>
  <c r="Z18" i="17"/>
  <c r="Z12" i="13"/>
  <c r="X65" i="11"/>
  <c r="X67" i="10"/>
  <c r="Z14" i="12"/>
  <c r="Z39" i="12"/>
  <c r="Z16" i="12"/>
  <c r="Z21" i="12"/>
  <c r="Z34" i="12"/>
  <c r="Z10" i="12"/>
  <c r="X37" i="11"/>
  <c r="X39" i="10"/>
  <c r="X29" i="11"/>
  <c r="X31" i="10"/>
  <c r="Z13" i="12"/>
  <c r="Z36" i="12"/>
  <c r="Z48" i="12"/>
  <c r="S8" i="13"/>
  <c r="S20" i="12"/>
  <c r="S34" i="12"/>
  <c r="S9" i="13"/>
  <c r="S11" i="12"/>
  <c r="Q65" i="11"/>
  <c r="Q67" i="10"/>
  <c r="S13" i="12"/>
  <c r="S45" i="12"/>
  <c r="S15" i="12"/>
  <c r="Q66" i="11"/>
  <c r="Q68" i="10"/>
  <c r="S40" i="12"/>
  <c r="S7" i="17"/>
  <c r="Q27" i="11"/>
  <c r="Q29" i="10"/>
  <c r="Q28" i="11"/>
  <c r="Q30" i="10"/>
  <c r="S35" i="12"/>
  <c r="S43" i="12"/>
  <c r="Q68" i="11"/>
  <c r="Q70" i="10"/>
  <c r="Q37" i="11"/>
  <c r="Q39" i="10"/>
  <c r="S11" i="13"/>
  <c r="Q41" i="11"/>
  <c r="Q43" i="10"/>
  <c r="Q42" i="11"/>
  <c r="Q30" i="11"/>
  <c r="Q44" i="10"/>
  <c r="Q32" i="10"/>
  <c r="S9" i="12"/>
  <c r="E9" i="12"/>
  <c r="C68" i="11"/>
  <c r="C70" i="10"/>
  <c r="C37" i="11"/>
  <c r="C39" i="10"/>
  <c r="E10" i="12"/>
  <c r="C28" i="11"/>
  <c r="C30" i="10"/>
  <c r="E8" i="12"/>
  <c r="E39" i="12"/>
  <c r="C29" i="11"/>
  <c r="C31" i="10"/>
  <c r="E15" i="12"/>
  <c r="E17" i="12"/>
  <c r="E13" i="12"/>
  <c r="C67" i="11"/>
  <c r="C69" i="10"/>
  <c r="E67" i="12"/>
  <c r="E21" i="12"/>
  <c r="C42" i="11"/>
  <c r="C30" i="11"/>
  <c r="C44" i="10"/>
  <c r="C32" i="10"/>
  <c r="E11" i="13"/>
  <c r="E54" i="12"/>
  <c r="C65" i="11"/>
  <c r="C67" i="10"/>
  <c r="E34" i="12"/>
  <c r="C66" i="11"/>
  <c r="C68" i="10"/>
  <c r="E17" i="13"/>
  <c r="E48" i="12"/>
  <c r="R41" i="12"/>
  <c r="P66" i="11"/>
  <c r="P68" i="10"/>
  <c r="R15" i="12"/>
  <c r="R22" i="12"/>
  <c r="R45" i="12"/>
  <c r="R43" i="12"/>
  <c r="R9" i="12"/>
  <c r="R11" i="12"/>
  <c r="R61" i="12"/>
  <c r="R17" i="13"/>
  <c r="R14" i="12"/>
  <c r="R39" i="12"/>
  <c r="R30" i="12"/>
  <c r="R21" i="12"/>
  <c r="R14" i="13"/>
  <c r="R40" i="12"/>
  <c r="P41" i="11"/>
  <c r="P43" i="10"/>
  <c r="R8" i="12"/>
  <c r="R20" i="12"/>
  <c r="P37" i="11"/>
  <c r="P39" i="10"/>
  <c r="P27" i="11"/>
  <c r="P29" i="10"/>
  <c r="R59" i="12"/>
  <c r="E16" i="7"/>
  <c r="E47" i="11"/>
  <c r="E49" i="10"/>
  <c r="G13" i="14"/>
  <c r="G29" i="12"/>
  <c r="E23" i="9"/>
  <c r="F8" i="8"/>
  <c r="G26" i="12"/>
  <c r="G49" i="12"/>
  <c r="G66" i="12"/>
  <c r="G27" i="12"/>
  <c r="E20" i="7"/>
  <c r="E64" i="11"/>
  <c r="E66" i="10"/>
  <c r="E22" i="7"/>
  <c r="D8" i="6"/>
  <c r="G50" i="12"/>
  <c r="E26" i="7"/>
  <c r="G25" i="12"/>
  <c r="G24" i="12"/>
  <c r="G57" i="12"/>
  <c r="G52" i="12"/>
  <c r="E15" i="7"/>
  <c r="E46" i="11"/>
  <c r="E48" i="10"/>
  <c r="E7" i="7"/>
  <c r="E49" i="11"/>
  <c r="E51" i="10"/>
  <c r="G12" i="3"/>
  <c r="E8" i="7"/>
  <c r="E44" i="11"/>
  <c r="E46" i="10"/>
  <c r="G11" i="3"/>
  <c r="G55" i="12"/>
  <c r="Q35" i="12"/>
  <c r="Q45" i="12"/>
  <c r="Q43" i="12"/>
  <c r="Q60" i="12"/>
  <c r="Q15" i="12"/>
  <c r="Q40" i="12"/>
  <c r="Q20" i="12"/>
  <c r="O26" i="10"/>
  <c r="Q11" i="12"/>
  <c r="Q14" i="12"/>
  <c r="O41" i="11"/>
  <c r="O43" i="10"/>
  <c r="Q44" i="12"/>
  <c r="O66" i="11"/>
  <c r="O68" i="10"/>
  <c r="Q32" i="12"/>
  <c r="Q13" i="12"/>
  <c r="O11" i="9"/>
  <c r="Q22" i="12"/>
  <c r="O42" i="11"/>
  <c r="O30" i="11"/>
  <c r="O44" i="10"/>
  <c r="O32" i="10"/>
  <c r="Q15" i="13"/>
  <c r="O68" i="11"/>
  <c r="O70" i="10"/>
  <c r="O37" i="11"/>
  <c r="O39" i="10"/>
  <c r="Q30" i="12"/>
  <c r="Y28" i="11"/>
  <c r="Y30" i="10"/>
  <c r="AA41" i="12"/>
  <c r="Y29" i="11"/>
  <c r="Y31" i="10"/>
  <c r="AA36" i="12"/>
  <c r="Y67" i="11"/>
  <c r="Y69" i="10"/>
  <c r="AA16" i="12"/>
  <c r="AA10" i="12"/>
  <c r="Y65" i="11"/>
  <c r="Y67" i="10"/>
  <c r="AA48" i="12"/>
  <c r="Y36" i="11"/>
  <c r="Y38" i="10"/>
  <c r="AA32" i="12"/>
  <c r="AA22" i="12"/>
  <c r="AA31" i="12"/>
  <c r="AA20" i="12"/>
  <c r="AA18" i="12"/>
  <c r="AA42" i="12"/>
  <c r="Y68" i="11"/>
  <c r="Y70" i="10"/>
  <c r="AA21" i="12"/>
  <c r="Y27" i="11"/>
  <c r="Y29" i="10"/>
  <c r="AA13" i="12"/>
  <c r="AA39" i="12"/>
  <c r="AA14" i="12"/>
  <c r="V7" i="7"/>
  <c r="V49" i="11"/>
  <c r="V51" i="10"/>
  <c r="X12" i="3"/>
  <c r="V27" i="7"/>
  <c r="X51" i="12"/>
  <c r="X26" i="12"/>
  <c r="V20" i="7"/>
  <c r="V64" i="11"/>
  <c r="V66" i="10"/>
  <c r="X29" i="12"/>
  <c r="U8" i="6"/>
  <c r="X28" i="12"/>
  <c r="X55" i="12"/>
  <c r="X38" i="13"/>
  <c r="X62" i="12"/>
  <c r="V8" i="7"/>
  <c r="V44" i="11"/>
  <c r="V46" i="10"/>
  <c r="X11" i="3"/>
  <c r="V15" i="7"/>
  <c r="V46" i="11"/>
  <c r="V48" i="10"/>
  <c r="W9" i="8"/>
  <c r="U34" i="6"/>
  <c r="X27" i="12"/>
  <c r="X57" i="12"/>
  <c r="V16" i="7"/>
  <c r="V47" i="11"/>
  <c r="V49" i="10"/>
  <c r="V35" i="4"/>
  <c r="W14" i="8"/>
  <c r="X66" i="12"/>
  <c r="W7" i="8"/>
  <c r="X24" i="12"/>
  <c r="Y16" i="12"/>
  <c r="Y12" i="14"/>
  <c r="Y15" i="12"/>
  <c r="Y31" i="13"/>
  <c r="W31" i="11"/>
  <c r="W33" i="10"/>
  <c r="W66" i="11"/>
  <c r="W68" i="10"/>
  <c r="Y21" i="12"/>
  <c r="Y31" i="12"/>
  <c r="W67" i="11"/>
  <c r="W69" i="10"/>
  <c r="W68" i="11"/>
  <c r="W70" i="10"/>
  <c r="Y60" i="12"/>
  <c r="Y22" i="12"/>
  <c r="Y28" i="17"/>
  <c r="W36" i="11"/>
  <c r="W38" i="10"/>
  <c r="Y34" i="12"/>
  <c r="Y39" i="12"/>
  <c r="Y13" i="12"/>
  <c r="Y9" i="12"/>
  <c r="Y18" i="12"/>
  <c r="Y42" i="12"/>
  <c r="Y10" i="12"/>
  <c r="Y8" i="13"/>
  <c r="Y43" i="12"/>
  <c r="W15" i="12"/>
  <c r="W9" i="13"/>
  <c r="W44" i="12"/>
  <c r="U41" i="11"/>
  <c r="U43" i="10"/>
  <c r="U37" i="11"/>
  <c r="U39" i="10"/>
  <c r="W13" i="12"/>
  <c r="W36" i="12"/>
  <c r="W42" i="12"/>
  <c r="W18" i="12"/>
  <c r="W8" i="17"/>
  <c r="W8" i="12"/>
  <c r="W60" i="12"/>
  <c r="W39" i="12"/>
  <c r="U42" i="11"/>
  <c r="U30" i="11"/>
  <c r="U44" i="10"/>
  <c r="U32" i="10"/>
  <c r="W43" i="12"/>
  <c r="W10" i="12"/>
  <c r="U29" i="11"/>
  <c r="U31" i="10"/>
  <c r="W31" i="12"/>
  <c r="U68" i="11"/>
  <c r="U70" i="10"/>
  <c r="W34" i="12"/>
  <c r="U36" i="11"/>
  <c r="U38" i="10"/>
  <c r="U67" i="11"/>
  <c r="U69" i="10"/>
  <c r="F13" i="12"/>
  <c r="D36" i="11"/>
  <c r="D38" i="10"/>
  <c r="F34" i="12"/>
  <c r="F58" i="12"/>
  <c r="F15" i="12"/>
  <c r="F10" i="13"/>
  <c r="F17" i="12"/>
  <c r="F21" i="12"/>
  <c r="D42" i="11"/>
  <c r="D30" i="11"/>
  <c r="D44" i="10"/>
  <c r="D32" i="10"/>
  <c r="D68" i="11"/>
  <c r="D70" i="10"/>
  <c r="D65" i="11"/>
  <c r="D67" i="10"/>
  <c r="F59" i="12"/>
  <c r="F53" i="12"/>
  <c r="F39" i="12"/>
  <c r="F48" i="12"/>
  <c r="D37" i="11"/>
  <c r="D39" i="10"/>
  <c r="F47" i="12"/>
  <c r="D66" i="11"/>
  <c r="D68" i="10"/>
  <c r="F13" i="13"/>
  <c r="F18" i="12"/>
  <c r="F42" i="12"/>
  <c r="D28" i="11"/>
  <c r="D30" i="10"/>
  <c r="G26" i="7"/>
  <c r="G15" i="9"/>
  <c r="I64" i="12"/>
  <c r="I40" i="13"/>
  <c r="G18" i="7"/>
  <c r="G51" i="11"/>
  <c r="G53" i="10"/>
  <c r="I52" i="12"/>
  <c r="I66" i="12"/>
  <c r="F14" i="6"/>
  <c r="I50" i="12"/>
  <c r="I27" i="12"/>
  <c r="G15" i="7"/>
  <c r="G46" i="11"/>
  <c r="G48" i="10"/>
  <c r="I25" i="12"/>
  <c r="I29" i="12"/>
  <c r="G7" i="7"/>
  <c r="G49" i="11"/>
  <c r="G51" i="10"/>
  <c r="I12" i="3"/>
  <c r="I7" i="14"/>
  <c r="G16" i="7"/>
  <c r="G47" i="11"/>
  <c r="G49" i="10"/>
  <c r="G23" i="9"/>
  <c r="G8" i="7"/>
  <c r="G44" i="11"/>
  <c r="G46" i="10"/>
  <c r="I11" i="3"/>
  <c r="I57" i="12"/>
  <c r="G22" i="5"/>
  <c r="I55" i="12"/>
  <c r="H9" i="8"/>
  <c r="F34" i="6"/>
  <c r="I24" i="12"/>
  <c r="W57" i="12"/>
  <c r="W7" i="14"/>
  <c r="W62" i="12"/>
  <c r="U16" i="7"/>
  <c r="U47" i="11"/>
  <c r="U49" i="10"/>
  <c r="W64" i="12"/>
  <c r="W29" i="12"/>
  <c r="U8" i="7"/>
  <c r="U44" i="11"/>
  <c r="U46" i="10"/>
  <c r="W11" i="3"/>
  <c r="W66" i="12"/>
  <c r="W24" i="12"/>
  <c r="U22" i="7"/>
  <c r="W28" i="12"/>
  <c r="T8" i="6"/>
  <c r="U15" i="7"/>
  <c r="U46" i="11"/>
  <c r="U48" i="10"/>
  <c r="W25" i="12"/>
  <c r="U7" i="7"/>
  <c r="U49" i="11"/>
  <c r="U51" i="10"/>
  <c r="W12" i="3"/>
  <c r="W55" i="12"/>
  <c r="W26" i="12"/>
  <c r="U27" i="7"/>
  <c r="W27" i="12"/>
  <c r="U20" i="7"/>
  <c r="U64" i="11"/>
  <c r="U66" i="10"/>
  <c r="T14" i="6"/>
  <c r="V8" i="8"/>
  <c r="T42" i="11"/>
  <c r="T30" i="11"/>
  <c r="T44" i="10"/>
  <c r="T32" i="10"/>
  <c r="V12" i="13"/>
  <c r="V21" i="12"/>
  <c r="V16" i="12"/>
  <c r="V13" i="13"/>
  <c r="V61" i="12"/>
  <c r="V15" i="12"/>
  <c r="V9" i="12"/>
  <c r="V17" i="12"/>
  <c r="T36" i="11"/>
  <c r="T38" i="10"/>
  <c r="V35" i="12"/>
  <c r="V34" i="12"/>
  <c r="V8" i="13"/>
  <c r="V10" i="12"/>
  <c r="V20" i="12"/>
  <c r="T68" i="11"/>
  <c r="T70" i="10"/>
  <c r="V39" i="12"/>
  <c r="V13" i="12"/>
  <c r="T37" i="11"/>
  <c r="T39" i="10"/>
  <c r="V18" i="12"/>
  <c r="V43" i="12"/>
  <c r="T66" i="11"/>
  <c r="T68" i="10"/>
  <c r="U9" i="13"/>
  <c r="S42" i="11"/>
  <c r="S30" i="11"/>
  <c r="S44" i="10"/>
  <c r="S32" i="10"/>
  <c r="S28" i="11"/>
  <c r="S30" i="10"/>
  <c r="U20" i="12"/>
  <c r="S27" i="11"/>
  <c r="S29" i="10"/>
  <c r="U8" i="12"/>
  <c r="U61" i="12"/>
  <c r="U43" i="12"/>
  <c r="U9" i="12"/>
  <c r="U39" i="12"/>
  <c r="S68" i="11"/>
  <c r="S70" i="10"/>
  <c r="S66" i="11"/>
  <c r="S68" i="10"/>
  <c r="S37" i="11"/>
  <c r="S39" i="10"/>
  <c r="U17" i="12"/>
  <c r="U11" i="13"/>
  <c r="U13" i="12"/>
  <c r="S41" i="11"/>
  <c r="S43" i="10"/>
  <c r="U21" i="12"/>
  <c r="U17" i="13"/>
  <c r="U40" i="12"/>
  <c r="U11" i="12"/>
  <c r="U34" i="12"/>
  <c r="F27" i="7"/>
  <c r="H29" i="12"/>
  <c r="H66" i="12"/>
  <c r="E8" i="6"/>
  <c r="H51" i="12"/>
  <c r="H24" i="12"/>
  <c r="H27" i="12"/>
  <c r="H26" i="12"/>
  <c r="F16" i="7"/>
  <c r="F47" i="11"/>
  <c r="F49" i="10"/>
  <c r="F8" i="7"/>
  <c r="F44" i="11"/>
  <c r="F46" i="10"/>
  <c r="H11" i="3"/>
  <c r="H62" i="12"/>
  <c r="F7" i="7"/>
  <c r="F49" i="11"/>
  <c r="F51" i="10"/>
  <c r="H12" i="3"/>
  <c r="H55" i="12"/>
  <c r="G9" i="8"/>
  <c r="E34" i="6"/>
  <c r="F20" i="7"/>
  <c r="F64" i="11"/>
  <c r="F66" i="10"/>
  <c r="H50" i="12"/>
  <c r="G14" i="8"/>
  <c r="H28" i="12"/>
  <c r="F23" i="9"/>
  <c r="H57" i="12"/>
  <c r="G7" i="8"/>
  <c r="F15" i="7"/>
  <c r="F46" i="11"/>
  <c r="F48" i="10"/>
  <c r="H16" i="7"/>
  <c r="H47" i="11"/>
  <c r="H49" i="10"/>
  <c r="H7" i="7"/>
  <c r="H49" i="11"/>
  <c r="H51" i="10"/>
  <c r="J12" i="3"/>
  <c r="I9" i="8"/>
  <c r="G34" i="6"/>
  <c r="J21" i="3"/>
  <c r="J29" i="12"/>
  <c r="I10" i="8"/>
  <c r="G35" i="6"/>
  <c r="G10" i="6"/>
  <c r="H26" i="7"/>
  <c r="J27" i="12"/>
  <c r="H8" i="7"/>
  <c r="H44" i="11"/>
  <c r="H46" i="10"/>
  <c r="J11" i="3"/>
  <c r="H15" i="9"/>
  <c r="J64" i="12"/>
  <c r="J26" i="12"/>
  <c r="J49" i="12"/>
  <c r="H20" i="7"/>
  <c r="H64" i="11"/>
  <c r="H66" i="10"/>
  <c r="J51" i="12"/>
  <c r="J55" i="12"/>
  <c r="G14" i="6"/>
  <c r="J57" i="12"/>
  <c r="J25" i="12"/>
  <c r="J24" i="12"/>
  <c r="H15" i="7"/>
  <c r="H46" i="11"/>
  <c r="H48" i="10"/>
  <c r="W8" i="7"/>
  <c r="W44" i="11"/>
  <c r="W46" i="10"/>
  <c r="Y11" i="3"/>
  <c r="V14" i="6"/>
  <c r="Y24" i="12"/>
  <c r="W22" i="7"/>
  <c r="W22" i="5"/>
  <c r="Y25" i="12"/>
  <c r="W15" i="7"/>
  <c r="W46" i="11"/>
  <c r="W48" i="10"/>
  <c r="W23" i="9"/>
  <c r="Y50" i="12"/>
  <c r="Y55" i="12"/>
  <c r="Y27" i="12"/>
  <c r="Y62" i="12"/>
  <c r="W7" i="7"/>
  <c r="W49" i="11"/>
  <c r="W51" i="10"/>
  <c r="Y12" i="3"/>
  <c r="W16" i="7"/>
  <c r="W47" i="11"/>
  <c r="W49" i="10"/>
  <c r="Y28" i="12"/>
  <c r="W20" i="7"/>
  <c r="W64" i="11"/>
  <c r="W66" i="10"/>
  <c r="X8" i="8"/>
  <c r="Y63" i="12"/>
  <c r="W27" i="7"/>
  <c r="Y29" i="12"/>
  <c r="Y64" i="12"/>
  <c r="Y26" i="12"/>
  <c r="D32" i="12"/>
  <c r="D22" i="12"/>
  <c r="D17" i="12"/>
  <c r="D30" i="12"/>
  <c r="D35" i="12"/>
  <c r="D12" i="13"/>
  <c r="D65" i="12"/>
  <c r="D31" i="17"/>
  <c r="D60" i="12"/>
  <c r="D44" i="12"/>
  <c r="D11" i="12"/>
  <c r="D45" i="12"/>
  <c r="D8" i="12"/>
  <c r="D20" i="12"/>
  <c r="D14" i="12"/>
  <c r="D14" i="13"/>
  <c r="D43" i="12"/>
  <c r="D9" i="17"/>
  <c r="D40" i="12"/>
  <c r="D61" i="12"/>
  <c r="D16" i="12"/>
  <c r="D41" i="12"/>
  <c r="E62" i="12"/>
  <c r="E51" i="12"/>
  <c r="E25" i="12"/>
  <c r="E27" i="12"/>
  <c r="C20" i="7"/>
  <c r="C64" i="11"/>
  <c r="C66" i="10"/>
  <c r="E29" i="12"/>
  <c r="C7" i="7"/>
  <c r="C49" i="11"/>
  <c r="C51" i="10"/>
  <c r="E12" i="3"/>
  <c r="C15" i="4"/>
  <c r="E50" i="12"/>
  <c r="E66" i="12"/>
  <c r="E24" i="12"/>
  <c r="C22" i="7"/>
  <c r="E64" i="12"/>
  <c r="E26" i="12"/>
  <c r="E52" i="12"/>
  <c r="C15" i="7"/>
  <c r="C46" i="11"/>
  <c r="C48" i="10"/>
  <c r="C23" i="9"/>
  <c r="D8" i="8"/>
  <c r="C8" i="7"/>
  <c r="C44" i="11"/>
  <c r="C46" i="10"/>
  <c r="E11" i="3"/>
  <c r="E28" i="12"/>
  <c r="C16" i="7"/>
  <c r="C47" i="11"/>
  <c r="C49" i="10"/>
  <c r="C27" i="7"/>
  <c r="T20" i="7"/>
  <c r="T64" i="11"/>
  <c r="T66" i="10"/>
  <c r="V57" i="12"/>
  <c r="V13" i="14"/>
  <c r="V26" i="12"/>
  <c r="U10" i="8"/>
  <c r="S35" i="6"/>
  <c r="V29" i="12"/>
  <c r="T15" i="7"/>
  <c r="T46" i="11"/>
  <c r="T48" i="10"/>
  <c r="V55" i="12"/>
  <c r="V50" i="12"/>
  <c r="V63" i="12"/>
  <c r="V24" i="12"/>
  <c r="T7" i="7"/>
  <c r="T49" i="11"/>
  <c r="T51" i="10"/>
  <c r="V12" i="3"/>
  <c r="S8" i="6"/>
  <c r="T15" i="9"/>
  <c r="T25" i="7"/>
  <c r="V40" i="13"/>
  <c r="T18" i="7"/>
  <c r="T51" i="11"/>
  <c r="T53" i="10"/>
  <c r="V25" i="12"/>
  <c r="V52" i="12"/>
  <c r="T8" i="7"/>
  <c r="T44" i="11"/>
  <c r="T46" i="10"/>
  <c r="V11" i="3"/>
  <c r="S11" i="6"/>
  <c r="V28" i="12"/>
  <c r="T27" i="7"/>
  <c r="U28" i="12"/>
  <c r="U62" i="12"/>
  <c r="S8" i="7"/>
  <c r="S44" i="11"/>
  <c r="S46" i="10"/>
  <c r="U11" i="3"/>
  <c r="U26" i="12"/>
  <c r="T13" i="8"/>
  <c r="U24" i="12"/>
  <c r="S16" i="7"/>
  <c r="S47" i="11"/>
  <c r="S49" i="10"/>
  <c r="U57" i="12"/>
  <c r="S15" i="4"/>
  <c r="U14" i="14"/>
  <c r="S7" i="7"/>
  <c r="S49" i="11"/>
  <c r="S51" i="10"/>
  <c r="U12" i="3"/>
  <c r="U50" i="12"/>
  <c r="U27" i="12"/>
  <c r="R11" i="6"/>
  <c r="U29" i="12"/>
  <c r="S20" i="7"/>
  <c r="S64" i="11"/>
  <c r="S66" i="10"/>
  <c r="S15" i="9"/>
  <c r="U66" i="12"/>
  <c r="S15" i="7"/>
  <c r="S46" i="11"/>
  <c r="S48" i="10"/>
  <c r="T10" i="8"/>
  <c r="R35" i="6"/>
  <c r="U51" i="12"/>
  <c r="U25" i="12"/>
  <c r="X26" i="7"/>
  <c r="W10" i="6"/>
  <c r="Z25" i="12"/>
  <c r="X20" i="7"/>
  <c r="X64" i="11"/>
  <c r="X66" i="10"/>
  <c r="Z29" i="12"/>
  <c r="Z27" i="12"/>
  <c r="Z14" i="14"/>
  <c r="Z26" i="12"/>
  <c r="X7" i="7"/>
  <c r="X49" i="11"/>
  <c r="X51" i="10"/>
  <c r="Z12" i="3"/>
  <c r="Z28" i="12"/>
  <c r="Z64" i="12"/>
  <c r="Z51" i="12"/>
  <c r="Z57" i="12"/>
  <c r="X8" i="7"/>
  <c r="X44" i="11"/>
  <c r="X46" i="10"/>
  <c r="Z11" i="3"/>
  <c r="X23" i="9"/>
  <c r="Z21" i="3"/>
  <c r="X15" i="9"/>
  <c r="W14" i="6"/>
  <c r="Y9" i="8"/>
  <c r="W34" i="6"/>
  <c r="X16" i="7"/>
  <c r="X47" i="11"/>
  <c r="X49" i="10"/>
  <c r="X15" i="7"/>
  <c r="X46" i="11"/>
  <c r="X48" i="10"/>
  <c r="Z24" i="12"/>
  <c r="C7" i="8"/>
  <c r="D50" i="12"/>
  <c r="D28" i="12"/>
  <c r="C9" i="8"/>
  <c r="D38" i="13"/>
  <c r="D63" i="12"/>
  <c r="D11" i="3"/>
  <c r="D27" i="12"/>
  <c r="D41" i="13"/>
  <c r="D21" i="3"/>
  <c r="D52" i="12"/>
  <c r="D66" i="12"/>
  <c r="D57" i="12"/>
  <c r="D24" i="12"/>
  <c r="C14" i="8"/>
  <c r="D26" i="12"/>
  <c r="C13" i="8"/>
  <c r="C10" i="8"/>
  <c r="D39" i="13"/>
  <c r="D25" i="12"/>
  <c r="D49" i="12"/>
  <c r="C8" i="8"/>
  <c r="T27" i="12"/>
  <c r="R8" i="7"/>
  <c r="R44" i="11"/>
  <c r="R46" i="10"/>
  <c r="T11" i="3"/>
  <c r="S9" i="8"/>
  <c r="Q34" i="6"/>
  <c r="R16" i="7"/>
  <c r="R47" i="11"/>
  <c r="R49" i="10"/>
  <c r="T55" i="12"/>
  <c r="T49" i="12"/>
  <c r="R15" i="7"/>
  <c r="R46" i="11"/>
  <c r="R48" i="10"/>
  <c r="T50" i="12"/>
  <c r="T52" i="12"/>
  <c r="T28" i="12"/>
  <c r="T66" i="12"/>
  <c r="R27" i="7"/>
  <c r="R20" i="7"/>
  <c r="R64" i="11"/>
  <c r="R66" i="10"/>
  <c r="T39" i="13"/>
  <c r="T29" i="12"/>
  <c r="T25" i="12"/>
  <c r="T26" i="12"/>
  <c r="S14" i="8"/>
  <c r="T63" i="12"/>
  <c r="T57" i="12"/>
  <c r="S7" i="8"/>
  <c r="R23" i="9"/>
  <c r="L67" i="11"/>
  <c r="L69" i="10"/>
  <c r="N65" i="12"/>
  <c r="N31" i="17"/>
  <c r="N10" i="13"/>
  <c r="N18" i="13"/>
  <c r="N46" i="12"/>
  <c r="N31" i="12"/>
  <c r="N10" i="12"/>
  <c r="N39" i="12"/>
  <c r="N36" i="12"/>
  <c r="N21" i="12"/>
  <c r="N55" i="17"/>
  <c r="N18" i="12"/>
  <c r="N15" i="12"/>
  <c r="L65" i="11"/>
  <c r="L67" i="10"/>
  <c r="N8" i="12"/>
  <c r="N42" i="12"/>
  <c r="N16" i="12"/>
  <c r="N53" i="12"/>
  <c r="N13" i="12"/>
  <c r="N20" i="17"/>
  <c r="N43" i="12"/>
  <c r="P12" i="17"/>
  <c r="P18" i="13"/>
  <c r="P18" i="12"/>
  <c r="P47" i="12"/>
  <c r="P53" i="12"/>
  <c r="P48" i="12"/>
  <c r="P31" i="12"/>
  <c r="P13" i="12"/>
  <c r="P16" i="12"/>
  <c r="P42" i="12"/>
  <c r="N36" i="11"/>
  <c r="N38" i="10"/>
  <c r="P54" i="12"/>
  <c r="P36" i="12"/>
  <c r="P34" i="12"/>
  <c r="P21" i="12"/>
  <c r="P8" i="12"/>
  <c r="P65" i="12"/>
  <c r="P67" i="12"/>
  <c r="P41" i="12"/>
  <c r="P58" i="12"/>
  <c r="N67" i="11"/>
  <c r="N69" i="10"/>
  <c r="P56" i="12"/>
  <c r="L24" i="12"/>
  <c r="K6" i="8"/>
  <c r="I33" i="6"/>
  <c r="L57" i="12"/>
  <c r="L51" i="12"/>
  <c r="L63" i="12"/>
  <c r="L55" i="12"/>
  <c r="J16" i="7"/>
  <c r="J47" i="11"/>
  <c r="J49" i="10"/>
  <c r="L25" i="12"/>
  <c r="L26" i="12"/>
  <c r="L62" i="12"/>
  <c r="L52" i="12"/>
  <c r="J8" i="7"/>
  <c r="J44" i="11"/>
  <c r="J46" i="10"/>
  <c r="L11" i="3"/>
  <c r="K8" i="8"/>
  <c r="L29" i="12"/>
  <c r="J15" i="7"/>
  <c r="J46" i="11"/>
  <c r="J48" i="10"/>
  <c r="J7" i="7"/>
  <c r="J49" i="11"/>
  <c r="J51" i="10"/>
  <c r="L12" i="3"/>
  <c r="J15" i="9"/>
  <c r="L28" i="12"/>
  <c r="K13" i="8"/>
  <c r="J20" i="7"/>
  <c r="J64" i="11"/>
  <c r="J66" i="10"/>
  <c r="L49" i="12"/>
  <c r="L27" i="12"/>
  <c r="D15" i="7"/>
  <c r="D46" i="11"/>
  <c r="D48" i="10"/>
  <c r="F26" i="12"/>
  <c r="F64" i="12"/>
  <c r="F29" i="12"/>
  <c r="F50" i="12"/>
  <c r="D25" i="7"/>
  <c r="E10" i="8"/>
  <c r="C35" i="6"/>
  <c r="D7" i="7"/>
  <c r="D49" i="11"/>
  <c r="D51" i="10"/>
  <c r="F12" i="3"/>
  <c r="C11" i="6"/>
  <c r="F24" i="12"/>
  <c r="F57" i="12"/>
  <c r="D16" i="7"/>
  <c r="D47" i="11"/>
  <c r="D49" i="10"/>
  <c r="D8" i="7"/>
  <c r="D44" i="11"/>
  <c r="D46" i="10"/>
  <c r="F11" i="3"/>
  <c r="F55" i="12"/>
  <c r="D23" i="9"/>
  <c r="F52" i="12"/>
  <c r="D27" i="7"/>
  <c r="F25" i="12"/>
  <c r="D20" i="7"/>
  <c r="D64" i="11"/>
  <c r="D66" i="10"/>
  <c r="F63" i="12"/>
  <c r="F28" i="12"/>
  <c r="F8" i="14"/>
  <c r="M14" i="13"/>
  <c r="M13" i="13"/>
  <c r="M34" i="12"/>
  <c r="M53" i="12"/>
  <c r="M36" i="12"/>
  <c r="K65" i="11"/>
  <c r="K67" i="10"/>
  <c r="K42" i="11"/>
  <c r="K30" i="11"/>
  <c r="K44" i="10"/>
  <c r="K32" i="10"/>
  <c r="M13" i="12"/>
  <c r="M65" i="12"/>
  <c r="M21" i="12"/>
  <c r="M43" i="12"/>
  <c r="M10" i="12"/>
  <c r="M18" i="12"/>
  <c r="M32" i="13"/>
  <c r="K32" i="11"/>
  <c r="K34" i="10"/>
  <c r="M39" i="12"/>
  <c r="M9" i="13"/>
  <c r="M31" i="12"/>
  <c r="M15" i="12"/>
  <c r="M42" i="12"/>
  <c r="M48" i="12"/>
  <c r="K68" i="11"/>
  <c r="K70" i="10"/>
  <c r="M44" i="17"/>
  <c r="G44" i="12"/>
  <c r="G35" i="12"/>
  <c r="G32" i="12"/>
  <c r="G19" i="17"/>
  <c r="E68" i="11"/>
  <c r="E70" i="10"/>
  <c r="G43" i="12"/>
  <c r="G16" i="12"/>
  <c r="G65" i="12"/>
  <c r="G39" i="12"/>
  <c r="G9" i="13"/>
  <c r="G10" i="13"/>
  <c r="G14" i="12"/>
  <c r="G60" i="12"/>
  <c r="G17" i="12"/>
  <c r="G22" i="12"/>
  <c r="G20" i="12"/>
  <c r="E66" i="11"/>
  <c r="E68" i="10"/>
  <c r="G30" i="12"/>
  <c r="G9" i="12"/>
  <c r="G15" i="12"/>
  <c r="G11" i="14"/>
  <c r="G38" i="17"/>
  <c r="H44" i="12"/>
  <c r="H34" i="12"/>
  <c r="H35" i="12"/>
  <c r="H31" i="13"/>
  <c r="F31" i="11"/>
  <c r="F33" i="10"/>
  <c r="F68" i="11"/>
  <c r="F70" i="10"/>
  <c r="H39" i="12"/>
  <c r="H40" i="12"/>
  <c r="H32" i="12"/>
  <c r="H20" i="12"/>
  <c r="H43" i="12"/>
  <c r="H61" i="12"/>
  <c r="H8" i="13"/>
  <c r="H30" i="12"/>
  <c r="H10" i="17"/>
  <c r="H10" i="13"/>
  <c r="H22" i="12"/>
  <c r="H11" i="12"/>
  <c r="F66" i="11"/>
  <c r="F68" i="10"/>
  <c r="H9" i="12"/>
  <c r="H17" i="12"/>
  <c r="H20" i="17"/>
  <c r="H15" i="12"/>
  <c r="O26" i="12"/>
  <c r="O29" i="12"/>
  <c r="N14" i="8"/>
  <c r="M15" i="7"/>
  <c r="M46" i="11"/>
  <c r="M48" i="10"/>
  <c r="O7" i="14"/>
  <c r="O24" i="12"/>
  <c r="M20" i="7"/>
  <c r="M64" i="11"/>
  <c r="M66" i="10"/>
  <c r="O63" i="12"/>
  <c r="O27" i="12"/>
  <c r="M25" i="7"/>
  <c r="M16" i="7"/>
  <c r="M47" i="11"/>
  <c r="M49" i="10"/>
  <c r="M15" i="9"/>
  <c r="O51" i="12"/>
  <c r="M7" i="7"/>
  <c r="M49" i="11"/>
  <c r="M51" i="10"/>
  <c r="O12" i="3"/>
  <c r="O62" i="12"/>
  <c r="M8" i="7"/>
  <c r="M44" i="11"/>
  <c r="M46" i="10"/>
  <c r="O11" i="3"/>
  <c r="O28" i="12"/>
  <c r="M26" i="7"/>
  <c r="O52" i="12"/>
  <c r="O49" i="12"/>
  <c r="O57" i="12"/>
  <c r="O25" i="12"/>
  <c r="Z43" i="12"/>
  <c r="Z54" i="12"/>
  <c r="Z22" i="12"/>
  <c r="Z53" i="12"/>
  <c r="Z32" i="12"/>
  <c r="Z30" i="12"/>
  <c r="Z9" i="12"/>
  <c r="Z15" i="12"/>
  <c r="Z67" i="12"/>
  <c r="Z46" i="12"/>
  <c r="Z8" i="13"/>
  <c r="X68" i="11"/>
  <c r="X70" i="10"/>
  <c r="Z15" i="3"/>
  <c r="Z21" i="17"/>
  <c r="Z44" i="12"/>
  <c r="Z17" i="12"/>
  <c r="Z38" i="17"/>
  <c r="X28" i="11"/>
  <c r="X30" i="10"/>
  <c r="Z35" i="12"/>
  <c r="X66" i="11"/>
  <c r="X68" i="10"/>
  <c r="Z60" i="12"/>
  <c r="Z59" i="12"/>
  <c r="K25" i="7"/>
  <c r="Z20" i="12"/>
  <c r="M51" i="12"/>
  <c r="M25" i="12"/>
  <c r="M49" i="12"/>
  <c r="L10" i="8"/>
  <c r="J35" i="6"/>
  <c r="K15" i="7"/>
  <c r="K46" i="11"/>
  <c r="K48" i="10"/>
  <c r="M27" i="12"/>
  <c r="L7" i="8"/>
  <c r="J6" i="6"/>
  <c r="K16" i="7"/>
  <c r="K47" i="11"/>
  <c r="K49" i="10"/>
  <c r="M29" i="12"/>
  <c r="M41" i="13"/>
  <c r="K19" i="7"/>
  <c r="K52" i="11"/>
  <c r="K54" i="10"/>
  <c r="K18" i="4"/>
  <c r="K20" i="2"/>
  <c r="K8" i="7"/>
  <c r="K44" i="11"/>
  <c r="K46" i="10"/>
  <c r="M11" i="3"/>
  <c r="M64" i="12"/>
  <c r="L14" i="8"/>
  <c r="J16" i="6"/>
  <c r="M39" i="13"/>
  <c r="K20" i="7"/>
  <c r="K64" i="11"/>
  <c r="K66" i="10"/>
  <c r="K7" i="7"/>
  <c r="K49" i="11"/>
  <c r="K51" i="10"/>
  <c r="M12" i="3"/>
  <c r="K23" i="9"/>
  <c r="M26" i="12"/>
  <c r="M24" i="12"/>
  <c r="Q58" i="12"/>
  <c r="Q56" i="12"/>
  <c r="Q8" i="12"/>
  <c r="Q21" i="12"/>
  <c r="Q65" i="12"/>
  <c r="Q42" i="12"/>
  <c r="Q32" i="13"/>
  <c r="O32" i="11"/>
  <c r="O34" i="10"/>
  <c r="T65" i="12"/>
  <c r="Q16" i="12"/>
  <c r="Q9" i="13"/>
  <c r="T62" i="17"/>
  <c r="Q18" i="12"/>
  <c r="T32" i="12"/>
  <c r="T36" i="12"/>
  <c r="O27" i="11"/>
  <c r="O29" i="10"/>
  <c r="T47" i="12"/>
  <c r="Q10" i="12"/>
  <c r="R65" i="11"/>
  <c r="R67" i="10"/>
  <c r="Q47" i="12"/>
  <c r="Q13" i="13"/>
  <c r="R41" i="11"/>
  <c r="R43" i="10"/>
  <c r="T22" i="12"/>
  <c r="O67" i="11"/>
  <c r="O69" i="10"/>
  <c r="Q54" i="12"/>
  <c r="R67" i="11"/>
  <c r="R69" i="10"/>
  <c r="T59" i="12"/>
  <c r="Q34" i="12"/>
  <c r="R27" i="11"/>
  <c r="R29" i="10"/>
  <c r="Q10" i="13"/>
  <c r="Q36" i="12"/>
  <c r="T16" i="12"/>
  <c r="O65" i="11"/>
  <c r="O67" i="10"/>
  <c r="T15" i="13"/>
  <c r="Q39" i="12"/>
  <c r="T30" i="12"/>
  <c r="Q31" i="12"/>
  <c r="T45" i="12"/>
  <c r="T8" i="12"/>
  <c r="T41" i="12"/>
  <c r="T11" i="12"/>
  <c r="T10" i="12"/>
  <c r="T10" i="13"/>
  <c r="T54" i="12"/>
  <c r="T14" i="12"/>
  <c r="AA28" i="12"/>
  <c r="AA64" i="12"/>
  <c r="AA62" i="12"/>
  <c r="Y26" i="7"/>
  <c r="AA51" i="12"/>
  <c r="Y15" i="9"/>
  <c r="Y8" i="7"/>
  <c r="Y44" i="11"/>
  <c r="Y46" i="10"/>
  <c r="AA11" i="3"/>
  <c r="AA66" i="12"/>
  <c r="Y7" i="7"/>
  <c r="Y49" i="11"/>
  <c r="Y51" i="10"/>
  <c r="AA12" i="3"/>
  <c r="AA26" i="12"/>
  <c r="AA8" i="14"/>
  <c r="AA50" i="12"/>
  <c r="AA24" i="12"/>
  <c r="AA25" i="12"/>
  <c r="AA41" i="13"/>
  <c r="Y19" i="7"/>
  <c r="Y52" i="11"/>
  <c r="Y54" i="10"/>
  <c r="Y18" i="4"/>
  <c r="Y20" i="2"/>
  <c r="AA29" i="12"/>
  <c r="Y15" i="7"/>
  <c r="Y46" i="11"/>
  <c r="Y48" i="10"/>
  <c r="AA55" i="12"/>
  <c r="Y16" i="7"/>
  <c r="Y47" i="11"/>
  <c r="Y49" i="10"/>
  <c r="Y20" i="7"/>
  <c r="Y64" i="11"/>
  <c r="Y66" i="10"/>
  <c r="Z9" i="8"/>
  <c r="X34" i="6"/>
  <c r="AA27" i="12"/>
  <c r="R52" i="12"/>
  <c r="P15" i="7"/>
  <c r="P46" i="11"/>
  <c r="P48" i="10"/>
  <c r="P7" i="7"/>
  <c r="P49" i="11"/>
  <c r="P51" i="10"/>
  <c r="R12" i="3"/>
  <c r="R51" i="12"/>
  <c r="R25" i="12"/>
  <c r="R57" i="12"/>
  <c r="P20" i="7"/>
  <c r="P64" i="11"/>
  <c r="P66" i="10"/>
  <c r="R28" i="12"/>
  <c r="P8" i="7"/>
  <c r="P44" i="11"/>
  <c r="P46" i="10"/>
  <c r="R11" i="3"/>
  <c r="R26" i="12"/>
  <c r="R27" i="12"/>
  <c r="P23" i="9"/>
  <c r="R24" i="12"/>
  <c r="O9" i="6"/>
  <c r="Q6" i="8"/>
  <c r="O33" i="6"/>
  <c r="R41" i="13"/>
  <c r="P19" i="7"/>
  <c r="P52" i="11"/>
  <c r="P54" i="10"/>
  <c r="P18" i="4"/>
  <c r="P20" i="2"/>
  <c r="R29" i="12"/>
  <c r="P25" i="7"/>
  <c r="R63" i="12"/>
  <c r="R62" i="12"/>
  <c r="R8" i="14"/>
  <c r="R49" i="12"/>
  <c r="AA45" i="12"/>
  <c r="AA11" i="12"/>
  <c r="AA46" i="12"/>
  <c r="Y37" i="11"/>
  <c r="Y39" i="10"/>
  <c r="AA60" i="12"/>
  <c r="AA40" i="12"/>
  <c r="AA61" i="12"/>
  <c r="AA58" i="12"/>
  <c r="AA30" i="12"/>
  <c r="AA17" i="12"/>
  <c r="AA9" i="12"/>
  <c r="AA44" i="12"/>
  <c r="AA13" i="13"/>
  <c r="AA67" i="12"/>
  <c r="Y66" i="11"/>
  <c r="Y68" i="10"/>
  <c r="AA15" i="13"/>
  <c r="AA11" i="13"/>
  <c r="AA9" i="17"/>
  <c r="AA56" i="12"/>
  <c r="AA35" i="12"/>
  <c r="AA15" i="12"/>
  <c r="AA53" i="12"/>
  <c r="I66" i="11"/>
  <c r="I68" i="10"/>
  <c r="K61" i="12"/>
  <c r="K48" i="12"/>
  <c r="K36" i="12"/>
  <c r="K30" i="12"/>
  <c r="K15" i="12"/>
  <c r="K15" i="13"/>
  <c r="K34" i="12"/>
  <c r="K53" i="12"/>
  <c r="K17" i="12"/>
  <c r="K13" i="12"/>
  <c r="K35" i="12"/>
  <c r="K9" i="12"/>
  <c r="K11" i="12"/>
  <c r="K42" i="12"/>
  <c r="K31" i="12"/>
  <c r="K13" i="13"/>
  <c r="K40" i="12"/>
  <c r="K21" i="12"/>
  <c r="K44" i="12"/>
  <c r="I37" i="11"/>
  <c r="I39" i="10"/>
  <c r="K39" i="12"/>
  <c r="W37" i="11"/>
  <c r="W39" i="10"/>
  <c r="Y46" i="12"/>
  <c r="Y11" i="12"/>
  <c r="Y48" i="17"/>
  <c r="Y47" i="12"/>
  <c r="Y40" i="12"/>
  <c r="Y30" i="12"/>
  <c r="Y41" i="12"/>
  <c r="W41" i="11"/>
  <c r="W43" i="10"/>
  <c r="Y15" i="13"/>
  <c r="Y14" i="12"/>
  <c r="Y13" i="13"/>
  <c r="Y20" i="12"/>
  <c r="Y48" i="12"/>
  <c r="Y17" i="14"/>
  <c r="Y53" i="12"/>
  <c r="Y32" i="12"/>
  <c r="Y17" i="12"/>
  <c r="Y58" i="12"/>
  <c r="Y35" i="12"/>
  <c r="Y17" i="13"/>
  <c r="Y44" i="12"/>
  <c r="C18" i="12"/>
  <c r="C48" i="12"/>
  <c r="C21" i="12"/>
  <c r="C11" i="12"/>
  <c r="C39" i="12"/>
  <c r="C8" i="13"/>
  <c r="C35" i="12"/>
  <c r="C58" i="12"/>
  <c r="C8" i="12"/>
  <c r="C36" i="12"/>
  <c r="C45" i="12"/>
  <c r="C11" i="13"/>
  <c r="C30" i="12"/>
  <c r="C16" i="12"/>
  <c r="C22" i="12"/>
  <c r="C41" i="12"/>
  <c r="C14" i="12"/>
  <c r="C59" i="12"/>
  <c r="C40" i="12"/>
  <c r="C32" i="12"/>
  <c r="C9" i="13"/>
  <c r="C47" i="12"/>
  <c r="X20" i="12"/>
  <c r="V66" i="11"/>
  <c r="V68" i="10"/>
  <c r="X9" i="12"/>
  <c r="X59" i="12"/>
  <c r="X53" i="12"/>
  <c r="X10" i="13"/>
  <c r="X48" i="12"/>
  <c r="X56" i="12"/>
  <c r="X41" i="12"/>
  <c r="X67" i="12"/>
  <c r="X45" i="12"/>
  <c r="X17" i="12"/>
  <c r="X46" i="12"/>
  <c r="X32" i="12"/>
  <c r="X30" i="12"/>
  <c r="X11" i="12"/>
  <c r="X44" i="12"/>
  <c r="X42" i="12"/>
  <c r="X22" i="12"/>
  <c r="X40" i="12"/>
  <c r="X35" i="12"/>
  <c r="X24" i="17"/>
  <c r="T29" i="11"/>
  <c r="T31" i="10"/>
  <c r="V44" i="12"/>
  <c r="T41" i="11"/>
  <c r="T43" i="10"/>
  <c r="V45" i="12"/>
  <c r="V32" i="12"/>
  <c r="V8" i="12"/>
  <c r="V59" i="12"/>
  <c r="V12" i="17"/>
  <c r="V22" i="12"/>
  <c r="V11" i="12"/>
  <c r="T67" i="11"/>
  <c r="T69" i="10"/>
  <c r="V10" i="13"/>
  <c r="V58" i="12"/>
  <c r="V23" i="17"/>
  <c r="V30" i="12"/>
  <c r="V47" i="12"/>
  <c r="V18" i="13"/>
  <c r="V14" i="12"/>
  <c r="V48" i="12"/>
  <c r="V53" i="12"/>
  <c r="V36" i="12"/>
  <c r="V41" i="12"/>
  <c r="O36" i="12"/>
  <c r="O31" i="12"/>
  <c r="O34" i="12"/>
  <c r="M67" i="11"/>
  <c r="M69" i="10"/>
  <c r="O46" i="12"/>
  <c r="M42" i="11"/>
  <c r="M30" i="11"/>
  <c r="M44" i="10"/>
  <c r="M32" i="10"/>
  <c r="O10" i="12"/>
  <c r="O54" i="12"/>
  <c r="O17" i="13"/>
  <c r="O9" i="13"/>
  <c r="O21" i="12"/>
  <c r="O42" i="12"/>
  <c r="O18" i="12"/>
  <c r="O12" i="13"/>
  <c r="M65" i="11"/>
  <c r="M67" i="10"/>
  <c r="M68" i="11"/>
  <c r="M70" i="10"/>
  <c r="O56" i="12"/>
  <c r="O43" i="12"/>
  <c r="O16" i="12"/>
  <c r="O8" i="12"/>
  <c r="O11" i="17"/>
  <c r="O13" i="12"/>
  <c r="Q29" i="11"/>
  <c r="Q31" i="10"/>
  <c r="S56" i="12"/>
  <c r="S18" i="12"/>
  <c r="S47" i="12"/>
  <c r="S48" i="12"/>
  <c r="S53" i="12"/>
  <c r="S21" i="12"/>
  <c r="S32" i="12"/>
  <c r="S22" i="12"/>
  <c r="S16" i="12"/>
  <c r="S14" i="12"/>
  <c r="Q67" i="11"/>
  <c r="Q69" i="10"/>
  <c r="S39" i="12"/>
  <c r="S8" i="12"/>
  <c r="S58" i="12"/>
  <c r="S30" i="12"/>
  <c r="S13" i="13"/>
  <c r="S54" i="12"/>
  <c r="S36" i="12"/>
  <c r="S41" i="12"/>
  <c r="S42" i="12"/>
  <c r="S59" i="12"/>
  <c r="J33" i="17"/>
  <c r="J10" i="13"/>
  <c r="J17" i="12"/>
  <c r="J14" i="13"/>
  <c r="J31" i="12"/>
  <c r="J22" i="12"/>
  <c r="J30" i="12"/>
  <c r="J34" i="12"/>
  <c r="J15" i="12"/>
  <c r="J8" i="13"/>
  <c r="H66" i="11"/>
  <c r="H68" i="10"/>
  <c r="J12" i="13"/>
  <c r="J18" i="14"/>
  <c r="H28" i="11"/>
  <c r="H30" i="10"/>
  <c r="J39" i="12"/>
  <c r="J20" i="12"/>
  <c r="H68" i="11"/>
  <c r="H70" i="10"/>
  <c r="J35" i="12"/>
  <c r="J43" i="12"/>
  <c r="J9" i="13"/>
  <c r="J44" i="12"/>
  <c r="J9" i="12"/>
  <c r="L20" i="7"/>
  <c r="L64" i="11"/>
  <c r="L66" i="10"/>
  <c r="N51" i="12"/>
  <c r="L15" i="7"/>
  <c r="L46" i="11"/>
  <c r="L48" i="10"/>
  <c r="N29" i="12"/>
  <c r="N25" i="12"/>
  <c r="L23" i="9"/>
  <c r="N26" i="12"/>
  <c r="K6" i="6"/>
  <c r="N28" i="12"/>
  <c r="N50" i="12"/>
  <c r="M10" i="8"/>
  <c r="K35" i="6"/>
  <c r="N24" i="12"/>
  <c r="L8" i="7"/>
  <c r="L44" i="11"/>
  <c r="L46" i="10"/>
  <c r="N11" i="3"/>
  <c r="N55" i="12"/>
  <c r="N52" i="12"/>
  <c r="L16" i="7"/>
  <c r="L47" i="11"/>
  <c r="L49" i="10"/>
  <c r="N49" i="12"/>
  <c r="N63" i="12"/>
  <c r="L7" i="7"/>
  <c r="L49" i="11"/>
  <c r="L51" i="10"/>
  <c r="N12" i="3"/>
  <c r="N27" i="12"/>
  <c r="K16" i="6"/>
  <c r="N66" i="12"/>
  <c r="L31" i="12"/>
  <c r="L17" i="12"/>
  <c r="J42" i="11"/>
  <c r="J30" i="11"/>
  <c r="J44" i="10"/>
  <c r="J32" i="10"/>
  <c r="L42" i="12"/>
  <c r="L20" i="12"/>
  <c r="L34" i="12"/>
  <c r="L15" i="12"/>
  <c r="L36" i="12"/>
  <c r="J68" i="11"/>
  <c r="J70" i="10"/>
  <c r="L18" i="13"/>
  <c r="L12" i="13"/>
  <c r="L39" i="12"/>
  <c r="L9" i="13"/>
  <c r="J65" i="11"/>
  <c r="J67" i="10"/>
  <c r="L10" i="13"/>
  <c r="L10" i="12"/>
  <c r="L21" i="12"/>
  <c r="L40" i="12"/>
  <c r="L54" i="12"/>
  <c r="L48" i="12"/>
  <c r="L13" i="12"/>
  <c r="L65" i="12"/>
  <c r="K66" i="12"/>
  <c r="I15" i="7"/>
  <c r="I46" i="11"/>
  <c r="I48" i="10"/>
  <c r="I20" i="7"/>
  <c r="I64" i="11"/>
  <c r="I66" i="10"/>
  <c r="I15" i="5"/>
  <c r="K8" i="14"/>
  <c r="K55" i="12"/>
  <c r="K28" i="12"/>
  <c r="K62" i="12"/>
  <c r="H10" i="6"/>
  <c r="I8" i="7"/>
  <c r="I44" i="11"/>
  <c r="I46" i="10"/>
  <c r="K11" i="3"/>
  <c r="K25" i="12"/>
  <c r="I16" i="7"/>
  <c r="I47" i="11"/>
  <c r="I49" i="10"/>
  <c r="J9" i="8"/>
  <c r="H34" i="6"/>
  <c r="I26" i="7"/>
  <c r="K29" i="12"/>
  <c r="K27" i="12"/>
  <c r="K50" i="12"/>
  <c r="K64" i="12"/>
  <c r="K26" i="12"/>
  <c r="K24" i="12"/>
  <c r="K63" i="12"/>
  <c r="K51" i="12"/>
  <c r="F32" i="13"/>
  <c r="D32" i="11"/>
  <c r="D34" i="10"/>
  <c r="F32" i="12"/>
  <c r="F45" i="12"/>
  <c r="F12" i="13"/>
  <c r="F41" i="12"/>
  <c r="F41" i="17"/>
  <c r="F35" i="12"/>
  <c r="F44" i="12"/>
  <c r="F18" i="13"/>
  <c r="F9" i="12"/>
  <c r="D41" i="11"/>
  <c r="D43" i="10"/>
  <c r="F20" i="12"/>
  <c r="F30" i="12"/>
  <c r="D29" i="11"/>
  <c r="D31" i="10"/>
  <c r="F8" i="12"/>
  <c r="D67" i="11"/>
  <c r="D69" i="10"/>
  <c r="F14" i="12"/>
  <c r="F8" i="13"/>
  <c r="F43" i="12"/>
  <c r="F61" i="12"/>
  <c r="F11" i="12"/>
  <c r="F22" i="12"/>
  <c r="P25" i="12"/>
  <c r="P66" i="12"/>
  <c r="P29" i="12"/>
  <c r="N15" i="7"/>
  <c r="N46" i="11"/>
  <c r="N48" i="10"/>
  <c r="P13" i="14"/>
  <c r="P64" i="12"/>
  <c r="P24" i="12"/>
  <c r="P28" i="12"/>
  <c r="O13" i="8"/>
  <c r="N22" i="7"/>
  <c r="N7" i="7"/>
  <c r="N49" i="11"/>
  <c r="N51" i="10"/>
  <c r="P12" i="3"/>
  <c r="P50" i="12"/>
  <c r="N16" i="7"/>
  <c r="N47" i="11"/>
  <c r="N49" i="10"/>
  <c r="P51" i="12"/>
  <c r="N8" i="7"/>
  <c r="N44" i="11"/>
  <c r="N46" i="10"/>
  <c r="P11" i="3"/>
  <c r="N15" i="9"/>
  <c r="N20" i="7"/>
  <c r="N64" i="11"/>
  <c r="N66" i="10"/>
  <c r="P38" i="13"/>
  <c r="P63" i="12"/>
  <c r="P27" i="12"/>
  <c r="P49" i="12"/>
  <c r="P26" i="12"/>
  <c r="W45" i="12"/>
  <c r="W15" i="13"/>
  <c r="W16" i="12"/>
  <c r="W35" i="12"/>
  <c r="W17" i="13"/>
  <c r="W59" i="12"/>
  <c r="W54" i="12"/>
  <c r="W32" i="13"/>
  <c r="U32" i="11"/>
  <c r="U34" i="10"/>
  <c r="W14" i="12"/>
  <c r="W20" i="12"/>
  <c r="W67" i="12"/>
  <c r="W11" i="12"/>
  <c r="W17" i="12"/>
  <c r="W22" i="12"/>
  <c r="W9" i="12"/>
  <c r="W46" i="12"/>
  <c r="W48" i="12"/>
  <c r="W32" i="12"/>
  <c r="W41" i="12"/>
  <c r="W65" i="12"/>
  <c r="W30" i="12"/>
  <c r="U66" i="11"/>
  <c r="U68" i="10"/>
  <c r="R12" i="13"/>
  <c r="R54" i="12"/>
  <c r="P36" i="11"/>
  <c r="P38" i="10"/>
  <c r="R34" i="12"/>
  <c r="R47" i="12"/>
  <c r="R67" i="12"/>
  <c r="R15" i="3"/>
  <c r="R21" i="17"/>
  <c r="P42" i="11"/>
  <c r="P30" i="11"/>
  <c r="P44" i="10"/>
  <c r="P32" i="10"/>
  <c r="R13" i="12"/>
  <c r="R48" i="12"/>
  <c r="R46" i="12"/>
  <c r="R65" i="12"/>
  <c r="R12" i="14"/>
  <c r="R16" i="12"/>
  <c r="P65" i="11"/>
  <c r="P67" i="10"/>
  <c r="R42" i="12"/>
  <c r="R18" i="12"/>
  <c r="R31" i="12"/>
  <c r="R56" i="12"/>
  <c r="R32" i="12"/>
  <c r="R10" i="12"/>
  <c r="R36" i="12"/>
  <c r="U8" i="17"/>
  <c r="U36" i="12"/>
  <c r="U22" i="12"/>
  <c r="U18" i="12"/>
  <c r="U32" i="12"/>
  <c r="U41" i="12"/>
  <c r="U30" i="12"/>
  <c r="U53" i="12"/>
  <c r="U48" i="12"/>
  <c r="U47" i="12"/>
  <c r="S36" i="11"/>
  <c r="S38" i="10"/>
  <c r="U16" i="12"/>
  <c r="U16" i="14"/>
  <c r="U54" i="12"/>
  <c r="U67" i="12"/>
  <c r="U14" i="12"/>
  <c r="U46" i="12"/>
  <c r="U35" i="12"/>
  <c r="U56" i="12"/>
  <c r="U8" i="13"/>
  <c r="U31" i="13"/>
  <c r="S31" i="11"/>
  <c r="S33" i="10"/>
  <c r="U45" i="12"/>
  <c r="I11" i="12"/>
  <c r="I67" i="12"/>
  <c r="I17" i="12"/>
  <c r="I60" i="12"/>
  <c r="G41" i="11"/>
  <c r="G43" i="10"/>
  <c r="I15" i="12"/>
  <c r="I44" i="12"/>
  <c r="G68" i="11"/>
  <c r="G70" i="10"/>
  <c r="I8" i="13"/>
  <c r="I32" i="12"/>
  <c r="I33" i="17"/>
  <c r="I14" i="12"/>
  <c r="I40" i="12"/>
  <c r="G37" i="11"/>
  <c r="G39" i="10"/>
  <c r="I39" i="12"/>
  <c r="I20" i="12"/>
  <c r="I23" i="17"/>
  <c r="I43" i="12"/>
  <c r="I11" i="17"/>
  <c r="I30" i="12"/>
  <c r="I35" i="12"/>
  <c r="I65" i="12"/>
  <c r="R9" i="8"/>
  <c r="P34" i="6"/>
  <c r="S50" i="12"/>
  <c r="S25" i="12"/>
  <c r="S66" i="12"/>
  <c r="S27" i="12"/>
  <c r="P15" i="6"/>
  <c r="Q16" i="7"/>
  <c r="Q47" i="11"/>
  <c r="Q49" i="10"/>
  <c r="Q7" i="7"/>
  <c r="Q49" i="11"/>
  <c r="Q51" i="10"/>
  <c r="S12" i="3"/>
  <c r="S29" i="12"/>
  <c r="S52" i="12"/>
  <c r="S28" i="12"/>
  <c r="S57" i="12"/>
  <c r="S24" i="12"/>
  <c r="S39" i="13"/>
  <c r="Q15" i="7"/>
  <c r="Q46" i="11"/>
  <c r="Q48" i="10"/>
  <c r="Q8" i="7"/>
  <c r="Q44" i="11"/>
  <c r="Q46" i="10"/>
  <c r="S11" i="3"/>
  <c r="S64" i="12"/>
  <c r="R6" i="8"/>
  <c r="P33" i="6"/>
  <c r="S63" i="12"/>
  <c r="S26" i="12"/>
  <c r="Q20" i="7"/>
  <c r="Q64" i="11"/>
  <c r="Q66" i="10"/>
  <c r="S55" i="12"/>
  <c r="C27" i="12"/>
  <c r="C25" i="12"/>
  <c r="C49" i="12"/>
  <c r="C26" i="12"/>
  <c r="C28" i="12"/>
  <c r="C50" i="12"/>
  <c r="C29" i="12"/>
  <c r="C63" i="12"/>
  <c r="C12" i="3"/>
  <c r="C38" i="13"/>
  <c r="C55" i="12"/>
  <c r="C11" i="3"/>
  <c r="C21" i="3"/>
  <c r="C52" i="12"/>
  <c r="C66" i="12"/>
  <c r="C24" i="12"/>
  <c r="C64" i="12"/>
  <c r="U23" i="13"/>
  <c r="U16" i="13"/>
  <c r="S19" i="10"/>
  <c r="S15" i="10"/>
  <c r="S16" i="10"/>
  <c r="S13" i="10"/>
  <c r="S8" i="10"/>
  <c r="S12" i="10"/>
  <c r="S10" i="10"/>
  <c r="S18" i="10"/>
  <c r="S6" i="10"/>
  <c r="S11" i="4"/>
  <c r="S12" i="2"/>
  <c r="S6" i="15"/>
  <c r="S61" i="10"/>
  <c r="S25" i="4"/>
  <c r="S22" i="10"/>
  <c r="S23" i="10"/>
  <c r="S14" i="10"/>
  <c r="S11" i="10"/>
  <c r="S14" i="2"/>
  <c r="U19" i="13"/>
  <c r="S58" i="10"/>
  <c r="S32" i="4"/>
  <c r="S16" i="2"/>
  <c r="S20" i="10"/>
  <c r="S9" i="10"/>
  <c r="S24" i="10"/>
  <c r="S7" i="10"/>
  <c r="S60" i="10"/>
  <c r="U27" i="13"/>
  <c r="S25" i="10"/>
  <c r="S46" i="4"/>
  <c r="U34" i="13"/>
  <c r="S40" i="11"/>
  <c r="S42" i="10"/>
  <c r="S53" i="4"/>
  <c r="S18" i="2"/>
  <c r="E22" i="12"/>
  <c r="E18" i="12"/>
  <c r="E10" i="13"/>
  <c r="E30" i="12"/>
  <c r="E45" i="12"/>
  <c r="E61" i="12"/>
  <c r="E17" i="14"/>
  <c r="E20" i="12"/>
  <c r="E9" i="13"/>
  <c r="E53" i="12"/>
  <c r="E46" i="12"/>
  <c r="E16" i="12"/>
  <c r="E11" i="12"/>
  <c r="C36" i="11"/>
  <c r="C38" i="10"/>
  <c r="E8" i="13"/>
  <c r="E14" i="12"/>
  <c r="E32" i="12"/>
  <c r="E35" i="12"/>
  <c r="E40" i="12"/>
  <c r="E41" i="12"/>
  <c r="E59" i="12"/>
  <c r="E43" i="12"/>
  <c r="P6" i="8"/>
  <c r="N33" i="6"/>
  <c r="N9" i="6"/>
  <c r="Q57" i="12"/>
  <c r="Q24" i="12"/>
  <c r="Q27" i="12"/>
  <c r="Q13" i="14"/>
  <c r="Q55" i="12"/>
  <c r="O36" i="4"/>
  <c r="O20" i="7"/>
  <c r="O64" i="11"/>
  <c r="O66" i="10"/>
  <c r="Q52" i="12"/>
  <c r="Q49" i="12"/>
  <c r="Q26" i="12"/>
  <c r="Q40" i="13"/>
  <c r="O18" i="7"/>
  <c r="O51" i="11"/>
  <c r="O53" i="10"/>
  <c r="O16" i="7"/>
  <c r="O47" i="11"/>
  <c r="O49" i="10"/>
  <c r="Q28" i="12"/>
  <c r="O7" i="7"/>
  <c r="O49" i="11"/>
  <c r="O51" i="10"/>
  <c r="Q12" i="3"/>
  <c r="O15" i="7"/>
  <c r="O46" i="11"/>
  <c r="O48" i="10"/>
  <c r="Q29" i="12"/>
  <c r="Q25" i="12"/>
  <c r="O8" i="7"/>
  <c r="O44" i="11"/>
  <c r="O46" i="10"/>
  <c r="Q11" i="3"/>
  <c r="Q50" i="12"/>
  <c r="Q66" i="12"/>
  <c r="T18" i="13"/>
  <c r="T9" i="13"/>
  <c r="T12" i="13"/>
  <c r="T16" i="14"/>
  <c r="T42" i="12"/>
  <c r="T55" i="17"/>
  <c r="T46" i="12"/>
  <c r="T23" i="17"/>
  <c r="T11" i="13"/>
  <c r="T7" i="17"/>
  <c r="T17" i="3"/>
  <c r="T49" i="17"/>
  <c r="T32" i="13"/>
  <c r="R32" i="11"/>
  <c r="R34" i="10"/>
  <c r="T56" i="12"/>
  <c r="T48" i="12"/>
  <c r="T58" i="12"/>
  <c r="T19" i="17"/>
  <c r="T13" i="13"/>
  <c r="T31" i="13"/>
  <c r="R31" i="11"/>
  <c r="R33" i="10"/>
  <c r="T12" i="17"/>
  <c r="T17" i="13"/>
  <c r="T30" i="17"/>
  <c r="T19" i="14"/>
  <c r="P61" i="10"/>
  <c r="P25" i="4"/>
  <c r="P7" i="10"/>
  <c r="P11" i="10"/>
  <c r="P14" i="2"/>
  <c r="P14" i="10"/>
  <c r="R34" i="13"/>
  <c r="P40" i="11"/>
  <c r="P42" i="10"/>
  <c r="P53" i="4"/>
  <c r="P18" i="2"/>
  <c r="P23" i="10"/>
  <c r="P20" i="10"/>
  <c r="R27" i="13"/>
  <c r="P25" i="10"/>
  <c r="P46" i="4"/>
  <c r="P18" i="10"/>
  <c r="P22" i="10"/>
  <c r="P13" i="10"/>
  <c r="P6" i="10"/>
  <c r="P11" i="4"/>
  <c r="P12" i="2"/>
  <c r="P6" i="15"/>
  <c r="P9" i="10"/>
  <c r="P15" i="10"/>
  <c r="P60" i="10"/>
  <c r="R19" i="13"/>
  <c r="P58" i="10"/>
  <c r="P32" i="4"/>
  <c r="P16" i="2"/>
  <c r="R23" i="13"/>
  <c r="R16" i="13"/>
  <c r="P19" i="10"/>
  <c r="P21" i="10"/>
  <c r="P24" i="10"/>
  <c r="P8" i="10"/>
  <c r="P10" i="10"/>
  <c r="P16" i="10"/>
  <c r="M10" i="13"/>
  <c r="M47" i="12"/>
  <c r="M67" i="12"/>
  <c r="M57" i="17"/>
  <c r="M61" i="12"/>
  <c r="M18" i="17"/>
  <c r="M11" i="17"/>
  <c r="K66" i="11"/>
  <c r="K68" i="10"/>
  <c r="M16" i="14"/>
  <c r="M18" i="13"/>
  <c r="M9" i="12"/>
  <c r="M8" i="13"/>
  <c r="M38" i="17"/>
  <c r="M25" i="17"/>
  <c r="M31" i="13"/>
  <c r="K31" i="11"/>
  <c r="K33" i="10"/>
  <c r="M17" i="13"/>
  <c r="M45" i="12"/>
  <c r="M11" i="14"/>
  <c r="M15" i="13"/>
  <c r="K28" i="11"/>
  <c r="K30" i="10"/>
  <c r="M18" i="14"/>
  <c r="M22" i="18"/>
  <c r="O13" i="13"/>
  <c r="O51" i="17"/>
  <c r="O32" i="13"/>
  <c r="M32" i="11"/>
  <c r="M34" i="10"/>
  <c r="O12" i="17"/>
  <c r="O22" i="17"/>
  <c r="O59" i="12"/>
  <c r="O45" i="12"/>
  <c r="O18" i="14"/>
  <c r="O41" i="17"/>
  <c r="O33" i="17"/>
  <c r="O53" i="12"/>
  <c r="O8" i="13"/>
  <c r="O18" i="13"/>
  <c r="O20" i="17"/>
  <c r="O19" i="17"/>
  <c r="O14" i="13"/>
  <c r="O28" i="17"/>
  <c r="M8" i="9"/>
  <c r="M8" i="5"/>
  <c r="O65" i="17"/>
  <c r="O15" i="13"/>
  <c r="O65" i="12"/>
  <c r="O61" i="12"/>
  <c r="O9" i="17"/>
  <c r="C23" i="13"/>
  <c r="C16" i="13"/>
  <c r="C19" i="13"/>
  <c r="C34" i="13"/>
  <c r="C27" i="13"/>
  <c r="J11" i="17"/>
  <c r="J15" i="13"/>
  <c r="J56" i="12"/>
  <c r="J19" i="14"/>
  <c r="J52" i="17"/>
  <c r="J9" i="17"/>
  <c r="J13" i="13"/>
  <c r="J18" i="17"/>
  <c r="J22" i="17"/>
  <c r="J19" i="3"/>
  <c r="J74" i="17"/>
  <c r="J59" i="17"/>
  <c r="J41" i="17"/>
  <c r="J58" i="12"/>
  <c r="J12" i="14"/>
  <c r="J39" i="17"/>
  <c r="J56" i="17"/>
  <c r="J8" i="17"/>
  <c r="J11" i="13"/>
  <c r="J17" i="13"/>
  <c r="J40" i="12"/>
  <c r="J31" i="13"/>
  <c r="H31" i="11"/>
  <c r="H33" i="10"/>
  <c r="J31" i="17"/>
  <c r="D29" i="17"/>
  <c r="D19" i="14"/>
  <c r="D58" i="17"/>
  <c r="D19" i="17"/>
  <c r="D62" i="17"/>
  <c r="D59" i="12"/>
  <c r="D52" i="17"/>
  <c r="D18" i="13"/>
  <c r="D8" i="17"/>
  <c r="D16" i="14"/>
  <c r="D36" i="12"/>
  <c r="D7" i="17"/>
  <c r="D27" i="17"/>
  <c r="D46" i="12"/>
  <c r="D48" i="12"/>
  <c r="D32" i="13"/>
  <c r="D42" i="17"/>
  <c r="D17" i="13"/>
  <c r="D24" i="17"/>
  <c r="D9" i="13"/>
  <c r="D10" i="12"/>
  <c r="D17" i="14"/>
  <c r="Q11" i="10"/>
  <c r="Q14" i="2"/>
  <c r="Q18" i="10"/>
  <c r="Q12" i="10"/>
  <c r="S19" i="13"/>
  <c r="Q58" i="10"/>
  <c r="Q32" i="4"/>
  <c r="Q16" i="2"/>
  <c r="Q22" i="10"/>
  <c r="Q23" i="10"/>
  <c r="Q9" i="10"/>
  <c r="S27" i="13"/>
  <c r="Q25" i="10"/>
  <c r="Q46" i="4"/>
  <c r="Q61" i="10"/>
  <c r="Q25" i="4"/>
  <c r="S34" i="13"/>
  <c r="Q40" i="11"/>
  <c r="Q42" i="10"/>
  <c r="Q53" i="4"/>
  <c r="Q18" i="2"/>
  <c r="Q15" i="10"/>
  <c r="Q24" i="10"/>
  <c r="Q21" i="10"/>
  <c r="Q16" i="10"/>
  <c r="Q14" i="10"/>
  <c r="Q20" i="10"/>
  <c r="Q13" i="10"/>
  <c r="Q7" i="10"/>
  <c r="Q6" i="10"/>
  <c r="Q11" i="4"/>
  <c r="Q12" i="2"/>
  <c r="Q6" i="15"/>
  <c r="S23" i="13"/>
  <c r="S16" i="13"/>
  <c r="Q19" i="10"/>
  <c r="Q8" i="10"/>
  <c r="Q10" i="10"/>
  <c r="AA44" i="17"/>
  <c r="AA47" i="12"/>
  <c r="AA23" i="17"/>
  <c r="AA18" i="17"/>
  <c r="AA7" i="17"/>
  <c r="AA12" i="13"/>
  <c r="AA8" i="17"/>
  <c r="AA18" i="13"/>
  <c r="AA31" i="13"/>
  <c r="Y31" i="11"/>
  <c r="Y33" i="10"/>
  <c r="AA8" i="13"/>
  <c r="AA45" i="17"/>
  <c r="AA17" i="14"/>
  <c r="AA43" i="12"/>
  <c r="AA29" i="17"/>
  <c r="AA17" i="13"/>
  <c r="AA11" i="14"/>
  <c r="AA58" i="17"/>
  <c r="AA75" i="17"/>
  <c r="AA25" i="17"/>
  <c r="AA10" i="13"/>
  <c r="AA31" i="17"/>
  <c r="AA65" i="12"/>
  <c r="AA34" i="13"/>
  <c r="Y40" i="11"/>
  <c r="Y42" i="10"/>
  <c r="Y53" i="4"/>
  <c r="Y18" i="2"/>
  <c r="Y60" i="10"/>
  <c r="Y7" i="10"/>
  <c r="Y23" i="10"/>
  <c r="Y20" i="10"/>
  <c r="Y11" i="10"/>
  <c r="Y14" i="2"/>
  <c r="Y16" i="10"/>
  <c r="Y22" i="10"/>
  <c r="AA27" i="13"/>
  <c r="Y25" i="10"/>
  <c r="Y46" i="4"/>
  <c r="Y8" i="10"/>
  <c r="AA23" i="13"/>
  <c r="AA16" i="13"/>
  <c r="Y19" i="10"/>
  <c r="Y24" i="10"/>
  <c r="Y18" i="10"/>
  <c r="AA19" i="13"/>
  <c r="Y58" i="10"/>
  <c r="Y32" i="4"/>
  <c r="Y16" i="2"/>
  <c r="Y6" i="10"/>
  <c r="Y11" i="4"/>
  <c r="Y12" i="2"/>
  <c r="Y6" i="15"/>
  <c r="Y61" i="10"/>
  <c r="Y25" i="4"/>
  <c r="Y10" i="10"/>
  <c r="Y13" i="10"/>
  <c r="Y12" i="10"/>
  <c r="Y15" i="10"/>
  <c r="Y21" i="10"/>
  <c r="Y14" i="10"/>
  <c r="C18" i="13"/>
  <c r="C12" i="13"/>
  <c r="C10" i="13"/>
  <c r="C63" i="17"/>
  <c r="C17" i="14"/>
  <c r="C10" i="17"/>
  <c r="C32" i="13"/>
  <c r="C7" i="17"/>
  <c r="C11" i="14"/>
  <c r="C15" i="3"/>
  <c r="C21" i="17"/>
  <c r="C27" i="17"/>
  <c r="C14" i="13"/>
  <c r="C65" i="12"/>
  <c r="C9" i="18"/>
  <c r="C61" i="12"/>
  <c r="C42" i="17"/>
  <c r="C18" i="14"/>
  <c r="C19" i="14"/>
  <c r="C12" i="17"/>
  <c r="C32" i="17"/>
  <c r="C46" i="17"/>
  <c r="C31" i="13"/>
  <c r="H25" i="17"/>
  <c r="H11" i="14"/>
  <c r="H9" i="13"/>
  <c r="H18" i="17"/>
  <c r="H60" i="12"/>
  <c r="H42" i="17"/>
  <c r="H17" i="13"/>
  <c r="H15" i="13"/>
  <c r="H42" i="12"/>
  <c r="H58" i="12"/>
  <c r="H54" i="12"/>
  <c r="H45" i="17"/>
  <c r="H60" i="17"/>
  <c r="H14" i="13"/>
  <c r="H13" i="13"/>
  <c r="H8" i="17"/>
  <c r="H19" i="17"/>
  <c r="H12" i="13"/>
  <c r="H23" i="17"/>
  <c r="H17" i="14"/>
  <c r="H11" i="17"/>
  <c r="H12" i="14"/>
  <c r="W61" i="12"/>
  <c r="K47" i="12"/>
  <c r="K11" i="14"/>
  <c r="K20" i="17"/>
  <c r="K8" i="17"/>
  <c r="K65" i="12"/>
  <c r="K31" i="13"/>
  <c r="I31" i="11"/>
  <c r="I33" i="10"/>
  <c r="K10" i="13"/>
  <c r="K17" i="13"/>
  <c r="K17" i="14"/>
  <c r="K18" i="13"/>
  <c r="K23" i="17"/>
  <c r="K8" i="13"/>
  <c r="K7" i="17"/>
  <c r="K22" i="17"/>
  <c r="K43" i="12"/>
  <c r="W12" i="17"/>
  <c r="K58" i="17"/>
  <c r="K18" i="14"/>
  <c r="W47" i="12"/>
  <c r="K9" i="17"/>
  <c r="W20" i="17"/>
  <c r="K41" i="17"/>
  <c r="W31" i="17"/>
  <c r="K47" i="17"/>
  <c r="K12" i="13"/>
  <c r="W14" i="13"/>
  <c r="W12" i="14"/>
  <c r="W37" i="17"/>
  <c r="K18" i="17"/>
  <c r="W11" i="17"/>
  <c r="W23" i="17"/>
  <c r="W53" i="12"/>
  <c r="W8" i="13"/>
  <c r="W24" i="17"/>
  <c r="W31" i="13"/>
  <c r="U31" i="11"/>
  <c r="U33" i="10"/>
  <c r="W82" i="17"/>
  <c r="W18" i="13"/>
  <c r="U8" i="9"/>
  <c r="U8" i="5"/>
  <c r="W65" i="17"/>
  <c r="W29" i="17"/>
  <c r="W16" i="14"/>
  <c r="W42" i="17"/>
  <c r="W10" i="13"/>
  <c r="W12" i="13"/>
  <c r="X8" i="17"/>
  <c r="X11" i="17"/>
  <c r="X20" i="17"/>
  <c r="X31" i="13"/>
  <c r="V31" i="11"/>
  <c r="V33" i="10"/>
  <c r="X12" i="13"/>
  <c r="X39" i="17"/>
  <c r="X31" i="17"/>
  <c r="X42" i="17"/>
  <c r="X60" i="12"/>
  <c r="X18" i="3"/>
  <c r="X64" i="17"/>
  <c r="X41" i="17"/>
  <c r="X58" i="12"/>
  <c r="X13" i="13"/>
  <c r="X54" i="12"/>
  <c r="X12" i="14"/>
  <c r="X9" i="13"/>
  <c r="X11" i="14"/>
  <c r="X14" i="13"/>
  <c r="X17" i="13"/>
  <c r="X17" i="14"/>
  <c r="X15" i="13"/>
  <c r="X54" i="17"/>
  <c r="I6" i="10"/>
  <c r="I11" i="4"/>
  <c r="I12" i="2"/>
  <c r="I6" i="15"/>
  <c r="I20" i="10"/>
  <c r="I16" i="10"/>
  <c r="I22" i="10"/>
  <c r="I18" i="10"/>
  <c r="K34" i="13"/>
  <c r="I40" i="11"/>
  <c r="I42" i="10"/>
  <c r="I53" i="4"/>
  <c r="I18" i="2"/>
  <c r="I13" i="10"/>
  <c r="I15" i="10"/>
  <c r="I8" i="10"/>
  <c r="I9" i="10"/>
  <c r="K19" i="13"/>
  <c r="I58" i="10"/>
  <c r="I32" i="4"/>
  <c r="I16" i="2"/>
  <c r="I60" i="10"/>
  <c r="K23" i="13"/>
  <c r="K16" i="13"/>
  <c r="I19" i="10"/>
  <c r="I14" i="10"/>
  <c r="I61" i="10"/>
  <c r="I25" i="4"/>
  <c r="I7" i="10"/>
  <c r="I21" i="10"/>
  <c r="K27" i="13"/>
  <c r="I25" i="10"/>
  <c r="I46" i="4"/>
  <c r="I24" i="10"/>
  <c r="I12" i="10"/>
  <c r="I23" i="10"/>
  <c r="I11" i="10"/>
  <c r="I14" i="2"/>
  <c r="V9" i="13"/>
  <c r="V40" i="12"/>
  <c r="V72" i="17"/>
  <c r="V32" i="13"/>
  <c r="T32" i="11"/>
  <c r="T34" i="10"/>
  <c r="V66" i="17"/>
  <c r="V29" i="17"/>
  <c r="V46" i="17"/>
  <c r="V17" i="13"/>
  <c r="V11" i="14"/>
  <c r="V19" i="14"/>
  <c r="V15" i="13"/>
  <c r="V27" i="17"/>
  <c r="V60" i="12"/>
  <c r="V20" i="17"/>
  <c r="V56" i="12"/>
  <c r="V7" i="17"/>
  <c r="V46" i="12"/>
  <c r="V31" i="13"/>
  <c r="T31" i="11"/>
  <c r="T33" i="10"/>
  <c r="V14" i="13"/>
  <c r="V15" i="3"/>
  <c r="V21" i="17"/>
  <c r="V11" i="13"/>
  <c r="V54" i="12"/>
  <c r="F14" i="13"/>
  <c r="F57" i="17"/>
  <c r="F40" i="12"/>
  <c r="F26" i="17"/>
  <c r="F19" i="14"/>
  <c r="F24" i="17"/>
  <c r="F46" i="12"/>
  <c r="F28" i="17"/>
  <c r="F39" i="17"/>
  <c r="F54" i="12"/>
  <c r="F17" i="13"/>
  <c r="F53" i="17"/>
  <c r="F56" i="12"/>
  <c r="F10" i="17"/>
  <c r="F17" i="14"/>
  <c r="F7" i="17"/>
  <c r="F11" i="14"/>
  <c r="F60" i="12"/>
  <c r="F9" i="13"/>
  <c r="F11" i="13"/>
  <c r="F15" i="13"/>
  <c r="F31" i="13"/>
  <c r="D31" i="11"/>
  <c r="D33" i="10"/>
  <c r="Z12" i="14"/>
  <c r="Z20" i="17"/>
  <c r="Z63" i="17"/>
  <c r="Z10" i="13"/>
  <c r="Z9" i="17"/>
  <c r="Z25" i="17"/>
  <c r="Z11" i="13"/>
  <c r="Z45" i="12"/>
  <c r="Z31" i="13"/>
  <c r="X31" i="11"/>
  <c r="X33" i="10"/>
  <c r="Z58" i="12"/>
  <c r="Z23" i="17"/>
  <c r="Z56" i="12"/>
  <c r="Z17" i="3"/>
  <c r="Z49" i="17"/>
  <c r="Z59" i="17"/>
  <c r="Z8" i="17"/>
  <c r="Z13" i="13"/>
  <c r="Z15" i="13"/>
  <c r="Z28" i="17"/>
  <c r="Z11" i="17"/>
  <c r="Z17" i="13"/>
  <c r="Z65" i="12"/>
  <c r="Z40" i="12"/>
  <c r="G45" i="17"/>
  <c r="G14" i="13"/>
  <c r="G47" i="12"/>
  <c r="G8" i="17"/>
  <c r="G19" i="14"/>
  <c r="G32" i="13"/>
  <c r="E32" i="11"/>
  <c r="E34" i="10"/>
  <c r="G17" i="3"/>
  <c r="G49" i="17"/>
  <c r="G26" i="17"/>
  <c r="G8" i="13"/>
  <c r="G16" i="14"/>
  <c r="G12" i="14"/>
  <c r="G31" i="13"/>
  <c r="E31" i="11"/>
  <c r="E33" i="10"/>
  <c r="G28" i="17"/>
  <c r="G53" i="12"/>
  <c r="G25" i="17"/>
  <c r="G12" i="13"/>
  <c r="G20" i="17"/>
  <c r="G61" i="12"/>
  <c r="G32" i="17"/>
  <c r="G46" i="12"/>
  <c r="G18" i="13"/>
  <c r="G67" i="12"/>
  <c r="P17" i="13"/>
  <c r="P32" i="13"/>
  <c r="N32" i="11"/>
  <c r="N34" i="10"/>
  <c r="P18" i="14"/>
  <c r="P9" i="13"/>
  <c r="P15" i="13"/>
  <c r="P46" i="12"/>
  <c r="P15" i="12"/>
  <c r="P11" i="13"/>
  <c r="P11" i="17"/>
  <c r="P47" i="17"/>
  <c r="P10" i="17"/>
  <c r="P32" i="17"/>
  <c r="P13" i="13"/>
  <c r="P60" i="12"/>
  <c r="P22" i="17"/>
  <c r="P11" i="14"/>
  <c r="P46" i="17"/>
  <c r="P43" i="12"/>
  <c r="P25" i="17"/>
  <c r="P19" i="17"/>
  <c r="P56" i="17"/>
  <c r="P14" i="13"/>
  <c r="Q67" i="12"/>
  <c r="Q38" i="17"/>
  <c r="Q14" i="13"/>
  <c r="Q11" i="13"/>
  <c r="Q19" i="14"/>
  <c r="Q41" i="12"/>
  <c r="Q12" i="13"/>
  <c r="Q32" i="17"/>
  <c r="Q12" i="17"/>
  <c r="Q19" i="17"/>
  <c r="Q25" i="17"/>
  <c r="Q10" i="17"/>
  <c r="Q11" i="14"/>
  <c r="Q18" i="13"/>
  <c r="Q18" i="3"/>
  <c r="Q64" i="17"/>
  <c r="Q9" i="17"/>
  <c r="Q59" i="12"/>
  <c r="Q8" i="13"/>
  <c r="Q7" i="17"/>
  <c r="Q15" i="3"/>
  <c r="Q21" i="17"/>
  <c r="Q29" i="18"/>
  <c r="Q53" i="12"/>
  <c r="X12" i="10"/>
  <c r="X20" i="10"/>
  <c r="X18" i="10"/>
  <c r="X22" i="10"/>
  <c r="X24" i="10"/>
  <c r="X23" i="10"/>
  <c r="X13" i="10"/>
  <c r="X11" i="10"/>
  <c r="X14" i="2"/>
  <c r="X14" i="10"/>
  <c r="X10" i="10"/>
  <c r="X61" i="10"/>
  <c r="X25" i="4"/>
  <c r="X60" i="10"/>
  <c r="X16" i="10"/>
  <c r="Z27" i="13"/>
  <c r="X25" i="10"/>
  <c r="X46" i="4"/>
  <c r="X21" i="10"/>
  <c r="Z34" i="13"/>
  <c r="X40" i="11"/>
  <c r="X42" i="10"/>
  <c r="X53" i="4"/>
  <c r="X18" i="2"/>
  <c r="X6" i="10"/>
  <c r="X11" i="4"/>
  <c r="X12" i="2"/>
  <c r="X6" i="15"/>
  <c r="Z23" i="13"/>
  <c r="Z16" i="13"/>
  <c r="X19" i="10"/>
  <c r="X15" i="10"/>
  <c r="X9" i="10"/>
  <c r="Z19" i="13"/>
  <c r="X58" i="10"/>
  <c r="X32" i="4"/>
  <c r="X16" i="2"/>
  <c r="X8" i="10"/>
  <c r="L59" i="12"/>
  <c r="L9" i="17"/>
  <c r="L13" i="13"/>
  <c r="L56" i="12"/>
  <c r="L60" i="12"/>
  <c r="L7" i="17"/>
  <c r="L32" i="13"/>
  <c r="J32" i="11"/>
  <c r="J34" i="10"/>
  <c r="L18" i="14"/>
  <c r="L48" i="17"/>
  <c r="L38" i="17"/>
  <c r="L20" i="17"/>
  <c r="L17" i="13"/>
  <c r="L23" i="17"/>
  <c r="L11" i="17"/>
  <c r="L16" i="14"/>
  <c r="L17" i="14"/>
  <c r="L44" i="17"/>
  <c r="L15" i="13"/>
  <c r="L11" i="13"/>
  <c r="L19" i="14"/>
  <c r="L43" i="12"/>
  <c r="L31" i="13"/>
  <c r="J31" i="11"/>
  <c r="J33" i="10"/>
  <c r="N17" i="12"/>
  <c r="N11" i="13"/>
  <c r="N32" i="13"/>
  <c r="L32" i="11"/>
  <c r="L34" i="10"/>
  <c r="N33" i="17"/>
  <c r="N66" i="17"/>
  <c r="L37" i="11"/>
  <c r="L39" i="10"/>
  <c r="N11" i="14"/>
  <c r="N18" i="17"/>
  <c r="N15" i="13"/>
  <c r="N16" i="14"/>
  <c r="N13" i="13"/>
  <c r="N27" i="17"/>
  <c r="N17" i="13"/>
  <c r="N48" i="12"/>
  <c r="N41" i="12"/>
  <c r="N24" i="17"/>
  <c r="N25" i="17"/>
  <c r="N34" i="12"/>
  <c r="N54" i="12"/>
  <c r="N9" i="13"/>
  <c r="N17" i="14"/>
  <c r="N9" i="17"/>
  <c r="H7" i="10"/>
  <c r="J27" i="13"/>
  <c r="H25" i="10"/>
  <c r="H46" i="4"/>
  <c r="H23" i="10"/>
  <c r="H21" i="10"/>
  <c r="H10" i="10"/>
  <c r="H9" i="10"/>
  <c r="J23" i="13"/>
  <c r="J16" i="13"/>
  <c r="H19" i="10"/>
  <c r="H60" i="10"/>
  <c r="H13" i="10"/>
  <c r="H18" i="10"/>
  <c r="H15" i="10"/>
  <c r="H20" i="10"/>
  <c r="J34" i="13"/>
  <c r="H40" i="11"/>
  <c r="H42" i="10"/>
  <c r="H53" i="4"/>
  <c r="H18" i="2"/>
  <c r="H11" i="10"/>
  <c r="H14" i="2"/>
  <c r="H14" i="10"/>
  <c r="H61" i="10"/>
  <c r="H25" i="4"/>
  <c r="H24" i="10"/>
  <c r="J19" i="13"/>
  <c r="H58" i="10"/>
  <c r="H32" i="4"/>
  <c r="H16" i="2"/>
  <c r="H6" i="10"/>
  <c r="H11" i="4"/>
  <c r="H12" i="2"/>
  <c r="H6" i="15"/>
  <c r="H8" i="10"/>
  <c r="H16" i="10"/>
  <c r="H12" i="10"/>
  <c r="E31" i="17"/>
  <c r="E12" i="13"/>
  <c r="E14" i="13"/>
  <c r="E32" i="13"/>
  <c r="C32" i="11"/>
  <c r="C34" i="10"/>
  <c r="E58" i="12"/>
  <c r="E12" i="14"/>
  <c r="E11" i="14"/>
  <c r="E37" i="17"/>
  <c r="E18" i="13"/>
  <c r="E42" i="12"/>
  <c r="E19" i="17"/>
  <c r="E31" i="13"/>
  <c r="C31" i="11"/>
  <c r="C33" i="10"/>
  <c r="E13" i="13"/>
  <c r="E65" i="12"/>
  <c r="E44" i="12"/>
  <c r="E16" i="14"/>
  <c r="E48" i="17"/>
  <c r="E39" i="17"/>
  <c r="E10" i="17"/>
  <c r="E18" i="14"/>
  <c r="E8" i="17"/>
  <c r="E29" i="17"/>
  <c r="I31" i="13"/>
  <c r="G31" i="11"/>
  <c r="G33" i="10"/>
  <c r="I18" i="17"/>
  <c r="I31" i="17"/>
  <c r="I10" i="17"/>
  <c r="I22" i="17"/>
  <c r="I12" i="13"/>
  <c r="I12" i="14"/>
  <c r="I45" i="12"/>
  <c r="I19" i="14"/>
  <c r="I51" i="17"/>
  <c r="I17" i="14"/>
  <c r="I11" i="14"/>
  <c r="I59" i="12"/>
  <c r="I36" i="12"/>
  <c r="I10" i="13"/>
  <c r="I29" i="17"/>
  <c r="I20" i="17"/>
  <c r="I25" i="17"/>
  <c r="I14" i="13"/>
  <c r="I9" i="17"/>
  <c r="I61" i="12"/>
  <c r="I54" i="12"/>
  <c r="Y52" i="17"/>
  <c r="Y26" i="17"/>
  <c r="Y18" i="17"/>
  <c r="Y14" i="13"/>
  <c r="Y59" i="12"/>
  <c r="Y15" i="3"/>
  <c r="Y21" i="17"/>
  <c r="Y10" i="17"/>
  <c r="Y12" i="13"/>
  <c r="Y9" i="13"/>
  <c r="Y54" i="12"/>
  <c r="Y36" i="12"/>
  <c r="Y56" i="12"/>
  <c r="Y65" i="12"/>
  <c r="Y19" i="14"/>
  <c r="Y67" i="12"/>
  <c r="Y11" i="14"/>
  <c r="Y61" i="12"/>
  <c r="Y39" i="17"/>
  <c r="Y10" i="13"/>
  <c r="Y11" i="17"/>
  <c r="Y18" i="13"/>
  <c r="Y45" i="12"/>
  <c r="P23" i="13"/>
  <c r="P16" i="13"/>
  <c r="N19" i="10"/>
  <c r="N22" i="10"/>
  <c r="N9" i="10"/>
  <c r="N6" i="10"/>
  <c r="N11" i="4"/>
  <c r="N12" i="2"/>
  <c r="N6" i="15"/>
  <c r="N61" i="10"/>
  <c r="N25" i="4"/>
  <c r="N12" i="10"/>
  <c r="P27" i="13"/>
  <c r="N25" i="10"/>
  <c r="N46" i="4"/>
  <c r="N7" i="10"/>
  <c r="N23" i="10"/>
  <c r="P19" i="13"/>
  <c r="N58" i="10"/>
  <c r="N32" i="4"/>
  <c r="N16" i="2"/>
  <c r="N16" i="10"/>
  <c r="N21" i="10"/>
  <c r="N11" i="10"/>
  <c r="N14" i="2"/>
  <c r="N13" i="10"/>
  <c r="N8" i="10"/>
  <c r="P34" i="13"/>
  <c r="N40" i="11"/>
  <c r="N42" i="10"/>
  <c r="N53" i="4"/>
  <c r="N18" i="2"/>
  <c r="N18" i="10"/>
  <c r="N24" i="10"/>
  <c r="N60" i="10"/>
  <c r="N10" i="10"/>
  <c r="N20" i="10"/>
  <c r="N15" i="10"/>
  <c r="K14" i="10"/>
  <c r="K16" i="10"/>
  <c r="K22" i="10"/>
  <c r="K21" i="10"/>
  <c r="K12" i="10"/>
  <c r="K13" i="10"/>
  <c r="K15" i="10"/>
  <c r="M34" i="13"/>
  <c r="K40" i="11"/>
  <c r="K42" i="10"/>
  <c r="K53" i="4"/>
  <c r="K18" i="2"/>
  <c r="K23" i="10"/>
  <c r="K7" i="10"/>
  <c r="K18" i="10"/>
  <c r="K9" i="10"/>
  <c r="M19" i="13"/>
  <c r="K58" i="10"/>
  <c r="K32" i="4"/>
  <c r="K16" i="2"/>
  <c r="K20" i="10"/>
  <c r="K60" i="10"/>
  <c r="K24" i="10"/>
  <c r="K10" i="10"/>
  <c r="K8" i="10"/>
  <c r="M27" i="13"/>
  <c r="K25" i="10"/>
  <c r="K46" i="4"/>
  <c r="K6" i="10"/>
  <c r="K11" i="4"/>
  <c r="K12" i="2"/>
  <c r="K6" i="15"/>
  <c r="K61" i="10"/>
  <c r="K25" i="4"/>
  <c r="M23" i="13"/>
  <c r="M16" i="13"/>
  <c r="K19" i="10"/>
  <c r="R8" i="13"/>
  <c r="R53" i="12"/>
  <c r="R11" i="13"/>
  <c r="R10" i="17"/>
  <c r="R29" i="17"/>
  <c r="R32" i="13"/>
  <c r="P32" i="11"/>
  <c r="P34" i="10"/>
  <c r="R9" i="13"/>
  <c r="R18" i="14"/>
  <c r="R27" i="17"/>
  <c r="R12" i="18"/>
  <c r="R19" i="14"/>
  <c r="R22" i="17"/>
  <c r="R13" i="13"/>
  <c r="R60" i="12"/>
  <c r="R33" i="17"/>
  <c r="R58" i="12"/>
  <c r="R15" i="13"/>
  <c r="R35" i="12"/>
  <c r="R44" i="12"/>
  <c r="R18" i="13"/>
  <c r="R42" i="17"/>
  <c r="R19" i="17"/>
  <c r="O60" i="10"/>
  <c r="Q23" i="13"/>
  <c r="Q16" i="13"/>
  <c r="O19" i="10"/>
  <c r="O12" i="10"/>
  <c r="Q27" i="13"/>
  <c r="O25" i="10"/>
  <c r="O46" i="4"/>
  <c r="O16" i="10"/>
  <c r="O15" i="10"/>
  <c r="O20" i="10"/>
  <c r="O61" i="10"/>
  <c r="O25" i="4"/>
  <c r="O14" i="10"/>
  <c r="O8" i="10"/>
  <c r="O22" i="10"/>
  <c r="O24" i="10"/>
  <c r="O11" i="10"/>
  <c r="O14" i="2"/>
  <c r="O6" i="10"/>
  <c r="O11" i="4"/>
  <c r="O12" i="2"/>
  <c r="O6" i="15"/>
  <c r="O10" i="10"/>
  <c r="O9" i="10"/>
  <c r="O7" i="10"/>
  <c r="O23" i="10"/>
  <c r="Q19" i="13"/>
  <c r="O58" i="10"/>
  <c r="O32" i="4"/>
  <c r="O16" i="2"/>
  <c r="O18" i="10"/>
  <c r="Q34" i="13"/>
  <c r="O40" i="11"/>
  <c r="O42" i="10"/>
  <c r="O53" i="4"/>
  <c r="O18" i="2"/>
  <c r="O13" i="10"/>
  <c r="S39" i="17"/>
  <c r="S18" i="14"/>
  <c r="S10" i="13"/>
  <c r="S63" i="17"/>
  <c r="S12" i="13"/>
  <c r="S19" i="14"/>
  <c r="S67" i="12"/>
  <c r="S17" i="14"/>
  <c r="S15" i="13"/>
  <c r="S29" i="17"/>
  <c r="S18" i="13"/>
  <c r="S65" i="12"/>
  <c r="S27" i="17"/>
  <c r="S44" i="12"/>
  <c r="S11" i="14"/>
  <c r="S12" i="17"/>
  <c r="S32" i="13"/>
  <c r="Q32" i="11"/>
  <c r="Q34" i="10"/>
  <c r="S10" i="17"/>
  <c r="S61" i="12"/>
  <c r="S60" i="12"/>
  <c r="S14" i="13"/>
  <c r="S22" i="17"/>
  <c r="M12" i="10"/>
  <c r="M61" i="10"/>
  <c r="M25" i="4"/>
  <c r="O19" i="13"/>
  <c r="M58" i="10"/>
  <c r="M32" i="4"/>
  <c r="M16" i="2"/>
  <c r="M24" i="10"/>
  <c r="M16" i="10"/>
  <c r="O34" i="13"/>
  <c r="M40" i="11"/>
  <c r="M42" i="10"/>
  <c r="M53" i="4"/>
  <c r="M18" i="2"/>
  <c r="M60" i="10"/>
  <c r="M13" i="10"/>
  <c r="M20" i="10"/>
  <c r="M15" i="10"/>
  <c r="M11" i="10"/>
  <c r="M14" i="2"/>
  <c r="M7" i="10"/>
  <c r="M18" i="10"/>
  <c r="M8" i="10"/>
  <c r="O23" i="13"/>
  <c r="O16" i="13"/>
  <c r="M19" i="10"/>
  <c r="M10" i="10"/>
  <c r="M22" i="10"/>
  <c r="M9" i="10"/>
  <c r="O27" i="13"/>
  <c r="M25" i="10"/>
  <c r="M46" i="4"/>
  <c r="M21" i="10"/>
  <c r="M6" i="10"/>
  <c r="M11" i="4"/>
  <c r="M12" i="2"/>
  <c r="M6" i="15"/>
  <c r="M23" i="10"/>
  <c r="T29" i="17"/>
  <c r="T9" i="17"/>
  <c r="T68" i="17"/>
  <c r="T11" i="14"/>
  <c r="T46" i="17"/>
  <c r="T24" i="17"/>
  <c r="T54" i="17"/>
  <c r="T10" i="17"/>
  <c r="T8" i="13"/>
  <c r="T53" i="12"/>
  <c r="R8" i="9"/>
  <c r="R8" i="5"/>
  <c r="T65" i="17"/>
  <c r="T72" i="17"/>
  <c r="T8" i="17"/>
  <c r="T38" i="18"/>
  <c r="T17" i="14"/>
  <c r="T42" i="17"/>
  <c r="T67" i="12"/>
  <c r="T18" i="3"/>
  <c r="T64" i="17"/>
  <c r="T15" i="3"/>
  <c r="T21" i="17"/>
  <c r="T75" i="17"/>
  <c r="T26" i="17"/>
  <c r="T37" i="17"/>
  <c r="U53" i="17"/>
  <c r="U32" i="17"/>
  <c r="U19" i="17"/>
  <c r="U45" i="17"/>
  <c r="U26" i="17"/>
  <c r="U15" i="3"/>
  <c r="U21" i="17"/>
  <c r="U17" i="18"/>
  <c r="U46" i="17"/>
  <c r="U65" i="12"/>
  <c r="U12" i="13"/>
  <c r="U59" i="12"/>
  <c r="U27" i="17"/>
  <c r="U18" i="13"/>
  <c r="U12" i="14"/>
  <c r="U58" i="12"/>
  <c r="U42" i="12"/>
  <c r="U10" i="13"/>
  <c r="U10" i="17"/>
  <c r="U13" i="13"/>
  <c r="U14" i="13"/>
  <c r="U18" i="14"/>
  <c r="U32" i="13"/>
  <c r="S32" i="11"/>
  <c r="S34" i="10"/>
  <c r="J20" i="10"/>
  <c r="J21" i="10"/>
  <c r="L19" i="13"/>
  <c r="J58" i="10"/>
  <c r="J32" i="4"/>
  <c r="J16" i="2"/>
  <c r="L34" i="13"/>
  <c r="J40" i="11"/>
  <c r="J42" i="10"/>
  <c r="J53" i="4"/>
  <c r="J18" i="2"/>
  <c r="J18" i="10"/>
  <c r="J9" i="10"/>
  <c r="J7" i="10"/>
  <c r="J10" i="10"/>
  <c r="J15" i="10"/>
  <c r="J8" i="10"/>
  <c r="J61" i="10"/>
  <c r="J25" i="4"/>
  <c r="J6" i="10"/>
  <c r="J11" i="4"/>
  <c r="J12" i="2"/>
  <c r="J6" i="15"/>
  <c r="J60" i="10"/>
  <c r="L27" i="13"/>
  <c r="J25" i="10"/>
  <c r="J46" i="4"/>
  <c r="J22" i="10"/>
  <c r="J14" i="10"/>
  <c r="L23" i="13"/>
  <c r="L16" i="13"/>
  <c r="J19" i="10"/>
  <c r="J24" i="10"/>
  <c r="J13" i="10"/>
  <c r="J23" i="10"/>
  <c r="J12" i="10"/>
  <c r="J16" i="10"/>
  <c r="C15" i="10"/>
  <c r="C16" i="10"/>
  <c r="C18" i="10"/>
  <c r="E27" i="13"/>
  <c r="C25" i="10"/>
  <c r="C46" i="4"/>
  <c r="C22" i="10"/>
  <c r="C14" i="10"/>
  <c r="C6" i="10"/>
  <c r="C11" i="4"/>
  <c r="C12" i="2"/>
  <c r="C6" i="15"/>
  <c r="C10" i="10"/>
  <c r="C7" i="10"/>
  <c r="E34" i="13"/>
  <c r="C40" i="11"/>
  <c r="C42" i="10"/>
  <c r="C53" i="4"/>
  <c r="C18" i="2"/>
  <c r="C11" i="10"/>
  <c r="C14" i="2"/>
  <c r="C23" i="10"/>
  <c r="E19" i="13"/>
  <c r="C58" i="10"/>
  <c r="C32" i="4"/>
  <c r="C16" i="2"/>
  <c r="E23" i="13"/>
  <c r="E16" i="13"/>
  <c r="C19" i="10"/>
  <c r="C61" i="10"/>
  <c r="C25" i="4"/>
  <c r="C24" i="10"/>
  <c r="C8" i="10"/>
  <c r="C20" i="10"/>
  <c r="C13" i="10"/>
  <c r="C12" i="10"/>
  <c r="C60" i="10"/>
  <c r="C21" i="10"/>
  <c r="L22" i="10"/>
  <c r="N34" i="13"/>
  <c r="L40" i="11"/>
  <c r="L42" i="10"/>
  <c r="L53" i="4"/>
  <c r="L18" i="2"/>
  <c r="L21" i="10"/>
  <c r="L20" i="10"/>
  <c r="L16" i="10"/>
  <c r="L8" i="10"/>
  <c r="N27" i="13"/>
  <c r="L25" i="10"/>
  <c r="L46" i="4"/>
  <c r="L7" i="10"/>
  <c r="L11" i="10"/>
  <c r="L14" i="2"/>
  <c r="L6" i="10"/>
  <c r="L11" i="4"/>
  <c r="L12" i="2"/>
  <c r="L6" i="15"/>
  <c r="L15" i="10"/>
  <c r="L18" i="10"/>
  <c r="L60" i="10"/>
  <c r="N23" i="13"/>
  <c r="N16" i="13"/>
  <c r="L19" i="10"/>
  <c r="N19" i="13"/>
  <c r="L58" i="10"/>
  <c r="L32" i="4"/>
  <c r="L16" i="2"/>
  <c r="L23" i="10"/>
  <c r="L9" i="10"/>
  <c r="L10" i="10"/>
  <c r="L14" i="10"/>
  <c r="L12" i="10"/>
  <c r="L61" i="10"/>
  <c r="L25" i="4"/>
  <c r="L13" i="10"/>
  <c r="W17" i="14"/>
  <c r="W61" i="17"/>
  <c r="W56" i="12"/>
  <c r="W46" i="17"/>
  <c r="W63" i="17"/>
  <c r="W19" i="14"/>
  <c r="W17" i="3"/>
  <c r="W49" i="17"/>
  <c r="W54" i="17"/>
  <c r="W18" i="3"/>
  <c r="W64" i="17"/>
  <c r="W53" i="17"/>
  <c r="W11" i="18"/>
  <c r="W40" i="12"/>
  <c r="W10" i="17"/>
  <c r="W58" i="12"/>
  <c r="W32" i="17"/>
  <c r="W19" i="17"/>
  <c r="W11" i="13"/>
  <c r="W39" i="18"/>
  <c r="W62" i="17"/>
  <c r="W13" i="13"/>
  <c r="W26" i="17"/>
  <c r="W22" i="18"/>
  <c r="N12" i="14"/>
  <c r="N11" i="17"/>
  <c r="N14" i="13"/>
  <c r="N44" i="17"/>
  <c r="N59" i="12"/>
  <c r="N17" i="18"/>
  <c r="N71" i="17"/>
  <c r="N12" i="17"/>
  <c r="N30" i="17"/>
  <c r="N58" i="17"/>
  <c r="N48" i="17"/>
  <c r="N47" i="17"/>
  <c r="N38" i="17"/>
  <c r="N22" i="18"/>
  <c r="N28" i="17"/>
  <c r="N7" i="17"/>
  <c r="N52" i="17"/>
  <c r="N37" i="17"/>
  <c r="N18" i="14"/>
  <c r="N12" i="13"/>
  <c r="N51" i="17"/>
  <c r="N19" i="3"/>
  <c r="N74" i="17"/>
  <c r="M22" i="17"/>
  <c r="M43" i="17"/>
  <c r="M28" i="17"/>
  <c r="M52" i="17"/>
  <c r="M12" i="13"/>
  <c r="M58" i="17"/>
  <c r="M47" i="17"/>
  <c r="M7" i="17"/>
  <c r="M8" i="17"/>
  <c r="M12" i="14"/>
  <c r="M30" i="17"/>
  <c r="M75" i="18"/>
  <c r="M19" i="3"/>
  <c r="M74" i="17"/>
  <c r="M51" i="17"/>
  <c r="M9" i="17"/>
  <c r="M41" i="17"/>
  <c r="M48" i="17"/>
  <c r="M56" i="17"/>
  <c r="M71" i="17"/>
  <c r="M20" i="17"/>
  <c r="M33" i="17"/>
  <c r="M41" i="12"/>
  <c r="D19" i="3"/>
  <c r="D74" i="17"/>
  <c r="D17" i="3"/>
  <c r="D49" i="17"/>
  <c r="D58" i="12"/>
  <c r="D15" i="3"/>
  <c r="D21" i="17"/>
  <c r="D26" i="17"/>
  <c r="D56" i="12"/>
  <c r="D42" i="12"/>
  <c r="D29" i="18"/>
  <c r="D46" i="17"/>
  <c r="D45" i="17"/>
  <c r="D10" i="17"/>
  <c r="D60" i="17"/>
  <c r="X60" i="17"/>
  <c r="D23" i="17"/>
  <c r="D67" i="12"/>
  <c r="D8" i="13"/>
  <c r="D11" i="14"/>
  <c r="D12" i="17"/>
  <c r="D39" i="17"/>
  <c r="D53" i="17"/>
  <c r="V8" i="9"/>
  <c r="V8" i="5"/>
  <c r="X65" i="17"/>
  <c r="D11" i="13"/>
  <c r="X18" i="13"/>
  <c r="X23" i="17"/>
  <c r="X72" i="17"/>
  <c r="D53" i="12"/>
  <c r="X19" i="14"/>
  <c r="D13" i="13"/>
  <c r="X69" i="17"/>
  <c r="X47" i="12"/>
  <c r="X17" i="3"/>
  <c r="X49" i="17"/>
  <c r="X18" i="17"/>
  <c r="X65" i="12"/>
  <c r="X45" i="17"/>
  <c r="X66" i="17"/>
  <c r="X19" i="17"/>
  <c r="X15" i="3"/>
  <c r="X21" i="17"/>
  <c r="X55" i="17"/>
  <c r="X68" i="17"/>
  <c r="X12" i="18"/>
  <c r="X10" i="17"/>
  <c r="X53" i="17"/>
  <c r="X32" i="17"/>
  <c r="X32" i="13"/>
  <c r="V32" i="11"/>
  <c r="V34" i="10"/>
  <c r="AA12" i="14"/>
  <c r="AA60" i="17"/>
  <c r="AA61" i="17"/>
  <c r="AA26" i="17"/>
  <c r="AA22" i="17"/>
  <c r="AA34" i="12"/>
  <c r="AA15" i="18"/>
  <c r="AA20" i="17"/>
  <c r="AA54" i="12"/>
  <c r="AA69" i="17"/>
  <c r="AA53" i="17"/>
  <c r="AA18" i="14"/>
  <c r="AA28" i="17"/>
  <c r="AA14" i="13"/>
  <c r="AA9" i="13"/>
  <c r="AA17" i="3"/>
  <c r="AA49" i="17"/>
  <c r="AA59" i="12"/>
  <c r="AA63" i="17"/>
  <c r="AA41" i="17"/>
  <c r="AA32" i="13"/>
  <c r="Y32" i="11"/>
  <c r="Y34" i="10"/>
  <c r="AA11" i="17"/>
  <c r="AA39" i="17"/>
  <c r="C46" i="12"/>
  <c r="C60" i="12"/>
  <c r="C62" i="17"/>
  <c r="C16" i="14"/>
  <c r="C37" i="17"/>
  <c r="C29" i="17"/>
  <c r="C44" i="12"/>
  <c r="C19" i="3"/>
  <c r="C74" i="17"/>
  <c r="C73" i="17"/>
  <c r="C53" i="17"/>
  <c r="C19" i="17"/>
  <c r="C23" i="17"/>
  <c r="C15" i="13"/>
  <c r="C65" i="17"/>
  <c r="C22" i="18"/>
  <c r="C67" i="12"/>
  <c r="C17" i="13"/>
  <c r="C17" i="3"/>
  <c r="C49" i="17"/>
  <c r="C69" i="17"/>
  <c r="C39" i="17"/>
  <c r="C61" i="17"/>
  <c r="C24" i="17"/>
  <c r="F23" i="17"/>
  <c r="F67" i="12"/>
  <c r="F52" i="17"/>
  <c r="F70" i="17"/>
  <c r="F19" i="17"/>
  <c r="F32" i="17"/>
  <c r="F15" i="3"/>
  <c r="F21" i="17"/>
  <c r="F46" i="17"/>
  <c r="F29" i="17"/>
  <c r="F16" i="14"/>
  <c r="F12" i="17"/>
  <c r="F65" i="12"/>
  <c r="D9" i="9"/>
  <c r="D9" i="5"/>
  <c r="F73" i="17"/>
  <c r="F62" i="17"/>
  <c r="F60" i="17"/>
  <c r="F12" i="18"/>
  <c r="F42" i="17"/>
  <c r="F54" i="17"/>
  <c r="F19" i="3"/>
  <c r="F74" i="17"/>
  <c r="F63" i="17"/>
  <c r="F8" i="17"/>
  <c r="F20" i="17"/>
  <c r="G83" i="17"/>
  <c r="G17" i="14"/>
  <c r="G12" i="17"/>
  <c r="G53" i="17"/>
  <c r="G73" i="18"/>
  <c r="G70" i="17"/>
  <c r="G58" i="12"/>
  <c r="G40" i="12"/>
  <c r="G59" i="17"/>
  <c r="G10" i="17"/>
  <c r="G56" i="12"/>
  <c r="G58" i="17"/>
  <c r="G31" i="18"/>
  <c r="G31" i="17"/>
  <c r="G61" i="17"/>
  <c r="G62" i="17"/>
  <c r="G23" i="17"/>
  <c r="G11" i="17"/>
  <c r="G13" i="13"/>
  <c r="G42" i="17"/>
  <c r="G44" i="17"/>
  <c r="G11" i="13"/>
  <c r="Q33" i="17"/>
  <c r="Q47" i="17"/>
  <c r="Q21" i="18"/>
  <c r="Q18" i="14"/>
  <c r="Q43" i="17"/>
  <c r="Q16" i="14"/>
  <c r="Q30" i="17"/>
  <c r="Q57" i="17"/>
  <c r="Q22" i="17"/>
  <c r="Q12" i="14"/>
  <c r="Q44" i="17"/>
  <c r="Q17" i="13"/>
  <c r="Q82" i="17"/>
  <c r="Q54" i="17"/>
  <c r="Q31" i="13"/>
  <c r="O31" i="11"/>
  <c r="O33" i="10"/>
  <c r="Q18" i="17"/>
  <c r="Q55" i="17"/>
  <c r="Q37" i="17"/>
  <c r="Q46" i="12"/>
  <c r="Q51" i="17"/>
  <c r="Q24" i="17"/>
  <c r="Q48" i="12"/>
  <c r="I28" i="17"/>
  <c r="I11" i="13"/>
  <c r="I61" i="17"/>
  <c r="I18" i="18"/>
  <c r="I9" i="13"/>
  <c r="I26" i="17"/>
  <c r="I52" i="17"/>
  <c r="I57" i="17"/>
  <c r="I56" i="12"/>
  <c r="I39" i="17"/>
  <c r="I45" i="17"/>
  <c r="I62" i="17"/>
  <c r="I8" i="17"/>
  <c r="I48" i="17"/>
  <c r="I41" i="17"/>
  <c r="I17" i="3"/>
  <c r="I49" i="17"/>
  <c r="I18" i="13"/>
  <c r="I71" i="17"/>
  <c r="I59" i="17"/>
  <c r="I60" i="17"/>
  <c r="I44" i="17"/>
  <c r="I81" i="17"/>
  <c r="S30" i="17"/>
  <c r="S55" i="17"/>
  <c r="S51" i="17"/>
  <c r="S86" i="17"/>
  <c r="S16" i="14"/>
  <c r="S9" i="17"/>
  <c r="S53" i="18"/>
  <c r="S17" i="13"/>
  <c r="S19" i="17"/>
  <c r="S15" i="3"/>
  <c r="S21" i="17"/>
  <c r="S37" i="17"/>
  <c r="S47" i="17"/>
  <c r="S8" i="17"/>
  <c r="S67" i="17"/>
  <c r="S66" i="17"/>
  <c r="Q8" i="9"/>
  <c r="Q8" i="5"/>
  <c r="S65" i="17"/>
  <c r="S54" i="18"/>
  <c r="S32" i="17"/>
  <c r="S31" i="13"/>
  <c r="Q31" i="11"/>
  <c r="Q33" i="10"/>
  <c r="S24" i="17"/>
  <c r="S46" i="12"/>
  <c r="S46" i="17"/>
  <c r="K44" i="17"/>
  <c r="K30" i="17"/>
  <c r="K25" i="17"/>
  <c r="K17" i="18"/>
  <c r="K61" i="17"/>
  <c r="K54" i="12"/>
  <c r="K12" i="14"/>
  <c r="K32" i="13"/>
  <c r="I32" i="11"/>
  <c r="I34" i="10"/>
  <c r="K28" i="17"/>
  <c r="K38" i="17"/>
  <c r="K45" i="17"/>
  <c r="K9" i="13"/>
  <c r="K11" i="17"/>
  <c r="K59" i="12"/>
  <c r="K14" i="13"/>
  <c r="K13" i="18"/>
  <c r="K60" i="17"/>
  <c r="K57" i="17"/>
  <c r="K59" i="17"/>
  <c r="K26" i="17"/>
  <c r="K31" i="17"/>
  <c r="K8" i="18"/>
  <c r="U47" i="17"/>
  <c r="U82" i="17"/>
  <c r="U17" i="14"/>
  <c r="U12" i="17"/>
  <c r="U67" i="17"/>
  <c r="U44" i="12"/>
  <c r="U75" i="17"/>
  <c r="U37" i="17"/>
  <c r="U56" i="17"/>
  <c r="U29" i="17"/>
  <c r="U39" i="17"/>
  <c r="U18" i="3"/>
  <c r="U64" i="17"/>
  <c r="U43" i="17"/>
  <c r="U55" i="17"/>
  <c r="S8" i="9"/>
  <c r="S8" i="5"/>
  <c r="U65" i="17"/>
  <c r="U7" i="17"/>
  <c r="U15" i="13"/>
  <c r="U72" i="17"/>
  <c r="U66" i="17"/>
  <c r="U19" i="14"/>
  <c r="U60" i="12"/>
  <c r="U11" i="14"/>
  <c r="P44" i="17"/>
  <c r="P43" i="17"/>
  <c r="P57" i="17"/>
  <c r="P10" i="13"/>
  <c r="P12" i="13"/>
  <c r="P37" i="17"/>
  <c r="P9" i="17"/>
  <c r="P24" i="17"/>
  <c r="P72" i="17"/>
  <c r="P82" i="17"/>
  <c r="P58" i="17"/>
  <c r="P12" i="14"/>
  <c r="P7" i="17"/>
  <c r="P31" i="13"/>
  <c r="N31" i="11"/>
  <c r="N33" i="10"/>
  <c r="P48" i="17"/>
  <c r="P27" i="17"/>
  <c r="P18" i="17"/>
  <c r="P18" i="18"/>
  <c r="P16" i="14"/>
  <c r="P39" i="12"/>
  <c r="P30" i="17"/>
  <c r="P33" i="17"/>
  <c r="E18" i="3"/>
  <c r="E64" i="17"/>
  <c r="E83" i="18"/>
  <c r="E46" i="17"/>
  <c r="E17" i="3"/>
  <c r="E49" i="17"/>
  <c r="E53" i="17"/>
  <c r="E27" i="17"/>
  <c r="E15" i="3"/>
  <c r="E21" i="17"/>
  <c r="E71" i="17"/>
  <c r="E59" i="17"/>
  <c r="E43" i="17"/>
  <c r="E26" i="17"/>
  <c r="E63" i="17"/>
  <c r="E61" i="17"/>
  <c r="E60" i="17"/>
  <c r="C8" i="9"/>
  <c r="C8" i="5"/>
  <c r="E65" i="17"/>
  <c r="E19" i="14"/>
  <c r="E60" i="12"/>
  <c r="E15" i="13"/>
  <c r="E7" i="17"/>
  <c r="E45" i="17"/>
  <c r="E12" i="17"/>
  <c r="E32" i="17"/>
  <c r="O52" i="17"/>
  <c r="O15" i="3"/>
  <c r="O21" i="17"/>
  <c r="O56" i="17"/>
  <c r="O52" i="18"/>
  <c r="O7" i="17"/>
  <c r="O24" i="17"/>
  <c r="O12" i="18"/>
  <c r="O67" i="17"/>
  <c r="O25" i="17"/>
  <c r="O18" i="17"/>
  <c r="O10" i="13"/>
  <c r="O27" i="17"/>
  <c r="O71" i="17"/>
  <c r="O12" i="14"/>
  <c r="O43" i="17"/>
  <c r="O31" i="17"/>
  <c r="O57" i="17"/>
  <c r="O31" i="13"/>
  <c r="M31" i="11"/>
  <c r="M33" i="10"/>
  <c r="O39" i="12"/>
  <c r="O38" i="17"/>
  <c r="O16" i="14"/>
  <c r="O48" i="12"/>
  <c r="R51" i="17"/>
  <c r="R19" i="3"/>
  <c r="R74" i="17"/>
  <c r="R55" i="17"/>
  <c r="R24" i="17"/>
  <c r="R30" i="17"/>
  <c r="R47" i="17"/>
  <c r="R66" i="17"/>
  <c r="R12" i="17"/>
  <c r="R25" i="17"/>
  <c r="R7" i="17"/>
  <c r="R67" i="17"/>
  <c r="R9" i="17"/>
  <c r="R44" i="17"/>
  <c r="R8" i="18"/>
  <c r="R10" i="13"/>
  <c r="R8" i="17"/>
  <c r="R21" i="18"/>
  <c r="R16" i="14"/>
  <c r="R56" i="17"/>
  <c r="R43" i="17"/>
  <c r="R11" i="14"/>
  <c r="R32" i="17"/>
  <c r="Z19" i="14"/>
  <c r="Z18" i="13"/>
  <c r="Z18" i="14"/>
  <c r="Z46" i="17"/>
  <c r="Z67" i="17"/>
  <c r="Z11" i="14"/>
  <c r="Z54" i="17"/>
  <c r="Z41" i="17"/>
  <c r="Z53" i="17"/>
  <c r="Z47" i="12"/>
  <c r="Z42" i="17"/>
  <c r="Z29" i="17"/>
  <c r="Z68" i="17"/>
  <c r="Z32" i="13"/>
  <c r="X32" i="11"/>
  <c r="X34" i="10"/>
  <c r="Z69" i="17"/>
  <c r="Z39" i="17"/>
  <c r="Z61" i="12"/>
  <c r="Z62" i="17"/>
  <c r="Z17" i="14"/>
  <c r="Z31" i="17"/>
  <c r="Z66" i="17"/>
  <c r="Z18" i="3"/>
  <c r="Z64" i="17"/>
  <c r="Y42" i="17"/>
  <c r="Y68" i="17"/>
  <c r="W8" i="9"/>
  <c r="W8" i="5"/>
  <c r="Y65" i="17"/>
  <c r="Y8" i="17"/>
  <c r="Y32" i="17"/>
  <c r="Y9" i="17"/>
  <c r="Y61" i="17"/>
  <c r="Y31" i="17"/>
  <c r="Y23" i="17"/>
  <c r="Y62" i="17"/>
  <c r="Y19" i="17"/>
  <c r="Y17" i="3"/>
  <c r="Y49" i="17"/>
  <c r="Y63" i="17"/>
  <c r="Y24" i="17"/>
  <c r="Y46" i="17"/>
  <c r="Y11" i="13"/>
  <c r="Y67" i="17"/>
  <c r="Y45" i="17"/>
  <c r="Y55" i="17"/>
  <c r="Y82" i="17"/>
  <c r="Y29" i="17"/>
  <c r="Y75" i="17"/>
  <c r="J10" i="17"/>
  <c r="J9" i="18"/>
  <c r="J61" i="12"/>
  <c r="J47" i="12"/>
  <c r="J70" i="17"/>
  <c r="J39" i="18"/>
  <c r="J17" i="3"/>
  <c r="J49" i="17"/>
  <c r="J32" i="13"/>
  <c r="H32" i="11"/>
  <c r="H34" i="10"/>
  <c r="J28" i="17"/>
  <c r="J58" i="17"/>
  <c r="J20" i="17"/>
  <c r="J17" i="14"/>
  <c r="J25" i="17"/>
  <c r="J23" i="17"/>
  <c r="J45" i="12"/>
  <c r="J38" i="17"/>
  <c r="J29" i="17"/>
  <c r="J18" i="13"/>
  <c r="J11" i="14"/>
  <c r="J13" i="18"/>
  <c r="J48" i="17"/>
  <c r="J53" i="17"/>
  <c r="U24" i="10"/>
  <c r="U13" i="10"/>
  <c r="U21" i="10"/>
  <c r="U60" i="10"/>
  <c r="W19" i="13"/>
  <c r="U58" i="10"/>
  <c r="U32" i="4"/>
  <c r="U16" i="2"/>
  <c r="U23" i="10"/>
  <c r="U14" i="10"/>
  <c r="U12" i="10"/>
  <c r="U9" i="10"/>
  <c r="U8" i="10"/>
  <c r="U61" i="10"/>
  <c r="U25" i="4"/>
  <c r="U15" i="10"/>
  <c r="U10" i="10"/>
  <c r="W34" i="13"/>
  <c r="U40" i="11"/>
  <c r="U42" i="10"/>
  <c r="U53" i="4"/>
  <c r="U18" i="2"/>
  <c r="W27" i="13"/>
  <c r="U25" i="10"/>
  <c r="U46" i="4"/>
  <c r="U11" i="10"/>
  <c r="U14" i="2"/>
  <c r="W23" i="13"/>
  <c r="W16" i="13"/>
  <c r="U19" i="10"/>
  <c r="U22" i="10"/>
  <c r="U6" i="10"/>
  <c r="U11" i="4"/>
  <c r="U12" i="2"/>
  <c r="U6" i="15"/>
  <c r="U18" i="10"/>
  <c r="U16" i="10"/>
  <c r="U20" i="10"/>
  <c r="H61" i="17"/>
  <c r="H53" i="17"/>
  <c r="H19" i="14"/>
  <c r="H71" i="18"/>
  <c r="H48" i="17"/>
  <c r="H12" i="17"/>
  <c r="H71" i="17"/>
  <c r="H32" i="13"/>
  <c r="F32" i="11"/>
  <c r="F34" i="10"/>
  <c r="H52" i="17"/>
  <c r="H17" i="3"/>
  <c r="H49" i="17"/>
  <c r="H18" i="18"/>
  <c r="H15" i="3"/>
  <c r="H21" i="17"/>
  <c r="H26" i="17"/>
  <c r="H41" i="17"/>
  <c r="H18" i="13"/>
  <c r="H58" i="17"/>
  <c r="H70" i="17"/>
  <c r="H39" i="17"/>
  <c r="H31" i="17"/>
  <c r="H83" i="17"/>
  <c r="H65" i="12"/>
  <c r="H47" i="12"/>
  <c r="L18" i="17"/>
  <c r="L61" i="17"/>
  <c r="L38" i="18"/>
  <c r="L14" i="13"/>
  <c r="L26" i="17"/>
  <c r="L31" i="17"/>
  <c r="L41" i="17"/>
  <c r="L61" i="12"/>
  <c r="L28" i="17"/>
  <c r="L57" i="17"/>
  <c r="L56" i="17"/>
  <c r="L30" i="17"/>
  <c r="L52" i="17"/>
  <c r="L60" i="17"/>
  <c r="L45" i="12"/>
  <c r="L22" i="17"/>
  <c r="L8" i="17"/>
  <c r="L51" i="17"/>
  <c r="L33" i="17"/>
  <c r="L45" i="17"/>
  <c r="L8" i="18"/>
  <c r="L24" i="18"/>
  <c r="D90" i="18"/>
  <c r="D43" i="17"/>
  <c r="D22" i="17"/>
  <c r="D68" i="17"/>
  <c r="D72" i="17"/>
  <c r="D55" i="17"/>
  <c r="D14" i="18"/>
  <c r="D37" i="17"/>
  <c r="D54" i="17"/>
  <c r="D65" i="17"/>
  <c r="D75" i="17"/>
  <c r="D18" i="3"/>
  <c r="D64" i="17"/>
  <c r="D11" i="17"/>
  <c r="D30" i="17"/>
  <c r="D56" i="17"/>
  <c r="D18" i="14"/>
  <c r="D18" i="17"/>
  <c r="D9" i="18"/>
  <c r="D25" i="17"/>
  <c r="D19" i="18"/>
  <c r="D69" i="17"/>
  <c r="D20" i="17"/>
  <c r="V24" i="10"/>
  <c r="V8" i="10"/>
  <c r="V60" i="10"/>
  <c r="V61" i="10"/>
  <c r="V25" i="4"/>
  <c r="V14" i="10"/>
  <c r="V11" i="10"/>
  <c r="V14" i="2"/>
  <c r="X23" i="13"/>
  <c r="X16" i="13"/>
  <c r="V19" i="10"/>
  <c r="V13" i="10"/>
  <c r="V12" i="10"/>
  <c r="V6" i="10"/>
  <c r="V11" i="4"/>
  <c r="V12" i="2"/>
  <c r="V6" i="15"/>
  <c r="V23" i="10"/>
  <c r="V22" i="10"/>
  <c r="V9" i="10"/>
  <c r="X19" i="13"/>
  <c r="V58" i="10"/>
  <c r="V32" i="4"/>
  <c r="V16" i="2"/>
  <c r="X27" i="13"/>
  <c r="V25" i="10"/>
  <c r="V46" i="4"/>
  <c r="V7" i="10"/>
  <c r="V20" i="10"/>
  <c r="V15" i="10"/>
  <c r="X34" i="13"/>
  <c r="V40" i="11"/>
  <c r="V42" i="10"/>
  <c r="V53" i="4"/>
  <c r="V18" i="2"/>
  <c r="V10" i="10"/>
  <c r="V21" i="10"/>
  <c r="V16" i="10"/>
  <c r="T28" i="17"/>
  <c r="T57" i="17"/>
  <c r="T52" i="17"/>
  <c r="T60" i="17"/>
  <c r="T38" i="17"/>
  <c r="T56" i="17"/>
  <c r="T25" i="17"/>
  <c r="T27" i="17"/>
  <c r="T9" i="18"/>
  <c r="T18" i="14"/>
  <c r="T59" i="17"/>
  <c r="T31" i="18"/>
  <c r="T20" i="17"/>
  <c r="T43" i="17"/>
  <c r="T48" i="17"/>
  <c r="T11" i="17"/>
  <c r="T18" i="17"/>
  <c r="T44" i="17"/>
  <c r="T19" i="3"/>
  <c r="T74" i="17"/>
  <c r="T41" i="17"/>
  <c r="T22" i="17"/>
  <c r="T58" i="17"/>
  <c r="V54" i="17"/>
  <c r="V47" i="17"/>
  <c r="V39" i="17"/>
  <c r="V10" i="17"/>
  <c r="V24" i="17"/>
  <c r="V42" i="17"/>
  <c r="V67" i="12"/>
  <c r="V55" i="17"/>
  <c r="V51" i="17"/>
  <c r="V17" i="14"/>
  <c r="V63" i="17"/>
  <c r="V8" i="17"/>
  <c r="V67" i="17"/>
  <c r="V19" i="17"/>
  <c r="V43" i="17"/>
  <c r="V26" i="17"/>
  <c r="V56" i="17"/>
  <c r="V65" i="12"/>
  <c r="V16" i="14"/>
  <c r="V32" i="17"/>
  <c r="V19" i="3"/>
  <c r="V74" i="17"/>
  <c r="V37" i="17"/>
  <c r="K69" i="17"/>
  <c r="K19" i="17"/>
  <c r="K37" i="17"/>
  <c r="K39" i="17"/>
  <c r="K24" i="17"/>
  <c r="K19" i="14"/>
  <c r="K12" i="17"/>
  <c r="K15" i="3"/>
  <c r="K21" i="17"/>
  <c r="I9" i="9"/>
  <c r="I9" i="5"/>
  <c r="K73" i="17"/>
  <c r="K42" i="17"/>
  <c r="K70" i="17"/>
  <c r="K17" i="3"/>
  <c r="K49" i="17"/>
  <c r="K32" i="17"/>
  <c r="I8" i="9"/>
  <c r="I8" i="5"/>
  <c r="K65" i="17"/>
  <c r="K10" i="17"/>
  <c r="K54" i="17"/>
  <c r="K14" i="18"/>
  <c r="K53" i="17"/>
  <c r="K63" i="17"/>
  <c r="K46" i="17"/>
  <c r="K24" i="18"/>
  <c r="K29" i="17"/>
  <c r="E22" i="10"/>
  <c r="E61" i="10"/>
  <c r="E25" i="4"/>
  <c r="G27" i="13"/>
  <c r="E25" i="10"/>
  <c r="E46" i="4"/>
  <c r="E12" i="10"/>
  <c r="E6" i="10"/>
  <c r="E11" i="4"/>
  <c r="E12" i="2"/>
  <c r="E6" i="15"/>
  <c r="E10" i="10"/>
  <c r="G19" i="13"/>
  <c r="E58" i="10"/>
  <c r="E32" i="4"/>
  <c r="E16" i="2"/>
  <c r="E18" i="10"/>
  <c r="E7" i="10"/>
  <c r="E21" i="10"/>
  <c r="G23" i="13"/>
  <c r="G16" i="13"/>
  <c r="E19" i="10"/>
  <c r="E14" i="10"/>
  <c r="E15" i="10"/>
  <c r="E11" i="10"/>
  <c r="E14" i="2"/>
  <c r="E20" i="10"/>
  <c r="G34" i="13"/>
  <c r="E40" i="11"/>
  <c r="E42" i="10"/>
  <c r="E53" i="4"/>
  <c r="E18" i="2"/>
  <c r="E9" i="10"/>
  <c r="E60" i="10"/>
  <c r="E23" i="10"/>
  <c r="E13" i="10"/>
  <c r="E16" i="10"/>
  <c r="E8" i="10"/>
  <c r="H19" i="13"/>
  <c r="F58" i="10"/>
  <c r="F32" i="4"/>
  <c r="F16" i="2"/>
  <c r="F21" i="10"/>
  <c r="F22" i="10"/>
  <c r="F24" i="10"/>
  <c r="H23" i="13"/>
  <c r="H16" i="13"/>
  <c r="F19" i="10"/>
  <c r="F6" i="10"/>
  <c r="F11" i="4"/>
  <c r="F12" i="2"/>
  <c r="F6" i="15"/>
  <c r="F16" i="10"/>
  <c r="F18" i="10"/>
  <c r="F23" i="10"/>
  <c r="H34" i="13"/>
  <c r="F40" i="11"/>
  <c r="F42" i="10"/>
  <c r="F53" i="4"/>
  <c r="F18" i="2"/>
  <c r="F8" i="10"/>
  <c r="F7" i="10"/>
  <c r="F10" i="10"/>
  <c r="F20" i="10"/>
  <c r="F11" i="10"/>
  <c r="F14" i="2"/>
  <c r="F13" i="10"/>
  <c r="F15" i="10"/>
  <c r="F12" i="10"/>
  <c r="H27" i="13"/>
  <c r="F25" i="10"/>
  <c r="F46" i="4"/>
  <c r="F61" i="10"/>
  <c r="F25" i="4"/>
  <c r="F60" i="10"/>
  <c r="F9" i="10"/>
  <c r="T11" i="10"/>
  <c r="T14" i="2"/>
  <c r="T60" i="10"/>
  <c r="T20" i="10"/>
  <c r="T21" i="10"/>
  <c r="V19" i="13"/>
  <c r="T58" i="10"/>
  <c r="T32" i="4"/>
  <c r="T16" i="2"/>
  <c r="T12" i="10"/>
  <c r="T16" i="10"/>
  <c r="T23" i="10"/>
  <c r="V34" i="13"/>
  <c r="T40" i="11"/>
  <c r="T42" i="10"/>
  <c r="T53" i="4"/>
  <c r="T18" i="2"/>
  <c r="T18" i="10"/>
  <c r="T61" i="10"/>
  <c r="T25" i="4"/>
  <c r="T15" i="10"/>
  <c r="T10" i="10"/>
  <c r="T9" i="10"/>
  <c r="T22" i="10"/>
  <c r="T13" i="10"/>
  <c r="V23" i="13"/>
  <c r="V16" i="13"/>
  <c r="T19" i="10"/>
  <c r="V27" i="13"/>
  <c r="T25" i="10"/>
  <c r="T46" i="4"/>
  <c r="T14" i="10"/>
  <c r="T6" i="10"/>
  <c r="T11" i="4"/>
  <c r="T12" i="2"/>
  <c r="T6" i="15"/>
  <c r="T8" i="10"/>
  <c r="T24" i="10"/>
  <c r="D20" i="10"/>
  <c r="D24" i="10"/>
  <c r="D21" i="10"/>
  <c r="D22" i="10"/>
  <c r="D14" i="10"/>
  <c r="D11" i="10"/>
  <c r="D14" i="2"/>
  <c r="D60" i="10"/>
  <c r="D23" i="10"/>
  <c r="F23" i="13"/>
  <c r="F16" i="13"/>
  <c r="D19" i="10"/>
  <c r="F27" i="13"/>
  <c r="D25" i="10"/>
  <c r="D46" i="4"/>
  <c r="D15" i="10"/>
  <c r="D9" i="10"/>
  <c r="D12" i="10"/>
  <c r="D7" i="10"/>
  <c r="D61" i="10"/>
  <c r="D25" i="4"/>
  <c r="D13" i="10"/>
  <c r="D18" i="10"/>
  <c r="D8" i="10"/>
  <c r="F34" i="13"/>
  <c r="D40" i="11"/>
  <c r="D42" i="10"/>
  <c r="D53" i="4"/>
  <c r="D18" i="2"/>
  <c r="F19" i="13"/>
  <c r="D58" i="10"/>
  <c r="D32" i="4"/>
  <c r="D16" i="2"/>
  <c r="D6" i="10"/>
  <c r="D11" i="4"/>
  <c r="D12" i="2"/>
  <c r="D6" i="15"/>
  <c r="D16" i="10"/>
  <c r="W21" i="10"/>
  <c r="W20" i="10"/>
  <c r="W16" i="10"/>
  <c r="W22" i="10"/>
  <c r="W8" i="10"/>
  <c r="W24" i="10"/>
  <c r="W14" i="10"/>
  <c r="W60" i="10"/>
  <c r="W13" i="10"/>
  <c r="Y23" i="13"/>
  <c r="Y16" i="13"/>
  <c r="W19" i="10"/>
  <c r="W12" i="10"/>
  <c r="W11" i="10"/>
  <c r="W14" i="2"/>
  <c r="W10" i="10"/>
  <c r="Y27" i="13"/>
  <c r="W25" i="10"/>
  <c r="W46" i="4"/>
  <c r="Y19" i="13"/>
  <c r="W58" i="10"/>
  <c r="W32" i="4"/>
  <c r="W16" i="2"/>
  <c r="W18" i="10"/>
  <c r="W15" i="10"/>
  <c r="W61" i="10"/>
  <c r="W25" i="4"/>
  <c r="W6" i="10"/>
  <c r="W11" i="4"/>
  <c r="W12" i="2"/>
  <c r="W6" i="15"/>
  <c r="W23" i="10"/>
  <c r="W9" i="10"/>
  <c r="Y34" i="13"/>
  <c r="W40" i="11"/>
  <c r="W42" i="10"/>
  <c r="W53" i="4"/>
  <c r="W18" i="2"/>
  <c r="R13" i="10"/>
  <c r="R24" i="10"/>
  <c r="T34" i="13"/>
  <c r="R40" i="11"/>
  <c r="R42" i="10"/>
  <c r="R53" i="4"/>
  <c r="R18" i="2"/>
  <c r="R21" i="10"/>
  <c r="R8" i="10"/>
  <c r="R15" i="10"/>
  <c r="R10" i="10"/>
  <c r="T23" i="13"/>
  <c r="T16" i="13"/>
  <c r="R19" i="10"/>
  <c r="R20" i="10"/>
  <c r="R11" i="10"/>
  <c r="R14" i="2"/>
  <c r="R6" i="10"/>
  <c r="R11" i="4"/>
  <c r="R12" i="2"/>
  <c r="R6" i="15"/>
  <c r="R14" i="10"/>
  <c r="T27" i="13"/>
  <c r="R25" i="10"/>
  <c r="R46" i="4"/>
  <c r="R23" i="10"/>
  <c r="R22" i="10"/>
  <c r="R9" i="10"/>
  <c r="R12" i="10"/>
  <c r="R61" i="10"/>
  <c r="R25" i="4"/>
  <c r="T19" i="13"/>
  <c r="R58" i="10"/>
  <c r="R32" i="4"/>
  <c r="R16" i="2"/>
  <c r="R7" i="10"/>
  <c r="R18" i="10"/>
  <c r="R60" i="10"/>
  <c r="G18" i="17"/>
  <c r="E8" i="9"/>
  <c r="E8" i="5"/>
  <c r="G65" i="17"/>
  <c r="G7" i="17"/>
  <c r="G63" i="17"/>
  <c r="E9" i="9"/>
  <c r="E9" i="5"/>
  <c r="G73" i="17"/>
  <c r="G24" i="17"/>
  <c r="G37" i="17"/>
  <c r="G9" i="17"/>
  <c r="G18" i="3"/>
  <c r="G64" i="17"/>
  <c r="G36" i="18"/>
  <c r="G30" i="17"/>
  <c r="G54" i="17"/>
  <c r="G33" i="17"/>
  <c r="G47" i="17"/>
  <c r="G51" i="17"/>
  <c r="G69" i="17"/>
  <c r="G43" i="17"/>
  <c r="G25" i="18"/>
  <c r="G106" i="18"/>
  <c r="G46" i="17"/>
  <c r="G18" i="14"/>
  <c r="G27" i="17"/>
  <c r="J62" i="17"/>
  <c r="J63" i="17"/>
  <c r="J66" i="17"/>
  <c r="J68" i="17"/>
  <c r="J24" i="17"/>
  <c r="J37" i="17"/>
  <c r="J67" i="17"/>
  <c r="J54" i="17"/>
  <c r="J43" i="17"/>
  <c r="J18" i="3"/>
  <c r="J64" i="17"/>
  <c r="J12" i="17"/>
  <c r="J16" i="14"/>
  <c r="J19" i="17"/>
  <c r="J94" i="18"/>
  <c r="J46" i="17"/>
  <c r="J34" i="18"/>
  <c r="J7" i="17"/>
  <c r="J42" i="17"/>
  <c r="J81" i="17"/>
  <c r="J32" i="17"/>
  <c r="J15" i="3"/>
  <c r="J21" i="17"/>
  <c r="J69" i="17"/>
  <c r="G18" i="10"/>
  <c r="G9" i="10"/>
  <c r="G61" i="10"/>
  <c r="G25" i="4"/>
  <c r="G22" i="10"/>
  <c r="G21" i="10"/>
  <c r="I27" i="13"/>
  <c r="G25" i="10"/>
  <c r="G46" i="4"/>
  <c r="G23" i="10"/>
  <c r="I19" i="13"/>
  <c r="G58" i="10"/>
  <c r="G32" i="4"/>
  <c r="G16" i="2"/>
  <c r="G7" i="10"/>
  <c r="G6" i="10"/>
  <c r="G11" i="4"/>
  <c r="G12" i="2"/>
  <c r="G6" i="15"/>
  <c r="G8" i="10"/>
  <c r="I23" i="13"/>
  <c r="I16" i="13"/>
  <c r="G19" i="10"/>
  <c r="G14" i="10"/>
  <c r="G13" i="10"/>
  <c r="I34" i="13"/>
  <c r="G40" i="11"/>
  <c r="G42" i="10"/>
  <c r="G53" i="4"/>
  <c r="G18" i="2"/>
  <c r="G15" i="10"/>
  <c r="G12" i="10"/>
  <c r="G60" i="10"/>
  <c r="G20" i="10"/>
  <c r="G16" i="10"/>
  <c r="G24" i="10"/>
  <c r="G10" i="10"/>
  <c r="I68" i="17"/>
  <c r="I12" i="17"/>
  <c r="I32" i="17"/>
  <c r="I55" i="17"/>
  <c r="I18" i="14"/>
  <c r="I19" i="17"/>
  <c r="I63" i="17"/>
  <c r="I16" i="14"/>
  <c r="I24" i="17"/>
  <c r="I27" i="17"/>
  <c r="I67" i="17"/>
  <c r="I43" i="17"/>
  <c r="I47" i="17"/>
  <c r="I7" i="17"/>
  <c r="G8" i="9"/>
  <c r="G8" i="5"/>
  <c r="I65" i="17"/>
  <c r="I32" i="18"/>
  <c r="I30" i="17"/>
  <c r="I15" i="3"/>
  <c r="I21" i="17"/>
  <c r="I42" i="17"/>
  <c r="I46" i="17"/>
  <c r="I32" i="13"/>
  <c r="G32" i="11"/>
  <c r="G34" i="10"/>
  <c r="I44" i="18"/>
  <c r="M24" i="17"/>
  <c r="M10" i="18"/>
  <c r="M19" i="14"/>
  <c r="M18" i="3"/>
  <c r="M64" i="17"/>
  <c r="M10" i="17"/>
  <c r="M17" i="14"/>
  <c r="M59" i="17"/>
  <c r="M12" i="17"/>
  <c r="M54" i="17"/>
  <c r="M59" i="18"/>
  <c r="M45" i="17"/>
  <c r="M19" i="17"/>
  <c r="M42" i="17"/>
  <c r="K9" i="9"/>
  <c r="K9" i="5"/>
  <c r="M73" i="17"/>
  <c r="M15" i="3"/>
  <c r="M21" i="17"/>
  <c r="M61" i="17"/>
  <c r="M29" i="17"/>
  <c r="M23" i="17"/>
  <c r="M39" i="17"/>
  <c r="M53" i="17"/>
  <c r="M63" i="17"/>
  <c r="M26" i="17"/>
  <c r="N19" i="17"/>
  <c r="N46" i="17"/>
  <c r="N62" i="17"/>
  <c r="N70" i="17"/>
  <c r="N60" i="17"/>
  <c r="N15" i="3"/>
  <c r="N21" i="17"/>
  <c r="N81" i="17"/>
  <c r="N45" i="17"/>
  <c r="N42" i="17"/>
  <c r="N10" i="17"/>
  <c r="N59" i="17"/>
  <c r="N29" i="17"/>
  <c r="N39" i="17"/>
  <c r="N32" i="17"/>
  <c r="N19" i="18"/>
  <c r="N63" i="17"/>
  <c r="N19" i="14"/>
  <c r="N8" i="17"/>
  <c r="N26" i="17"/>
  <c r="N83" i="17"/>
  <c r="N54" i="17"/>
  <c r="N17" i="3"/>
  <c r="N49" i="17"/>
  <c r="D23" i="13"/>
  <c r="D16" i="13"/>
  <c r="D34" i="13"/>
  <c r="D27" i="13"/>
  <c r="D19" i="13"/>
  <c r="C66" i="17"/>
  <c r="C48" i="17"/>
  <c r="C9" i="17"/>
  <c r="C22" i="17"/>
  <c r="C47" i="17"/>
  <c r="C68" i="17"/>
  <c r="C20" i="17"/>
  <c r="C28" i="17"/>
  <c r="C19" i="18"/>
  <c r="C18" i="17"/>
  <c r="C67" i="17"/>
  <c r="C12" i="14"/>
  <c r="C33" i="17"/>
  <c r="C56" i="18"/>
  <c r="C38" i="17"/>
  <c r="C10" i="18"/>
  <c r="C11" i="17"/>
  <c r="C30" i="17"/>
  <c r="C55" i="17"/>
  <c r="C57" i="17"/>
  <c r="C41" i="17"/>
  <c r="C51" i="17"/>
  <c r="L39" i="17"/>
  <c r="L46" i="17"/>
  <c r="L15" i="3"/>
  <c r="L21" i="17"/>
  <c r="L11" i="14"/>
  <c r="L29" i="17"/>
  <c r="L27" i="17"/>
  <c r="L67" i="17"/>
  <c r="L10" i="18"/>
  <c r="L54" i="17"/>
  <c r="L62" i="17"/>
  <c r="L12" i="17"/>
  <c r="L37" i="17"/>
  <c r="L112" i="18"/>
  <c r="L18" i="3"/>
  <c r="L64" i="17"/>
  <c r="L19" i="17"/>
  <c r="L32" i="17"/>
  <c r="L17" i="3"/>
  <c r="L49" i="17"/>
  <c r="L10" i="17"/>
  <c r="L83" i="17"/>
  <c r="J8" i="9"/>
  <c r="J8" i="5"/>
  <c r="L65" i="17"/>
  <c r="J9" i="9"/>
  <c r="J9" i="5"/>
  <c r="L73" i="17"/>
  <c r="L68" i="17"/>
  <c r="F18" i="14"/>
  <c r="F67" i="17"/>
  <c r="F11" i="17"/>
  <c r="F51" i="17"/>
  <c r="F44" i="17"/>
  <c r="F47" i="17"/>
  <c r="F43" i="17"/>
  <c r="F66" i="17"/>
  <c r="F55" i="17"/>
  <c r="F18" i="17"/>
  <c r="F27" i="17"/>
  <c r="F56" i="17"/>
  <c r="F37" i="17"/>
  <c r="F9" i="17"/>
  <c r="F25" i="18"/>
  <c r="F22" i="17"/>
  <c r="F33" i="17"/>
  <c r="F61" i="18"/>
  <c r="F26" i="18"/>
  <c r="F25" i="17"/>
  <c r="F72" i="17"/>
  <c r="F12" i="14"/>
  <c r="X9" i="17"/>
  <c r="X51" i="17"/>
  <c r="X12" i="17"/>
  <c r="X19" i="18"/>
  <c r="X22" i="17"/>
  <c r="X71" i="17"/>
  <c r="X18" i="14"/>
  <c r="X37" i="17"/>
  <c r="X83" i="17"/>
  <c r="X33" i="17"/>
  <c r="X38" i="17"/>
  <c r="X48" i="17"/>
  <c r="X58" i="17"/>
  <c r="X56" i="18"/>
  <c r="X16" i="14"/>
  <c r="X30" i="17"/>
  <c r="X14" i="18"/>
  <c r="X56" i="17"/>
  <c r="X7" i="17"/>
  <c r="X25" i="17"/>
  <c r="X44" i="17"/>
  <c r="X27" i="17"/>
  <c r="P83" i="17"/>
  <c r="P17" i="14"/>
  <c r="P31" i="17"/>
  <c r="P28" i="17"/>
  <c r="P23" i="17"/>
  <c r="P69" i="17"/>
  <c r="P41" i="17"/>
  <c r="P62" i="17"/>
  <c r="P8" i="17"/>
  <c r="P60" i="17"/>
  <c r="P61" i="17"/>
  <c r="P26" i="17"/>
  <c r="P17" i="3"/>
  <c r="P49" i="17"/>
  <c r="P20" i="17"/>
  <c r="P42" i="17"/>
  <c r="P53" i="17"/>
  <c r="P81" i="17"/>
  <c r="P29" i="17"/>
  <c r="P19" i="14"/>
  <c r="P45" i="17"/>
  <c r="P52" i="17"/>
  <c r="P63" i="17"/>
  <c r="S61" i="17"/>
  <c r="S33" i="17"/>
  <c r="S17" i="3"/>
  <c r="S49" i="17"/>
  <c r="S41" i="17"/>
  <c r="S53" i="17"/>
  <c r="Q9" i="9"/>
  <c r="Q9" i="5"/>
  <c r="S73" i="17"/>
  <c r="S34" i="18"/>
  <c r="S38" i="17"/>
  <c r="S12" i="14"/>
  <c r="S48" i="17"/>
  <c r="S18" i="17"/>
  <c r="S45" i="17"/>
  <c r="S20" i="17"/>
  <c r="S28" i="17"/>
  <c r="S69" i="17"/>
  <c r="S24" i="18"/>
  <c r="S57" i="17"/>
  <c r="S23" i="17"/>
  <c r="S11" i="17"/>
  <c r="S52" i="17"/>
  <c r="S58" i="17"/>
  <c r="S31" i="17"/>
  <c r="H18" i="14"/>
  <c r="H69" i="17"/>
  <c r="H7" i="17"/>
  <c r="H37" i="17"/>
  <c r="H51" i="17"/>
  <c r="H55" i="17"/>
  <c r="H33" i="17"/>
  <c r="H18" i="3"/>
  <c r="H64" i="17"/>
  <c r="H68" i="17"/>
  <c r="H9" i="17"/>
  <c r="H66" i="17"/>
  <c r="F8" i="9"/>
  <c r="F8" i="5"/>
  <c r="H65" i="17"/>
  <c r="H58" i="18"/>
  <c r="H32" i="17"/>
  <c r="H56" i="17"/>
  <c r="H30" i="17"/>
  <c r="H22" i="17"/>
  <c r="H24" i="17"/>
  <c r="H54" i="17"/>
  <c r="H27" i="17"/>
  <c r="H16" i="14"/>
  <c r="H72" i="17"/>
  <c r="O11" i="14"/>
  <c r="O17" i="14"/>
  <c r="O70" i="17"/>
  <c r="O17" i="3"/>
  <c r="O49" i="17"/>
  <c r="O53" i="17"/>
  <c r="O42" i="17"/>
  <c r="O10" i="17"/>
  <c r="O19" i="14"/>
  <c r="O26" i="17"/>
  <c r="O8" i="17"/>
  <c r="O32" i="17"/>
  <c r="O23" i="17"/>
  <c r="O62" i="17"/>
  <c r="O39" i="17"/>
  <c r="O46" i="17"/>
  <c r="M9" i="9"/>
  <c r="M9" i="5"/>
  <c r="O73" i="17"/>
  <c r="O54" i="17"/>
  <c r="O43" i="18"/>
  <c r="O69" i="17"/>
  <c r="O59" i="17"/>
  <c r="O45" i="17"/>
  <c r="O61" i="17"/>
  <c r="E67" i="17"/>
  <c r="E66" i="17"/>
  <c r="E18" i="17"/>
  <c r="E14" i="18"/>
  <c r="E38" i="17"/>
  <c r="E22" i="17"/>
  <c r="E9" i="17"/>
  <c r="E30" i="17"/>
  <c r="E82" i="17"/>
  <c r="E44" i="17"/>
  <c r="E75" i="17"/>
  <c r="E51" i="17"/>
  <c r="E56" i="17"/>
  <c r="E20" i="17"/>
  <c r="E72" i="17"/>
  <c r="E11" i="18"/>
  <c r="E28" i="17"/>
  <c r="E33" i="17"/>
  <c r="E25" i="17"/>
  <c r="E11" i="17"/>
  <c r="E55" i="17"/>
  <c r="E47" i="17"/>
  <c r="Q59" i="17"/>
  <c r="Q52" i="17"/>
  <c r="Q29" i="17"/>
  <c r="Q8" i="17"/>
  <c r="Q70" i="17"/>
  <c r="Q39" i="17"/>
  <c r="Q17" i="3"/>
  <c r="Q49" i="17"/>
  <c r="Q17" i="14"/>
  <c r="Q20" i="17"/>
  <c r="Q53" i="17"/>
  <c r="Q69" i="17"/>
  <c r="Q32" i="18"/>
  <c r="Q60" i="17"/>
  <c r="Q23" i="17"/>
  <c r="Q41" i="17"/>
  <c r="Q48" i="17"/>
  <c r="Q11" i="17"/>
  <c r="Q71" i="17"/>
  <c r="Q13" i="18"/>
  <c r="Q31" i="17"/>
  <c r="Q25" i="18"/>
  <c r="Q26" i="17"/>
  <c r="W14" i="18"/>
  <c r="W57" i="17"/>
  <c r="W18" i="14"/>
  <c r="W59" i="17"/>
  <c r="W70" i="17"/>
  <c r="W18" i="17"/>
  <c r="W58" i="17"/>
  <c r="W47" i="17"/>
  <c r="W25" i="17"/>
  <c r="W44" i="17"/>
  <c r="W30" i="17"/>
  <c r="W83" i="17"/>
  <c r="W51" i="17"/>
  <c r="W38" i="17"/>
  <c r="W28" i="17"/>
  <c r="W43" i="17"/>
  <c r="W41" i="17"/>
  <c r="W9" i="17"/>
  <c r="W27" i="17"/>
  <c r="W48" i="17"/>
  <c r="W33" i="17"/>
  <c r="W7" i="17"/>
  <c r="AA24" i="17"/>
  <c r="AA56" i="17"/>
  <c r="AA47" i="17"/>
  <c r="AA30" i="17"/>
  <c r="AA27" i="17"/>
  <c r="AA54" i="17"/>
  <c r="AA38" i="17"/>
  <c r="AA16" i="14"/>
  <c r="AA42" i="17"/>
  <c r="AA46" i="17"/>
  <c r="AA10" i="17"/>
  <c r="AA37" i="17"/>
  <c r="AA57" i="17"/>
  <c r="AA12" i="17"/>
  <c r="Y8" i="9"/>
  <c r="Y8" i="5"/>
  <c r="AA65" i="17"/>
  <c r="AA66" i="17"/>
  <c r="AA43" i="17"/>
  <c r="AA55" i="17"/>
  <c r="AA15" i="3"/>
  <c r="AA21" i="17"/>
  <c r="AA32" i="17"/>
  <c r="AA19" i="14"/>
  <c r="AA19" i="17"/>
  <c r="Y57" i="17"/>
  <c r="Y22" i="17"/>
  <c r="Y56" i="17"/>
  <c r="Y12" i="17"/>
  <c r="Y47" i="17"/>
  <c r="Y71" i="17"/>
  <c r="Y18" i="14"/>
  <c r="Y16" i="14"/>
  <c r="Y33" i="17"/>
  <c r="Y51" i="17"/>
  <c r="Y27" i="17"/>
  <c r="Y43" i="17"/>
  <c r="Y19" i="18"/>
  <c r="Y44" i="17"/>
  <c r="Y7" i="17"/>
  <c r="Y59" i="17"/>
  <c r="Y81" i="17"/>
  <c r="Y30" i="17"/>
  <c r="Y44" i="18"/>
  <c r="Y32" i="13"/>
  <c r="W32" i="11"/>
  <c r="W34" i="10"/>
  <c r="Y25" i="17"/>
  <c r="Y41" i="17"/>
  <c r="R31" i="17"/>
  <c r="R48" i="17"/>
  <c r="R26" i="17"/>
  <c r="R58" i="17"/>
  <c r="R61" i="17"/>
  <c r="R11" i="17"/>
  <c r="R17" i="14"/>
  <c r="R23" i="17"/>
  <c r="R31" i="13"/>
  <c r="P31" i="11"/>
  <c r="P33" i="10"/>
  <c r="R70" i="17"/>
  <c r="R39" i="17"/>
  <c r="K66" i="17"/>
  <c r="R62" i="17"/>
  <c r="R28" i="17"/>
  <c r="K27" i="17"/>
  <c r="K55" i="17"/>
  <c r="R45" i="17"/>
  <c r="R41" i="17"/>
  <c r="K32" i="18"/>
  <c r="K39" i="18"/>
  <c r="R20" i="17"/>
  <c r="K25" i="18"/>
  <c r="R60" i="17"/>
  <c r="K62" i="17"/>
  <c r="R59" i="17"/>
  <c r="R18" i="17"/>
  <c r="K81" i="17"/>
  <c r="K75" i="17"/>
  <c r="R38" i="17"/>
  <c r="K56" i="17"/>
  <c r="K34" i="18"/>
  <c r="K29" i="18"/>
  <c r="R46" i="17"/>
  <c r="K18" i="18"/>
  <c r="R81" i="17"/>
  <c r="K16" i="14"/>
  <c r="K18" i="3"/>
  <c r="K64" i="17"/>
  <c r="K37" i="18"/>
  <c r="K71" i="17"/>
  <c r="K48" i="17"/>
  <c r="K31" i="18"/>
  <c r="K43" i="17"/>
  <c r="K26" i="18"/>
  <c r="K83" i="17"/>
  <c r="M67" i="17"/>
  <c r="M55" i="17"/>
  <c r="M24" i="18"/>
  <c r="M104" i="18"/>
  <c r="M27" i="18"/>
  <c r="M86" i="17"/>
  <c r="M69" i="17"/>
  <c r="M37" i="17"/>
  <c r="M8" i="18"/>
  <c r="M29" i="18"/>
  <c r="M46" i="17"/>
  <c r="M11" i="18"/>
  <c r="M62" i="17"/>
  <c r="M32" i="18"/>
  <c r="M34" i="18"/>
  <c r="M68" i="17"/>
  <c r="M81" i="17"/>
  <c r="M75" i="17"/>
  <c r="M65" i="18"/>
  <c r="M13" i="18"/>
  <c r="M60" i="17"/>
  <c r="M37" i="18"/>
  <c r="O44" i="18"/>
  <c r="O66" i="17"/>
  <c r="O39" i="18"/>
  <c r="O58" i="17"/>
  <c r="O75" i="18"/>
  <c r="O19" i="3"/>
  <c r="O74" i="17"/>
  <c r="O8" i="18"/>
  <c r="O46" i="18"/>
  <c r="O60" i="17"/>
  <c r="O27" i="18"/>
  <c r="O29" i="18"/>
  <c r="O72" i="17"/>
  <c r="O13" i="18"/>
  <c r="O38" i="18"/>
  <c r="O24" i="18"/>
  <c r="O86" i="17"/>
  <c r="O32" i="18"/>
  <c r="O44" i="17"/>
  <c r="O55" i="17"/>
  <c r="O10" i="18"/>
  <c r="O34" i="18"/>
  <c r="O37" i="17"/>
  <c r="V11" i="17"/>
  <c r="V53" i="17"/>
  <c r="V41" i="17"/>
  <c r="V28" i="17"/>
  <c r="T9" i="9"/>
  <c r="T9" i="5"/>
  <c r="V73" i="17"/>
  <c r="V25" i="17"/>
  <c r="V58" i="17"/>
  <c r="V38" i="17"/>
  <c r="V18" i="17"/>
  <c r="V70" i="17"/>
  <c r="V9" i="17"/>
  <c r="V18" i="14"/>
  <c r="V22" i="17"/>
  <c r="V57" i="17"/>
  <c r="V12" i="14"/>
  <c r="V11" i="18"/>
  <c r="V33" i="17"/>
  <c r="V60" i="17"/>
  <c r="V52" i="17"/>
  <c r="V62" i="17"/>
  <c r="V20" i="18"/>
  <c r="V44" i="17"/>
  <c r="S61" i="18"/>
  <c r="S39" i="18"/>
  <c r="S17" i="18"/>
  <c r="S62" i="17"/>
  <c r="S54" i="17"/>
  <c r="S21" i="18"/>
  <c r="S36" i="18"/>
  <c r="S82" i="17"/>
  <c r="S76" i="18"/>
  <c r="S56" i="17"/>
  <c r="S42" i="17"/>
  <c r="S22" i="18"/>
  <c r="S72" i="17"/>
  <c r="S58" i="18"/>
  <c r="S68" i="17"/>
  <c r="S19" i="3"/>
  <c r="S74" i="17"/>
  <c r="S12" i="18"/>
  <c r="S38" i="18"/>
  <c r="S10" i="18"/>
  <c r="S114" i="18"/>
  <c r="S70" i="17"/>
  <c r="S15" i="18"/>
  <c r="G57" i="17"/>
  <c r="G43" i="18"/>
  <c r="G41" i="17"/>
  <c r="G19" i="18"/>
  <c r="G113" i="18"/>
  <c r="G95" i="18"/>
  <c r="G67" i="18"/>
  <c r="G68" i="17"/>
  <c r="G20" i="18"/>
  <c r="G48" i="17"/>
  <c r="G75" i="17"/>
  <c r="G72" i="18"/>
  <c r="G15" i="18"/>
  <c r="G9" i="18"/>
  <c r="G82" i="17"/>
  <c r="G68" i="18"/>
  <c r="G52" i="17"/>
  <c r="G11" i="18"/>
  <c r="G14" i="18"/>
  <c r="G29" i="18"/>
  <c r="G66" i="17"/>
  <c r="G61" i="18"/>
  <c r="Z19" i="3"/>
  <c r="Z74" i="17"/>
  <c r="Z33" i="17"/>
  <c r="Z24" i="17"/>
  <c r="U48" i="17"/>
  <c r="Z56" i="17"/>
  <c r="Z10" i="17"/>
  <c r="U60" i="17"/>
  <c r="U38" i="17"/>
  <c r="Z52" i="17"/>
  <c r="U30" i="17"/>
  <c r="Z117" i="18"/>
  <c r="Z43" i="17"/>
  <c r="U52" i="17"/>
  <c r="Z47" i="17"/>
  <c r="U9" i="17"/>
  <c r="Z51" i="17"/>
  <c r="U51" i="17"/>
  <c r="Z22" i="17"/>
  <c r="U17" i="3"/>
  <c r="U49" i="17"/>
  <c r="U71" i="17"/>
  <c r="Z58" i="17"/>
  <c r="Z37" i="17"/>
  <c r="U28" i="17"/>
  <c r="Z16" i="14"/>
  <c r="U18" i="17"/>
  <c r="Z48" i="17"/>
  <c r="U22" i="17"/>
  <c r="U63" i="17"/>
  <c r="Z32" i="17"/>
  <c r="Z70" i="17"/>
  <c r="Z12" i="17"/>
  <c r="Z30" i="17"/>
  <c r="Z81" i="17"/>
  <c r="U20" i="17"/>
  <c r="Z19" i="17"/>
  <c r="U25" i="17"/>
  <c r="U59" i="17"/>
  <c r="U11" i="17"/>
  <c r="U9" i="18"/>
  <c r="U31" i="17"/>
  <c r="U44" i="17"/>
  <c r="Z7" i="17"/>
  <c r="U33" i="17"/>
  <c r="U61" i="17"/>
  <c r="D33" i="17"/>
  <c r="D28" i="17"/>
  <c r="D15" i="18"/>
  <c r="D63" i="17"/>
  <c r="D82" i="17"/>
  <c r="D11" i="18"/>
  <c r="D44" i="17"/>
  <c r="D27" i="18"/>
  <c r="D47" i="17"/>
  <c r="D56" i="18"/>
  <c r="D83" i="18"/>
  <c r="D70" i="17"/>
  <c r="D57" i="17"/>
  <c r="D52" i="18"/>
  <c r="D41" i="17"/>
  <c r="D68" i="18"/>
  <c r="D62" i="18"/>
  <c r="D48" i="17"/>
  <c r="D59" i="17"/>
  <c r="D12" i="18"/>
  <c r="D61" i="17"/>
  <c r="D38" i="17"/>
  <c r="N24" i="18"/>
  <c r="N38" i="18"/>
  <c r="N34" i="18"/>
  <c r="N31" i="18"/>
  <c r="N32" i="18"/>
  <c r="N26" i="18"/>
  <c r="N61" i="18"/>
  <c r="N67" i="17"/>
  <c r="N53" i="17"/>
  <c r="L8" i="9"/>
  <c r="L8" i="5"/>
  <c r="N65" i="17"/>
  <c r="N86" i="17"/>
  <c r="N18" i="3"/>
  <c r="N64" i="17"/>
  <c r="N29" i="18"/>
  <c r="N36" i="18"/>
  <c r="N69" i="17"/>
  <c r="N37" i="18"/>
  <c r="N44" i="18"/>
  <c r="N13" i="18"/>
  <c r="N104" i="18"/>
  <c r="N43" i="17"/>
  <c r="N10" i="18"/>
  <c r="N8" i="18"/>
  <c r="L18" i="18"/>
  <c r="L69" i="17"/>
  <c r="L32" i="18"/>
  <c r="L54" i="18"/>
  <c r="L66" i="17"/>
  <c r="L71" i="17"/>
  <c r="L53" i="17"/>
  <c r="L72" i="17"/>
  <c r="L37" i="18"/>
  <c r="L11" i="18"/>
  <c r="L59" i="18"/>
  <c r="L19" i="18"/>
  <c r="L34" i="18"/>
  <c r="L55" i="17"/>
  <c r="L86" i="17"/>
  <c r="L25" i="18"/>
  <c r="L26" i="18"/>
  <c r="L13" i="18"/>
  <c r="L82" i="18"/>
  <c r="L39" i="18"/>
  <c r="L47" i="17"/>
  <c r="L81" i="17"/>
  <c r="Q19" i="3"/>
  <c r="Q74" i="17"/>
  <c r="Q58" i="18"/>
  <c r="O8" i="9"/>
  <c r="O8" i="5"/>
  <c r="Q65" i="17"/>
  <c r="Q15" i="18"/>
  <c r="Q68" i="17"/>
  <c r="Q72" i="17"/>
  <c r="Q75" i="17"/>
  <c r="Q86" i="17"/>
  <c r="Q37" i="18"/>
  <c r="Q27" i="18"/>
  <c r="Q42" i="17"/>
  <c r="Q58" i="17"/>
  <c r="Q8" i="18"/>
  <c r="Q67" i="17"/>
  <c r="Q63" i="17"/>
  <c r="Q17" i="18"/>
  <c r="Q56" i="17"/>
  <c r="Q38" i="18"/>
  <c r="Q10" i="18"/>
  <c r="Q22" i="18"/>
  <c r="Q36" i="18"/>
  <c r="Q24" i="18"/>
  <c r="H95" i="18"/>
  <c r="H59" i="17"/>
  <c r="H72" i="18"/>
  <c r="H44" i="17"/>
  <c r="H11" i="18"/>
  <c r="H67" i="18"/>
  <c r="H29" i="17"/>
  <c r="H31" i="18"/>
  <c r="H38" i="17"/>
  <c r="H75" i="17"/>
  <c r="H26" i="18"/>
  <c r="H9" i="18"/>
  <c r="H20" i="18"/>
  <c r="F9" i="9"/>
  <c r="F9" i="5"/>
  <c r="H73" i="17"/>
  <c r="H61" i="18"/>
  <c r="H43" i="18"/>
  <c r="H46" i="18"/>
  <c r="H25" i="18"/>
  <c r="H57" i="17"/>
  <c r="H43" i="17"/>
  <c r="H19" i="18"/>
  <c r="H14" i="18"/>
  <c r="P13" i="18"/>
  <c r="N8" i="9"/>
  <c r="N8" i="5"/>
  <c r="P65" i="17"/>
  <c r="P29" i="18"/>
  <c r="P36" i="18"/>
  <c r="P8" i="18"/>
  <c r="P86" i="17"/>
  <c r="P96" i="18"/>
  <c r="P10" i="18"/>
  <c r="P24" i="18"/>
  <c r="P68" i="17"/>
  <c r="P19" i="3"/>
  <c r="P74" i="17"/>
  <c r="P67" i="17"/>
  <c r="P71" i="18"/>
  <c r="P32" i="18"/>
  <c r="P51" i="17"/>
  <c r="P18" i="3"/>
  <c r="P64" i="17"/>
  <c r="P67" i="18"/>
  <c r="P27" i="18"/>
  <c r="P17" i="18"/>
  <c r="P38" i="18"/>
  <c r="P34" i="18"/>
  <c r="P56" i="18"/>
  <c r="F11" i="18"/>
  <c r="F20" i="18"/>
  <c r="F9" i="18"/>
  <c r="F117" i="18"/>
  <c r="F68" i="17"/>
  <c r="F61" i="17"/>
  <c r="F105" i="18"/>
  <c r="F58" i="17"/>
  <c r="F59" i="17"/>
  <c r="F21" i="18"/>
  <c r="F106" i="18"/>
  <c r="F46" i="18"/>
  <c r="F27" i="18"/>
  <c r="F45" i="17"/>
  <c r="F31" i="17"/>
  <c r="F17" i="3"/>
  <c r="F49" i="17"/>
  <c r="F38" i="17"/>
  <c r="F75" i="17"/>
  <c r="D8" i="9"/>
  <c r="D8" i="5"/>
  <c r="F65" i="17"/>
  <c r="F14" i="18"/>
  <c r="F72" i="18"/>
  <c r="F82" i="17"/>
  <c r="H9" i="9"/>
  <c r="H9" i="5"/>
  <c r="J73" i="17"/>
  <c r="J75" i="17"/>
  <c r="J52" i="18"/>
  <c r="J55" i="17"/>
  <c r="J83" i="17"/>
  <c r="J37" i="18"/>
  <c r="J47" i="17"/>
  <c r="J25" i="18"/>
  <c r="J36" i="18"/>
  <c r="J31" i="18"/>
  <c r="J30" i="17"/>
  <c r="J27" i="17"/>
  <c r="J57" i="17"/>
  <c r="J71" i="17"/>
  <c r="J51" i="17"/>
  <c r="J56" i="18"/>
  <c r="J44" i="18"/>
  <c r="J18" i="18"/>
  <c r="J61" i="17"/>
  <c r="J45" i="17"/>
  <c r="J26" i="18"/>
  <c r="J14" i="18"/>
  <c r="E56" i="18"/>
  <c r="E59" i="18"/>
  <c r="E9" i="18"/>
  <c r="E68" i="17"/>
  <c r="E58" i="17"/>
  <c r="E52" i="17"/>
  <c r="E52" i="18"/>
  <c r="E19" i="18"/>
  <c r="E70" i="17"/>
  <c r="E19" i="3"/>
  <c r="E74" i="17"/>
  <c r="E69" i="18"/>
  <c r="E42" i="17"/>
  <c r="E12" i="18"/>
  <c r="E24" i="17"/>
  <c r="E68" i="18"/>
  <c r="E10" i="18"/>
  <c r="E54" i="17"/>
  <c r="E81" i="18"/>
  <c r="E20" i="18"/>
  <c r="E21" i="18"/>
  <c r="E54" i="18"/>
  <c r="E27" i="18"/>
  <c r="T45" i="17"/>
  <c r="T82" i="17"/>
  <c r="T67" i="17"/>
  <c r="T24" i="18"/>
  <c r="T39" i="17"/>
  <c r="T17" i="18"/>
  <c r="T70" i="17"/>
  <c r="T33" i="17"/>
  <c r="T15" i="18"/>
  <c r="T86" i="17"/>
  <c r="T69" i="17"/>
  <c r="T47" i="17"/>
  <c r="T12" i="18"/>
  <c r="T53" i="17"/>
  <c r="T63" i="17"/>
  <c r="T22" i="18"/>
  <c r="T61" i="17"/>
  <c r="T51" i="17"/>
  <c r="T10" i="18"/>
  <c r="T76" i="18"/>
  <c r="T31" i="17"/>
  <c r="T36" i="18"/>
  <c r="Z66" i="12"/>
  <c r="Z42" i="18"/>
  <c r="Z7" i="14"/>
  <c r="Z41" i="18"/>
  <c r="Z38" i="13"/>
  <c r="Z80" i="17"/>
  <c r="Z63" i="12"/>
  <c r="Z41" i="13"/>
  <c r="X19" i="7"/>
  <c r="X52" i="11"/>
  <c r="X54" i="10"/>
  <c r="X18" i="4"/>
  <c r="X20" i="2"/>
  <c r="Z77" i="18"/>
  <c r="Z85" i="17"/>
  <c r="Z91" i="17"/>
  <c r="Z88" i="17"/>
  <c r="Z39" i="13"/>
  <c r="Z40" i="13"/>
  <c r="X18" i="7"/>
  <c r="X51" i="11"/>
  <c r="X53" i="10"/>
  <c r="Z55" i="12"/>
  <c r="Z8" i="14"/>
  <c r="Z62" i="12"/>
  <c r="Z13" i="14"/>
  <c r="Z52" i="12"/>
  <c r="Z50" i="12"/>
  <c r="Z49" i="12"/>
  <c r="Z102" i="18"/>
  <c r="U36" i="18"/>
  <c r="U12" i="18"/>
  <c r="U24" i="17"/>
  <c r="U22" i="18"/>
  <c r="U54" i="17"/>
  <c r="U21" i="18"/>
  <c r="U70" i="17"/>
  <c r="U19" i="3"/>
  <c r="U74" i="17"/>
  <c r="U38" i="18"/>
  <c r="U54" i="18"/>
  <c r="U42" i="17"/>
  <c r="U37" i="18"/>
  <c r="U8" i="18"/>
  <c r="U68" i="17"/>
  <c r="U86" i="17"/>
  <c r="U31" i="18"/>
  <c r="U58" i="17"/>
  <c r="U10" i="18"/>
  <c r="U39" i="18"/>
  <c r="U32" i="18"/>
  <c r="U90" i="18"/>
  <c r="U24" i="18"/>
  <c r="V80" i="17"/>
  <c r="V63" i="18"/>
  <c r="V130" i="18"/>
  <c r="V7" i="14"/>
  <c r="V38" i="13"/>
  <c r="V14" i="14"/>
  <c r="T16" i="7"/>
  <c r="T47" i="11"/>
  <c r="T49" i="10"/>
  <c r="V62" i="12"/>
  <c r="V28" i="18"/>
  <c r="V66" i="12"/>
  <c r="V27" i="12"/>
  <c r="V84" i="17"/>
  <c r="V85" i="17"/>
  <c r="V40" i="18"/>
  <c r="V91" i="17"/>
  <c r="V128" i="18"/>
  <c r="V39" i="13"/>
  <c r="V51" i="12"/>
  <c r="V49" i="12"/>
  <c r="V41" i="13"/>
  <c r="T19" i="7"/>
  <c r="T52" i="11"/>
  <c r="T54" i="10"/>
  <c r="T18" i="4"/>
  <c r="T20" i="2"/>
  <c r="V8" i="14"/>
  <c r="V64" i="12"/>
  <c r="R18" i="3"/>
  <c r="R64" i="17"/>
  <c r="R15" i="18"/>
  <c r="R58" i="18"/>
  <c r="R69" i="17"/>
  <c r="R53" i="17"/>
  <c r="R44" i="18"/>
  <c r="R36" i="18"/>
  <c r="R114" i="18"/>
  <c r="R17" i="18"/>
  <c r="R63" i="17"/>
  <c r="R96" i="18"/>
  <c r="R82" i="17"/>
  <c r="R86" i="17"/>
  <c r="R38" i="18"/>
  <c r="R31" i="18"/>
  <c r="R54" i="17"/>
  <c r="R37" i="17"/>
  <c r="R72" i="17"/>
  <c r="R115" i="18"/>
  <c r="R17" i="3"/>
  <c r="R49" i="17"/>
  <c r="R27" i="18"/>
  <c r="P8" i="9"/>
  <c r="P8" i="5"/>
  <c r="R65" i="17"/>
  <c r="H41" i="13"/>
  <c r="F19" i="7"/>
  <c r="F52" i="11"/>
  <c r="F54" i="10"/>
  <c r="F18" i="4"/>
  <c r="F20" i="2"/>
  <c r="H25" i="12"/>
  <c r="H80" i="17"/>
  <c r="H50" i="18"/>
  <c r="H85" i="17"/>
  <c r="H42" i="18"/>
  <c r="H13" i="14"/>
  <c r="H14" i="14"/>
  <c r="H8" i="14"/>
  <c r="F6" i="7"/>
  <c r="H20" i="3"/>
  <c r="H79" i="17"/>
  <c r="H64" i="12"/>
  <c r="H28" i="18"/>
  <c r="H7" i="14"/>
  <c r="H98" i="18"/>
  <c r="H49" i="12"/>
  <c r="H40" i="13"/>
  <c r="F18" i="7"/>
  <c r="F51" i="11"/>
  <c r="F53" i="10"/>
  <c r="H91" i="17"/>
  <c r="H38" i="13"/>
  <c r="H63" i="12"/>
  <c r="H39" i="13"/>
  <c r="H52" i="12"/>
  <c r="H33" i="18"/>
  <c r="Z22" i="18"/>
  <c r="Z83" i="17"/>
  <c r="Z61" i="17"/>
  <c r="Z57" i="17"/>
  <c r="Z53" i="18"/>
  <c r="Z44" i="18"/>
  <c r="Z71" i="17"/>
  <c r="Z27" i="17"/>
  <c r="X9" i="9"/>
  <c r="X9" i="5"/>
  <c r="Z73" i="17"/>
  <c r="Z61" i="18"/>
  <c r="Z82" i="17"/>
  <c r="Z9" i="18"/>
  <c r="Z20" i="18"/>
  <c r="Z75" i="17"/>
  <c r="Z34" i="18"/>
  <c r="Z15" i="18"/>
  <c r="Z45" i="17"/>
  <c r="Z55" i="17"/>
  <c r="Z21" i="18"/>
  <c r="Z12" i="18"/>
  <c r="Z14" i="18"/>
  <c r="Z56" i="18"/>
  <c r="C44" i="17"/>
  <c r="C82" i="17"/>
  <c r="C21" i="18"/>
  <c r="C72" i="17"/>
  <c r="C52" i="17"/>
  <c r="C58" i="17"/>
  <c r="C20" i="18"/>
  <c r="C70" i="17"/>
  <c r="C69" i="18"/>
  <c r="C12" i="18"/>
  <c r="C56" i="17"/>
  <c r="C54" i="17"/>
  <c r="C43" i="18"/>
  <c r="C86" i="17"/>
  <c r="C45" i="17"/>
  <c r="C52" i="18"/>
  <c r="C26" i="17"/>
  <c r="C15" i="18"/>
  <c r="C8" i="18"/>
  <c r="C60" i="17"/>
  <c r="C17" i="18"/>
  <c r="C31" i="17"/>
  <c r="U52" i="12"/>
  <c r="U55" i="12"/>
  <c r="U91" i="17"/>
  <c r="U38" i="13"/>
  <c r="U41" i="13"/>
  <c r="S19" i="7"/>
  <c r="S52" i="11"/>
  <c r="S54" i="10"/>
  <c r="S18" i="4"/>
  <c r="S20" i="2"/>
  <c r="U63" i="12"/>
  <c r="U84" i="17"/>
  <c r="U39" i="13"/>
  <c r="U49" i="12"/>
  <c r="U40" i="13"/>
  <c r="S18" i="7"/>
  <c r="S51" i="11"/>
  <c r="S53" i="10"/>
  <c r="U7" i="14"/>
  <c r="U8" i="14"/>
  <c r="U50" i="18"/>
  <c r="U13" i="14"/>
  <c r="U33" i="18"/>
  <c r="U63" i="18"/>
  <c r="U41" i="18"/>
  <c r="U102" i="18"/>
  <c r="U51" i="18"/>
  <c r="U85" i="17"/>
  <c r="U80" i="17"/>
  <c r="U64" i="12"/>
  <c r="Y58" i="18"/>
  <c r="Y9" i="18"/>
  <c r="Y18" i="3"/>
  <c r="Y64" i="17"/>
  <c r="Y54" i="17"/>
  <c r="Y38" i="17"/>
  <c r="Y70" i="17"/>
  <c r="Y83" i="17"/>
  <c r="Y60" i="17"/>
  <c r="Y106" i="18"/>
  <c r="Y14" i="18"/>
  <c r="Y22" i="18"/>
  <c r="Y66" i="17"/>
  <c r="Y37" i="18"/>
  <c r="Y20" i="17"/>
  <c r="Y12" i="18"/>
  <c r="Y34" i="18"/>
  <c r="Y39" i="18"/>
  <c r="W9" i="9"/>
  <c r="W9" i="5"/>
  <c r="Y73" i="17"/>
  <c r="Y20" i="18"/>
  <c r="Y53" i="18"/>
  <c r="Y15" i="18"/>
  <c r="Y72" i="17"/>
  <c r="W56" i="18"/>
  <c r="W20" i="18"/>
  <c r="W21" i="18"/>
  <c r="W56" i="17"/>
  <c r="W9" i="18"/>
  <c r="W12" i="18"/>
  <c r="W45" i="17"/>
  <c r="W95" i="18"/>
  <c r="W15" i="18"/>
  <c r="W116" i="18"/>
  <c r="W72" i="17"/>
  <c r="W52" i="18"/>
  <c r="W37" i="18"/>
  <c r="W22" i="17"/>
  <c r="U9" i="9"/>
  <c r="U9" i="5"/>
  <c r="W73" i="17"/>
  <c r="W68" i="17"/>
  <c r="W69" i="17"/>
  <c r="W75" i="17"/>
  <c r="W66" i="17"/>
  <c r="W52" i="17"/>
  <c r="W34" i="18"/>
  <c r="W81" i="18"/>
  <c r="J85" i="17"/>
  <c r="J42" i="18"/>
  <c r="J80" i="17"/>
  <c r="J7" i="14"/>
  <c r="J41" i="13"/>
  <c r="H19" i="7"/>
  <c r="H52" i="11"/>
  <c r="H54" i="10"/>
  <c r="H18" i="4"/>
  <c r="H20" i="2"/>
  <c r="J28" i="18"/>
  <c r="J39" i="13"/>
  <c r="J40" i="13"/>
  <c r="H18" i="7"/>
  <c r="H51" i="11"/>
  <c r="H53" i="10"/>
  <c r="J49" i="18"/>
  <c r="J13" i="14"/>
  <c r="J91" i="17"/>
  <c r="J52" i="12"/>
  <c r="J38" i="13"/>
  <c r="J28" i="12"/>
  <c r="J8" i="14"/>
  <c r="J63" i="12"/>
  <c r="J62" i="12"/>
  <c r="J14" i="14"/>
  <c r="J127" i="18"/>
  <c r="J66" i="12"/>
  <c r="J88" i="17"/>
  <c r="J50" i="12"/>
  <c r="X52" i="17"/>
  <c r="X70" i="17"/>
  <c r="X57" i="17"/>
  <c r="X61" i="17"/>
  <c r="X29" i="17"/>
  <c r="X22" i="18"/>
  <c r="X63" i="17"/>
  <c r="X59" i="17"/>
  <c r="X54" i="18"/>
  <c r="X39" i="18"/>
  <c r="X75" i="17"/>
  <c r="X37" i="18"/>
  <c r="X38" i="18"/>
  <c r="X52" i="18"/>
  <c r="V9" i="9"/>
  <c r="V9" i="5"/>
  <c r="X73" i="17"/>
  <c r="X47" i="17"/>
  <c r="X11" i="18"/>
  <c r="X20" i="18"/>
  <c r="X9" i="18"/>
  <c r="X43" i="17"/>
  <c r="X44" i="18"/>
  <c r="X82" i="17"/>
  <c r="I82" i="17"/>
  <c r="I70" i="17"/>
  <c r="I46" i="18"/>
  <c r="I69" i="18"/>
  <c r="G9" i="9"/>
  <c r="G9" i="5"/>
  <c r="I73" i="17"/>
  <c r="I15" i="18"/>
  <c r="I54" i="17"/>
  <c r="I71" i="18"/>
  <c r="I66" i="17"/>
  <c r="I18" i="3"/>
  <c r="I64" i="17"/>
  <c r="I14" i="18"/>
  <c r="I27" i="18"/>
  <c r="I20" i="18"/>
  <c r="I31" i="18"/>
  <c r="I75" i="17"/>
  <c r="I26" i="18"/>
  <c r="I83" i="17"/>
  <c r="I72" i="17"/>
  <c r="I56" i="17"/>
  <c r="I19" i="18"/>
  <c r="I38" i="17"/>
  <c r="I9" i="18"/>
  <c r="G49" i="18"/>
  <c r="G45" i="18"/>
  <c r="G64" i="12"/>
  <c r="G8" i="14"/>
  <c r="G98" i="18"/>
  <c r="G28" i="12"/>
  <c r="G28" i="18"/>
  <c r="G84" i="17"/>
  <c r="G80" i="17"/>
  <c r="G91" i="17"/>
  <c r="G7" i="14"/>
  <c r="G51" i="12"/>
  <c r="G97" i="18"/>
  <c r="G85" i="17"/>
  <c r="G41" i="13"/>
  <c r="E19" i="7"/>
  <c r="E52" i="11"/>
  <c r="E54" i="10"/>
  <c r="E18" i="4"/>
  <c r="E20" i="2"/>
  <c r="G33" i="18"/>
  <c r="G40" i="13"/>
  <c r="E18" i="7"/>
  <c r="E51" i="11"/>
  <c r="E53" i="10"/>
  <c r="G63" i="12"/>
  <c r="G38" i="13"/>
  <c r="G62" i="12"/>
  <c r="G39" i="13"/>
  <c r="G14" i="14"/>
  <c r="R80" i="18"/>
  <c r="R88" i="17"/>
  <c r="R40" i="13"/>
  <c r="P18" i="7"/>
  <c r="P51" i="11"/>
  <c r="P53" i="10"/>
  <c r="R84" i="17"/>
  <c r="R39" i="13"/>
  <c r="R80" i="17"/>
  <c r="R55" i="12"/>
  <c r="R38" i="13"/>
  <c r="R40" i="18"/>
  <c r="R64" i="18"/>
  <c r="R50" i="12"/>
  <c r="R33" i="18"/>
  <c r="R99" i="18"/>
  <c r="R7" i="14"/>
  <c r="R14" i="14"/>
  <c r="R64" i="12"/>
  <c r="R66" i="12"/>
  <c r="P6" i="7"/>
  <c r="R20" i="3"/>
  <c r="R79" i="17"/>
  <c r="R13" i="14"/>
  <c r="R48" i="18"/>
  <c r="R85" i="17"/>
  <c r="R51" i="18"/>
  <c r="W41" i="13"/>
  <c r="U19" i="7"/>
  <c r="U52" i="11"/>
  <c r="U54" i="10"/>
  <c r="U18" i="4"/>
  <c r="U20" i="2"/>
  <c r="W39" i="13"/>
  <c r="W85" i="17"/>
  <c r="W80" i="17"/>
  <c r="W13" i="14"/>
  <c r="W88" i="17"/>
  <c r="W91" i="17"/>
  <c r="W28" i="18"/>
  <c r="W63" i="12"/>
  <c r="W41" i="18"/>
  <c r="U6" i="7"/>
  <c r="W20" i="3"/>
  <c r="W79" i="17"/>
  <c r="W49" i="12"/>
  <c r="W45" i="18"/>
  <c r="W50" i="12"/>
  <c r="W40" i="13"/>
  <c r="U18" i="7"/>
  <c r="U51" i="11"/>
  <c r="U53" i="10"/>
  <c r="W14" i="14"/>
  <c r="W51" i="12"/>
  <c r="W52" i="12"/>
  <c r="W38" i="13"/>
  <c r="W84" i="17"/>
  <c r="W8" i="14"/>
  <c r="W33" i="18"/>
  <c r="X41" i="13"/>
  <c r="V19" i="7"/>
  <c r="V52" i="11"/>
  <c r="V54" i="10"/>
  <c r="V18" i="4"/>
  <c r="V20" i="2"/>
  <c r="X7" i="14"/>
  <c r="X63" i="12"/>
  <c r="X52" i="12"/>
  <c r="X25" i="12"/>
  <c r="X8" i="14"/>
  <c r="X84" i="17"/>
  <c r="X40" i="13"/>
  <c r="V18" i="7"/>
  <c r="V51" i="11"/>
  <c r="V53" i="10"/>
  <c r="X80" i="17"/>
  <c r="X50" i="12"/>
  <c r="X48" i="18"/>
  <c r="V6" i="7"/>
  <c r="X20" i="3"/>
  <c r="X79" i="17"/>
  <c r="X14" i="14"/>
  <c r="X49" i="12"/>
  <c r="X98" i="18"/>
  <c r="X39" i="13"/>
  <c r="X42" i="18"/>
  <c r="X64" i="12"/>
  <c r="X85" i="17"/>
  <c r="X91" i="17"/>
  <c r="X13" i="14"/>
  <c r="X45" i="18"/>
  <c r="AA18" i="3"/>
  <c r="AA64" i="17"/>
  <c r="AA59" i="17"/>
  <c r="AA82" i="17"/>
  <c r="AA48" i="17"/>
  <c r="AA81" i="17"/>
  <c r="AA83" i="17"/>
  <c r="Y9" i="9"/>
  <c r="Y9" i="5"/>
  <c r="AA73" i="17"/>
  <c r="AA52" i="17"/>
  <c r="AA39" i="18"/>
  <c r="AA14" i="18"/>
  <c r="AA68" i="17"/>
  <c r="AA75" i="18"/>
  <c r="AA12" i="18"/>
  <c r="AA61" i="18"/>
  <c r="AA71" i="17"/>
  <c r="AA11" i="18"/>
  <c r="AA70" i="17"/>
  <c r="AA37" i="18"/>
  <c r="AA34" i="18"/>
  <c r="AA62" i="17"/>
  <c r="AA107" i="18"/>
  <c r="AA20" i="18"/>
  <c r="V9" i="18"/>
  <c r="V21" i="18"/>
  <c r="V12" i="18"/>
  <c r="V68" i="17"/>
  <c r="V31" i="18"/>
  <c r="V10" i="18"/>
  <c r="V76" i="18"/>
  <c r="V61" i="17"/>
  <c r="V22" i="18"/>
  <c r="V31" i="17"/>
  <c r="V75" i="17"/>
  <c r="V59" i="18"/>
  <c r="V17" i="18"/>
  <c r="V59" i="17"/>
  <c r="V81" i="18"/>
  <c r="T8" i="9"/>
  <c r="T8" i="5"/>
  <c r="V65" i="17"/>
  <c r="V17" i="3"/>
  <c r="V49" i="17"/>
  <c r="V39" i="18"/>
  <c r="V82" i="17"/>
  <c r="V36" i="18"/>
  <c r="V44" i="18"/>
  <c r="V45" i="17"/>
  <c r="Y64" i="18"/>
  <c r="Y57" i="12"/>
  <c r="Y66" i="12"/>
  <c r="Y28" i="18"/>
  <c r="Y51" i="12"/>
  <c r="Y40" i="13"/>
  <c r="W18" i="7"/>
  <c r="W51" i="11"/>
  <c r="W53" i="10"/>
  <c r="Y13" i="14"/>
  <c r="Y48" i="18"/>
  <c r="Y39" i="13"/>
  <c r="Y38" i="13"/>
  <c r="Y41" i="13"/>
  <c r="W19" i="7"/>
  <c r="W52" i="11"/>
  <c r="W54" i="10"/>
  <c r="W18" i="4"/>
  <c r="W20" i="2"/>
  <c r="Y49" i="12"/>
  <c r="Y91" i="17"/>
  <c r="Y80" i="17"/>
  <c r="Y85" i="17"/>
  <c r="Y52" i="12"/>
  <c r="Y41" i="18"/>
  <c r="Y14" i="14"/>
  <c r="Y8" i="14"/>
  <c r="Y84" i="17"/>
  <c r="Y50" i="18"/>
  <c r="Y7" i="14"/>
  <c r="J6" i="7"/>
  <c r="L20" i="3"/>
  <c r="L79" i="17"/>
  <c r="L39" i="13"/>
  <c r="L64" i="12"/>
  <c r="L13" i="14"/>
  <c r="L85" i="17"/>
  <c r="L88" i="17"/>
  <c r="L50" i="18"/>
  <c r="L40" i="13"/>
  <c r="J18" i="7"/>
  <c r="J51" i="11"/>
  <c r="J53" i="10"/>
  <c r="L66" i="12"/>
  <c r="L91" i="17"/>
  <c r="L14" i="14"/>
  <c r="L127" i="18"/>
  <c r="L42" i="18"/>
  <c r="L33" i="18"/>
  <c r="L7" i="14"/>
  <c r="L38" i="13"/>
  <c r="L41" i="13"/>
  <c r="J19" i="7"/>
  <c r="J52" i="11"/>
  <c r="J54" i="10"/>
  <c r="J18" i="4"/>
  <c r="J20" i="2"/>
  <c r="L80" i="17"/>
  <c r="L50" i="12"/>
  <c r="L28" i="18"/>
  <c r="L49" i="18"/>
  <c r="L8" i="14"/>
  <c r="C20" i="3"/>
  <c r="C79" i="17"/>
  <c r="C80" i="17"/>
  <c r="C13" i="14"/>
  <c r="C40" i="18"/>
  <c r="C41" i="18"/>
  <c r="C51" i="12"/>
  <c r="C50" i="18"/>
  <c r="C57" i="12"/>
  <c r="C91" i="17"/>
  <c r="C64" i="18"/>
  <c r="C7" i="14"/>
  <c r="C49" i="18"/>
  <c r="C84" i="17"/>
  <c r="C88" i="17"/>
  <c r="C62" i="12"/>
  <c r="C33" i="18"/>
  <c r="C132" i="18"/>
  <c r="C14" i="14"/>
  <c r="C39" i="13"/>
  <c r="C40" i="13"/>
  <c r="C8" i="14"/>
  <c r="C41" i="13"/>
  <c r="I77" i="18"/>
  <c r="I28" i="18"/>
  <c r="I51" i="12"/>
  <c r="I38" i="13"/>
  <c r="I84" i="17"/>
  <c r="I50" i="18"/>
  <c r="I33" i="18"/>
  <c r="I41" i="13"/>
  <c r="G19" i="7"/>
  <c r="G52" i="11"/>
  <c r="G54" i="10"/>
  <c r="G18" i="4"/>
  <c r="G20" i="2"/>
  <c r="I8" i="14"/>
  <c r="I14" i="14"/>
  <c r="I91" i="17"/>
  <c r="I13" i="14"/>
  <c r="I49" i="12"/>
  <c r="I63" i="12"/>
  <c r="I28" i="12"/>
  <c r="I62" i="12"/>
  <c r="I26" i="12"/>
  <c r="G20" i="7"/>
  <c r="G64" i="11"/>
  <c r="G66" i="10"/>
  <c r="I41" i="18"/>
  <c r="I85" i="17"/>
  <c r="I80" i="17"/>
  <c r="I39" i="13"/>
  <c r="I6" i="7"/>
  <c r="K20" i="3"/>
  <c r="K79" i="17"/>
  <c r="K40" i="13"/>
  <c r="I18" i="7"/>
  <c r="I51" i="11"/>
  <c r="I53" i="10"/>
  <c r="K7" i="14"/>
  <c r="K80" i="17"/>
  <c r="K57" i="12"/>
  <c r="K13" i="14"/>
  <c r="K14" i="14"/>
  <c r="K91" i="17"/>
  <c r="K49" i="12"/>
  <c r="K85" i="17"/>
  <c r="K12" i="20"/>
  <c r="K88" i="17"/>
  <c r="K42" i="18"/>
  <c r="K130" i="18"/>
  <c r="K48" i="18"/>
  <c r="K51" i="18"/>
  <c r="K38" i="13"/>
  <c r="K49" i="18"/>
  <c r="K52" i="12"/>
  <c r="K41" i="13"/>
  <c r="I19" i="7"/>
  <c r="I52" i="11"/>
  <c r="I54" i="10"/>
  <c r="I18" i="4"/>
  <c r="I20" i="2"/>
  <c r="K39" i="13"/>
  <c r="K28" i="18"/>
  <c r="D40" i="13"/>
  <c r="D29" i="12"/>
  <c r="D80" i="17"/>
  <c r="D51" i="12"/>
  <c r="D91" i="17"/>
  <c r="D78" i="18"/>
  <c r="D28" i="18"/>
  <c r="D13" i="14"/>
  <c r="D7" i="14"/>
  <c r="D62" i="12"/>
  <c r="D14" i="14"/>
  <c r="D84" i="17"/>
  <c r="D64" i="12"/>
  <c r="D8" i="14"/>
  <c r="D51" i="18"/>
  <c r="D50" i="18"/>
  <c r="D42" i="18"/>
  <c r="D20" i="3"/>
  <c r="D79" i="17"/>
  <c r="D88" i="17"/>
  <c r="D41" i="18"/>
  <c r="D55" i="12"/>
  <c r="D33" i="18"/>
  <c r="P80" i="18"/>
  <c r="P40" i="13"/>
  <c r="N18" i="7"/>
  <c r="N51" i="11"/>
  <c r="N53" i="10"/>
  <c r="P39" i="13"/>
  <c r="N6" i="7"/>
  <c r="P20" i="3"/>
  <c r="P79" i="17"/>
  <c r="P91" i="17"/>
  <c r="P62" i="12"/>
  <c r="P85" i="17"/>
  <c r="P40" i="18"/>
  <c r="P55" i="12"/>
  <c r="P14" i="14"/>
  <c r="P88" i="17"/>
  <c r="P41" i="13"/>
  <c r="N19" i="7"/>
  <c r="N52" i="11"/>
  <c r="N54" i="10"/>
  <c r="N18" i="4"/>
  <c r="N20" i="2"/>
  <c r="P78" i="18"/>
  <c r="P49" i="18"/>
  <c r="P33" i="18"/>
  <c r="P8" i="14"/>
  <c r="P28" i="18"/>
  <c r="P84" i="17"/>
  <c r="P7" i="14"/>
  <c r="P64" i="18"/>
  <c r="P52" i="12"/>
  <c r="P57" i="12"/>
  <c r="H28" i="17"/>
  <c r="H19" i="3"/>
  <c r="H74" i="17"/>
  <c r="H63" i="17"/>
  <c r="H79" i="18"/>
  <c r="H10" i="18"/>
  <c r="H39" i="18"/>
  <c r="H37" i="18"/>
  <c r="H46" i="17"/>
  <c r="H47" i="17"/>
  <c r="H17" i="18"/>
  <c r="H73" i="18"/>
  <c r="H67" i="17"/>
  <c r="H8" i="18"/>
  <c r="H55" i="18"/>
  <c r="H12" i="18"/>
  <c r="H57" i="18"/>
  <c r="H82" i="17"/>
  <c r="H22" i="18"/>
  <c r="H86" i="17"/>
  <c r="H70" i="18"/>
  <c r="H74" i="18"/>
  <c r="H24" i="18"/>
  <c r="M13" i="14"/>
  <c r="M7" i="14"/>
  <c r="M28" i="12"/>
  <c r="M80" i="17"/>
  <c r="M88" i="17"/>
  <c r="M38" i="13"/>
  <c r="M28" i="18"/>
  <c r="M55" i="12"/>
  <c r="M14" i="14"/>
  <c r="K6" i="7"/>
  <c r="M20" i="3"/>
  <c r="M79" i="17"/>
  <c r="M40" i="18"/>
  <c r="M50" i="12"/>
  <c r="M51" i="18"/>
  <c r="M40" i="13"/>
  <c r="K18" i="7"/>
  <c r="K51" i="11"/>
  <c r="K53" i="10"/>
  <c r="M52" i="12"/>
  <c r="M103" i="18"/>
  <c r="M8" i="14"/>
  <c r="M66" i="12"/>
  <c r="M85" i="17"/>
  <c r="M63" i="12"/>
  <c r="M57" i="12"/>
  <c r="M62" i="12"/>
  <c r="S38" i="13"/>
  <c r="S62" i="12"/>
  <c r="S80" i="17"/>
  <c r="S125" i="18"/>
  <c r="S7" i="14"/>
  <c r="S50" i="18"/>
  <c r="S49" i="12"/>
  <c r="S40" i="13"/>
  <c r="Q18" i="7"/>
  <c r="Q51" i="11"/>
  <c r="Q53" i="10"/>
  <c r="S85" i="17"/>
  <c r="Q6" i="7"/>
  <c r="S20" i="3"/>
  <c r="S79" i="17"/>
  <c r="S13" i="14"/>
  <c r="S33" i="18"/>
  <c r="S51" i="12"/>
  <c r="S40" i="18"/>
  <c r="S14" i="14"/>
  <c r="S48" i="18"/>
  <c r="S41" i="13"/>
  <c r="Q19" i="7"/>
  <c r="Q52" i="11"/>
  <c r="Q54" i="10"/>
  <c r="Q18" i="4"/>
  <c r="Q20" i="2"/>
  <c r="S41" i="18"/>
  <c r="S91" i="17"/>
  <c r="S88" i="17"/>
  <c r="S8" i="14"/>
  <c r="S84" i="17"/>
  <c r="T80" i="17"/>
  <c r="T62" i="12"/>
  <c r="T41" i="13"/>
  <c r="R19" i="7"/>
  <c r="R52" i="11"/>
  <c r="R54" i="10"/>
  <c r="R18" i="4"/>
  <c r="R20" i="2"/>
  <c r="T14" i="20"/>
  <c r="T48" i="18"/>
  <c r="T50" i="18"/>
  <c r="T51" i="12"/>
  <c r="T38" i="13"/>
  <c r="T84" i="17"/>
  <c r="T7" i="14"/>
  <c r="T64" i="12"/>
  <c r="T41" i="18"/>
  <c r="T28" i="18"/>
  <c r="T8" i="14"/>
  <c r="T88" i="17"/>
  <c r="T33" i="18"/>
  <c r="T40" i="13"/>
  <c r="R18" i="7"/>
  <c r="R51" i="11"/>
  <c r="R53" i="10"/>
  <c r="T13" i="14"/>
  <c r="T49" i="18"/>
  <c r="T14" i="14"/>
  <c r="R6" i="7"/>
  <c r="T20" i="3"/>
  <c r="T79" i="17"/>
  <c r="T91" i="17"/>
  <c r="E86" i="17"/>
  <c r="E31" i="18"/>
  <c r="E41" i="17"/>
  <c r="E38" i="18"/>
  <c r="E13" i="18"/>
  <c r="E81" i="17"/>
  <c r="E23" i="17"/>
  <c r="E69" i="17"/>
  <c r="E18" i="18"/>
  <c r="E36" i="18"/>
  <c r="E37" i="18"/>
  <c r="E70" i="18"/>
  <c r="E83" i="17"/>
  <c r="C9" i="9"/>
  <c r="C9" i="5"/>
  <c r="E73" i="17"/>
  <c r="E17" i="18"/>
  <c r="E22" i="18"/>
  <c r="E57" i="17"/>
  <c r="E24" i="18"/>
  <c r="E53" i="18"/>
  <c r="E8" i="18"/>
  <c r="E62" i="17"/>
  <c r="E39" i="18"/>
  <c r="G55" i="18"/>
  <c r="G17" i="18"/>
  <c r="G8" i="18"/>
  <c r="G72" i="17"/>
  <c r="G39" i="17"/>
  <c r="G86" i="17"/>
  <c r="G57" i="18"/>
  <c r="G22" i="17"/>
  <c r="G81" i="17"/>
  <c r="G21" i="18"/>
  <c r="O83" i="17"/>
  <c r="G10" i="18"/>
  <c r="O48" i="17"/>
  <c r="G15" i="3"/>
  <c r="G21" i="17"/>
  <c r="O19" i="18"/>
  <c r="O54" i="18"/>
  <c r="G67" i="17"/>
  <c r="O65" i="18"/>
  <c r="G39" i="18"/>
  <c r="O20" i="18"/>
  <c r="G60" i="17"/>
  <c r="G22" i="18"/>
  <c r="O11" i="18"/>
  <c r="O9" i="18"/>
  <c r="G34" i="18"/>
  <c r="O75" i="17"/>
  <c r="O15" i="18"/>
  <c r="G70" i="18"/>
  <c r="O30" i="17"/>
  <c r="O55" i="18"/>
  <c r="O29" i="17"/>
  <c r="O18" i="3"/>
  <c r="O64" i="17"/>
  <c r="G12" i="18"/>
  <c r="O21" i="18"/>
  <c r="O119" i="18"/>
  <c r="G56" i="17"/>
  <c r="O25" i="18"/>
  <c r="G19" i="3"/>
  <c r="G74" i="17"/>
  <c r="O59" i="18"/>
  <c r="G37" i="18"/>
  <c r="O62" i="18"/>
  <c r="O68" i="17"/>
  <c r="O81" i="17"/>
  <c r="O26" i="18"/>
  <c r="L42" i="17"/>
  <c r="L75" i="17"/>
  <c r="L63" i="17"/>
  <c r="L20" i="18"/>
  <c r="L15" i="18"/>
  <c r="L9" i="18"/>
  <c r="L120" i="18"/>
  <c r="L84" i="18"/>
  <c r="L60" i="18"/>
  <c r="L21" i="18"/>
  <c r="L24" i="17"/>
  <c r="L14" i="18"/>
  <c r="L74" i="18"/>
  <c r="L82" i="17"/>
  <c r="L57" i="18"/>
  <c r="L59" i="17"/>
  <c r="L70" i="17"/>
  <c r="L25" i="17"/>
  <c r="L12" i="18"/>
  <c r="L124" i="18"/>
  <c r="L43" i="17"/>
  <c r="L91" i="18"/>
  <c r="N18" i="18"/>
  <c r="N41" i="17"/>
  <c r="N56" i="17"/>
  <c r="N23" i="17"/>
  <c r="L9" i="9"/>
  <c r="L9" i="5"/>
  <c r="N73" i="17"/>
  <c r="N20" i="18"/>
  <c r="N12" i="18"/>
  <c r="N72" i="17"/>
  <c r="N82" i="17"/>
  <c r="N119" i="18"/>
  <c r="N22" i="17"/>
  <c r="N65" i="18"/>
  <c r="N57" i="17"/>
  <c r="N68" i="18"/>
  <c r="N21" i="18"/>
  <c r="N68" i="17"/>
  <c r="N75" i="17"/>
  <c r="N11" i="18"/>
  <c r="N15" i="18"/>
  <c r="N61" i="17"/>
  <c r="N55" i="18"/>
  <c r="N9" i="18"/>
  <c r="K72" i="17"/>
  <c r="K68" i="17"/>
  <c r="K20" i="18"/>
  <c r="K12" i="18"/>
  <c r="K15" i="18"/>
  <c r="K67" i="17"/>
  <c r="K62" i="18"/>
  <c r="K33" i="17"/>
  <c r="K19" i="3"/>
  <c r="K74" i="17"/>
  <c r="K52" i="17"/>
  <c r="K46" i="18"/>
  <c r="K66" i="18"/>
  <c r="K84" i="18"/>
  <c r="K56" i="18"/>
  <c r="K51" i="17"/>
  <c r="K43" i="18"/>
  <c r="K52" i="18"/>
  <c r="K82" i="17"/>
  <c r="K92" i="18"/>
  <c r="K79" i="18"/>
  <c r="K11" i="18"/>
  <c r="K60" i="18"/>
  <c r="S27" i="18"/>
  <c r="S43" i="18"/>
  <c r="S29" i="18"/>
  <c r="S46" i="18"/>
  <c r="S60" i="17"/>
  <c r="S8" i="18"/>
  <c r="S93" i="18"/>
  <c r="S43" i="17"/>
  <c r="S20" i="18"/>
  <c r="S83" i="18"/>
  <c r="S18" i="3"/>
  <c r="S64" i="17"/>
  <c r="S44" i="17"/>
  <c r="S13" i="18"/>
  <c r="S14" i="18"/>
  <c r="S25" i="18"/>
  <c r="S26" i="17"/>
  <c r="S81" i="17"/>
  <c r="S83" i="17"/>
  <c r="S19" i="18"/>
  <c r="S11" i="18"/>
  <c r="S25" i="17"/>
  <c r="S71" i="17"/>
  <c r="F39" i="13"/>
  <c r="F27" i="12"/>
  <c r="F45" i="18"/>
  <c r="F40" i="18"/>
  <c r="F41" i="13"/>
  <c r="D19" i="7"/>
  <c r="D52" i="11"/>
  <c r="D54" i="10"/>
  <c r="D18" i="4"/>
  <c r="D20" i="2"/>
  <c r="F49" i="12"/>
  <c r="F14" i="14"/>
  <c r="F40" i="13"/>
  <c r="D18" i="7"/>
  <c r="D51" i="11"/>
  <c r="D53" i="10"/>
  <c r="F84" i="17"/>
  <c r="F85" i="17"/>
  <c r="F51" i="12"/>
  <c r="F7" i="14"/>
  <c r="F33" i="18"/>
  <c r="F13" i="14"/>
  <c r="D6" i="7"/>
  <c r="F20" i="3"/>
  <c r="F79" i="17"/>
  <c r="F28" i="18"/>
  <c r="F38" i="13"/>
  <c r="F88" i="17"/>
  <c r="F91" i="17"/>
  <c r="F80" i="17"/>
  <c r="F62" i="12"/>
  <c r="F66" i="12"/>
  <c r="W31" i="18"/>
  <c r="W19" i="3"/>
  <c r="W74" i="17"/>
  <c r="W25" i="18"/>
  <c r="W8" i="18"/>
  <c r="W15" i="3"/>
  <c r="W21" i="17"/>
  <c r="W43" i="18"/>
  <c r="W79" i="18"/>
  <c r="W29" i="18"/>
  <c r="W86" i="17"/>
  <c r="W10" i="18"/>
  <c r="W18" i="18"/>
  <c r="W81" i="17"/>
  <c r="W39" i="17"/>
  <c r="W71" i="17"/>
  <c r="W46" i="18"/>
  <c r="W57" i="18"/>
  <c r="W36" i="18"/>
  <c r="W17" i="18"/>
  <c r="W55" i="17"/>
  <c r="W109" i="18"/>
  <c r="W60" i="17"/>
  <c r="W67" i="17"/>
  <c r="J60" i="17"/>
  <c r="J15" i="18"/>
  <c r="H8" i="9"/>
  <c r="H8" i="5"/>
  <c r="J65" i="17"/>
  <c r="J73" i="18"/>
  <c r="J86" i="17"/>
  <c r="J53" i="18"/>
  <c r="J55" i="18"/>
  <c r="J122" i="18"/>
  <c r="J26" i="17"/>
  <c r="J66" i="18"/>
  <c r="J8" i="18"/>
  <c r="J17" i="18"/>
  <c r="J10" i="18"/>
  <c r="J24" i="18"/>
  <c r="J82" i="17"/>
  <c r="J60" i="18"/>
  <c r="J12" i="18"/>
  <c r="J20" i="18"/>
  <c r="J22" i="18"/>
  <c r="J44" i="17"/>
  <c r="J21" i="18"/>
  <c r="J72" i="17"/>
  <c r="Y81" i="18"/>
  <c r="Y69" i="17"/>
  <c r="Y32" i="18"/>
  <c r="Y19" i="3"/>
  <c r="Y74" i="17"/>
  <c r="Y62" i="18"/>
  <c r="Y37" i="17"/>
  <c r="Y86" i="17"/>
  <c r="Y58" i="17"/>
  <c r="Y93" i="18"/>
  <c r="Y10" i="18"/>
  <c r="Y27" i="18"/>
  <c r="Y53" i="17"/>
  <c r="Y26" i="18"/>
  <c r="Y46" i="18"/>
  <c r="Y31" i="18"/>
  <c r="Y52" i="18"/>
  <c r="Y8" i="18"/>
  <c r="Y17" i="18"/>
  <c r="Y114" i="18"/>
  <c r="Y18" i="18"/>
  <c r="Y13" i="18"/>
  <c r="Y121" i="18"/>
  <c r="AA13" i="14"/>
  <c r="AA28" i="18"/>
  <c r="AA45" i="18"/>
  <c r="AA77" i="18"/>
  <c r="AA14" i="14"/>
  <c r="AA39" i="13"/>
  <c r="AA85" i="17"/>
  <c r="AA102" i="18"/>
  <c r="AA80" i="17"/>
  <c r="AA91" i="17"/>
  <c r="AA52" i="12"/>
  <c r="AA40" i="13"/>
  <c r="Y18" i="7"/>
  <c r="Y51" i="11"/>
  <c r="Y53" i="10"/>
  <c r="Y6" i="7"/>
  <c r="AA20" i="3"/>
  <c r="AA79" i="17"/>
  <c r="AA84" i="17"/>
  <c r="AA38" i="13"/>
  <c r="AA7" i="14"/>
  <c r="AA42" i="18"/>
  <c r="AA49" i="12"/>
  <c r="AA88" i="17"/>
  <c r="AA57" i="12"/>
  <c r="AA63" i="12"/>
  <c r="AA49" i="18"/>
  <c r="D38" i="18"/>
  <c r="D36" i="18"/>
  <c r="D81" i="17"/>
  <c r="D51" i="17"/>
  <c r="D73" i="17"/>
  <c r="D22" i="18"/>
  <c r="D10" i="18"/>
  <c r="D83" i="17"/>
  <c r="D66" i="17"/>
  <c r="D71" i="17"/>
  <c r="D17" i="18"/>
  <c r="D43" i="18"/>
  <c r="D123" i="18"/>
  <c r="D32" i="17"/>
  <c r="D24" i="18"/>
  <c r="D108" i="18"/>
  <c r="D58" i="18"/>
  <c r="D86" i="17"/>
  <c r="D31" i="18"/>
  <c r="D67" i="17"/>
  <c r="D25" i="18"/>
  <c r="D13" i="18"/>
  <c r="Q51" i="12"/>
  <c r="Q39" i="13"/>
  <c r="Q64" i="12"/>
  <c r="Q7" i="14"/>
  <c r="Q42" i="18"/>
  <c r="Q63" i="12"/>
  <c r="Q40" i="18"/>
  <c r="Q8" i="14"/>
  <c r="Q62" i="12"/>
  <c r="O6" i="7"/>
  <c r="Q20" i="3"/>
  <c r="Q79" i="17"/>
  <c r="Q41" i="18"/>
  <c r="Q80" i="17"/>
  <c r="Q91" i="17"/>
  <c r="Q84" i="17"/>
  <c r="Q88" i="17"/>
  <c r="Q49" i="18"/>
  <c r="Q51" i="18"/>
  <c r="Q41" i="13"/>
  <c r="O19" i="7"/>
  <c r="O52" i="11"/>
  <c r="O54" i="10"/>
  <c r="O18" i="4"/>
  <c r="O20" i="2"/>
  <c r="Q85" i="17"/>
  <c r="Q38" i="13"/>
  <c r="Q45" i="18"/>
  <c r="Q14" i="14"/>
  <c r="Z59" i="18"/>
  <c r="Z84" i="18"/>
  <c r="Z60" i="17"/>
  <c r="Z37" i="18"/>
  <c r="Z31" i="18"/>
  <c r="Z24" i="18"/>
  <c r="Z17" i="18"/>
  <c r="Z86" i="17"/>
  <c r="Z44" i="17"/>
  <c r="Z10" i="18"/>
  <c r="Z26" i="18"/>
  <c r="Z121" i="18"/>
  <c r="Z26" i="17"/>
  <c r="Z36" i="18"/>
  <c r="X8" i="9"/>
  <c r="X8" i="5"/>
  <c r="Z65" i="17"/>
  <c r="Z62" i="18"/>
  <c r="Z72" i="17"/>
  <c r="Z8" i="18"/>
  <c r="Z39" i="18"/>
  <c r="Z52" i="18"/>
  <c r="Z110" i="18"/>
  <c r="Z18" i="18"/>
  <c r="U25" i="18"/>
  <c r="U81" i="17"/>
  <c r="U74" i="18"/>
  <c r="U41" i="17"/>
  <c r="U13" i="18"/>
  <c r="U23" i="17"/>
  <c r="U69" i="17"/>
  <c r="U83" i="17"/>
  <c r="U11" i="18"/>
  <c r="U124" i="18"/>
  <c r="U53" i="18"/>
  <c r="U27" i="18"/>
  <c r="U62" i="17"/>
  <c r="U19" i="18"/>
  <c r="U65" i="18"/>
  <c r="U57" i="18"/>
  <c r="U14" i="18"/>
  <c r="U108" i="18"/>
  <c r="S9" i="9"/>
  <c r="S9" i="5"/>
  <c r="U73" i="17"/>
  <c r="U18" i="18"/>
  <c r="U57" i="17"/>
  <c r="U20" i="18"/>
  <c r="P70" i="17"/>
  <c r="P55" i="17"/>
  <c r="P11" i="18"/>
  <c r="P59" i="17"/>
  <c r="P9" i="18"/>
  <c r="P15" i="18"/>
  <c r="P19" i="18"/>
  <c r="P69" i="18"/>
  <c r="P20" i="18"/>
  <c r="P39" i="17"/>
  <c r="P15" i="3"/>
  <c r="P21" i="17"/>
  <c r="P38" i="17"/>
  <c r="P54" i="17"/>
  <c r="P46" i="18"/>
  <c r="P21" i="18"/>
  <c r="P66" i="17"/>
  <c r="N9" i="9"/>
  <c r="N9" i="5"/>
  <c r="P73" i="17"/>
  <c r="P75" i="17"/>
  <c r="P54" i="18"/>
  <c r="P14" i="18"/>
  <c r="P71" i="17"/>
  <c r="P65" i="18"/>
  <c r="I17" i="18"/>
  <c r="I79" i="18"/>
  <c r="I86" i="17"/>
  <c r="I39" i="18"/>
  <c r="I69" i="17"/>
  <c r="I58" i="17"/>
  <c r="I34" i="18"/>
  <c r="I61" i="18"/>
  <c r="I8" i="18"/>
  <c r="I22" i="18"/>
  <c r="I95" i="18"/>
  <c r="I66" i="18"/>
  <c r="I37" i="18"/>
  <c r="I10" i="18"/>
  <c r="I12" i="18"/>
  <c r="I68" i="18"/>
  <c r="I106" i="18"/>
  <c r="I53" i="17"/>
  <c r="I19" i="3"/>
  <c r="I74" i="17"/>
  <c r="I55" i="18"/>
  <c r="I37" i="17"/>
  <c r="I13" i="18"/>
  <c r="N8" i="14"/>
  <c r="N57" i="12"/>
  <c r="N38" i="13"/>
  <c r="N84" i="17"/>
  <c r="N13" i="14"/>
  <c r="N42" i="18"/>
  <c r="N85" i="17"/>
  <c r="N51" i="18"/>
  <c r="N45" i="18"/>
  <c r="N40" i="13"/>
  <c r="L18" i="7"/>
  <c r="L51" i="11"/>
  <c r="L53" i="10"/>
  <c r="N98" i="18"/>
  <c r="N41" i="13"/>
  <c r="L19" i="7"/>
  <c r="L52" i="11"/>
  <c r="L54" i="10"/>
  <c r="L18" i="4"/>
  <c r="L20" i="2"/>
  <c r="N39" i="13"/>
  <c r="N91" i="17"/>
  <c r="N62" i="12"/>
  <c r="L6" i="7"/>
  <c r="N20" i="3"/>
  <c r="N79" i="17"/>
  <c r="N80" i="17"/>
  <c r="N7" i="14"/>
  <c r="N40" i="18"/>
  <c r="N64" i="12"/>
  <c r="N88" i="17"/>
  <c r="N14" i="14"/>
  <c r="Q19" i="18"/>
  <c r="Q9" i="18"/>
  <c r="Q70" i="18"/>
  <c r="Q54" i="18"/>
  <c r="Q43" i="18"/>
  <c r="Q73" i="18"/>
  <c r="Q119" i="18"/>
  <c r="Q61" i="17"/>
  <c r="Q72" i="18"/>
  <c r="Q27" i="17"/>
  <c r="Q46" i="17"/>
  <c r="Q11" i="18"/>
  <c r="Q81" i="17"/>
  <c r="Q66" i="17"/>
  <c r="Q66" i="18"/>
  <c r="Q53" i="18"/>
  <c r="Q83" i="17"/>
  <c r="Q45" i="17"/>
  <c r="Q62" i="17"/>
  <c r="Q28" i="17"/>
  <c r="Q18" i="18"/>
  <c r="O9" i="9"/>
  <c r="O9" i="5"/>
  <c r="Q73" i="17"/>
  <c r="R18" i="18"/>
  <c r="R57" i="17"/>
  <c r="R26" i="18"/>
  <c r="R19" i="18"/>
  <c r="R29" i="18"/>
  <c r="R83" i="17"/>
  <c r="P9" i="9"/>
  <c r="P9" i="5"/>
  <c r="R73" i="17"/>
  <c r="R9" i="18"/>
  <c r="R43" i="18"/>
  <c r="R71" i="17"/>
  <c r="R53" i="18"/>
  <c r="R52" i="17"/>
  <c r="R84" i="18"/>
  <c r="R25" i="18"/>
  <c r="R68" i="17"/>
  <c r="R75" i="17"/>
  <c r="R32" i="18"/>
  <c r="R60" i="18"/>
  <c r="R11" i="18"/>
  <c r="R65" i="18"/>
  <c r="R13" i="18"/>
  <c r="R14" i="18"/>
  <c r="E80" i="17"/>
  <c r="E7" i="14"/>
  <c r="E57" i="12"/>
  <c r="E48" i="18"/>
  <c r="E88" i="17"/>
  <c r="E50" i="18"/>
  <c r="E40" i="13"/>
  <c r="C18" i="7"/>
  <c r="C51" i="11"/>
  <c r="C53" i="10"/>
  <c r="E38" i="13"/>
  <c r="E91" i="17"/>
  <c r="E13" i="14"/>
  <c r="E55" i="12"/>
  <c r="E39" i="13"/>
  <c r="E63" i="12"/>
  <c r="E14" i="14"/>
  <c r="E33" i="18"/>
  <c r="E84" i="17"/>
  <c r="E85" i="17"/>
  <c r="E49" i="12"/>
  <c r="E41" i="13"/>
  <c r="C19" i="7"/>
  <c r="C52" i="11"/>
  <c r="C54" i="10"/>
  <c r="C18" i="4"/>
  <c r="C20" i="2"/>
  <c r="E41" i="18"/>
  <c r="C6" i="7"/>
  <c r="E20" i="3"/>
  <c r="E79" i="17"/>
  <c r="E8" i="14"/>
  <c r="AA46" i="18"/>
  <c r="AA29" i="18"/>
  <c r="AA19" i="3"/>
  <c r="AA74" i="17"/>
  <c r="AA62" i="18"/>
  <c r="M12" i="18"/>
  <c r="M17" i="3"/>
  <c r="M49" i="17"/>
  <c r="AA25" i="18"/>
  <c r="AA67" i="17"/>
  <c r="AA26" i="18"/>
  <c r="M31" i="17"/>
  <c r="M14" i="18"/>
  <c r="M83" i="17"/>
  <c r="AA13" i="18"/>
  <c r="AA86" i="17"/>
  <c r="M72" i="17"/>
  <c r="M46" i="18"/>
  <c r="AA31" i="18"/>
  <c r="K8" i="9"/>
  <c r="K8" i="5"/>
  <c r="M65" i="17"/>
  <c r="AA17" i="18"/>
  <c r="M32" i="17"/>
  <c r="AA8" i="18"/>
  <c r="AA18" i="18"/>
  <c r="M66" i="17"/>
  <c r="AA44" i="18"/>
  <c r="M26" i="18"/>
  <c r="M60" i="18"/>
  <c r="AA24" i="18"/>
  <c r="AA56" i="18"/>
  <c r="AA51" i="17"/>
  <c r="AA43" i="18"/>
  <c r="AA33" i="17"/>
  <c r="AA10" i="18"/>
  <c r="M74" i="18"/>
  <c r="AA72" i="17"/>
  <c r="AA32" i="18"/>
  <c r="M54" i="18"/>
  <c r="M70" i="17"/>
  <c r="M15" i="18"/>
  <c r="M18" i="18"/>
  <c r="M9" i="18"/>
  <c r="M82" i="17"/>
  <c r="M112" i="18"/>
  <c r="M92" i="18"/>
  <c r="M21" i="18"/>
  <c r="F30" i="17"/>
  <c r="F48" i="17"/>
  <c r="F36" i="18"/>
  <c r="F81" i="17"/>
  <c r="F56" i="18"/>
  <c r="F71" i="17"/>
  <c r="F92" i="18"/>
  <c r="F22" i="18"/>
  <c r="F53" i="18"/>
  <c r="F39" i="18"/>
  <c r="F18" i="3"/>
  <c r="F64" i="17"/>
  <c r="F8" i="18"/>
  <c r="F44" i="18"/>
  <c r="F17" i="18"/>
  <c r="F10" i="18"/>
  <c r="F31" i="18"/>
  <c r="F86" i="17"/>
  <c r="F57" i="18"/>
  <c r="F43" i="18"/>
  <c r="F13" i="18"/>
  <c r="F83" i="17"/>
  <c r="F69" i="17"/>
  <c r="O80" i="18"/>
  <c r="O8" i="14"/>
  <c r="O51" i="18"/>
  <c r="O55" i="12"/>
  <c r="O40" i="18"/>
  <c r="O66" i="12"/>
  <c r="O80" i="17"/>
  <c r="O40" i="13"/>
  <c r="M18" i="7"/>
  <c r="M51" i="11"/>
  <c r="M53" i="10"/>
  <c r="O50" i="12"/>
  <c r="O88" i="17"/>
  <c r="O84" i="17"/>
  <c r="O39" i="13"/>
  <c r="O85" i="17"/>
  <c r="O91" i="17"/>
  <c r="O41" i="13"/>
  <c r="M19" i="7"/>
  <c r="M52" i="11"/>
  <c r="M54" i="10"/>
  <c r="M18" i="4"/>
  <c r="M20" i="2"/>
  <c r="O13" i="14"/>
  <c r="O64" i="18"/>
  <c r="O48" i="18"/>
  <c r="O38" i="13"/>
  <c r="M6" i="7"/>
  <c r="O20" i="3"/>
  <c r="O79" i="17"/>
  <c r="O14" i="14"/>
  <c r="O64" i="12"/>
  <c r="V25" i="18"/>
  <c r="V26" i="18"/>
  <c r="V8" i="18"/>
  <c r="V48" i="17"/>
  <c r="V30" i="17"/>
  <c r="V107" i="18"/>
  <c r="V69" i="17"/>
  <c r="V53" i="18"/>
  <c r="V81" i="17"/>
  <c r="V83" i="17"/>
  <c r="V57" i="18"/>
  <c r="V13" i="18"/>
  <c r="V43" i="18"/>
  <c r="V71" i="17"/>
  <c r="V18" i="3"/>
  <c r="V64" i="17"/>
  <c r="V27" i="18"/>
  <c r="V60" i="18"/>
  <c r="V90" i="18"/>
  <c r="V14" i="18"/>
  <c r="V86" i="17"/>
  <c r="V92" i="18"/>
  <c r="V112" i="18"/>
  <c r="X57" i="18"/>
  <c r="X7" i="21"/>
  <c r="X43" i="18"/>
  <c r="T66" i="17"/>
  <c r="X24" i="18"/>
  <c r="X96" i="18"/>
  <c r="X62" i="18"/>
  <c r="T43" i="18"/>
  <c r="X28" i="17"/>
  <c r="X26" i="18"/>
  <c r="R9" i="9"/>
  <c r="R9" i="5"/>
  <c r="T73" i="17"/>
  <c r="X109" i="18"/>
  <c r="X8" i="18"/>
  <c r="T32" i="17"/>
  <c r="X81" i="17"/>
  <c r="X10" i="18"/>
  <c r="X62" i="17"/>
  <c r="T58" i="18"/>
  <c r="T81" i="17"/>
  <c r="X17" i="18"/>
  <c r="X46" i="17"/>
  <c r="X19" i="3"/>
  <c r="X74" i="17"/>
  <c r="T13" i="18"/>
  <c r="T59" i="18"/>
  <c r="T19" i="18"/>
  <c r="X90" i="18"/>
  <c r="T65" i="18"/>
  <c r="X67" i="17"/>
  <c r="T104" i="18"/>
  <c r="X31" i="18"/>
  <c r="T84" i="18"/>
  <c r="T71" i="17"/>
  <c r="T93" i="18"/>
  <c r="X25" i="18"/>
  <c r="X18" i="18"/>
  <c r="T83" i="17"/>
  <c r="X86" i="17"/>
  <c r="T11" i="18"/>
  <c r="T25" i="18"/>
  <c r="T74" i="18"/>
  <c r="T27" i="18"/>
  <c r="T75" i="18"/>
  <c r="T29" i="18"/>
  <c r="T14" i="18"/>
  <c r="C25" i="18"/>
  <c r="C36" i="18"/>
  <c r="C32" i="18"/>
  <c r="C53" i="18"/>
  <c r="C25" i="17"/>
  <c r="C59" i="17"/>
  <c r="C11" i="18"/>
  <c r="C81" i="17"/>
  <c r="C75" i="17"/>
  <c r="C24" i="18"/>
  <c r="C71" i="17"/>
  <c r="C27" i="18"/>
  <c r="C43" i="17"/>
  <c r="C14" i="18"/>
  <c r="C38" i="18"/>
  <c r="C39" i="18"/>
  <c r="C58" i="18"/>
  <c r="C83" i="17"/>
  <c r="C18" i="3"/>
  <c r="C64" i="17"/>
  <c r="C34" i="18"/>
  <c r="C29" i="18"/>
  <c r="C13" i="18"/>
  <c r="S9" i="18"/>
  <c r="S59" i="17"/>
  <c r="S68" i="18"/>
  <c r="S75" i="17"/>
  <c r="S74" i="18"/>
  <c r="S67" i="18"/>
  <c r="S75" i="18"/>
  <c r="S122" i="18"/>
  <c r="S60" i="18"/>
  <c r="S32" i="18"/>
  <c r="S115" i="18"/>
  <c r="S26" i="18"/>
  <c r="S104" i="18"/>
  <c r="S59" i="18"/>
  <c r="S84" i="18"/>
  <c r="S92" i="18"/>
  <c r="S55" i="18"/>
  <c r="S65" i="18"/>
  <c r="S71" i="18"/>
  <c r="S70" i="18"/>
  <c r="S72" i="18"/>
  <c r="S69" i="18"/>
  <c r="K61" i="18"/>
  <c r="K36" i="18"/>
  <c r="K57" i="18"/>
  <c r="K22" i="18"/>
  <c r="K94" i="18"/>
  <c r="K44" i="18"/>
  <c r="K106" i="18"/>
  <c r="K95" i="18"/>
  <c r="K118" i="18"/>
  <c r="K86" i="17"/>
  <c r="K53" i="18"/>
  <c r="K10" i="18"/>
  <c r="K83" i="18"/>
  <c r="K120" i="18"/>
  <c r="K69" i="18"/>
  <c r="K13" i="21"/>
  <c r="K108" i="18"/>
  <c r="K67" i="18"/>
  <c r="K91" i="18"/>
  <c r="K122" i="18"/>
  <c r="K68" i="18"/>
  <c r="K115" i="18"/>
  <c r="L19" i="3"/>
  <c r="L74" i="17"/>
  <c r="L108" i="18"/>
  <c r="L52" i="18"/>
  <c r="L73" i="18"/>
  <c r="L92" i="18"/>
  <c r="L115" i="18"/>
  <c r="L66" i="18"/>
  <c r="L22" i="18"/>
  <c r="L68" i="18"/>
  <c r="L55" i="18"/>
  <c r="L70" i="18"/>
  <c r="L31" i="18"/>
  <c r="L43" i="18"/>
  <c r="L58" i="17"/>
  <c r="L67" i="18"/>
  <c r="L44" i="18"/>
  <c r="L105" i="18"/>
  <c r="L71" i="18"/>
  <c r="L69" i="18"/>
  <c r="L83" i="18"/>
  <c r="L75" i="18"/>
  <c r="L46" i="18"/>
  <c r="U91" i="18"/>
  <c r="U84" i="18"/>
  <c r="U72" i="18"/>
  <c r="U68" i="18"/>
  <c r="U75" i="18"/>
  <c r="U69" i="18"/>
  <c r="U67" i="18"/>
  <c r="U34" i="18"/>
  <c r="U46" i="18"/>
  <c r="U115" i="18"/>
  <c r="U59" i="18"/>
  <c r="U66" i="18"/>
  <c r="U15" i="18"/>
  <c r="U70" i="18"/>
  <c r="U29" i="18"/>
  <c r="U73" i="18"/>
  <c r="U104" i="18"/>
  <c r="U120" i="18"/>
  <c r="U58" i="18"/>
  <c r="U112" i="18"/>
  <c r="U83" i="18"/>
  <c r="U43" i="18"/>
  <c r="W38" i="18"/>
  <c r="W73" i="18"/>
  <c r="W71" i="18"/>
  <c r="W32" i="18"/>
  <c r="W108" i="18"/>
  <c r="W54" i="18"/>
  <c r="W65" i="18"/>
  <c r="W70" i="18"/>
  <c r="W27" i="18"/>
  <c r="W24" i="18"/>
  <c r="W124" i="18"/>
  <c r="W96" i="18"/>
  <c r="W60" i="18"/>
  <c r="W13" i="18"/>
  <c r="W67" i="18"/>
  <c r="W66" i="18"/>
  <c r="W83" i="18"/>
  <c r="W112" i="18"/>
  <c r="W55" i="18"/>
  <c r="W19" i="18"/>
  <c r="W72" i="18"/>
  <c r="W68" i="18"/>
  <c r="M81" i="18"/>
  <c r="M43" i="18"/>
  <c r="M55" i="18"/>
  <c r="M61" i="18"/>
  <c r="M20" i="18"/>
  <c r="M123" i="18"/>
  <c r="M62" i="18"/>
  <c r="M57" i="18"/>
  <c r="M108" i="18"/>
  <c r="M31" i="18"/>
  <c r="M44" i="18"/>
  <c r="M73" i="18"/>
  <c r="M82" i="18"/>
  <c r="M105" i="18"/>
  <c r="M66" i="18"/>
  <c r="M91" i="18"/>
  <c r="M25" i="18"/>
  <c r="M90" i="18"/>
  <c r="M67" i="18"/>
  <c r="M39" i="18"/>
  <c r="M118" i="18"/>
  <c r="M83" i="18"/>
  <c r="E90" i="18"/>
  <c r="E75" i="18"/>
  <c r="E123" i="18"/>
  <c r="E58" i="18"/>
  <c r="E43" i="18"/>
  <c r="E116" i="18"/>
  <c r="E105" i="18"/>
  <c r="E67" i="18"/>
  <c r="E29" i="18"/>
  <c r="E82" i="18"/>
  <c r="E34" i="18"/>
  <c r="E112" i="18"/>
  <c r="E57" i="18"/>
  <c r="E62" i="18"/>
  <c r="E15" i="18"/>
  <c r="E121" i="18"/>
  <c r="E109" i="18"/>
  <c r="E25" i="18"/>
  <c r="E91" i="18"/>
  <c r="E113" i="18"/>
  <c r="E32" i="18"/>
  <c r="E65" i="18"/>
  <c r="P117" i="18"/>
  <c r="P123" i="18"/>
  <c r="P79" i="18"/>
  <c r="P113" i="18"/>
  <c r="P12" i="18"/>
  <c r="P55" i="18"/>
  <c r="P60" i="18"/>
  <c r="P95" i="18"/>
  <c r="P31" i="18"/>
  <c r="P70" i="18"/>
  <c r="P82" i="18"/>
  <c r="P110" i="18"/>
  <c r="P44" i="18"/>
  <c r="P26" i="18"/>
  <c r="P106" i="18"/>
  <c r="P37" i="18"/>
  <c r="P59" i="18"/>
  <c r="P39" i="18"/>
  <c r="P62" i="18"/>
  <c r="P72" i="18"/>
  <c r="P66" i="18"/>
  <c r="P94" i="18"/>
  <c r="T8" i="18"/>
  <c r="T26" i="18"/>
  <c r="T92" i="18"/>
  <c r="T67" i="18"/>
  <c r="T68" i="18"/>
  <c r="T61" i="18"/>
  <c r="T82" i="18"/>
  <c r="T94" i="18"/>
  <c r="T55" i="18"/>
  <c r="T91" i="18"/>
  <c r="T34" i="18"/>
  <c r="T21" i="18"/>
  <c r="T18" i="18"/>
  <c r="T118" i="18"/>
  <c r="T122" i="18"/>
  <c r="T44" i="18"/>
  <c r="T66" i="18"/>
  <c r="T60" i="18"/>
  <c r="T120" i="18"/>
  <c r="T32" i="18"/>
  <c r="T83" i="18"/>
  <c r="T46" i="18"/>
  <c r="D46" i="18"/>
  <c r="D116" i="18"/>
  <c r="D8" i="18"/>
  <c r="D93" i="18"/>
  <c r="D76" i="18"/>
  <c r="D21" i="18"/>
  <c r="D107" i="18"/>
  <c r="D44" i="18"/>
  <c r="D59" i="18"/>
  <c r="D34" i="18"/>
  <c r="D121" i="18"/>
  <c r="D109" i="18"/>
  <c r="D91" i="18"/>
  <c r="D13" i="21"/>
  <c r="D75" i="18"/>
  <c r="D65" i="18"/>
  <c r="D82" i="18"/>
  <c r="D26" i="18"/>
  <c r="D94" i="18"/>
  <c r="D66" i="18"/>
  <c r="D32" i="18"/>
  <c r="D18" i="18"/>
  <c r="AA95" i="18"/>
  <c r="AA119" i="18"/>
  <c r="AA57" i="18"/>
  <c r="AA27" i="18"/>
  <c r="AA117" i="18"/>
  <c r="AA93" i="18"/>
  <c r="AA53" i="18"/>
  <c r="AA106" i="18"/>
  <c r="AA84" i="18"/>
  <c r="AA83" i="18"/>
  <c r="AA92" i="18"/>
  <c r="AA110" i="18"/>
  <c r="AA9" i="18"/>
  <c r="AA59" i="18"/>
  <c r="AA52" i="18"/>
  <c r="AA15" i="21"/>
  <c r="AA19" i="18"/>
  <c r="AA76" i="18"/>
  <c r="AA79" i="18"/>
  <c r="AA22" i="18"/>
  <c r="AA114" i="18"/>
  <c r="AA36" i="18"/>
  <c r="Q71" i="18"/>
  <c r="Q61" i="18"/>
  <c r="Q106" i="18"/>
  <c r="Q55" i="18"/>
  <c r="Q62" i="18"/>
  <c r="Q20" i="18"/>
  <c r="Q34" i="18"/>
  <c r="Q52" i="18"/>
  <c r="Q12" i="18"/>
  <c r="Q117" i="18"/>
  <c r="Q46" i="18"/>
  <c r="Q94" i="18"/>
  <c r="Q95" i="18"/>
  <c r="Q69" i="18"/>
  <c r="Q60" i="18"/>
  <c r="Q57" i="18"/>
  <c r="Q44" i="18"/>
  <c r="Q26" i="18"/>
  <c r="Q56" i="18"/>
  <c r="Q39" i="18"/>
  <c r="Q79" i="18"/>
  <c r="Q31" i="18"/>
  <c r="N74" i="18"/>
  <c r="N39" i="18"/>
  <c r="N72" i="18"/>
  <c r="N62" i="18"/>
  <c r="N84" i="18"/>
  <c r="N67" i="18"/>
  <c r="N57" i="18"/>
  <c r="N113" i="18"/>
  <c r="N43" i="18"/>
  <c r="N46" i="18"/>
  <c r="N73" i="18"/>
  <c r="N71" i="18"/>
  <c r="N83" i="18"/>
  <c r="N69" i="18"/>
  <c r="N123" i="18"/>
  <c r="N81" i="18"/>
  <c r="N25" i="18"/>
  <c r="N52" i="18"/>
  <c r="N66" i="18"/>
  <c r="N82" i="18"/>
  <c r="N14" i="18"/>
  <c r="N56" i="18"/>
  <c r="R110" i="18"/>
  <c r="R24" i="18"/>
  <c r="R61" i="18"/>
  <c r="R67" i="18"/>
  <c r="R39" i="18"/>
  <c r="R95" i="18"/>
  <c r="R105" i="18"/>
  <c r="R79" i="18"/>
  <c r="R92" i="18"/>
  <c r="R122" i="18"/>
  <c r="R70" i="18"/>
  <c r="R46" i="18"/>
  <c r="R106" i="18"/>
  <c r="R69" i="18"/>
  <c r="R68" i="18"/>
  <c r="R34" i="18"/>
  <c r="R37" i="18"/>
  <c r="R94" i="18"/>
  <c r="R54" i="18"/>
  <c r="R52" i="18"/>
  <c r="R20" i="18"/>
  <c r="R10" i="18"/>
  <c r="O10" i="21"/>
  <c r="O47" i="17"/>
  <c r="O31" i="18"/>
  <c r="O110" i="18"/>
  <c r="O79" i="18"/>
  <c r="O82" i="17"/>
  <c r="O57" i="18"/>
  <c r="O105" i="18"/>
  <c r="O56" i="18"/>
  <c r="O14" i="18"/>
  <c r="O60" i="18"/>
  <c r="O113" i="18"/>
  <c r="O22" i="18"/>
  <c r="O91" i="18"/>
  <c r="O18" i="18"/>
  <c r="O72" i="18"/>
  <c r="O74" i="18"/>
  <c r="O63" i="17"/>
  <c r="O108" i="18"/>
  <c r="O71" i="18"/>
  <c r="O37" i="18"/>
  <c r="O73" i="18"/>
  <c r="I62" i="18"/>
  <c r="I29" i="18"/>
  <c r="I52" i="18"/>
  <c r="I25" i="18"/>
  <c r="I53" i="18"/>
  <c r="I93" i="18"/>
  <c r="I43" i="18"/>
  <c r="I94" i="18"/>
  <c r="I81" i="18"/>
  <c r="I70" i="18"/>
  <c r="I96" i="18"/>
  <c r="I38" i="18"/>
  <c r="I36" i="18"/>
  <c r="I110" i="18"/>
  <c r="I111" i="18"/>
  <c r="I21" i="18"/>
  <c r="I59" i="18"/>
  <c r="I11" i="18"/>
  <c r="I107" i="18"/>
  <c r="I120" i="18"/>
  <c r="I10" i="21"/>
  <c r="I58" i="18"/>
  <c r="H62" i="18"/>
  <c r="H96" i="18"/>
  <c r="H32" i="18"/>
  <c r="H90" i="18"/>
  <c r="H54" i="18"/>
  <c r="H29" i="18"/>
  <c r="H21" i="18"/>
  <c r="H38" i="18"/>
  <c r="H53" i="18"/>
  <c r="H117" i="18"/>
  <c r="H109" i="18"/>
  <c r="H27" i="18"/>
  <c r="H36" i="18"/>
  <c r="H110" i="18"/>
  <c r="H52" i="18"/>
  <c r="H81" i="17"/>
  <c r="H114" i="18"/>
  <c r="H62" i="17"/>
  <c r="H59" i="18"/>
  <c r="H44" i="18"/>
  <c r="H56" i="18"/>
  <c r="H13" i="18"/>
  <c r="Y36" i="18"/>
  <c r="Y94" i="18"/>
  <c r="Y29" i="18"/>
  <c r="Y65" i="18"/>
  <c r="Y59" i="18"/>
  <c r="Y43" i="18"/>
  <c r="Y68" i="18"/>
  <c r="Y95" i="18"/>
  <c r="Y96" i="18"/>
  <c r="Y70" i="18"/>
  <c r="Y79" i="18"/>
  <c r="Y54" i="18"/>
  <c r="Y123" i="18"/>
  <c r="Y119" i="18"/>
  <c r="Y66" i="18"/>
  <c r="Y71" i="18"/>
  <c r="Y117" i="18"/>
  <c r="Y25" i="18"/>
  <c r="Y21" i="18"/>
  <c r="Y11" i="18"/>
  <c r="Y38" i="18"/>
  <c r="Y69" i="18"/>
  <c r="G16" i="3"/>
  <c r="G34" i="17"/>
  <c r="G6" i="19"/>
  <c r="G38" i="18"/>
  <c r="G83" i="18"/>
  <c r="G32" i="18"/>
  <c r="G71" i="17"/>
  <c r="G56" i="18"/>
  <c r="G18" i="18"/>
  <c r="G105" i="18"/>
  <c r="G55" i="17"/>
  <c r="G82" i="18"/>
  <c r="G96" i="18"/>
  <c r="G71" i="18"/>
  <c r="G52" i="18"/>
  <c r="G117" i="18"/>
  <c r="G27" i="18"/>
  <c r="G13" i="18"/>
  <c r="G114" i="18"/>
  <c r="G81" i="18"/>
  <c r="G65" i="18"/>
  <c r="G21" i="21"/>
  <c r="G24" i="18"/>
  <c r="G54" i="18"/>
  <c r="X21" i="18"/>
  <c r="X58" i="18"/>
  <c r="X23" i="3"/>
  <c r="X18" i="21"/>
  <c r="V23" i="2"/>
  <c r="X53" i="18"/>
  <c r="X29" i="18"/>
  <c r="X72" i="18"/>
  <c r="X104" i="18"/>
  <c r="X73" i="18"/>
  <c r="X27" i="18"/>
  <c r="X61" i="18"/>
  <c r="X59" i="18"/>
  <c r="X74" i="18"/>
  <c r="X13" i="18"/>
  <c r="X36" i="18"/>
  <c r="X67" i="18"/>
  <c r="X79" i="18"/>
  <c r="X55" i="18"/>
  <c r="X95" i="18"/>
  <c r="X32" i="18"/>
  <c r="X71" i="18"/>
  <c r="X70" i="18"/>
  <c r="X113" i="18"/>
  <c r="V118" i="18"/>
  <c r="V34" i="18"/>
  <c r="V24" i="18"/>
  <c r="V66" i="18"/>
  <c r="V61" i="18"/>
  <c r="V82" i="18"/>
  <c r="V19" i="18"/>
  <c r="V75" i="18"/>
  <c r="V74" i="18"/>
  <c r="V46" i="18"/>
  <c r="V91" i="18"/>
  <c r="V72" i="18"/>
  <c r="V18" i="18"/>
  <c r="V65" i="18"/>
  <c r="V16" i="3"/>
  <c r="V34" i="17"/>
  <c r="V6" i="19"/>
  <c r="V54" i="18"/>
  <c r="V15" i="18"/>
  <c r="V58" i="18"/>
  <c r="V38" i="18"/>
  <c r="V32" i="18"/>
  <c r="V29" i="18"/>
  <c r="V73" i="18"/>
  <c r="Z60" i="18"/>
  <c r="Z123" i="18"/>
  <c r="Z7" i="21"/>
  <c r="Z29" i="18"/>
  <c r="Z113" i="18"/>
  <c r="Z93" i="18"/>
  <c r="Z57" i="18"/>
  <c r="Z76" i="18"/>
  <c r="Z69" i="18"/>
  <c r="Z43" i="18"/>
  <c r="Z71" i="18"/>
  <c r="Z68" i="18"/>
  <c r="Z11" i="18"/>
  <c r="Z19" i="18"/>
  <c r="Z114" i="18"/>
  <c r="Z27" i="18"/>
  <c r="Z25" i="18"/>
  <c r="Z38" i="18"/>
  <c r="Z106" i="18"/>
  <c r="Z72" i="18"/>
  <c r="Z65" i="18"/>
  <c r="Z54" i="18"/>
  <c r="F75" i="18"/>
  <c r="F19" i="18"/>
  <c r="F109" i="18"/>
  <c r="F91" i="18"/>
  <c r="F60" i="18"/>
  <c r="F16" i="3"/>
  <c r="F34" i="17"/>
  <c r="F6" i="19"/>
  <c r="F15" i="18"/>
  <c r="F24" i="18"/>
  <c r="F121" i="18"/>
  <c r="F34" i="18"/>
  <c r="F58" i="18"/>
  <c r="F54" i="18"/>
  <c r="F82" i="18"/>
  <c r="F29" i="18"/>
  <c r="F76" i="18"/>
  <c r="F81" i="18"/>
  <c r="F65" i="18"/>
  <c r="F9" i="21"/>
  <c r="F38" i="18"/>
  <c r="F32" i="18"/>
  <c r="F59" i="18"/>
  <c r="F90" i="18"/>
  <c r="C55" i="18"/>
  <c r="C61" i="18"/>
  <c r="C84" i="18"/>
  <c r="C26" i="18"/>
  <c r="C16" i="21"/>
  <c r="C92" i="18"/>
  <c r="C112" i="18"/>
  <c r="C65" i="18"/>
  <c r="C60" i="18"/>
  <c r="C54" i="18"/>
  <c r="C74" i="18"/>
  <c r="C72" i="18"/>
  <c r="C76" i="18"/>
  <c r="C46" i="18"/>
  <c r="C37" i="18"/>
  <c r="C104" i="18"/>
  <c r="C59" i="18"/>
  <c r="C75" i="18"/>
  <c r="C67" i="18"/>
  <c r="C18" i="18"/>
  <c r="C93" i="18"/>
  <c r="C44" i="18"/>
  <c r="E107" i="18"/>
  <c r="E7" i="20"/>
  <c r="E87" i="18"/>
  <c r="E76" i="18"/>
  <c r="E71" i="18"/>
  <c r="E72" i="18"/>
  <c r="E94" i="18"/>
  <c r="E118" i="18"/>
  <c r="E32" i="21"/>
  <c r="E11" i="21"/>
  <c r="E55" i="18"/>
  <c r="E115" i="18"/>
  <c r="E44" i="18"/>
  <c r="E46" i="18"/>
  <c r="E60" i="18"/>
  <c r="E84" i="18"/>
  <c r="E110" i="18"/>
  <c r="E66" i="18"/>
  <c r="E104" i="18"/>
  <c r="E74" i="18"/>
  <c r="E92" i="18"/>
  <c r="E73" i="18"/>
  <c r="E26" i="18"/>
  <c r="I45" i="18"/>
  <c r="I100" i="18"/>
  <c r="I17" i="20"/>
  <c r="I48" i="18"/>
  <c r="I125" i="18"/>
  <c r="I102" i="18"/>
  <c r="I126" i="18"/>
  <c r="I63" i="18"/>
  <c r="I85" i="18"/>
  <c r="I99" i="18"/>
  <c r="I98" i="18"/>
  <c r="I51" i="18"/>
  <c r="I64" i="18"/>
  <c r="I42" i="18"/>
  <c r="I103" i="18"/>
  <c r="I40" i="18"/>
  <c r="I80" i="18"/>
  <c r="G6" i="7"/>
  <c r="I20" i="3"/>
  <c r="I79" i="17"/>
  <c r="I101" i="18"/>
  <c r="I88" i="17"/>
  <c r="I78" i="18"/>
  <c r="I49" i="18"/>
  <c r="AA97" i="18"/>
  <c r="AA33" i="18"/>
  <c r="AA48" i="18"/>
  <c r="AA41" i="18"/>
  <c r="AA85" i="18"/>
  <c r="AA64" i="18"/>
  <c r="AA103" i="18"/>
  <c r="AA51" i="18"/>
  <c r="AA63" i="18"/>
  <c r="AA15" i="20"/>
  <c r="AA128" i="18"/>
  <c r="AA101" i="18"/>
  <c r="AA99" i="18"/>
  <c r="AA130" i="18"/>
  <c r="AA40" i="18"/>
  <c r="AA50" i="18"/>
  <c r="AA78" i="18"/>
  <c r="AA13" i="20"/>
  <c r="AA100" i="18"/>
  <c r="AA131" i="18"/>
  <c r="AA129" i="18"/>
  <c r="AA125" i="18"/>
  <c r="J124" i="18"/>
  <c r="J27" i="18"/>
  <c r="J62" i="18"/>
  <c r="J57" i="18"/>
  <c r="J29" i="18"/>
  <c r="J93" i="18"/>
  <c r="J70" i="18"/>
  <c r="J43" i="18"/>
  <c r="J59" i="18"/>
  <c r="J19" i="18"/>
  <c r="J75" i="18"/>
  <c r="J61" i="18"/>
  <c r="AA72" i="18"/>
  <c r="J38" i="18"/>
  <c r="J72" i="18"/>
  <c r="AA32" i="21"/>
  <c r="AA8" i="20"/>
  <c r="AA88" i="18"/>
  <c r="J32" i="18"/>
  <c r="J69" i="18"/>
  <c r="AA91" i="18"/>
  <c r="AA94" i="18"/>
  <c r="J71" i="18"/>
  <c r="J68" i="18"/>
  <c r="J107" i="18"/>
  <c r="AA66" i="18"/>
  <c r="AA26" i="21"/>
  <c r="AA38" i="18"/>
  <c r="J111" i="18"/>
  <c r="AA69" i="18"/>
  <c r="J76" i="18"/>
  <c r="AA67" i="18"/>
  <c r="J11" i="18"/>
  <c r="AA121" i="18"/>
  <c r="AA112" i="18"/>
  <c r="AA104" i="18"/>
  <c r="AA68" i="18"/>
  <c r="AA109" i="18"/>
  <c r="AA70" i="18"/>
  <c r="AA33" i="21"/>
  <c r="AA54" i="18"/>
  <c r="AA21" i="18"/>
  <c r="AA60" i="18"/>
  <c r="AA65" i="18"/>
  <c r="AA81" i="18"/>
  <c r="Z100" i="18"/>
  <c r="X6" i="7"/>
  <c r="Z20" i="3"/>
  <c r="Z79" i="17"/>
  <c r="Z45" i="18"/>
  <c r="Z103" i="18"/>
  <c r="Z28" i="18"/>
  <c r="Z19" i="20"/>
  <c r="Z78" i="18"/>
  <c r="Z51" i="18"/>
  <c r="Z63" i="18"/>
  <c r="Z50" i="18"/>
  <c r="Z40" i="18"/>
  <c r="Z126" i="18"/>
  <c r="Z33" i="18"/>
  <c r="Z48" i="18"/>
  <c r="Z99" i="18"/>
  <c r="Z98" i="18"/>
  <c r="Z85" i="18"/>
  <c r="Z129" i="18"/>
  <c r="Z84" i="17"/>
  <c r="Z13" i="20"/>
  <c r="Z101" i="18"/>
  <c r="Z49" i="18"/>
  <c r="H6" i="7"/>
  <c r="J20" i="3"/>
  <c r="J79" i="17"/>
  <c r="J85" i="18"/>
  <c r="J48" i="18"/>
  <c r="J40" i="18"/>
  <c r="J50" i="18"/>
  <c r="J128" i="18"/>
  <c r="J130" i="18"/>
  <c r="J41" i="18"/>
  <c r="J102" i="18"/>
  <c r="J12" i="20"/>
  <c r="J99" i="18"/>
  <c r="J100" i="18"/>
  <c r="J84" i="17"/>
  <c r="J33" i="18"/>
  <c r="J77" i="18"/>
  <c r="J51" i="18"/>
  <c r="J101" i="18"/>
  <c r="J45" i="18"/>
  <c r="J103" i="18"/>
  <c r="J78" i="18"/>
  <c r="J63" i="18"/>
  <c r="J97" i="18"/>
  <c r="M6" i="20"/>
  <c r="M86" i="18"/>
  <c r="M111" i="18"/>
  <c r="M120" i="18"/>
  <c r="M19" i="18"/>
  <c r="M58" i="18"/>
  <c r="M68" i="18"/>
  <c r="M36" i="18"/>
  <c r="M93" i="18"/>
  <c r="M95" i="18"/>
  <c r="M84" i="18"/>
  <c r="M38" i="18"/>
  <c r="M116" i="18"/>
  <c r="M79" i="18"/>
  <c r="M106" i="18"/>
  <c r="M21" i="21"/>
  <c r="M52" i="18"/>
  <c r="M17" i="18"/>
  <c r="M70" i="18"/>
  <c r="M16" i="21"/>
  <c r="M117" i="18"/>
  <c r="M76" i="18"/>
  <c r="M16" i="3"/>
  <c r="M34" i="17"/>
  <c r="M6" i="19"/>
  <c r="D130" i="18"/>
  <c r="D132" i="18"/>
  <c r="D129" i="18"/>
  <c r="D103" i="18"/>
  <c r="D85" i="18"/>
  <c r="D85" i="17"/>
  <c r="D48" i="18"/>
  <c r="D102" i="18"/>
  <c r="D64" i="18"/>
  <c r="D98" i="18"/>
  <c r="D80" i="18"/>
  <c r="D40" i="18"/>
  <c r="D100" i="18"/>
  <c r="D18" i="20"/>
  <c r="D13" i="20"/>
  <c r="D49" i="18"/>
  <c r="D127" i="18"/>
  <c r="D128" i="18"/>
  <c r="D45" i="18"/>
  <c r="D63" i="18"/>
  <c r="D77" i="18"/>
  <c r="D12" i="20"/>
  <c r="H97" i="18"/>
  <c r="H80" i="18"/>
  <c r="H45" i="18"/>
  <c r="H40" i="18"/>
  <c r="H88" i="17"/>
  <c r="H48" i="18"/>
  <c r="H131" i="18"/>
  <c r="H51" i="18"/>
  <c r="H101" i="18"/>
  <c r="H78" i="18"/>
  <c r="H100" i="18"/>
  <c r="H64" i="18"/>
  <c r="H99" i="18"/>
  <c r="H84" i="17"/>
  <c r="H125" i="18"/>
  <c r="H20" i="20"/>
  <c r="H63" i="18"/>
  <c r="H41" i="18"/>
  <c r="H132" i="18"/>
  <c r="H14" i="20"/>
  <c r="H126" i="18"/>
  <c r="H49" i="18"/>
  <c r="F102" i="18"/>
  <c r="F128" i="18"/>
  <c r="F80" i="18"/>
  <c r="F14" i="20"/>
  <c r="F51" i="18"/>
  <c r="F42" i="18"/>
  <c r="F49" i="18"/>
  <c r="F97" i="18"/>
  <c r="F78" i="18"/>
  <c r="F130" i="18"/>
  <c r="F48" i="18"/>
  <c r="F85" i="18"/>
  <c r="F125" i="18"/>
  <c r="F99" i="18"/>
  <c r="F132" i="18"/>
  <c r="F127" i="18"/>
  <c r="F50" i="18"/>
  <c r="F41" i="18"/>
  <c r="F126" i="18"/>
  <c r="F64" i="18"/>
  <c r="F18" i="20"/>
  <c r="F63" i="18"/>
  <c r="K8" i="20"/>
  <c r="K88" i="18"/>
  <c r="K38" i="18"/>
  <c r="K27" i="18"/>
  <c r="K93" i="18"/>
  <c r="K81" i="18"/>
  <c r="K26" i="21"/>
  <c r="K59" i="18"/>
  <c r="K75" i="18"/>
  <c r="K54" i="18"/>
  <c r="K9" i="18"/>
  <c r="K72" i="18"/>
  <c r="K109" i="18"/>
  <c r="K19" i="18"/>
  <c r="K124" i="18"/>
  <c r="K65" i="18"/>
  <c r="K114" i="18"/>
  <c r="K117" i="18"/>
  <c r="K21" i="18"/>
  <c r="K70" i="18"/>
  <c r="K16" i="3"/>
  <c r="K34" i="17"/>
  <c r="K6" i="19"/>
  <c r="K121" i="18"/>
  <c r="K76" i="18"/>
  <c r="L90" i="18"/>
  <c r="L29" i="18"/>
  <c r="L111" i="18"/>
  <c r="L27" i="21"/>
  <c r="L72" i="18"/>
  <c r="L114" i="18"/>
  <c r="L8" i="20"/>
  <c r="L88" i="18"/>
  <c r="L76" i="18"/>
  <c r="L104" i="18"/>
  <c r="L58" i="18"/>
  <c r="L56" i="18"/>
  <c r="L17" i="18"/>
  <c r="L61" i="18"/>
  <c r="L36" i="18"/>
  <c r="L79" i="18"/>
  <c r="L53" i="18"/>
  <c r="L106" i="18"/>
  <c r="L116" i="18"/>
  <c r="L93" i="18"/>
  <c r="L95" i="18"/>
  <c r="L13" i="21"/>
  <c r="L27" i="18"/>
  <c r="W76" i="18"/>
  <c r="W94" i="18"/>
  <c r="W69" i="18"/>
  <c r="W119" i="18"/>
  <c r="W82" i="18"/>
  <c r="W16" i="3"/>
  <c r="W34" i="17"/>
  <c r="W6" i="19"/>
  <c r="W92" i="18"/>
  <c r="W122" i="18"/>
  <c r="W90" i="18"/>
  <c r="W10" i="21"/>
  <c r="W107" i="18"/>
  <c r="W61" i="18"/>
  <c r="W74" i="18"/>
  <c r="W44" i="18"/>
  <c r="W121" i="18"/>
  <c r="W53" i="18"/>
  <c r="W105" i="18"/>
  <c r="W58" i="18"/>
  <c r="W26" i="18"/>
  <c r="W62" i="18"/>
  <c r="W118" i="18"/>
  <c r="W110" i="18"/>
  <c r="U26" i="18"/>
  <c r="U55" i="18"/>
  <c r="U13" i="21"/>
  <c r="U82" i="18"/>
  <c r="U71" i="18"/>
  <c r="U94" i="18"/>
  <c r="U76" i="18"/>
  <c r="U107" i="18"/>
  <c r="U7" i="20"/>
  <c r="U87" i="18"/>
  <c r="U119" i="18"/>
  <c r="U92" i="18"/>
  <c r="U123" i="18"/>
  <c r="U118" i="18"/>
  <c r="U52" i="18"/>
  <c r="U96" i="18"/>
  <c r="U56" i="18"/>
  <c r="U62" i="18"/>
  <c r="U110" i="18"/>
  <c r="U60" i="18"/>
  <c r="U21" i="21"/>
  <c r="U81" i="18"/>
  <c r="U44" i="18"/>
  <c r="F73" i="18"/>
  <c r="F115" i="18"/>
  <c r="F107" i="18"/>
  <c r="F71" i="18"/>
  <c r="F62" i="18"/>
  <c r="F104" i="18"/>
  <c r="F94" i="18"/>
  <c r="F22" i="21"/>
  <c r="F67" i="18"/>
  <c r="F74" i="18"/>
  <c r="F18" i="18"/>
  <c r="F69" i="18"/>
  <c r="F55" i="18"/>
  <c r="F83" i="18"/>
  <c r="F122" i="18"/>
  <c r="F112" i="18"/>
  <c r="F66" i="18"/>
  <c r="F119" i="18"/>
  <c r="F118" i="18"/>
  <c r="F9" i="20"/>
  <c r="F89" i="18"/>
  <c r="F33" i="21"/>
  <c r="F37" i="18"/>
  <c r="G62" i="18"/>
  <c r="G60" i="18"/>
  <c r="G92" i="18"/>
  <c r="G79" i="18"/>
  <c r="G26" i="18"/>
  <c r="G118" i="18"/>
  <c r="G112" i="18"/>
  <c r="G11" i="21"/>
  <c r="G109" i="18"/>
  <c r="G46" i="18"/>
  <c r="G9" i="20"/>
  <c r="G89" i="18"/>
  <c r="G53" i="18"/>
  <c r="G90" i="18"/>
  <c r="G94" i="18"/>
  <c r="G69" i="18"/>
  <c r="G74" i="18"/>
  <c r="G58" i="18"/>
  <c r="G66" i="18"/>
  <c r="G119" i="18"/>
  <c r="G44" i="18"/>
  <c r="G76" i="18"/>
  <c r="G121" i="18"/>
  <c r="Y61" i="18"/>
  <c r="Y112" i="18"/>
  <c r="Y13" i="21"/>
  <c r="Y55" i="18"/>
  <c r="Y90" i="18"/>
  <c r="Y74" i="18"/>
  <c r="Y104" i="18"/>
  <c r="Y60" i="18"/>
  <c r="Y122" i="18"/>
  <c r="Y72" i="18"/>
  <c r="Y76" i="18"/>
  <c r="Y67" i="18"/>
  <c r="Y31" i="21"/>
  <c r="Y25" i="21"/>
  <c r="Y115" i="18"/>
  <c r="Y24" i="18"/>
  <c r="Y105" i="18"/>
  <c r="Y109" i="18"/>
  <c r="Y92" i="18"/>
  <c r="Y83" i="18"/>
  <c r="Y56" i="18"/>
  <c r="Y7" i="20"/>
  <c r="Y87" i="18"/>
  <c r="N108" i="18"/>
  <c r="N16" i="3"/>
  <c r="N34" i="17"/>
  <c r="N6" i="19"/>
  <c r="N106" i="18"/>
  <c r="N70" i="18"/>
  <c r="N117" i="18"/>
  <c r="N95" i="18"/>
  <c r="N111" i="18"/>
  <c r="N124" i="18"/>
  <c r="N6" i="20"/>
  <c r="N86" i="18"/>
  <c r="N91" i="18"/>
  <c r="N58" i="18"/>
  <c r="N79" i="18"/>
  <c r="N53" i="18"/>
  <c r="N27" i="18"/>
  <c r="N90" i="18"/>
  <c r="N59" i="18"/>
  <c r="N96" i="18"/>
  <c r="N93" i="18"/>
  <c r="N114" i="18"/>
  <c r="N120" i="18"/>
  <c r="N54" i="18"/>
  <c r="N75" i="18"/>
  <c r="P52" i="18"/>
  <c r="P81" i="18"/>
  <c r="P120" i="18"/>
  <c r="P75" i="18"/>
  <c r="P121" i="18"/>
  <c r="P57" i="18"/>
  <c r="P8" i="21"/>
  <c r="P61" i="18"/>
  <c r="P22" i="18"/>
  <c r="P91" i="18"/>
  <c r="P111" i="18"/>
  <c r="P124" i="18"/>
  <c r="P43" i="18"/>
  <c r="P109" i="18"/>
  <c r="P116" i="18"/>
  <c r="P108" i="18"/>
  <c r="P73" i="18"/>
  <c r="P68" i="18"/>
  <c r="P25" i="18"/>
  <c r="P53" i="18"/>
  <c r="P105" i="18"/>
  <c r="P84" i="18"/>
  <c r="S123" i="18"/>
  <c r="S73" i="18"/>
  <c r="S57" i="18"/>
  <c r="S116" i="18"/>
  <c r="S82" i="18"/>
  <c r="S96" i="18"/>
  <c r="S52" i="18"/>
  <c r="S66" i="18"/>
  <c r="S113" i="18"/>
  <c r="S31" i="18"/>
  <c r="S37" i="18"/>
  <c r="S62" i="18"/>
  <c r="S44" i="18"/>
  <c r="S56" i="18"/>
  <c r="S9" i="20"/>
  <c r="S89" i="18"/>
  <c r="S18" i="18"/>
  <c r="S105" i="18"/>
  <c r="S13" i="21"/>
  <c r="S107" i="18"/>
  <c r="S111" i="18"/>
  <c r="S110" i="18"/>
  <c r="S94" i="18"/>
  <c r="X40" i="18"/>
  <c r="X126" i="18"/>
  <c r="X130" i="18"/>
  <c r="X128" i="18"/>
  <c r="X19" i="20"/>
  <c r="X51" i="18"/>
  <c r="X85" i="18"/>
  <c r="X80" i="18"/>
  <c r="X20" i="20"/>
  <c r="X33" i="18"/>
  <c r="X129" i="18"/>
  <c r="X78" i="18"/>
  <c r="X28" i="18"/>
  <c r="X88" i="17"/>
  <c r="X50" i="18"/>
  <c r="X64" i="18"/>
  <c r="X41" i="18"/>
  <c r="X97" i="18"/>
  <c r="X49" i="18"/>
  <c r="X99" i="18"/>
  <c r="X102" i="18"/>
  <c r="X63" i="18"/>
  <c r="T107" i="18"/>
  <c r="T62" i="18"/>
  <c r="T56" i="18"/>
  <c r="T52" i="18"/>
  <c r="T57" i="18"/>
  <c r="T7" i="20"/>
  <c r="T87" i="18"/>
  <c r="T37" i="18"/>
  <c r="T73" i="18"/>
  <c r="T123" i="18"/>
  <c r="T22" i="21"/>
  <c r="T90" i="18"/>
  <c r="T105" i="18"/>
  <c r="T116" i="18"/>
  <c r="T119" i="18"/>
  <c r="T39" i="18"/>
  <c r="T113" i="18"/>
  <c r="T53" i="18"/>
  <c r="T20" i="18"/>
  <c r="T96" i="18"/>
  <c r="T111" i="18"/>
  <c r="T71" i="18"/>
  <c r="T69" i="18"/>
  <c r="R120" i="18"/>
  <c r="R8" i="21"/>
  <c r="R76" i="18"/>
  <c r="R116" i="18"/>
  <c r="R57" i="18"/>
  <c r="R71" i="18"/>
  <c r="R9" i="20"/>
  <c r="R89" i="18"/>
  <c r="R91" i="18"/>
  <c r="R6" i="20"/>
  <c r="R86" i="18"/>
  <c r="R82" i="18"/>
  <c r="R22" i="18"/>
  <c r="R66" i="18"/>
  <c r="R59" i="18"/>
  <c r="R93" i="18"/>
  <c r="R62" i="18"/>
  <c r="R113" i="18"/>
  <c r="R55" i="18"/>
  <c r="R73" i="18"/>
  <c r="R108" i="18"/>
  <c r="R119" i="18"/>
  <c r="R107" i="18"/>
  <c r="R75" i="18"/>
  <c r="D84" i="18"/>
  <c r="D37" i="18"/>
  <c r="D69" i="18"/>
  <c r="D53" i="18"/>
  <c r="D104" i="18"/>
  <c r="D7" i="20"/>
  <c r="D87" i="18"/>
  <c r="D39" i="18"/>
  <c r="D92" i="18"/>
  <c r="D74" i="18"/>
  <c r="D112" i="18"/>
  <c r="D71" i="18"/>
  <c r="D60" i="18"/>
  <c r="D119" i="18"/>
  <c r="D61" i="18"/>
  <c r="D118" i="18"/>
  <c r="D55" i="18"/>
  <c r="D122" i="18"/>
  <c r="D67" i="18"/>
  <c r="D57" i="18"/>
  <c r="D73" i="18"/>
  <c r="D20" i="18"/>
  <c r="D96" i="18"/>
  <c r="I16" i="3"/>
  <c r="I34" i="17"/>
  <c r="I6" i="19"/>
  <c r="I121" i="18"/>
  <c r="I90" i="18"/>
  <c r="I14" i="21"/>
  <c r="I83" i="18"/>
  <c r="I74" i="18"/>
  <c r="I117" i="18"/>
  <c r="I56" i="18"/>
  <c r="I76" i="18"/>
  <c r="I8" i="21"/>
  <c r="I65" i="18"/>
  <c r="I72" i="18"/>
  <c r="I114" i="18"/>
  <c r="I54" i="18"/>
  <c r="I60" i="18"/>
  <c r="I115" i="18"/>
  <c r="I109" i="18"/>
  <c r="I67" i="18"/>
  <c r="I112" i="18"/>
  <c r="I104" i="18"/>
  <c r="I92" i="18"/>
  <c r="I24" i="18"/>
  <c r="O68" i="18"/>
  <c r="O96" i="18"/>
  <c r="O116" i="18"/>
  <c r="O53" i="18"/>
  <c r="O124" i="18"/>
  <c r="O16" i="3"/>
  <c r="O34" i="17"/>
  <c r="O6" i="19"/>
  <c r="O82" i="18"/>
  <c r="O114" i="18"/>
  <c r="O36" i="18"/>
  <c r="O17" i="18"/>
  <c r="O120" i="18"/>
  <c r="O109" i="18"/>
  <c r="O84" i="18"/>
  <c r="O93" i="18"/>
  <c r="O70" i="18"/>
  <c r="O61" i="18"/>
  <c r="O58" i="18"/>
  <c r="O90" i="18"/>
  <c r="O81" i="18"/>
  <c r="O121" i="18"/>
  <c r="O66" i="18"/>
  <c r="O111" i="18"/>
  <c r="C115" i="18"/>
  <c r="C116" i="18"/>
  <c r="C96" i="18"/>
  <c r="C105" i="18"/>
  <c r="C9" i="20"/>
  <c r="C89" i="18"/>
  <c r="C70" i="18"/>
  <c r="C83" i="18"/>
  <c r="C57" i="18"/>
  <c r="C122" i="18"/>
  <c r="C91" i="18"/>
  <c r="C62" i="18"/>
  <c r="C107" i="18"/>
  <c r="C82" i="18"/>
  <c r="C113" i="18"/>
  <c r="C71" i="18"/>
  <c r="C31" i="18"/>
  <c r="C68" i="18"/>
  <c r="C94" i="18"/>
  <c r="C110" i="18"/>
  <c r="C66" i="18"/>
  <c r="C73" i="18"/>
  <c r="C26" i="21"/>
  <c r="J95" i="18"/>
  <c r="J84" i="18"/>
  <c r="J16" i="3"/>
  <c r="J34" i="17"/>
  <c r="J6" i="19"/>
  <c r="J16" i="21"/>
  <c r="J92" i="18"/>
  <c r="J22" i="21"/>
  <c r="J117" i="18"/>
  <c r="J74" i="18"/>
  <c r="J83" i="18"/>
  <c r="J90" i="18"/>
  <c r="J79" i="18"/>
  <c r="J81" i="18"/>
  <c r="J46" i="18"/>
  <c r="J67" i="18"/>
  <c r="J121" i="18"/>
  <c r="J65" i="18"/>
  <c r="J118" i="18"/>
  <c r="J54" i="18"/>
  <c r="J106" i="18"/>
  <c r="J58" i="18"/>
  <c r="J114" i="18"/>
  <c r="J112" i="18"/>
  <c r="V10" i="21"/>
  <c r="V56" i="18"/>
  <c r="V116" i="18"/>
  <c r="V94" i="18"/>
  <c r="V8" i="21"/>
  <c r="V96" i="18"/>
  <c r="V83" i="18"/>
  <c r="V69" i="18"/>
  <c r="V71" i="18"/>
  <c r="V62" i="18"/>
  <c r="V110" i="18"/>
  <c r="V104" i="18"/>
  <c r="V115" i="18"/>
  <c r="V105" i="18"/>
  <c r="V55" i="18"/>
  <c r="V122" i="18"/>
  <c r="V67" i="18"/>
  <c r="V26" i="21"/>
  <c r="V37" i="18"/>
  <c r="V109" i="18"/>
  <c r="V119" i="18"/>
  <c r="V120" i="18"/>
  <c r="X7" i="20"/>
  <c r="X87" i="18"/>
  <c r="X76" i="18"/>
  <c r="X27" i="21"/>
  <c r="X46" i="18"/>
  <c r="X107" i="18"/>
  <c r="X105" i="18"/>
  <c r="X28" i="21"/>
  <c r="X115" i="18"/>
  <c r="X81" i="18"/>
  <c r="X92" i="18"/>
  <c r="X65" i="18"/>
  <c r="X110" i="18"/>
  <c r="X119" i="18"/>
  <c r="X60" i="18"/>
  <c r="X123" i="18"/>
  <c r="X94" i="18"/>
  <c r="X34" i="18"/>
  <c r="X15" i="18"/>
  <c r="X112" i="18"/>
  <c r="X118" i="18"/>
  <c r="X83" i="18"/>
  <c r="X69" i="18"/>
  <c r="K33" i="18"/>
  <c r="Z74" i="18"/>
  <c r="K50" i="18"/>
  <c r="Z11" i="21"/>
  <c r="K85" i="18"/>
  <c r="Z16" i="21"/>
  <c r="Z13" i="18"/>
  <c r="K45" i="18"/>
  <c r="K40" i="18"/>
  <c r="Z90" i="18"/>
  <c r="K77" i="18"/>
  <c r="Z95" i="18"/>
  <c r="Z46" i="18"/>
  <c r="K99" i="18"/>
  <c r="K131" i="18"/>
  <c r="Z55" i="18"/>
  <c r="Z32" i="18"/>
  <c r="K63" i="18"/>
  <c r="K129" i="18"/>
  <c r="Z118" i="18"/>
  <c r="K102" i="18"/>
  <c r="Z67" i="18"/>
  <c r="Z122" i="18"/>
  <c r="K41" i="18"/>
  <c r="K103" i="18"/>
  <c r="Z94" i="18"/>
  <c r="Z112" i="18"/>
  <c r="K97" i="18"/>
  <c r="Z58" i="18"/>
  <c r="K101" i="18"/>
  <c r="K100" i="18"/>
  <c r="Z81" i="18"/>
  <c r="Z83" i="18"/>
  <c r="K64" i="18"/>
  <c r="K84" i="17"/>
  <c r="K125" i="18"/>
  <c r="Z92" i="18"/>
  <c r="Z115" i="18"/>
  <c r="Z70" i="18"/>
  <c r="K128" i="18"/>
  <c r="K78" i="18"/>
  <c r="Z79" i="18"/>
  <c r="Z107" i="18"/>
  <c r="K20" i="20"/>
  <c r="M97" i="18"/>
  <c r="M50" i="18"/>
  <c r="M91" i="17"/>
  <c r="M18" i="20"/>
  <c r="M45" i="18"/>
  <c r="M126" i="18"/>
  <c r="M101" i="18"/>
  <c r="M129" i="18"/>
  <c r="M48" i="18"/>
  <c r="M77" i="18"/>
  <c r="M84" i="17"/>
  <c r="M33" i="18"/>
  <c r="M15" i="20"/>
  <c r="M64" i="18"/>
  <c r="M99" i="18"/>
  <c r="M42" i="18"/>
  <c r="M49" i="18"/>
  <c r="M127" i="18"/>
  <c r="M41" i="18"/>
  <c r="M63" i="18"/>
  <c r="M131" i="18"/>
  <c r="M17" i="20"/>
  <c r="H7" i="20"/>
  <c r="H87" i="18"/>
  <c r="H8" i="21"/>
  <c r="H104" i="18"/>
  <c r="H34" i="18"/>
  <c r="H34" i="21"/>
  <c r="H112" i="18"/>
  <c r="H83" i="18"/>
  <c r="H118" i="18"/>
  <c r="H65" i="18"/>
  <c r="H69" i="18"/>
  <c r="H81" i="18"/>
  <c r="H17" i="21"/>
  <c r="H113" i="18"/>
  <c r="H119" i="18"/>
  <c r="H15" i="18"/>
  <c r="H115" i="18"/>
  <c r="H76" i="18"/>
  <c r="H92" i="18"/>
  <c r="H94" i="18"/>
  <c r="H107" i="18"/>
  <c r="H60" i="18"/>
  <c r="H66" i="18"/>
  <c r="Q16" i="21"/>
  <c r="Q6" i="20"/>
  <c r="Q86" i="18"/>
  <c r="Q124" i="18"/>
  <c r="Q114" i="18"/>
  <c r="Q108" i="18"/>
  <c r="Q111" i="18"/>
  <c r="Q68" i="18"/>
  <c r="Q14" i="18"/>
  <c r="Q113" i="18"/>
  <c r="Q123" i="18"/>
  <c r="Q14" i="21"/>
  <c r="Q116" i="18"/>
  <c r="Q23" i="21"/>
  <c r="Q93" i="18"/>
  <c r="Q82" i="18"/>
  <c r="Q84" i="18"/>
  <c r="Q91" i="18"/>
  <c r="Q96" i="18"/>
  <c r="Q109" i="18"/>
  <c r="Q65" i="18"/>
  <c r="Q75" i="18"/>
  <c r="Q59" i="18"/>
  <c r="C13" i="20"/>
  <c r="C102" i="18"/>
  <c r="C18" i="20"/>
  <c r="C78" i="18"/>
  <c r="C48" i="18"/>
  <c r="C128" i="18"/>
  <c r="C17" i="20"/>
  <c r="C100" i="18"/>
  <c r="C45" i="18"/>
  <c r="C51" i="18"/>
  <c r="C77" i="18"/>
  <c r="C101" i="18"/>
  <c r="C126" i="18"/>
  <c r="C63" i="18"/>
  <c r="C28" i="18"/>
  <c r="C129" i="18"/>
  <c r="C80" i="18"/>
  <c r="C98" i="18"/>
  <c r="C42" i="18"/>
  <c r="C127" i="18"/>
  <c r="C85" i="18"/>
  <c r="C85" i="17"/>
  <c r="E42" i="18"/>
  <c r="E100" i="18"/>
  <c r="E20" i="20"/>
  <c r="E126" i="18"/>
  <c r="E40" i="18"/>
  <c r="E98" i="18"/>
  <c r="E49" i="18"/>
  <c r="E64" i="18"/>
  <c r="E130" i="18"/>
  <c r="E77" i="18"/>
  <c r="E28" i="18"/>
  <c r="E78" i="18"/>
  <c r="E80" i="18"/>
  <c r="E51" i="18"/>
  <c r="E45" i="18"/>
  <c r="E97" i="18"/>
  <c r="E63" i="18"/>
  <c r="E85" i="18"/>
  <c r="E103" i="18"/>
  <c r="E127" i="18"/>
  <c r="E102" i="18"/>
  <c r="E14" i="20"/>
  <c r="R12" i="20"/>
  <c r="R126" i="18"/>
  <c r="R125" i="18"/>
  <c r="R98" i="18"/>
  <c r="R41" i="18"/>
  <c r="R101" i="18"/>
  <c r="R103" i="18"/>
  <c r="R77" i="18"/>
  <c r="R78" i="18"/>
  <c r="R50" i="18"/>
  <c r="R85" i="18"/>
  <c r="R132" i="18"/>
  <c r="R20" i="20"/>
  <c r="R42" i="18"/>
  <c r="R91" i="17"/>
  <c r="R63" i="18"/>
  <c r="R97" i="18"/>
  <c r="R100" i="18"/>
  <c r="R102" i="18"/>
  <c r="R28" i="18"/>
  <c r="R45" i="18"/>
  <c r="R49" i="18"/>
  <c r="Q131" i="18"/>
  <c r="Q33" i="18"/>
  <c r="Q18" i="20"/>
  <c r="Q15" i="20"/>
  <c r="Q77" i="18"/>
  <c r="Q63" i="18"/>
  <c r="Q102" i="18"/>
  <c r="Q100" i="18"/>
  <c r="Q78" i="18"/>
  <c r="Q97" i="18"/>
  <c r="Q103" i="18"/>
  <c r="Q130" i="18"/>
  <c r="Q98" i="18"/>
  <c r="Q64" i="18"/>
  <c r="Q48" i="18"/>
  <c r="Q50" i="18"/>
  <c r="Q80" i="18"/>
  <c r="Q125" i="18"/>
  <c r="Q101" i="18"/>
  <c r="Q28" i="18"/>
  <c r="Q99" i="18"/>
  <c r="Q85" i="18"/>
  <c r="O49" i="18"/>
  <c r="O33" i="18"/>
  <c r="O63" i="18"/>
  <c r="O98" i="18"/>
  <c r="O14" i="20"/>
  <c r="O99" i="18"/>
  <c r="O130" i="18"/>
  <c r="O103" i="18"/>
  <c r="O127" i="18"/>
  <c r="O126" i="18"/>
  <c r="O41" i="18"/>
  <c r="O42" i="18"/>
  <c r="O45" i="18"/>
  <c r="O28" i="18"/>
  <c r="O125" i="18"/>
  <c r="O129" i="18"/>
  <c r="O101" i="18"/>
  <c r="O50" i="18"/>
  <c r="O77" i="18"/>
  <c r="O97" i="18"/>
  <c r="O131" i="18"/>
  <c r="O132" i="18"/>
  <c r="N15" i="20"/>
  <c r="N48" i="18"/>
  <c r="N77" i="18"/>
  <c r="N101" i="18"/>
  <c r="N28" i="18"/>
  <c r="N125" i="18"/>
  <c r="N80" i="18"/>
  <c r="N103" i="18"/>
  <c r="N49" i="18"/>
  <c r="N99" i="18"/>
  <c r="N41" i="18"/>
  <c r="N97" i="18"/>
  <c r="N63" i="18"/>
  <c r="N50" i="18"/>
  <c r="N33" i="18"/>
  <c r="N85" i="18"/>
  <c r="N12" i="20"/>
  <c r="N18" i="20"/>
  <c r="N102" i="18"/>
  <c r="N64" i="18"/>
  <c r="N129" i="18"/>
  <c r="N126" i="18"/>
  <c r="V49" i="18"/>
  <c r="V18" i="20"/>
  <c r="V48" i="18"/>
  <c r="V42" i="18"/>
  <c r="V85" i="18"/>
  <c r="V98" i="18"/>
  <c r="V50" i="18"/>
  <c r="V45" i="18"/>
  <c r="V12" i="20"/>
  <c r="V88" i="17"/>
  <c r="T6" i="7"/>
  <c r="V20" i="3"/>
  <c r="V79" i="17"/>
  <c r="V64" i="18"/>
  <c r="V41" i="18"/>
  <c r="V97" i="18"/>
  <c r="V33" i="18"/>
  <c r="V51" i="18"/>
  <c r="V100" i="18"/>
  <c r="V102" i="18"/>
  <c r="V103" i="18"/>
  <c r="V127" i="18"/>
  <c r="V78" i="18"/>
  <c r="V80" i="18"/>
  <c r="D81" i="18"/>
  <c r="D8" i="20"/>
  <c r="D88" i="18"/>
  <c r="D25" i="21"/>
  <c r="D70" i="18"/>
  <c r="D117" i="18"/>
  <c r="D79" i="18"/>
  <c r="D7" i="21"/>
  <c r="D113" i="18"/>
  <c r="D23" i="21"/>
  <c r="D72" i="18"/>
  <c r="D124" i="18"/>
  <c r="D114" i="18"/>
  <c r="D95" i="18"/>
  <c r="D11" i="21"/>
  <c r="D120" i="18"/>
  <c r="D111" i="18"/>
  <c r="D46" i="21"/>
  <c r="D54" i="18"/>
  <c r="D15" i="21"/>
  <c r="D6" i="20"/>
  <c r="D86" i="18"/>
  <c r="D106" i="18"/>
  <c r="D105" i="18"/>
  <c r="G102" i="18"/>
  <c r="G63" i="18"/>
  <c r="G78" i="18"/>
  <c r="G80" i="18"/>
  <c r="G132" i="18"/>
  <c r="G64" i="18"/>
  <c r="G88" i="17"/>
  <c r="G100" i="18"/>
  <c r="G51" i="18"/>
  <c r="G41" i="18"/>
  <c r="E6" i="7"/>
  <c r="G20" i="3"/>
  <c r="G79" i="17"/>
  <c r="G50" i="18"/>
  <c r="G127" i="18"/>
  <c r="G19" i="20"/>
  <c r="G48" i="18"/>
  <c r="G17" i="20"/>
  <c r="G128" i="18"/>
  <c r="G42" i="18"/>
  <c r="G85" i="18"/>
  <c r="G40" i="18"/>
  <c r="G77" i="18"/>
  <c r="G125" i="18"/>
  <c r="T78" i="18"/>
  <c r="T51" i="18"/>
  <c r="T102" i="18"/>
  <c r="T127" i="18"/>
  <c r="T103" i="18"/>
  <c r="T40" i="18"/>
  <c r="T98" i="18"/>
  <c r="T85" i="17"/>
  <c r="T77" i="18"/>
  <c r="T63" i="18"/>
  <c r="T100" i="18"/>
  <c r="T42" i="18"/>
  <c r="T101" i="18"/>
  <c r="T129" i="18"/>
  <c r="T132" i="18"/>
  <c r="T85" i="18"/>
  <c r="T17" i="20"/>
  <c r="T80" i="18"/>
  <c r="T45" i="18"/>
  <c r="T64" i="18"/>
  <c r="T99" i="18"/>
  <c r="T12" i="20"/>
  <c r="W128" i="18"/>
  <c r="W102" i="18"/>
  <c r="W49" i="18"/>
  <c r="W51" i="18"/>
  <c r="W13" i="20"/>
  <c r="W100" i="18"/>
  <c r="W40" i="18"/>
  <c r="W50" i="18"/>
  <c r="W80" i="18"/>
  <c r="W132" i="18"/>
  <c r="W64" i="18"/>
  <c r="W42" i="18"/>
  <c r="W97" i="18"/>
  <c r="W98" i="18"/>
  <c r="W78" i="18"/>
  <c r="W103" i="18"/>
  <c r="W125" i="18"/>
  <c r="W14" i="20"/>
  <c r="W77" i="18"/>
  <c r="W48" i="18"/>
  <c r="W63" i="18"/>
  <c r="W85" i="18"/>
  <c r="S102" i="18"/>
  <c r="S64" i="18"/>
  <c r="S101" i="18"/>
  <c r="S28" i="18"/>
  <c r="S99" i="18"/>
  <c r="S77" i="18"/>
  <c r="S51" i="18"/>
  <c r="S18" i="20"/>
  <c r="S20" i="20"/>
  <c r="S15" i="20"/>
  <c r="S12" i="20"/>
  <c r="S63" i="18"/>
  <c r="S100" i="18"/>
  <c r="S132" i="18"/>
  <c r="S49" i="18"/>
  <c r="S45" i="18"/>
  <c r="S85" i="18"/>
  <c r="S97" i="18"/>
  <c r="S98" i="18"/>
  <c r="S78" i="18"/>
  <c r="S42" i="18"/>
  <c r="S80" i="18"/>
  <c r="U45" i="18"/>
  <c r="U14" i="20"/>
  <c r="U77" i="18"/>
  <c r="U40" i="18"/>
  <c r="U28" i="18"/>
  <c r="U88" i="17"/>
  <c r="U100" i="18"/>
  <c r="U127" i="18"/>
  <c r="U125" i="18"/>
  <c r="U64" i="18"/>
  <c r="U13" i="20"/>
  <c r="S6" i="7"/>
  <c r="U20" i="3"/>
  <c r="U79" i="17"/>
  <c r="U85" i="18"/>
  <c r="U18" i="20"/>
  <c r="U80" i="18"/>
  <c r="U17" i="20"/>
  <c r="U98" i="18"/>
  <c r="U103" i="18"/>
  <c r="U78" i="18"/>
  <c r="U42" i="18"/>
  <c r="U49" i="18"/>
  <c r="U48" i="18"/>
  <c r="L45" i="18"/>
  <c r="L99" i="18"/>
  <c r="L77" i="18"/>
  <c r="L126" i="18"/>
  <c r="L125" i="18"/>
  <c r="L63" i="18"/>
  <c r="L103" i="18"/>
  <c r="L64" i="18"/>
  <c r="L40" i="18"/>
  <c r="L48" i="18"/>
  <c r="L80" i="18"/>
  <c r="L128" i="18"/>
  <c r="L101" i="18"/>
  <c r="L41" i="18"/>
  <c r="L78" i="18"/>
  <c r="L51" i="18"/>
  <c r="L19" i="20"/>
  <c r="L84" i="17"/>
  <c r="L100" i="18"/>
  <c r="L131" i="18"/>
  <c r="L97" i="18"/>
  <c r="L85" i="18"/>
  <c r="AA16" i="3"/>
  <c r="AA34" i="17"/>
  <c r="AA6" i="19"/>
  <c r="AA113" i="18"/>
  <c r="AA123" i="18"/>
  <c r="AA55" i="18"/>
  <c r="AA90" i="18"/>
  <c r="AA120" i="18"/>
  <c r="AA74" i="18"/>
  <c r="AA71" i="18"/>
  <c r="AA105" i="18"/>
  <c r="AA7" i="20"/>
  <c r="AA87" i="18"/>
  <c r="AA73" i="18"/>
  <c r="AA58" i="18"/>
  <c r="AA118" i="18"/>
  <c r="AA122" i="18"/>
  <c r="AA82" i="18"/>
  <c r="AA108" i="18"/>
  <c r="AA115" i="18"/>
  <c r="AA124" i="18"/>
  <c r="AA34" i="21"/>
  <c r="AA9" i="20"/>
  <c r="AA89" i="18"/>
  <c r="AA16" i="21"/>
  <c r="AA96" i="18"/>
  <c r="T117" i="18"/>
  <c r="T108" i="18"/>
  <c r="T121" i="18"/>
  <c r="T70" i="18"/>
  <c r="T124" i="18"/>
  <c r="T79" i="18"/>
  <c r="T7" i="21"/>
  <c r="T54" i="18"/>
  <c r="T12" i="21"/>
  <c r="T25" i="21"/>
  <c r="T14" i="21"/>
  <c r="T72" i="18"/>
  <c r="T114" i="18"/>
  <c r="T95" i="18"/>
  <c r="T6" i="20"/>
  <c r="T86" i="18"/>
  <c r="T81" i="18"/>
  <c r="T109" i="18"/>
  <c r="T112" i="18"/>
  <c r="T8" i="20"/>
  <c r="T88" i="18"/>
  <c r="T44" i="21"/>
  <c r="T11" i="21"/>
  <c r="T106" i="18"/>
  <c r="V27" i="21"/>
  <c r="V23" i="21"/>
  <c r="V30" i="21"/>
  <c r="V70" i="18"/>
  <c r="V106" i="18"/>
  <c r="V35" i="22"/>
  <c r="V68" i="18"/>
  <c r="V111" i="18"/>
  <c r="V48" i="21"/>
  <c r="V29" i="21"/>
  <c r="V6" i="20"/>
  <c r="V86" i="18"/>
  <c r="V84" i="18"/>
  <c r="V31" i="21"/>
  <c r="V33" i="21"/>
  <c r="V93" i="18"/>
  <c r="V9" i="20"/>
  <c r="V89" i="18"/>
  <c r="V114" i="18"/>
  <c r="V95" i="18"/>
  <c r="V121" i="18"/>
  <c r="V79" i="18"/>
  <c r="V117" i="18"/>
  <c r="V52" i="18"/>
  <c r="P50" i="18"/>
  <c r="P41" i="18"/>
  <c r="P97" i="18"/>
  <c r="P80" i="17"/>
  <c r="P77" i="18"/>
  <c r="P126" i="18"/>
  <c r="P101" i="18"/>
  <c r="P100" i="18"/>
  <c r="P99" i="18"/>
  <c r="P42" i="18"/>
  <c r="P103" i="18"/>
  <c r="P15" i="20"/>
  <c r="P48" i="18"/>
  <c r="P14" i="20"/>
  <c r="P45" i="18"/>
  <c r="P51" i="18"/>
  <c r="P63" i="18"/>
  <c r="P12" i="20"/>
  <c r="P85" i="18"/>
  <c r="P132" i="18"/>
  <c r="P127" i="18"/>
  <c r="P131" i="18"/>
  <c r="Y49" i="18"/>
  <c r="Y130" i="18"/>
  <c r="Y98" i="18"/>
  <c r="Y80" i="18"/>
  <c r="Y102" i="18"/>
  <c r="Y103" i="18"/>
  <c r="Y100" i="18"/>
  <c r="Y101" i="18"/>
  <c r="Y63" i="18"/>
  <c r="Y126" i="18"/>
  <c r="Y99" i="18"/>
  <c r="Y18" i="20"/>
  <c r="Y85" i="18"/>
  <c r="Y40" i="18"/>
  <c r="Y33" i="18"/>
  <c r="W6" i="7"/>
  <c r="Y20" i="3"/>
  <c r="Y79" i="17"/>
  <c r="Y78" i="18"/>
  <c r="Y77" i="18"/>
  <c r="Y45" i="18"/>
  <c r="Y88" i="17"/>
  <c r="Y42" i="18"/>
  <c r="Y51" i="18"/>
  <c r="K15" i="21"/>
  <c r="K113" i="18"/>
  <c r="K112" i="18"/>
  <c r="K110" i="18"/>
  <c r="K119" i="18"/>
  <c r="K58" i="18"/>
  <c r="K9" i="20"/>
  <c r="K89" i="18"/>
  <c r="K61" i="21"/>
  <c r="I25" i="2"/>
  <c r="K73" i="18"/>
  <c r="K90" i="18"/>
  <c r="K74" i="18"/>
  <c r="K105" i="18"/>
  <c r="K107" i="18"/>
  <c r="K123" i="18"/>
  <c r="K7" i="20"/>
  <c r="K87" i="18"/>
  <c r="K96" i="18"/>
  <c r="K43" i="21"/>
  <c r="K55" i="18"/>
  <c r="K71" i="18"/>
  <c r="K11" i="21"/>
  <c r="K104" i="18"/>
  <c r="K82" i="18"/>
  <c r="C90" i="18"/>
  <c r="C120" i="18"/>
  <c r="C121" i="18"/>
  <c r="C28" i="22"/>
  <c r="C79" i="18"/>
  <c r="C12" i="21"/>
  <c r="C81" i="18"/>
  <c r="C106" i="18"/>
  <c r="C40" i="21"/>
  <c r="C28" i="21"/>
  <c r="C109" i="18"/>
  <c r="C8" i="20"/>
  <c r="C88" i="18"/>
  <c r="C24" i="3"/>
  <c r="C37" i="21"/>
  <c r="C114" i="18"/>
  <c r="C111" i="18"/>
  <c r="C123" i="18"/>
  <c r="C22" i="21"/>
  <c r="C24" i="21"/>
  <c r="C10" i="21"/>
  <c r="C117" i="18"/>
  <c r="C21" i="21"/>
  <c r="C95" i="18"/>
  <c r="Z9" i="21"/>
  <c r="Z91" i="18"/>
  <c r="Z22" i="21"/>
  <c r="Z116" i="18"/>
  <c r="Z82" i="18"/>
  <c r="Z73" i="18"/>
  <c r="Z119" i="18"/>
  <c r="Z24" i="21"/>
  <c r="Z108" i="18"/>
  <c r="Z16" i="3"/>
  <c r="Z34" i="17"/>
  <c r="Z6" i="19"/>
  <c r="Z96" i="18"/>
  <c r="Z124" i="18"/>
  <c r="Z66" i="18"/>
  <c r="Z9" i="20"/>
  <c r="Z89" i="18"/>
  <c r="Z32" i="21"/>
  <c r="Z23" i="21"/>
  <c r="Z7" i="20"/>
  <c r="Z87" i="18"/>
  <c r="Z111" i="18"/>
  <c r="Z75" i="18"/>
  <c r="Z40" i="21"/>
  <c r="Z44" i="21"/>
  <c r="Z105" i="18"/>
  <c r="U105" i="18"/>
  <c r="U29" i="21"/>
  <c r="U32" i="21"/>
  <c r="U61" i="18"/>
  <c r="U121" i="18"/>
  <c r="U95" i="18"/>
  <c r="U114" i="18"/>
  <c r="U44" i="21"/>
  <c r="U31" i="21"/>
  <c r="U116" i="18"/>
  <c r="U6" i="20"/>
  <c r="U86" i="18"/>
  <c r="U109" i="18"/>
  <c r="U93" i="18"/>
  <c r="U113" i="18"/>
  <c r="U35" i="22"/>
  <c r="U30" i="21"/>
  <c r="U8" i="20"/>
  <c r="U88" i="18"/>
  <c r="U79" i="18"/>
  <c r="U111" i="18"/>
  <c r="U12" i="21"/>
  <c r="U11" i="21"/>
  <c r="U24" i="21"/>
  <c r="X93" i="18"/>
  <c r="X24" i="3"/>
  <c r="X37" i="21"/>
  <c r="X24" i="21"/>
  <c r="X36" i="21"/>
  <c r="X29" i="21"/>
  <c r="X68" i="18"/>
  <c r="X114" i="18"/>
  <c r="X35" i="21"/>
  <c r="X34" i="21"/>
  <c r="X116" i="18"/>
  <c r="X91" i="18"/>
  <c r="X66" i="18"/>
  <c r="X117" i="18"/>
  <c r="X17" i="21"/>
  <c r="X75" i="18"/>
  <c r="X121" i="18"/>
  <c r="X120" i="18"/>
  <c r="X108" i="18"/>
  <c r="X11" i="21"/>
  <c r="X84" i="18"/>
  <c r="X82" i="18"/>
  <c r="X124" i="18"/>
  <c r="F23" i="3"/>
  <c r="F18" i="21"/>
  <c r="D23" i="2"/>
  <c r="F10" i="21"/>
  <c r="F114" i="18"/>
  <c r="F68" i="18"/>
  <c r="F93" i="18"/>
  <c r="F123" i="18"/>
  <c r="F11" i="21"/>
  <c r="F12" i="21"/>
  <c r="F96" i="18"/>
  <c r="F70" i="18"/>
  <c r="F52" i="18"/>
  <c r="F84" i="18"/>
  <c r="F95" i="18"/>
  <c r="F116" i="18"/>
  <c r="F79" i="18"/>
  <c r="F21" i="21"/>
  <c r="F111" i="18"/>
  <c r="F15" i="21"/>
  <c r="F54" i="21"/>
  <c r="F110" i="18"/>
  <c r="F120" i="18"/>
  <c r="F6" i="20"/>
  <c r="F86" i="18"/>
  <c r="Q21" i="22"/>
  <c r="Q115" i="18"/>
  <c r="Q112" i="18"/>
  <c r="Q74" i="18"/>
  <c r="Q8" i="20"/>
  <c r="Q88" i="18"/>
  <c r="Q12" i="21"/>
  <c r="Q92" i="18"/>
  <c r="Q76" i="18"/>
  <c r="Q24" i="21"/>
  <c r="Q104" i="18"/>
  <c r="Q83" i="18"/>
  <c r="Q13" i="22"/>
  <c r="Q107" i="18"/>
  <c r="Q7" i="21"/>
  <c r="Q9" i="21"/>
  <c r="Q118" i="18"/>
  <c r="Q120" i="18"/>
  <c r="Q90" i="18"/>
  <c r="Q81" i="18"/>
  <c r="Q43" i="21"/>
  <c r="Q122" i="18"/>
  <c r="Q67" i="18"/>
  <c r="E36" i="21"/>
  <c r="E108" i="18"/>
  <c r="E111" i="18"/>
  <c r="E120" i="18"/>
  <c r="E46" i="21"/>
  <c r="E119" i="18"/>
  <c r="E29" i="21"/>
  <c r="E61" i="18"/>
  <c r="E114" i="18"/>
  <c r="E41" i="21"/>
  <c r="E30" i="21"/>
  <c r="E79" i="18"/>
  <c r="E31" i="21"/>
  <c r="E96" i="18"/>
  <c r="E22" i="21"/>
  <c r="E124" i="18"/>
  <c r="E93" i="18"/>
  <c r="E40" i="21"/>
  <c r="E95" i="18"/>
  <c r="E6" i="20"/>
  <c r="E86" i="18"/>
  <c r="E8" i="20"/>
  <c r="E88" i="18"/>
  <c r="E21" i="21"/>
  <c r="M56" i="18"/>
  <c r="M69" i="18"/>
  <c r="M115" i="18"/>
  <c r="M124" i="18"/>
  <c r="M72" i="18"/>
  <c r="M71" i="18"/>
  <c r="M53" i="18"/>
  <c r="M9" i="21"/>
  <c r="M47" i="21"/>
  <c r="M110" i="18"/>
  <c r="M121" i="18"/>
  <c r="M10" i="22"/>
  <c r="M119" i="18"/>
  <c r="M96" i="18"/>
  <c r="M107" i="18"/>
  <c r="M7" i="20"/>
  <c r="M87" i="18"/>
  <c r="M94" i="18"/>
  <c r="M113" i="18"/>
  <c r="M14" i="21"/>
  <c r="M50" i="21"/>
  <c r="M122" i="18"/>
  <c r="M43" i="21"/>
  <c r="N47" i="21"/>
  <c r="N16" i="21"/>
  <c r="N9" i="21"/>
  <c r="N76" i="18"/>
  <c r="N110" i="18"/>
  <c r="N109" i="18"/>
  <c r="N7" i="21"/>
  <c r="N7" i="20"/>
  <c r="N87" i="18"/>
  <c r="N112" i="18"/>
  <c r="N23" i="3"/>
  <c r="N18" i="21"/>
  <c r="L23" i="2"/>
  <c r="N107" i="18"/>
  <c r="N92" i="18"/>
  <c r="N25" i="21"/>
  <c r="N115" i="18"/>
  <c r="N118" i="18"/>
  <c r="N29" i="21"/>
  <c r="N122" i="18"/>
  <c r="N28" i="21"/>
  <c r="N17" i="22"/>
  <c r="N94" i="18"/>
  <c r="N60" i="18"/>
  <c r="N54" i="21"/>
  <c r="W75" i="18"/>
  <c r="W24" i="21"/>
  <c r="W84" i="18"/>
  <c r="W23" i="3"/>
  <c r="W18" i="21"/>
  <c r="U23" i="2"/>
  <c r="W33" i="21"/>
  <c r="W59" i="18"/>
  <c r="W114" i="18"/>
  <c r="W106" i="18"/>
  <c r="W6" i="20"/>
  <c r="W86" i="18"/>
  <c r="W29" i="21"/>
  <c r="W12" i="21"/>
  <c r="W111" i="18"/>
  <c r="W30" i="21"/>
  <c r="W28" i="21"/>
  <c r="W9" i="20"/>
  <c r="W89" i="18"/>
  <c r="W113" i="18"/>
  <c r="W48" i="21"/>
  <c r="W117" i="18"/>
  <c r="W123" i="18"/>
  <c r="W93" i="18"/>
  <c r="W27" i="21"/>
  <c r="W91" i="18"/>
  <c r="G10" i="21"/>
  <c r="G110" i="18"/>
  <c r="G123" i="18"/>
  <c r="G6" i="20"/>
  <c r="G86" i="18"/>
  <c r="G122" i="18"/>
  <c r="G116" i="18"/>
  <c r="G54" i="21"/>
  <c r="G59" i="18"/>
  <c r="G111" i="18"/>
  <c r="G23" i="3"/>
  <c r="G18" i="21"/>
  <c r="E23" i="2"/>
  <c r="G24" i="21"/>
  <c r="G91" i="18"/>
  <c r="G75" i="18"/>
  <c r="G108" i="18"/>
  <c r="G107" i="18"/>
  <c r="G22" i="21"/>
  <c r="G124" i="18"/>
  <c r="G93" i="18"/>
  <c r="G17" i="21"/>
  <c r="G9" i="21"/>
  <c r="G84" i="18"/>
  <c r="G49" i="21"/>
  <c r="P92" i="18"/>
  <c r="P58" i="18"/>
  <c r="P74" i="18"/>
  <c r="P17" i="22"/>
  <c r="P8" i="20"/>
  <c r="P88" i="18"/>
  <c r="P15" i="21"/>
  <c r="P93" i="18"/>
  <c r="P16" i="3"/>
  <c r="P34" i="17"/>
  <c r="P6" i="19"/>
  <c r="P76" i="18"/>
  <c r="P90" i="18"/>
  <c r="P115" i="18"/>
  <c r="P104" i="18"/>
  <c r="P118" i="18"/>
  <c r="P14" i="21"/>
  <c r="P83" i="18"/>
  <c r="P21" i="22"/>
  <c r="P61" i="21"/>
  <c r="N25" i="2"/>
  <c r="P112" i="18"/>
  <c r="P107" i="18"/>
  <c r="P50" i="21"/>
  <c r="P17" i="21"/>
  <c r="P122" i="18"/>
  <c r="Y40" i="21"/>
  <c r="Y36" i="21"/>
  <c r="Y32" i="21"/>
  <c r="Y82" i="18"/>
  <c r="Y73" i="18"/>
  <c r="Y111" i="18"/>
  <c r="Y13" i="22"/>
  <c r="Y28" i="22"/>
  <c r="Y17" i="21"/>
  <c r="Y35" i="21"/>
  <c r="Y75" i="18"/>
  <c r="Y34" i="21"/>
  <c r="Y116" i="18"/>
  <c r="Y84" i="18"/>
  <c r="Y108" i="18"/>
  <c r="Y91" i="18"/>
  <c r="Y22" i="21"/>
  <c r="Y120" i="18"/>
  <c r="Y107" i="18"/>
  <c r="Y110" i="18"/>
  <c r="Y9" i="20"/>
  <c r="Y89" i="18"/>
  <c r="Y57" i="18"/>
  <c r="R124" i="18"/>
  <c r="R13" i="22"/>
  <c r="R26" i="21"/>
  <c r="R109" i="18"/>
  <c r="R74" i="18"/>
  <c r="R18" i="22"/>
  <c r="R7" i="21"/>
  <c r="R104" i="18"/>
  <c r="R83" i="18"/>
  <c r="R27" i="21"/>
  <c r="R72" i="18"/>
  <c r="R118" i="18"/>
  <c r="R81" i="18"/>
  <c r="R50" i="21"/>
  <c r="R15" i="21"/>
  <c r="R111" i="18"/>
  <c r="R13" i="21"/>
  <c r="R121" i="18"/>
  <c r="R56" i="18"/>
  <c r="R14" i="21"/>
  <c r="R8" i="20"/>
  <c r="R88" i="18"/>
  <c r="R90" i="18"/>
  <c r="H116" i="18"/>
  <c r="H49" i="21"/>
  <c r="H54" i="21"/>
  <c r="H91" i="18"/>
  <c r="H23" i="3"/>
  <c r="H18" i="21"/>
  <c r="F23" i="2"/>
  <c r="H123" i="18"/>
  <c r="H108" i="18"/>
  <c r="H42" i="21"/>
  <c r="H9" i="20"/>
  <c r="H89" i="18"/>
  <c r="H120" i="18"/>
  <c r="H124" i="18"/>
  <c r="H84" i="18"/>
  <c r="H11" i="22"/>
  <c r="H93" i="18"/>
  <c r="H105" i="18"/>
  <c r="H68" i="18"/>
  <c r="H82" i="18"/>
  <c r="H21" i="21"/>
  <c r="H75" i="18"/>
  <c r="H10" i="21"/>
  <c r="H121" i="18"/>
  <c r="H11" i="21"/>
  <c r="J9" i="20"/>
  <c r="J89" i="18"/>
  <c r="J46" i="21"/>
  <c r="J82" i="18"/>
  <c r="J23" i="21"/>
  <c r="J91" i="18"/>
  <c r="J115" i="18"/>
  <c r="J116" i="18"/>
  <c r="J14" i="21"/>
  <c r="J17" i="21"/>
  <c r="J18" i="22"/>
  <c r="J105" i="18"/>
  <c r="J119" i="18"/>
  <c r="J123" i="18"/>
  <c r="J110" i="18"/>
  <c r="J113" i="18"/>
  <c r="J7" i="20"/>
  <c r="J87" i="18"/>
  <c r="J108" i="18"/>
  <c r="J15" i="21"/>
  <c r="J29" i="22"/>
  <c r="J38" i="22"/>
  <c r="J9" i="21"/>
  <c r="J96" i="18"/>
  <c r="S54" i="21"/>
  <c r="S28" i="21"/>
  <c r="S117" i="18"/>
  <c r="S8" i="21"/>
  <c r="S6" i="20"/>
  <c r="S86" i="18"/>
  <c r="S7" i="21"/>
  <c r="S26" i="21"/>
  <c r="S90" i="18"/>
  <c r="S109" i="18"/>
  <c r="S81" i="18"/>
  <c r="S8" i="20"/>
  <c r="S88" i="18"/>
  <c r="S121" i="18"/>
  <c r="S106" i="18"/>
  <c r="S91" i="18"/>
  <c r="S79" i="18"/>
  <c r="S47" i="21"/>
  <c r="S112" i="18"/>
  <c r="S118" i="18"/>
  <c r="S25" i="21"/>
  <c r="S15" i="21"/>
  <c r="S120" i="18"/>
  <c r="S95" i="18"/>
  <c r="L122" i="18"/>
  <c r="L16" i="3"/>
  <c r="L34" i="17"/>
  <c r="L6" i="19"/>
  <c r="L62" i="18"/>
  <c r="L9" i="20"/>
  <c r="L89" i="18"/>
  <c r="L94" i="18"/>
  <c r="L23" i="3"/>
  <c r="L18" i="21"/>
  <c r="J23" i="2"/>
  <c r="L9" i="21"/>
  <c r="L81" i="18"/>
  <c r="L42" i="21"/>
  <c r="L110" i="18"/>
  <c r="L21" i="21"/>
  <c r="L15" i="21"/>
  <c r="L117" i="18"/>
  <c r="L65" i="18"/>
  <c r="L7" i="20"/>
  <c r="L87" i="18"/>
  <c r="L7" i="21"/>
  <c r="L113" i="18"/>
  <c r="L121" i="18"/>
  <c r="L109" i="18"/>
  <c r="L43" i="21"/>
  <c r="L119" i="18"/>
  <c r="L96" i="18"/>
  <c r="O9" i="21"/>
  <c r="O115" i="18"/>
  <c r="O8" i="20"/>
  <c r="O88" i="18"/>
  <c r="O8" i="21"/>
  <c r="O92" i="18"/>
  <c r="O118" i="18"/>
  <c r="O95" i="18"/>
  <c r="O106" i="18"/>
  <c r="O94" i="18"/>
  <c r="O14" i="21"/>
  <c r="O69" i="18"/>
  <c r="O122" i="18"/>
  <c r="O10" i="22"/>
  <c r="O117" i="18"/>
  <c r="O104" i="18"/>
  <c r="O67" i="18"/>
  <c r="O83" i="18"/>
  <c r="O76" i="18"/>
  <c r="O47" i="21"/>
  <c r="O12" i="21"/>
  <c r="O17" i="21"/>
  <c r="O7" i="20"/>
  <c r="O87" i="18"/>
  <c r="I7" i="20"/>
  <c r="I87" i="18"/>
  <c r="I23" i="3"/>
  <c r="I18" i="21"/>
  <c r="G23" i="2"/>
  <c r="I73" i="18"/>
  <c r="I91" i="18"/>
  <c r="I108" i="18"/>
  <c r="I82" i="18"/>
  <c r="I16" i="21"/>
  <c r="I75" i="18"/>
  <c r="I17" i="21"/>
  <c r="I116" i="18"/>
  <c r="I32" i="21"/>
  <c r="I123" i="18"/>
  <c r="I122" i="18"/>
  <c r="I105" i="18"/>
  <c r="I40" i="21"/>
  <c r="I22" i="21"/>
  <c r="I9" i="20"/>
  <c r="I89" i="18"/>
  <c r="I49" i="21"/>
  <c r="I119" i="18"/>
  <c r="I11" i="22"/>
  <c r="I84" i="18"/>
  <c r="I57" i="18"/>
  <c r="N105" i="18"/>
  <c r="N41" i="21"/>
  <c r="N40" i="21"/>
  <c r="N45" i="21"/>
  <c r="N24" i="3"/>
  <c r="N37" i="21"/>
  <c r="N46" i="21"/>
  <c r="N11" i="21"/>
  <c r="N121" i="18"/>
  <c r="N49" i="21"/>
  <c r="N34" i="21"/>
  <c r="N23" i="21"/>
  <c r="N14" i="22"/>
  <c r="N21" i="21"/>
  <c r="N35" i="21"/>
  <c r="N62" i="21"/>
  <c r="N9" i="20"/>
  <c r="N89" i="18"/>
  <c r="N116" i="18"/>
  <c r="N12" i="21"/>
  <c r="N22" i="21"/>
  <c r="N17" i="21"/>
  <c r="N15" i="22"/>
  <c r="N10" i="21"/>
  <c r="D33" i="21"/>
  <c r="D14" i="21"/>
  <c r="D12" i="21"/>
  <c r="D41" i="21"/>
  <c r="D48" i="21"/>
  <c r="D35" i="21"/>
  <c r="D22" i="21"/>
  <c r="D28" i="21"/>
  <c r="D24" i="21"/>
  <c r="D12" i="22"/>
  <c r="D115" i="18"/>
  <c r="D31" i="21"/>
  <c r="D44" i="21"/>
  <c r="D45" i="21"/>
  <c r="D17" i="22"/>
  <c r="D37" i="22"/>
  <c r="D42" i="21"/>
  <c r="D16" i="3"/>
  <c r="D34" i="17"/>
  <c r="D6" i="19"/>
  <c r="D29" i="21"/>
  <c r="D40" i="21"/>
  <c r="D19" i="22"/>
  <c r="D32" i="21"/>
  <c r="K6" i="20"/>
  <c r="K86" i="18"/>
  <c r="K34" i="21"/>
  <c r="K42" i="21"/>
  <c r="K18" i="22"/>
  <c r="K30" i="21"/>
  <c r="K14" i="22"/>
  <c r="K23" i="3"/>
  <c r="K18" i="21"/>
  <c r="I23" i="2"/>
  <c r="K23" i="21"/>
  <c r="K32" i="21"/>
  <c r="K45" i="21"/>
  <c r="K23" i="22"/>
  <c r="K36" i="21"/>
  <c r="K41" i="21"/>
  <c r="K28" i="22"/>
  <c r="K38" i="22"/>
  <c r="K12" i="21"/>
  <c r="K25" i="21"/>
  <c r="K116" i="18"/>
  <c r="K24" i="21"/>
  <c r="K111" i="18"/>
  <c r="K16" i="21"/>
  <c r="K33" i="21"/>
  <c r="F26" i="21"/>
  <c r="F30" i="21"/>
  <c r="F8" i="22"/>
  <c r="F31" i="21"/>
  <c r="F113" i="18"/>
  <c r="F8" i="21"/>
  <c r="F45" i="21"/>
  <c r="F27" i="21"/>
  <c r="F8" i="20"/>
  <c r="F88" i="18"/>
  <c r="F9" i="22"/>
  <c r="F40" i="21"/>
  <c r="F48" i="21"/>
  <c r="F15" i="22"/>
  <c r="F41" i="21"/>
  <c r="F7" i="21"/>
  <c r="F46" i="21"/>
  <c r="F13" i="21"/>
  <c r="F23" i="21"/>
  <c r="F36" i="21"/>
  <c r="F29" i="21"/>
  <c r="F24" i="3"/>
  <c r="F37" i="21"/>
  <c r="F25" i="22"/>
  <c r="M30" i="21"/>
  <c r="M28" i="21"/>
  <c r="M23" i="22"/>
  <c r="M114" i="18"/>
  <c r="M40" i="21"/>
  <c r="M24" i="3"/>
  <c r="M37" i="21"/>
  <c r="M24" i="21"/>
  <c r="M34" i="21"/>
  <c r="M46" i="21"/>
  <c r="M8" i="22"/>
  <c r="M9" i="20"/>
  <c r="M89" i="18"/>
  <c r="M11" i="21"/>
  <c r="M23" i="21"/>
  <c r="M109" i="18"/>
  <c r="M12" i="21"/>
  <c r="M49" i="21"/>
  <c r="M45" i="21"/>
  <c r="M41" i="21"/>
  <c r="M14" i="22"/>
  <c r="M10" i="21"/>
  <c r="M42" i="21"/>
  <c r="M22" i="21"/>
  <c r="U62" i="21"/>
  <c r="U22" i="21"/>
  <c r="U16" i="3"/>
  <c r="U34" i="17"/>
  <c r="U6" i="19"/>
  <c r="U10" i="22"/>
  <c r="U23" i="3"/>
  <c r="U18" i="21"/>
  <c r="S23" i="2"/>
  <c r="U46" i="21"/>
  <c r="U14" i="21"/>
  <c r="U49" i="21"/>
  <c r="U42" i="21"/>
  <c r="U41" i="21"/>
  <c r="U26" i="21"/>
  <c r="U8" i="21"/>
  <c r="U36" i="21"/>
  <c r="U122" i="18"/>
  <c r="U12" i="22"/>
  <c r="U40" i="21"/>
  <c r="U43" i="21"/>
  <c r="U17" i="21"/>
  <c r="U106" i="18"/>
  <c r="U10" i="21"/>
  <c r="U117" i="18"/>
  <c r="U45" i="21"/>
  <c r="J12" i="22"/>
  <c r="J104" i="18"/>
  <c r="J109" i="18"/>
  <c r="J25" i="21"/>
  <c r="J11" i="21"/>
  <c r="J34" i="21"/>
  <c r="J7" i="21"/>
  <c r="J29" i="21"/>
  <c r="J32" i="21"/>
  <c r="J120" i="18"/>
  <c r="J26" i="21"/>
  <c r="J40" i="21"/>
  <c r="J33" i="21"/>
  <c r="J8" i="20"/>
  <c r="J88" i="18"/>
  <c r="J41" i="21"/>
  <c r="J35" i="21"/>
  <c r="J6" i="20"/>
  <c r="J86" i="18"/>
  <c r="J24" i="21"/>
  <c r="J52" i="21"/>
  <c r="J11" i="22"/>
  <c r="J24" i="22"/>
  <c r="J13" i="21"/>
  <c r="Z104" i="18"/>
  <c r="Z13" i="21"/>
  <c r="Z54" i="21"/>
  <c r="Z14" i="21"/>
  <c r="Z29" i="22"/>
  <c r="Z8" i="20"/>
  <c r="Z88" i="18"/>
  <c r="Z62" i="21"/>
  <c r="Z31" i="22"/>
  <c r="Z120" i="18"/>
  <c r="Z8" i="21"/>
  <c r="Z61" i="21"/>
  <c r="X25" i="2"/>
  <c r="Z28" i="22"/>
  <c r="Z29" i="21"/>
  <c r="Z35" i="21"/>
  <c r="Z33" i="21"/>
  <c r="Z27" i="21"/>
  <c r="Z25" i="21"/>
  <c r="Z6" i="20"/>
  <c r="Z86" i="18"/>
  <c r="Z34" i="21"/>
  <c r="Z109" i="18"/>
  <c r="Z15" i="21"/>
  <c r="Z26" i="21"/>
  <c r="C49" i="21"/>
  <c r="C32" i="21"/>
  <c r="C7" i="21"/>
  <c r="C118" i="18"/>
  <c r="C16" i="3"/>
  <c r="C34" i="17"/>
  <c r="C6" i="19"/>
  <c r="C37" i="22"/>
  <c r="C108" i="18"/>
  <c r="C12" i="22"/>
  <c r="C31" i="21"/>
  <c r="C119" i="18"/>
  <c r="C42" i="21"/>
  <c r="C8" i="21"/>
  <c r="C13" i="21"/>
  <c r="C25" i="21"/>
  <c r="C33" i="21"/>
  <c r="C62" i="21"/>
  <c r="C44" i="21"/>
  <c r="C6" i="20"/>
  <c r="C86" i="18"/>
  <c r="C23" i="21"/>
  <c r="C124" i="18"/>
  <c r="C34" i="21"/>
  <c r="C14" i="21"/>
  <c r="S33" i="21"/>
  <c r="S23" i="21"/>
  <c r="S7" i="20"/>
  <c r="S87" i="18"/>
  <c r="S40" i="21"/>
  <c r="S124" i="18"/>
  <c r="S8" i="22"/>
  <c r="S14" i="21"/>
  <c r="S16" i="21"/>
  <c r="S24" i="21"/>
  <c r="S32" i="21"/>
  <c r="S22" i="21"/>
  <c r="S14" i="22"/>
  <c r="S60" i="21"/>
  <c r="S108" i="18"/>
  <c r="S31" i="21"/>
  <c r="S62" i="21"/>
  <c r="S10" i="21"/>
  <c r="S16" i="3"/>
  <c r="S34" i="17"/>
  <c r="S6" i="19"/>
  <c r="S9" i="22"/>
  <c r="S24" i="3"/>
  <c r="S37" i="21"/>
  <c r="S21" i="21"/>
  <c r="S119" i="18"/>
  <c r="G12" i="21"/>
  <c r="G36" i="21"/>
  <c r="G47" i="21"/>
  <c r="G33" i="22"/>
  <c r="G15" i="22"/>
  <c r="G48" i="21"/>
  <c r="G120" i="18"/>
  <c r="G8" i="22"/>
  <c r="G24" i="3"/>
  <c r="G37" i="21"/>
  <c r="G29" i="21"/>
  <c r="G34" i="21"/>
  <c r="G40" i="21"/>
  <c r="G60" i="21"/>
  <c r="G33" i="21"/>
  <c r="G115" i="18"/>
  <c r="G27" i="21"/>
  <c r="G104" i="18"/>
  <c r="G8" i="21"/>
  <c r="G28" i="21"/>
  <c r="G30" i="21"/>
  <c r="G8" i="20"/>
  <c r="G88" i="18"/>
  <c r="G24" i="22"/>
  <c r="E26" i="21"/>
  <c r="E44" i="21"/>
  <c r="E50" i="21"/>
  <c r="E19" i="22"/>
  <c r="E117" i="18"/>
  <c r="E48" i="21"/>
  <c r="E32" i="22"/>
  <c r="E25" i="22"/>
  <c r="E24" i="21"/>
  <c r="E8" i="21"/>
  <c r="E35" i="21"/>
  <c r="E52" i="21"/>
  <c r="E122" i="18"/>
  <c r="E14" i="21"/>
  <c r="E47" i="21"/>
  <c r="E8" i="22"/>
  <c r="E106" i="18"/>
  <c r="E16" i="3"/>
  <c r="E34" i="17"/>
  <c r="E6" i="19"/>
  <c r="E45" i="21"/>
  <c r="E12" i="21"/>
  <c r="E13" i="21"/>
  <c r="E23" i="21"/>
  <c r="R45" i="21"/>
  <c r="R33" i="21"/>
  <c r="R16" i="3"/>
  <c r="R34" i="17"/>
  <c r="R6" i="19"/>
  <c r="R34" i="21"/>
  <c r="R17" i="21"/>
  <c r="R24" i="3"/>
  <c r="R37" i="21"/>
  <c r="R112" i="18"/>
  <c r="R123" i="18"/>
  <c r="R16" i="21"/>
  <c r="R31" i="21"/>
  <c r="R12" i="21"/>
  <c r="R24" i="21"/>
  <c r="R35" i="21"/>
  <c r="R9" i="21"/>
  <c r="R20" i="22"/>
  <c r="R21" i="21"/>
  <c r="R9" i="22"/>
  <c r="R39" i="22"/>
  <c r="R60" i="21"/>
  <c r="R117" i="18"/>
  <c r="R42" i="21"/>
  <c r="R7" i="20"/>
  <c r="R87" i="18"/>
  <c r="X13" i="21"/>
  <c r="X54" i="21"/>
  <c r="X8" i="20"/>
  <c r="X88" i="18"/>
  <c r="X111" i="18"/>
  <c r="X6" i="20"/>
  <c r="X86" i="18"/>
  <c r="X106" i="18"/>
  <c r="X19" i="22"/>
  <c r="X29" i="22"/>
  <c r="X30" i="22"/>
  <c r="X25" i="21"/>
  <c r="X31" i="21"/>
  <c r="X8" i="21"/>
  <c r="X60" i="21"/>
  <c r="X47" i="21"/>
  <c r="X49" i="21"/>
  <c r="X12" i="22"/>
  <c r="X50" i="21"/>
  <c r="X122" i="18"/>
  <c r="X21" i="22"/>
  <c r="X9" i="21"/>
  <c r="X8" i="22"/>
  <c r="X16" i="21"/>
  <c r="P36" i="21"/>
  <c r="P9" i="21"/>
  <c r="P35" i="21"/>
  <c r="P23" i="21"/>
  <c r="P46" i="21"/>
  <c r="P119" i="18"/>
  <c r="P26" i="21"/>
  <c r="P11" i="22"/>
  <c r="P23" i="3"/>
  <c r="P18" i="21"/>
  <c r="N23" i="2"/>
  <c r="P41" i="21"/>
  <c r="P7" i="20"/>
  <c r="P87" i="18"/>
  <c r="P32" i="21"/>
  <c r="P9" i="20"/>
  <c r="P89" i="18"/>
  <c r="P10" i="21"/>
  <c r="P114" i="18"/>
  <c r="P52" i="21"/>
  <c r="P16" i="21"/>
  <c r="P21" i="21"/>
  <c r="P33" i="21"/>
  <c r="P24" i="3"/>
  <c r="P37" i="21"/>
  <c r="P11" i="21"/>
  <c r="P48" i="21"/>
  <c r="H52" i="21"/>
  <c r="H25" i="21"/>
  <c r="H111" i="18"/>
  <c r="H24" i="3"/>
  <c r="H37" i="21"/>
  <c r="H15" i="22"/>
  <c r="H29" i="21"/>
  <c r="H35" i="21"/>
  <c r="H24" i="21"/>
  <c r="H62" i="21"/>
  <c r="H8" i="20"/>
  <c r="H88" i="18"/>
  <c r="H33" i="22"/>
  <c r="H36" i="21"/>
  <c r="H26" i="21"/>
  <c r="H28" i="21"/>
  <c r="H27" i="21"/>
  <c r="H7" i="21"/>
  <c r="H106" i="18"/>
  <c r="H20" i="22"/>
  <c r="H6" i="20"/>
  <c r="H86" i="18"/>
  <c r="H13" i="21"/>
  <c r="H31" i="21"/>
  <c r="H122" i="18"/>
  <c r="O48" i="21"/>
  <c r="O25" i="21"/>
  <c r="O36" i="21"/>
  <c r="O21" i="21"/>
  <c r="O32" i="21"/>
  <c r="O112" i="18"/>
  <c r="O35" i="21"/>
  <c r="O26" i="21"/>
  <c r="O6" i="20"/>
  <c r="O86" i="18"/>
  <c r="O40" i="21"/>
  <c r="O9" i="20"/>
  <c r="O89" i="18"/>
  <c r="O24" i="3"/>
  <c r="O37" i="21"/>
  <c r="O22" i="21"/>
  <c r="O123" i="18"/>
  <c r="O107" i="18"/>
  <c r="O23" i="3"/>
  <c r="O18" i="21"/>
  <c r="M23" i="2"/>
  <c r="O29" i="21"/>
  <c r="O52" i="21"/>
  <c r="O11" i="21"/>
  <c r="O30" i="21"/>
  <c r="O49" i="21"/>
  <c r="O28" i="21"/>
  <c r="Y7" i="21"/>
  <c r="Y113" i="18"/>
  <c r="Y47" i="21"/>
  <c r="Y26" i="21"/>
  <c r="Y15" i="22"/>
  <c r="Y15" i="21"/>
  <c r="Y118" i="18"/>
  <c r="Y16" i="21"/>
  <c r="Y6" i="20"/>
  <c r="Y86" i="18"/>
  <c r="Y30" i="22"/>
  <c r="Y23" i="3"/>
  <c r="Y18" i="21"/>
  <c r="W23" i="2"/>
  <c r="Y8" i="22"/>
  <c r="Y14" i="21"/>
  <c r="Y8" i="20"/>
  <c r="Y88" i="18"/>
  <c r="Y27" i="21"/>
  <c r="Y42" i="21"/>
  <c r="Y19" i="22"/>
  <c r="Y9" i="21"/>
  <c r="Y49" i="21"/>
  <c r="Y8" i="21"/>
  <c r="Y124" i="18"/>
  <c r="Y28" i="21"/>
  <c r="Q42" i="21"/>
  <c r="Q15" i="21"/>
  <c r="Q60" i="21"/>
  <c r="Q25" i="21"/>
  <c r="Q33" i="21"/>
  <c r="Q34" i="21"/>
  <c r="Q8" i="21"/>
  <c r="Q36" i="21"/>
  <c r="Q24" i="22"/>
  <c r="Q10" i="21"/>
  <c r="Q121" i="18"/>
  <c r="Q110" i="18"/>
  <c r="Q41" i="21"/>
  <c r="Q39" i="22"/>
  <c r="Q17" i="21"/>
  <c r="Q50" i="21"/>
  <c r="Q105" i="18"/>
  <c r="Q35" i="21"/>
  <c r="Q23" i="3"/>
  <c r="Q18" i="21"/>
  <c r="O23" i="2"/>
  <c r="Q9" i="20"/>
  <c r="Q89" i="18"/>
  <c r="Q7" i="20"/>
  <c r="Q87" i="18"/>
  <c r="Q16" i="3"/>
  <c r="Q34" i="17"/>
  <c r="Q6" i="19"/>
  <c r="I8" i="20"/>
  <c r="I88" i="18"/>
  <c r="I35" i="21"/>
  <c r="I44" i="21"/>
  <c r="I118" i="18"/>
  <c r="I27" i="21"/>
  <c r="I34" i="21"/>
  <c r="I6" i="20"/>
  <c r="I86" i="18"/>
  <c r="I15" i="21"/>
  <c r="I30" i="22"/>
  <c r="I16" i="22"/>
  <c r="I36" i="21"/>
  <c r="I9" i="21"/>
  <c r="I124" i="18"/>
  <c r="I113" i="18"/>
  <c r="I28" i="21"/>
  <c r="I13" i="21"/>
  <c r="I52" i="21"/>
  <c r="I26" i="21"/>
  <c r="I25" i="21"/>
  <c r="I31" i="21"/>
  <c r="I7" i="21"/>
  <c r="I61" i="21"/>
  <c r="G25" i="2"/>
  <c r="V7" i="20"/>
  <c r="V87" i="18"/>
  <c r="V43" i="21"/>
  <c r="V45" i="21"/>
  <c r="V124" i="18"/>
  <c r="V23" i="3"/>
  <c r="V18" i="21"/>
  <c r="T23" i="2"/>
  <c r="V22" i="21"/>
  <c r="V50" i="21"/>
  <c r="V9" i="21"/>
  <c r="V15" i="21"/>
  <c r="V8" i="20"/>
  <c r="V88" i="18"/>
  <c r="V113" i="18"/>
  <c r="V61" i="21"/>
  <c r="T25" i="2"/>
  <c r="V108" i="18"/>
  <c r="V11" i="21"/>
  <c r="V44" i="21"/>
  <c r="V13" i="21"/>
  <c r="V21" i="21"/>
  <c r="V123" i="18"/>
  <c r="V46" i="21"/>
  <c r="V12" i="21"/>
  <c r="V36" i="21"/>
  <c r="V23" i="22"/>
  <c r="T110" i="18"/>
  <c r="T40" i="21"/>
  <c r="T23" i="21"/>
  <c r="T41" i="21"/>
  <c r="T29" i="21"/>
  <c r="T17" i="21"/>
  <c r="T35" i="21"/>
  <c r="T16" i="22"/>
  <c r="T42" i="21"/>
  <c r="T24" i="21"/>
  <c r="T62" i="21"/>
  <c r="T16" i="3"/>
  <c r="T34" i="17"/>
  <c r="T6" i="19"/>
  <c r="T28" i="21"/>
  <c r="T9" i="22"/>
  <c r="T115" i="18"/>
  <c r="T15" i="21"/>
  <c r="T9" i="20"/>
  <c r="T89" i="18"/>
  <c r="T31" i="21"/>
  <c r="T13" i="21"/>
  <c r="T46" i="21"/>
  <c r="T10" i="21"/>
  <c r="T43" i="21"/>
  <c r="AA6" i="20"/>
  <c r="AA86" i="18"/>
  <c r="AA23" i="21"/>
  <c r="AA7" i="21"/>
  <c r="AA61" i="21"/>
  <c r="Y25" i="2"/>
  <c r="AA12" i="21"/>
  <c r="AA9" i="22"/>
  <c r="AA116" i="18"/>
  <c r="AA29" i="21"/>
  <c r="AA14" i="21"/>
  <c r="AA43" i="21"/>
  <c r="AA41" i="21"/>
  <c r="AA36" i="21"/>
  <c r="AA11" i="21"/>
  <c r="AA23" i="3"/>
  <c r="AA18" i="21"/>
  <c r="Y23" i="2"/>
  <c r="AA46" i="21"/>
  <c r="AA30" i="21"/>
  <c r="AA25" i="21"/>
  <c r="AA11" i="22"/>
  <c r="AA8" i="21"/>
  <c r="AA24" i="21"/>
  <c r="AA13" i="21"/>
  <c r="AA111" i="18"/>
  <c r="Z15" i="24"/>
  <c r="X23" i="7"/>
  <c r="Z63" i="21"/>
  <c r="Z15" i="20"/>
  <c r="Z38" i="24"/>
  <c r="Z80" i="18"/>
  <c r="Z57" i="24"/>
  <c r="Z23" i="24"/>
  <c r="Z127" i="18"/>
  <c r="Z12" i="20"/>
  <c r="Z20" i="20"/>
  <c r="Z17" i="20"/>
  <c r="Z125" i="18"/>
  <c r="Z97" i="18"/>
  <c r="Z132" i="18"/>
  <c r="Z17" i="24"/>
  <c r="Z14" i="20"/>
  <c r="Z27" i="24"/>
  <c r="Z130" i="18"/>
  <c r="Z64" i="18"/>
  <c r="Z128" i="18"/>
  <c r="Z131" i="18"/>
  <c r="Z18" i="20"/>
  <c r="N33" i="22"/>
  <c r="N8" i="20"/>
  <c r="N88" i="18"/>
  <c r="N52" i="21"/>
  <c r="N19" i="22"/>
  <c r="N32" i="21"/>
  <c r="N30" i="21"/>
  <c r="N31" i="21"/>
  <c r="N44" i="21"/>
  <c r="N27" i="21"/>
  <c r="N43" i="21"/>
  <c r="N50" i="21"/>
  <c r="N18" i="22"/>
  <c r="N61" i="21"/>
  <c r="L25" i="2"/>
  <c r="N37" i="22"/>
  <c r="N8" i="22"/>
  <c r="N14" i="21"/>
  <c r="N11" i="22"/>
  <c r="N13" i="21"/>
  <c r="N34" i="22"/>
  <c r="N24" i="22"/>
  <c r="N23" i="22"/>
  <c r="N25" i="22"/>
  <c r="W11" i="21"/>
  <c r="W120" i="18"/>
  <c r="W15" i="21"/>
  <c r="W12" i="22"/>
  <c r="W8" i="22"/>
  <c r="W54" i="21"/>
  <c r="W104" i="18"/>
  <c r="W22" i="21"/>
  <c r="W46" i="21"/>
  <c r="W17" i="21"/>
  <c r="W47" i="21"/>
  <c r="W8" i="20"/>
  <c r="W88" i="18"/>
  <c r="W7" i="20"/>
  <c r="W87" i="18"/>
  <c r="W8" i="21"/>
  <c r="W50" i="21"/>
  <c r="W21" i="21"/>
  <c r="W17" i="22"/>
  <c r="W9" i="21"/>
  <c r="W16" i="21"/>
  <c r="W45" i="21"/>
  <c r="W34" i="21"/>
  <c r="W115" i="18"/>
  <c r="L24" i="3"/>
  <c r="L37" i="21"/>
  <c r="L107" i="18"/>
  <c r="L33" i="21"/>
  <c r="L36" i="21"/>
  <c r="L31" i="21"/>
  <c r="L11" i="21"/>
  <c r="L32" i="21"/>
  <c r="L22" i="21"/>
  <c r="L14" i="21"/>
  <c r="L44" i="21"/>
  <c r="L118" i="18"/>
  <c r="L25" i="21"/>
  <c r="L24" i="21"/>
  <c r="L12" i="21"/>
  <c r="L23" i="21"/>
  <c r="L30" i="21"/>
  <c r="L41" i="21"/>
  <c r="L60" i="21"/>
  <c r="L123" i="18"/>
  <c r="L19" i="22"/>
  <c r="L6" i="20"/>
  <c r="L86" i="18"/>
  <c r="L45" i="21"/>
  <c r="G36" i="22"/>
  <c r="G28" i="22"/>
  <c r="G7" i="20"/>
  <c r="G87" i="18"/>
  <c r="G16" i="22"/>
  <c r="G35" i="21"/>
  <c r="G46" i="21"/>
  <c r="G44" i="21"/>
  <c r="G50" i="21"/>
  <c r="G42" i="21"/>
  <c r="G13" i="22"/>
  <c r="G13" i="21"/>
  <c r="G12" i="22"/>
  <c r="G25" i="22"/>
  <c r="G30" i="22"/>
  <c r="G26" i="21"/>
  <c r="G31" i="21"/>
  <c r="G52" i="21"/>
  <c r="G15" i="21"/>
  <c r="G16" i="21"/>
  <c r="G32" i="22"/>
  <c r="G62" i="21"/>
  <c r="G20" i="22"/>
  <c r="H32" i="22"/>
  <c r="H16" i="3"/>
  <c r="H34" i="17"/>
  <c r="H6" i="19"/>
  <c r="H9" i="21"/>
  <c r="H47" i="21"/>
  <c r="H33" i="21"/>
  <c r="H8" i="22"/>
  <c r="H40" i="21"/>
  <c r="H22" i="21"/>
  <c r="H19" i="22"/>
  <c r="H37" i="22"/>
  <c r="H46" i="21"/>
  <c r="H60" i="21"/>
  <c r="H31" i="22"/>
  <c r="H26" i="22"/>
  <c r="H50" i="21"/>
  <c r="H44" i="21"/>
  <c r="H48" i="21"/>
  <c r="H15" i="21"/>
  <c r="H12" i="22"/>
  <c r="H29" i="22"/>
  <c r="H16" i="21"/>
  <c r="H30" i="22"/>
  <c r="D35" i="22"/>
  <c r="D24" i="3"/>
  <c r="D37" i="21"/>
  <c r="D10" i="21"/>
  <c r="D9" i="22"/>
  <c r="D28" i="22"/>
  <c r="D26" i="22"/>
  <c r="D21" i="22"/>
  <c r="D26" i="21"/>
  <c r="D9" i="20"/>
  <c r="D89" i="18"/>
  <c r="D13" i="22"/>
  <c r="D52" i="21"/>
  <c r="D31" i="22"/>
  <c r="D110" i="18"/>
  <c r="D30" i="21"/>
  <c r="D16" i="22"/>
  <c r="D21" i="21"/>
  <c r="D60" i="21"/>
  <c r="D17" i="21"/>
  <c r="D61" i="21"/>
  <c r="D8" i="21"/>
  <c r="D62" i="21"/>
  <c r="D43" i="21"/>
  <c r="W16" i="22"/>
  <c r="W60" i="21"/>
  <c r="W38" i="22"/>
  <c r="W13" i="22"/>
  <c r="W20" i="22"/>
  <c r="W44" i="21"/>
  <c r="W42" i="21"/>
  <c r="W36" i="21"/>
  <c r="W10" i="22"/>
  <c r="W40" i="21"/>
  <c r="W21" i="22"/>
  <c r="W13" i="21"/>
  <c r="W35" i="21"/>
  <c r="W33" i="22"/>
  <c r="W31" i="21"/>
  <c r="W24" i="3"/>
  <c r="W37" i="21"/>
  <c r="W52" i="21"/>
  <c r="W62" i="21"/>
  <c r="W39" i="22"/>
  <c r="W23" i="22"/>
  <c r="W49" i="21"/>
  <c r="W26" i="21"/>
  <c r="I48" i="21"/>
  <c r="I50" i="21"/>
  <c r="I19" i="22"/>
  <c r="I33" i="21"/>
  <c r="I29" i="22"/>
  <c r="I20" i="22"/>
  <c r="I36" i="22"/>
  <c r="I37" i="22"/>
  <c r="I29" i="21"/>
  <c r="I11" i="21"/>
  <c r="I46" i="21"/>
  <c r="I25" i="22"/>
  <c r="I60" i="21"/>
  <c r="I24" i="21"/>
  <c r="I62" i="21"/>
  <c r="I42" i="21"/>
  <c r="I43" i="21"/>
  <c r="I12" i="22"/>
  <c r="I15" i="22"/>
  <c r="I28" i="22"/>
  <c r="I31" i="22"/>
  <c r="I8" i="22"/>
  <c r="V10" i="22"/>
  <c r="V16" i="22"/>
  <c r="V17" i="22"/>
  <c r="V9" i="25"/>
  <c r="V40" i="17"/>
  <c r="V35" i="21"/>
  <c r="V40" i="21"/>
  <c r="V14" i="22"/>
  <c r="V33" i="22"/>
  <c r="V24" i="3"/>
  <c r="V37" i="21"/>
  <c r="V9" i="22"/>
  <c r="V24" i="21"/>
  <c r="V62" i="21"/>
  <c r="V13" i="22"/>
  <c r="V42" i="21"/>
  <c r="V49" i="21"/>
  <c r="V60" i="21"/>
  <c r="V28" i="21"/>
  <c r="V52" i="21"/>
  <c r="V17" i="21"/>
  <c r="V21" i="22"/>
  <c r="V39" i="22"/>
  <c r="V41" i="21"/>
  <c r="E12" i="22"/>
  <c r="E9" i="20"/>
  <c r="E89" i="18"/>
  <c r="E10" i="21"/>
  <c r="E15" i="21"/>
  <c r="E16" i="22"/>
  <c r="E23" i="3"/>
  <c r="E18" i="21"/>
  <c r="C23" i="2"/>
  <c r="E30" i="22"/>
  <c r="E35" i="22"/>
  <c r="E24" i="3"/>
  <c r="E37" i="21"/>
  <c r="E28" i="21"/>
  <c r="E60" i="21"/>
  <c r="E33" i="21"/>
  <c r="E17" i="22"/>
  <c r="E17" i="21"/>
  <c r="E20" i="22"/>
  <c r="E62" i="21"/>
  <c r="E26" i="22"/>
  <c r="E49" i="21"/>
  <c r="E28" i="22"/>
  <c r="E9" i="22"/>
  <c r="E42" i="21"/>
  <c r="E43" i="21"/>
  <c r="C60" i="21"/>
  <c r="C17" i="21"/>
  <c r="C16" i="22"/>
  <c r="C36" i="22"/>
  <c r="C20" i="22"/>
  <c r="C47" i="21"/>
  <c r="C17" i="22"/>
  <c r="C43" i="21"/>
  <c r="C41" i="21"/>
  <c r="C26" i="22"/>
  <c r="C10" i="22"/>
  <c r="C29" i="22"/>
  <c r="C21" i="22"/>
  <c r="C10" i="25"/>
  <c r="C50" i="17"/>
  <c r="C9" i="22"/>
  <c r="C30" i="22"/>
  <c r="C7" i="20"/>
  <c r="C87" i="18"/>
  <c r="C15" i="21"/>
  <c r="C52" i="21"/>
  <c r="C35" i="21"/>
  <c r="C30" i="21"/>
  <c r="C46" i="21"/>
  <c r="F52" i="21"/>
  <c r="F44" i="21"/>
  <c r="F35" i="21"/>
  <c r="F24" i="21"/>
  <c r="F49" i="21"/>
  <c r="F28" i="21"/>
  <c r="F124" i="18"/>
  <c r="F50" i="21"/>
  <c r="F32" i="22"/>
  <c r="F31" i="22"/>
  <c r="F60" i="21"/>
  <c r="F108" i="18"/>
  <c r="F7" i="20"/>
  <c r="F87" i="18"/>
  <c r="F29" i="22"/>
  <c r="F17" i="22"/>
  <c r="F13" i="22"/>
  <c r="F62" i="21"/>
  <c r="F19" i="22"/>
  <c r="F16" i="22"/>
  <c r="F42" i="21"/>
  <c r="F17" i="21"/>
  <c r="F21" i="22"/>
  <c r="AA44" i="21"/>
  <c r="AA16" i="22"/>
  <c r="AA20" i="22"/>
  <c r="AA48" i="21"/>
  <c r="AA42" i="21"/>
  <c r="AA31" i="21"/>
  <c r="AA54" i="21"/>
  <c r="AA35" i="22"/>
  <c r="AA28" i="22"/>
  <c r="AA12" i="22"/>
  <c r="AA22" i="21"/>
  <c r="AA9" i="25"/>
  <c r="AA40" i="17"/>
  <c r="AA62" i="21"/>
  <c r="AA19" i="22"/>
  <c r="AA52" i="21"/>
  <c r="AA27" i="21"/>
  <c r="AA8" i="22"/>
  <c r="AA29" i="22"/>
  <c r="AA40" i="21"/>
  <c r="AA9" i="21"/>
  <c r="AA26" i="22"/>
  <c r="AA34" i="22"/>
  <c r="K25" i="22"/>
  <c r="K48" i="21"/>
  <c r="K27" i="21"/>
  <c r="K14" i="21"/>
  <c r="K11" i="22"/>
  <c r="K16" i="22"/>
  <c r="K12" i="22"/>
  <c r="K36" i="22"/>
  <c r="K29" i="21"/>
  <c r="K31" i="21"/>
  <c r="K32" i="22"/>
  <c r="K26" i="22"/>
  <c r="K8" i="22"/>
  <c r="K46" i="21"/>
  <c r="K9" i="21"/>
  <c r="K22" i="21"/>
  <c r="K54" i="21"/>
  <c r="K7" i="21"/>
  <c r="K8" i="21"/>
  <c r="K29" i="22"/>
  <c r="K40" i="21"/>
  <c r="K19" i="22"/>
  <c r="M27" i="21"/>
  <c r="M12" i="22"/>
  <c r="M32" i="22"/>
  <c r="M8" i="20"/>
  <c r="M88" i="18"/>
  <c r="M25" i="22"/>
  <c r="M61" i="21"/>
  <c r="K25" i="2"/>
  <c r="M29" i="21"/>
  <c r="M7" i="21"/>
  <c r="M31" i="21"/>
  <c r="M44" i="21"/>
  <c r="M15" i="22"/>
  <c r="M13" i="21"/>
  <c r="M32" i="21"/>
  <c r="M36" i="21"/>
  <c r="M26" i="22"/>
  <c r="M24" i="22"/>
  <c r="M25" i="21"/>
  <c r="M33" i="22"/>
  <c r="M54" i="21"/>
  <c r="M23" i="3"/>
  <c r="M18" i="21"/>
  <c r="K23" i="2"/>
  <c r="M18" i="22"/>
  <c r="M11" i="22"/>
  <c r="P25" i="21"/>
  <c r="P28" i="21"/>
  <c r="P43" i="21"/>
  <c r="P6" i="20"/>
  <c r="P86" i="18"/>
  <c r="P23" i="22"/>
  <c r="P32" i="22"/>
  <c r="P13" i="22"/>
  <c r="P49" i="21"/>
  <c r="P27" i="21"/>
  <c r="P38" i="22"/>
  <c r="P54" i="21"/>
  <c r="P30" i="21"/>
  <c r="P37" i="22"/>
  <c r="P12" i="21"/>
  <c r="P47" i="21"/>
  <c r="P45" i="21"/>
  <c r="P34" i="21"/>
  <c r="P29" i="21"/>
  <c r="P24" i="22"/>
  <c r="P14" i="22"/>
  <c r="P15" i="22"/>
  <c r="P7" i="21"/>
  <c r="L24" i="22"/>
  <c r="L10" i="22"/>
  <c r="L25" i="22"/>
  <c r="L34" i="21"/>
  <c r="L26" i="22"/>
  <c r="L54" i="21"/>
  <c r="L46" i="21"/>
  <c r="L29" i="21"/>
  <c r="L8" i="22"/>
  <c r="L47" i="21"/>
  <c r="L33" i="22"/>
  <c r="L28" i="22"/>
  <c r="L11" i="22"/>
  <c r="L16" i="21"/>
  <c r="L36" i="22"/>
  <c r="L16" i="22"/>
  <c r="L40" i="21"/>
  <c r="L61" i="21"/>
  <c r="J25" i="2"/>
  <c r="L48" i="21"/>
  <c r="L50" i="21"/>
  <c r="L18" i="22"/>
  <c r="L15" i="22"/>
  <c r="O23" i="21"/>
  <c r="O7" i="21"/>
  <c r="O61" i="21"/>
  <c r="M25" i="2"/>
  <c r="O41" i="21"/>
  <c r="O8" i="22"/>
  <c r="O23" i="22"/>
  <c r="O28" i="22"/>
  <c r="O14" i="22"/>
  <c r="O24" i="22"/>
  <c r="O31" i="22"/>
  <c r="O45" i="21"/>
  <c r="O32" i="22"/>
  <c r="O54" i="21"/>
  <c r="O50" i="21"/>
  <c r="O16" i="21"/>
  <c r="O18" i="22"/>
  <c r="O43" i="21"/>
  <c r="O38" i="22"/>
  <c r="O27" i="21"/>
  <c r="O34" i="21"/>
  <c r="O34" i="22"/>
  <c r="O15" i="22"/>
  <c r="J15" i="22"/>
  <c r="J44" i="21"/>
  <c r="J48" i="21"/>
  <c r="J62" i="21"/>
  <c r="J20" i="22"/>
  <c r="J19" i="22"/>
  <c r="J42" i="21"/>
  <c r="J60" i="21"/>
  <c r="J30" i="22"/>
  <c r="J50" i="21"/>
  <c r="J31" i="21"/>
  <c r="J37" i="22"/>
  <c r="J31" i="22"/>
  <c r="J26" i="22"/>
  <c r="J28" i="22"/>
  <c r="J9" i="22"/>
  <c r="J23" i="3"/>
  <c r="J18" i="21"/>
  <c r="H23" i="2"/>
  <c r="J61" i="21"/>
  <c r="H25" i="2"/>
  <c r="J27" i="21"/>
  <c r="J36" i="21"/>
  <c r="J8" i="21"/>
  <c r="J54" i="21"/>
  <c r="Q28" i="21"/>
  <c r="Q18" i="22"/>
  <c r="Q49" i="21"/>
  <c r="Q25" i="22"/>
  <c r="Q8" i="22"/>
  <c r="Q61" i="21"/>
  <c r="O25" i="2"/>
  <c r="Q30" i="21"/>
  <c r="Q24" i="3"/>
  <c r="Q37" i="21"/>
  <c r="Q26" i="21"/>
  <c r="Q11" i="22"/>
  <c r="Q27" i="21"/>
  <c r="Q45" i="21"/>
  <c r="Q32" i="21"/>
  <c r="Q52" i="21"/>
  <c r="Q38" i="22"/>
  <c r="Q14" i="22"/>
  <c r="Q54" i="21"/>
  <c r="Q32" i="22"/>
  <c r="Q10" i="22"/>
  <c r="Q47" i="21"/>
  <c r="Q21" i="21"/>
  <c r="Q48" i="21"/>
  <c r="U35" i="21"/>
  <c r="U9" i="22"/>
  <c r="U32" i="22"/>
  <c r="U16" i="22"/>
  <c r="U23" i="21"/>
  <c r="U52" i="21"/>
  <c r="U34" i="22"/>
  <c r="U47" i="21"/>
  <c r="U38" i="22"/>
  <c r="U24" i="22"/>
  <c r="U9" i="20"/>
  <c r="U89" i="18"/>
  <c r="U33" i="21"/>
  <c r="U60" i="21"/>
  <c r="U48" i="21"/>
  <c r="U14" i="22"/>
  <c r="U17" i="22"/>
  <c r="U24" i="3"/>
  <c r="U37" i="21"/>
  <c r="U20" i="22"/>
  <c r="U23" i="22"/>
  <c r="U28" i="21"/>
  <c r="U18" i="22"/>
  <c r="U15" i="21"/>
  <c r="X15" i="21"/>
  <c r="X40" i="21"/>
  <c r="X39" i="22"/>
  <c r="X21" i="21"/>
  <c r="X37" i="22"/>
  <c r="X22" i="21"/>
  <c r="X42" i="21"/>
  <c r="X44" i="21"/>
  <c r="X33" i="21"/>
  <c r="X20" i="22"/>
  <c r="X16" i="3"/>
  <c r="X34" i="17"/>
  <c r="X6" i="19"/>
  <c r="X52" i="21"/>
  <c r="X33" i="22"/>
  <c r="X46" i="21"/>
  <c r="X13" i="22"/>
  <c r="X48" i="21"/>
  <c r="X10" i="21"/>
  <c r="X26" i="21"/>
  <c r="X9" i="22"/>
  <c r="X17" i="22"/>
  <c r="X23" i="22"/>
  <c r="X62" i="21"/>
  <c r="T26" i="21"/>
  <c r="T61" i="21"/>
  <c r="R25" i="2"/>
  <c r="T17" i="22"/>
  <c r="T24" i="3"/>
  <c r="T37" i="21"/>
  <c r="T33" i="22"/>
  <c r="T13" i="22"/>
  <c r="T24" i="22"/>
  <c r="T10" i="22"/>
  <c r="T32" i="21"/>
  <c r="T47" i="21"/>
  <c r="T30" i="21"/>
  <c r="T33" i="21"/>
  <c r="T8" i="21"/>
  <c r="T60" i="21"/>
  <c r="T34" i="22"/>
  <c r="T37" i="22"/>
  <c r="T18" i="22"/>
  <c r="T25" i="22"/>
  <c r="T52" i="21"/>
  <c r="T45" i="21"/>
  <c r="T21" i="22"/>
  <c r="T21" i="21"/>
  <c r="H7" i="23"/>
  <c r="H18" i="23"/>
  <c r="F13" i="7"/>
  <c r="F14" i="7"/>
  <c r="F45" i="11"/>
  <c r="F47" i="10"/>
  <c r="H9" i="3"/>
  <c r="F57" i="11"/>
  <c r="H59" i="21"/>
  <c r="E26" i="6"/>
  <c r="F19" i="9"/>
  <c r="F12" i="7"/>
  <c r="E31" i="6"/>
  <c r="F18" i="5"/>
  <c r="H8" i="24"/>
  <c r="H35" i="24"/>
  <c r="F18" i="9"/>
  <c r="H10" i="23"/>
  <c r="E20" i="6"/>
  <c r="E28" i="6"/>
  <c r="H10" i="24"/>
  <c r="F63" i="11"/>
  <c r="E18" i="6"/>
  <c r="H15" i="23"/>
  <c r="F61" i="11"/>
  <c r="E25" i="6"/>
  <c r="F17" i="5"/>
  <c r="H37" i="13"/>
  <c r="F17" i="7"/>
  <c r="F50" i="11"/>
  <c r="F52" i="10"/>
  <c r="H10" i="3"/>
  <c r="F17" i="4"/>
  <c r="H14" i="23"/>
  <c r="S10" i="22"/>
  <c r="S17" i="22"/>
  <c r="S35" i="21"/>
  <c r="S21" i="22"/>
  <c r="S45" i="21"/>
  <c r="S44" i="21"/>
  <c r="S25" i="22"/>
  <c r="S61" i="21"/>
  <c r="Q25" i="2"/>
  <c r="S43" i="21"/>
  <c r="S11" i="22"/>
  <c r="S34" i="22"/>
  <c r="S23" i="22"/>
  <c r="S37" i="22"/>
  <c r="S52" i="21"/>
  <c r="S49" i="21"/>
  <c r="S18" i="22"/>
  <c r="S26" i="22"/>
  <c r="S30" i="21"/>
  <c r="S17" i="21"/>
  <c r="S41" i="21"/>
  <c r="S34" i="21"/>
  <c r="S12" i="21"/>
  <c r="R15" i="22"/>
  <c r="R24" i="22"/>
  <c r="R26" i="22"/>
  <c r="R41" i="21"/>
  <c r="R10" i="21"/>
  <c r="R17" i="22"/>
  <c r="R43" i="21"/>
  <c r="R37" i="22"/>
  <c r="R25" i="21"/>
  <c r="R54" i="21"/>
  <c r="R21" i="22"/>
  <c r="R10" i="22"/>
  <c r="R32" i="21"/>
  <c r="R23" i="21"/>
  <c r="R47" i="21"/>
  <c r="R30" i="21"/>
  <c r="R61" i="21"/>
  <c r="P25" i="2"/>
  <c r="R28" i="21"/>
  <c r="R11" i="22"/>
  <c r="R49" i="21"/>
  <c r="R33" i="22"/>
  <c r="R14" i="22"/>
  <c r="Z38" i="22"/>
  <c r="Z23" i="3"/>
  <c r="Z18" i="21"/>
  <c r="X23" i="2"/>
  <c r="Z60" i="21"/>
  <c r="Z9" i="22"/>
  <c r="Z20" i="22"/>
  <c r="Z52" i="21"/>
  <c r="Z35" i="22"/>
  <c r="Z17" i="21"/>
  <c r="Z48" i="21"/>
  <c r="Z49" i="21"/>
  <c r="Z19" i="22"/>
  <c r="Z31" i="21"/>
  <c r="Z41" i="21"/>
  <c r="Z17" i="22"/>
  <c r="Z13" i="22"/>
  <c r="Z36" i="21"/>
  <c r="Z42" i="21"/>
  <c r="Z46" i="21"/>
  <c r="Z50" i="21"/>
  <c r="Z30" i="22"/>
  <c r="Z12" i="22"/>
  <c r="Z15" i="22"/>
  <c r="D23" i="7"/>
  <c r="F63" i="21"/>
  <c r="F129" i="18"/>
  <c r="F101" i="18"/>
  <c r="F60" i="24"/>
  <c r="F103" i="18"/>
  <c r="F13" i="24"/>
  <c r="F27" i="24"/>
  <c r="F77" i="18"/>
  <c r="F17" i="20"/>
  <c r="F100" i="18"/>
  <c r="F12" i="24"/>
  <c r="F15" i="20"/>
  <c r="F20" i="20"/>
  <c r="F98" i="18"/>
  <c r="F13" i="20"/>
  <c r="F12" i="20"/>
  <c r="F19" i="20"/>
  <c r="F23" i="24"/>
  <c r="F56" i="24"/>
  <c r="F20" i="24"/>
  <c r="F69" i="24"/>
  <c r="F131" i="18"/>
  <c r="S9" i="23"/>
  <c r="S19" i="23"/>
  <c r="Q62" i="11"/>
  <c r="P31" i="6"/>
  <c r="Q18" i="5"/>
  <c r="S15" i="23"/>
  <c r="Q61" i="11"/>
  <c r="Q11" i="7"/>
  <c r="Q14" i="7"/>
  <c r="Q45" i="11"/>
  <c r="Q47" i="10"/>
  <c r="S9" i="3"/>
  <c r="Q19" i="9"/>
  <c r="Q17" i="9"/>
  <c r="Q13" i="7"/>
  <c r="Q12" i="7"/>
  <c r="S7" i="23"/>
  <c r="S13" i="23"/>
  <c r="Q60" i="11"/>
  <c r="Q38" i="4"/>
  <c r="Q18" i="9"/>
  <c r="P20" i="6"/>
  <c r="P27" i="6"/>
  <c r="Q57" i="11"/>
  <c r="S59" i="21"/>
  <c r="S37" i="13"/>
  <c r="Q17" i="7"/>
  <c r="Q50" i="11"/>
  <c r="Q52" i="10"/>
  <c r="S10" i="3"/>
  <c r="Q17" i="4"/>
  <c r="P21" i="6"/>
  <c r="S7" i="24"/>
  <c r="S10" i="23"/>
  <c r="P18" i="6"/>
  <c r="Q63" i="11"/>
  <c r="Y29" i="21"/>
  <c r="Y34" i="22"/>
  <c r="Y44" i="21"/>
  <c r="Y10" i="22"/>
  <c r="Y16" i="3"/>
  <c r="Y34" i="17"/>
  <c r="Y6" i="19"/>
  <c r="Y21" i="22"/>
  <c r="Y48" i="21"/>
  <c r="Y62" i="21"/>
  <c r="Y24" i="21"/>
  <c r="Y50" i="21"/>
  <c r="Y60" i="21"/>
  <c r="Y33" i="21"/>
  <c r="Y46" i="21"/>
  <c r="Y20" i="22"/>
  <c r="Y37" i="22"/>
  <c r="Y12" i="22"/>
  <c r="Y52" i="21"/>
  <c r="Y23" i="22"/>
  <c r="Y10" i="21"/>
  <c r="Y38" i="22"/>
  <c r="Y11" i="21"/>
  <c r="Y16" i="22"/>
  <c r="H12" i="7"/>
  <c r="G20" i="6"/>
  <c r="J20" i="23"/>
  <c r="H11" i="7"/>
  <c r="J14" i="23"/>
  <c r="J13" i="23"/>
  <c r="H60" i="11"/>
  <c r="H38" i="4"/>
  <c r="G19" i="6"/>
  <c r="J10" i="28"/>
  <c r="H63" i="11"/>
  <c r="G26" i="6"/>
  <c r="J10" i="23"/>
  <c r="H14" i="7"/>
  <c r="H45" i="11"/>
  <c r="H47" i="10"/>
  <c r="J9" i="3"/>
  <c r="J8" i="23"/>
  <c r="J8" i="24"/>
  <c r="J16" i="23"/>
  <c r="H57" i="11"/>
  <c r="J59" i="21"/>
  <c r="H17" i="9"/>
  <c r="J37" i="13"/>
  <c r="H17" i="7"/>
  <c r="H50" i="11"/>
  <c r="H52" i="10"/>
  <c r="J10" i="3"/>
  <c r="H17" i="4"/>
  <c r="G28" i="6"/>
  <c r="G31" i="6"/>
  <c r="H18" i="5"/>
  <c r="G25" i="6"/>
  <c r="H17" i="5"/>
  <c r="H19" i="9"/>
  <c r="C20" i="6"/>
  <c r="F35" i="24"/>
  <c r="F17" i="23"/>
  <c r="D12" i="7"/>
  <c r="C31" i="6"/>
  <c r="D18" i="5"/>
  <c r="F16" i="23"/>
  <c r="D14" i="7"/>
  <c r="D45" i="11"/>
  <c r="D47" i="10"/>
  <c r="F9" i="3"/>
  <c r="D63" i="11"/>
  <c r="F10" i="24"/>
  <c r="F13" i="28"/>
  <c r="F90" i="17"/>
  <c r="D17" i="9"/>
  <c r="F20" i="23"/>
  <c r="C18" i="6"/>
  <c r="C21" i="6"/>
  <c r="F14" i="23"/>
  <c r="C28" i="6"/>
  <c r="D19" i="9"/>
  <c r="F8" i="23"/>
  <c r="F37" i="13"/>
  <c r="D17" i="7"/>
  <c r="D50" i="11"/>
  <c r="D52" i="10"/>
  <c r="F10" i="3"/>
  <c r="D17" i="4"/>
  <c r="C26" i="6"/>
  <c r="D11" i="7"/>
  <c r="F9" i="23"/>
  <c r="O15" i="23"/>
  <c r="M61" i="11"/>
  <c r="O19" i="23"/>
  <c r="M62" i="11"/>
  <c r="L25" i="6"/>
  <c r="M17" i="5"/>
  <c r="M63" i="11"/>
  <c r="M19" i="9"/>
  <c r="L18" i="6"/>
  <c r="L31" i="6"/>
  <c r="M18" i="5"/>
  <c r="O9" i="24"/>
  <c r="M13" i="7"/>
  <c r="O8" i="23"/>
  <c r="O37" i="13"/>
  <c r="M17" i="7"/>
  <c r="M50" i="11"/>
  <c r="M52" i="10"/>
  <c r="O10" i="3"/>
  <c r="M17" i="4"/>
  <c r="O7" i="23"/>
  <c r="M57" i="11"/>
  <c r="O59" i="21"/>
  <c r="L19" i="6"/>
  <c r="L27" i="6"/>
  <c r="M17" i="9"/>
  <c r="O11" i="24"/>
  <c r="O16" i="23"/>
  <c r="O13" i="23"/>
  <c r="M60" i="11"/>
  <c r="M38" i="4"/>
  <c r="M14" i="7"/>
  <c r="M45" i="11"/>
  <c r="M47" i="10"/>
  <c r="O9" i="3"/>
  <c r="M18" i="9"/>
  <c r="M11" i="7"/>
  <c r="Y125" i="18"/>
  <c r="Y57" i="24"/>
  <c r="Y17" i="20"/>
  <c r="Y14" i="20"/>
  <c r="Y47" i="24"/>
  <c r="Y39" i="24"/>
  <c r="Y27" i="24"/>
  <c r="Y13" i="20"/>
  <c r="Y12" i="24"/>
  <c r="Y12" i="20"/>
  <c r="Y17" i="24"/>
  <c r="Y15" i="20"/>
  <c r="Y132" i="18"/>
  <c r="Y21" i="26"/>
  <c r="Y131" i="18"/>
  <c r="Y127" i="18"/>
  <c r="Y129" i="18"/>
  <c r="Y97" i="18"/>
  <c r="Y20" i="20"/>
  <c r="Y15" i="24"/>
  <c r="Y16" i="24"/>
  <c r="Y128" i="18"/>
  <c r="T8" i="23"/>
  <c r="R63" i="11"/>
  <c r="R19" i="9"/>
  <c r="R13" i="7"/>
  <c r="T16" i="23"/>
  <c r="T10" i="23"/>
  <c r="T8" i="24"/>
  <c r="Q31" i="6"/>
  <c r="R18" i="5"/>
  <c r="R17" i="9"/>
  <c r="Q26" i="6"/>
  <c r="R14" i="7"/>
  <c r="R45" i="11"/>
  <c r="R47" i="10"/>
  <c r="T9" i="3"/>
  <c r="R18" i="9"/>
  <c r="Q20" i="6"/>
  <c r="T14" i="28"/>
  <c r="T18" i="23"/>
  <c r="Q18" i="6"/>
  <c r="R57" i="11"/>
  <c r="T59" i="21"/>
  <c r="Q27" i="6"/>
  <c r="T37" i="13"/>
  <c r="R17" i="7"/>
  <c r="R50" i="11"/>
  <c r="R52" i="10"/>
  <c r="T10" i="3"/>
  <c r="R17" i="4"/>
  <c r="Q25" i="6"/>
  <c r="R17" i="5"/>
  <c r="Q21" i="6"/>
  <c r="T19" i="23"/>
  <c r="R62" i="11"/>
  <c r="M128" i="18"/>
  <c r="M13" i="20"/>
  <c r="M19" i="20"/>
  <c r="M23" i="26"/>
  <c r="M125" i="18"/>
  <c r="M102" i="18"/>
  <c r="M130" i="18"/>
  <c r="M78" i="18"/>
  <c r="M132" i="18"/>
  <c r="M100" i="18"/>
  <c r="M12" i="20"/>
  <c r="M80" i="18"/>
  <c r="K23" i="7"/>
  <c r="M63" i="21"/>
  <c r="M45" i="24"/>
  <c r="M19" i="24"/>
  <c r="M22" i="24"/>
  <c r="M62" i="24"/>
  <c r="M44" i="24"/>
  <c r="M32" i="24"/>
  <c r="M20" i="20"/>
  <c r="M98" i="18"/>
  <c r="M85" i="18"/>
  <c r="X12" i="24"/>
  <c r="X15" i="24"/>
  <c r="X14" i="20"/>
  <c r="X29" i="24"/>
  <c r="X39" i="24"/>
  <c r="X77" i="18"/>
  <c r="X131" i="18"/>
  <c r="X15" i="20"/>
  <c r="X125" i="18"/>
  <c r="X13" i="20"/>
  <c r="X127" i="18"/>
  <c r="X101" i="18"/>
  <c r="X100" i="18"/>
  <c r="V23" i="7"/>
  <c r="X63" i="21"/>
  <c r="X20" i="24"/>
  <c r="X38" i="24"/>
  <c r="X40" i="24"/>
  <c r="X103" i="18"/>
  <c r="X12" i="20"/>
  <c r="X132" i="18"/>
  <c r="X17" i="20"/>
  <c r="X18" i="20"/>
  <c r="N32" i="24"/>
  <c r="N19" i="24"/>
  <c r="N26" i="24"/>
  <c r="N54" i="24"/>
  <c r="N45" i="24"/>
  <c r="N100" i="18"/>
  <c r="N127" i="18"/>
  <c r="N78" i="18"/>
  <c r="N22" i="24"/>
  <c r="N14" i="20"/>
  <c r="L23" i="7"/>
  <c r="N63" i="21"/>
  <c r="N31" i="24"/>
  <c r="N17" i="20"/>
  <c r="N19" i="20"/>
  <c r="N132" i="18"/>
  <c r="N128" i="18"/>
  <c r="N13" i="20"/>
  <c r="N20" i="20"/>
  <c r="N12" i="24"/>
  <c r="N130" i="18"/>
  <c r="N131" i="18"/>
  <c r="N44" i="24"/>
  <c r="U20" i="6"/>
  <c r="V12" i="7"/>
  <c r="X7" i="23"/>
  <c r="U28" i="6"/>
  <c r="X14" i="23"/>
  <c r="V63" i="11"/>
  <c r="X17" i="23"/>
  <c r="X37" i="13"/>
  <c r="V17" i="7"/>
  <c r="V50" i="11"/>
  <c r="V52" i="10"/>
  <c r="X10" i="3"/>
  <c r="V17" i="4"/>
  <c r="U25" i="6"/>
  <c r="V17" i="5"/>
  <c r="X8" i="24"/>
  <c r="X15" i="23"/>
  <c r="V61" i="11"/>
  <c r="V19" i="9"/>
  <c r="X18" i="23"/>
  <c r="U31" i="6"/>
  <c r="V18" i="5"/>
  <c r="V17" i="9"/>
  <c r="V57" i="11"/>
  <c r="X59" i="21"/>
  <c r="U26" i="6"/>
  <c r="V18" i="9"/>
  <c r="V14" i="7"/>
  <c r="V45" i="11"/>
  <c r="V47" i="10"/>
  <c r="X9" i="3"/>
  <c r="X10" i="24"/>
  <c r="U18" i="6"/>
  <c r="X10" i="23"/>
  <c r="V17" i="23"/>
  <c r="S28" i="6"/>
  <c r="T12" i="7"/>
  <c r="V8" i="23"/>
  <c r="V16" i="23"/>
  <c r="S20" i="6"/>
  <c r="V20" i="23"/>
  <c r="V19" i="23"/>
  <c r="T62" i="11"/>
  <c r="T19" i="9"/>
  <c r="V14" i="23"/>
  <c r="S26" i="6"/>
  <c r="S21" i="6"/>
  <c r="S31" i="6"/>
  <c r="T18" i="5"/>
  <c r="T63" i="11"/>
  <c r="T14" i="7"/>
  <c r="T45" i="11"/>
  <c r="T47" i="10"/>
  <c r="V9" i="3"/>
  <c r="V11" i="24"/>
  <c r="V37" i="13"/>
  <c r="T17" i="7"/>
  <c r="T50" i="11"/>
  <c r="T52" i="10"/>
  <c r="V10" i="3"/>
  <c r="T17" i="4"/>
  <c r="V10" i="24"/>
  <c r="T17" i="9"/>
  <c r="S18" i="6"/>
  <c r="T18" i="9"/>
  <c r="T57" i="11"/>
  <c r="V59" i="21"/>
  <c r="C15" i="23"/>
  <c r="C37" i="13"/>
  <c r="C10" i="3"/>
  <c r="C7" i="24"/>
  <c r="C19" i="23"/>
  <c r="C9" i="23"/>
  <c r="C13" i="23"/>
  <c r="C10" i="23"/>
  <c r="C7" i="23"/>
  <c r="C59" i="21"/>
  <c r="C9" i="3"/>
  <c r="I19" i="9"/>
  <c r="I12" i="7"/>
  <c r="H20" i="6"/>
  <c r="K9" i="24"/>
  <c r="H25" i="6"/>
  <c r="I17" i="5"/>
  <c r="H18" i="6"/>
  <c r="K9" i="23"/>
  <c r="H31" i="6"/>
  <c r="I18" i="5"/>
  <c r="K13" i="23"/>
  <c r="I60" i="11"/>
  <c r="I38" i="4"/>
  <c r="I18" i="9"/>
  <c r="I13" i="7"/>
  <c r="H27" i="6"/>
  <c r="K8" i="24"/>
  <c r="I63" i="11"/>
  <c r="I14" i="7"/>
  <c r="I45" i="11"/>
  <c r="I47" i="10"/>
  <c r="K9" i="3"/>
  <c r="K20" i="23"/>
  <c r="I57" i="11"/>
  <c r="K59" i="21"/>
  <c r="K19" i="23"/>
  <c r="I62" i="11"/>
  <c r="H28" i="6"/>
  <c r="K17" i="23"/>
  <c r="K37" i="13"/>
  <c r="I17" i="7"/>
  <c r="I50" i="11"/>
  <c r="I52" i="10"/>
  <c r="K10" i="3"/>
  <c r="I17" i="4"/>
  <c r="I17" i="9"/>
  <c r="P16" i="23"/>
  <c r="M27" i="6"/>
  <c r="M19" i="6"/>
  <c r="P7" i="23"/>
  <c r="M25" i="6"/>
  <c r="N17" i="5"/>
  <c r="P8" i="23"/>
  <c r="P20" i="23"/>
  <c r="P9" i="24"/>
  <c r="N17" i="9"/>
  <c r="P37" i="13"/>
  <c r="N17" i="7"/>
  <c r="N50" i="11"/>
  <c r="N52" i="10"/>
  <c r="P10" i="3"/>
  <c r="N17" i="4"/>
  <c r="N14" i="7"/>
  <c r="N45" i="11"/>
  <c r="N47" i="10"/>
  <c r="P9" i="3"/>
  <c r="P14" i="23"/>
  <c r="N13" i="7"/>
  <c r="N63" i="11"/>
  <c r="N57" i="11"/>
  <c r="P59" i="21"/>
  <c r="P11" i="24"/>
  <c r="M21" i="6"/>
  <c r="P8" i="24"/>
  <c r="M31" i="6"/>
  <c r="N18" i="5"/>
  <c r="N19" i="9"/>
  <c r="N18" i="9"/>
  <c r="N11" i="7"/>
  <c r="K25" i="6"/>
  <c r="L17" i="5"/>
  <c r="L63" i="11"/>
  <c r="K28" i="6"/>
  <c r="N11" i="24"/>
  <c r="L11" i="7"/>
  <c r="L18" i="9"/>
  <c r="N7" i="23"/>
  <c r="N8" i="23"/>
  <c r="N10" i="24"/>
  <c r="L57" i="11"/>
  <c r="N59" i="21"/>
  <c r="K31" i="6"/>
  <c r="L18" i="5"/>
  <c r="N18" i="23"/>
  <c r="K19" i="6"/>
  <c r="L19" i="9"/>
  <c r="L14" i="7"/>
  <c r="L45" i="11"/>
  <c r="L47" i="10"/>
  <c r="N9" i="3"/>
  <c r="N16" i="23"/>
  <c r="N10" i="23"/>
  <c r="N9" i="23"/>
  <c r="L13" i="7"/>
  <c r="N37" i="13"/>
  <c r="L17" i="7"/>
  <c r="L50" i="11"/>
  <c r="L52" i="10"/>
  <c r="N10" i="3"/>
  <c r="L17" i="4"/>
  <c r="K27" i="6"/>
  <c r="L17" i="9"/>
  <c r="F26" i="6"/>
  <c r="F31" i="6"/>
  <c r="G18" i="5"/>
  <c r="I8" i="24"/>
  <c r="F19" i="6"/>
  <c r="I19" i="23"/>
  <c r="G62" i="11"/>
  <c r="F28" i="6"/>
  <c r="G12" i="7"/>
  <c r="G17" i="9"/>
  <c r="G57" i="11"/>
  <c r="I59" i="21"/>
  <c r="I15" i="23"/>
  <c r="G61" i="11"/>
  <c r="I10" i="24"/>
  <c r="I7" i="24"/>
  <c r="I7" i="23"/>
  <c r="G18" i="9"/>
  <c r="G19" i="9"/>
  <c r="G63" i="11"/>
  <c r="I35" i="24"/>
  <c r="F20" i="6"/>
  <c r="G14" i="7"/>
  <c r="G45" i="11"/>
  <c r="G47" i="10"/>
  <c r="I9" i="3"/>
  <c r="I13" i="23"/>
  <c r="G60" i="11"/>
  <c r="G38" i="4"/>
  <c r="G11" i="7"/>
  <c r="I37" i="13"/>
  <c r="G17" i="7"/>
  <c r="G50" i="11"/>
  <c r="G52" i="10"/>
  <c r="I10" i="3"/>
  <c r="G17" i="4"/>
  <c r="L37" i="13"/>
  <c r="J17" i="7"/>
  <c r="J50" i="11"/>
  <c r="J52" i="10"/>
  <c r="L10" i="3"/>
  <c r="J17" i="4"/>
  <c r="L18" i="23"/>
  <c r="L10" i="23"/>
  <c r="J63" i="11"/>
  <c r="L14" i="23"/>
  <c r="L20" i="23"/>
  <c r="I25" i="6"/>
  <c r="J17" i="5"/>
  <c r="L8" i="23"/>
  <c r="J11" i="7"/>
  <c r="J14" i="7"/>
  <c r="J45" i="11"/>
  <c r="J47" i="10"/>
  <c r="L9" i="3"/>
  <c r="I27" i="6"/>
  <c r="J17" i="9"/>
  <c r="I18" i="6"/>
  <c r="J12" i="7"/>
  <c r="J18" i="9"/>
  <c r="I20" i="6"/>
  <c r="L13" i="23"/>
  <c r="J60" i="11"/>
  <c r="J38" i="4"/>
  <c r="I28" i="6"/>
  <c r="I19" i="6"/>
  <c r="J13" i="7"/>
  <c r="J57" i="11"/>
  <c r="L59" i="21"/>
  <c r="L9" i="23"/>
  <c r="J14" i="20"/>
  <c r="J64" i="18"/>
  <c r="H23" i="7"/>
  <c r="J63" i="21"/>
  <c r="J19" i="24"/>
  <c r="J131" i="18"/>
  <c r="J98" i="18"/>
  <c r="J69" i="24"/>
  <c r="J80" i="18"/>
  <c r="J132" i="18"/>
  <c r="J20" i="20"/>
  <c r="J126" i="18"/>
  <c r="J15" i="24"/>
  <c r="J17" i="20"/>
  <c r="J62" i="24"/>
  <c r="J15" i="20"/>
  <c r="J19" i="20"/>
  <c r="J125" i="18"/>
  <c r="J18" i="20"/>
  <c r="J129" i="18"/>
  <c r="J17" i="24"/>
  <c r="J26" i="24"/>
  <c r="J13" i="20"/>
  <c r="E10" i="23"/>
  <c r="E17" i="23"/>
  <c r="C17" i="9"/>
  <c r="C12" i="7"/>
  <c r="C57" i="11"/>
  <c r="E59" i="21"/>
  <c r="E19" i="23"/>
  <c r="C62" i="11"/>
  <c r="C11" i="7"/>
  <c r="E9" i="23"/>
  <c r="C14" i="7"/>
  <c r="C45" i="11"/>
  <c r="C47" i="10"/>
  <c r="E9" i="3"/>
  <c r="C63" i="11"/>
  <c r="E7" i="23"/>
  <c r="E8" i="23"/>
  <c r="E37" i="13"/>
  <c r="C17" i="7"/>
  <c r="C50" i="11"/>
  <c r="C52" i="10"/>
  <c r="E10" i="3"/>
  <c r="C17" i="4"/>
  <c r="E11" i="24"/>
  <c r="C19" i="9"/>
  <c r="C17" i="5"/>
  <c r="C18" i="5"/>
  <c r="C13" i="7"/>
  <c r="E13" i="23"/>
  <c r="C60" i="11"/>
  <c r="C38" i="4"/>
  <c r="C18" i="9"/>
  <c r="Q9" i="23"/>
  <c r="Q37" i="13"/>
  <c r="O17" i="7"/>
  <c r="O50" i="11"/>
  <c r="O52" i="10"/>
  <c r="Q10" i="3"/>
  <c r="O17" i="4"/>
  <c r="O14" i="7"/>
  <c r="O45" i="11"/>
  <c r="O47" i="10"/>
  <c r="Q9" i="3"/>
  <c r="O17" i="9"/>
  <c r="Q9" i="24"/>
  <c r="N26" i="6"/>
  <c r="Q14" i="23"/>
  <c r="O12" i="7"/>
  <c r="O57" i="11"/>
  <c r="Q59" i="21"/>
  <c r="N27" i="6"/>
  <c r="O63" i="11"/>
  <c r="O11" i="7"/>
  <c r="Q17" i="23"/>
  <c r="O19" i="9"/>
  <c r="O18" i="9"/>
  <c r="N19" i="6"/>
  <c r="Q7" i="24"/>
  <c r="O13" i="7"/>
  <c r="N21" i="6"/>
  <c r="N25" i="6"/>
  <c r="O17" i="5"/>
  <c r="Q16" i="23"/>
  <c r="Q13" i="23"/>
  <c r="O60" i="11"/>
  <c r="O38" i="4"/>
  <c r="O31" i="24"/>
  <c r="O13" i="20"/>
  <c r="O17" i="20"/>
  <c r="O46" i="24"/>
  <c r="O78" i="18"/>
  <c r="O128" i="18"/>
  <c r="O43" i="24"/>
  <c r="O45" i="24"/>
  <c r="O12" i="20"/>
  <c r="O102" i="18"/>
  <c r="O13" i="24"/>
  <c r="O18" i="20"/>
  <c r="O15" i="24"/>
  <c r="O22" i="24"/>
  <c r="O56" i="24"/>
  <c r="O20" i="20"/>
  <c r="O15" i="20"/>
  <c r="O25" i="24"/>
  <c r="O100" i="18"/>
  <c r="O19" i="20"/>
  <c r="M23" i="7"/>
  <c r="O63" i="21"/>
  <c r="O85" i="18"/>
  <c r="Q31" i="24"/>
  <c r="Q18" i="24"/>
  <c r="Q13" i="20"/>
  <c r="Q44" i="24"/>
  <c r="Q25" i="24"/>
  <c r="Q17" i="20"/>
  <c r="O23" i="7"/>
  <c r="Q63" i="21"/>
  <c r="Q127" i="18"/>
  <c r="Q16" i="24"/>
  <c r="Q14" i="20"/>
  <c r="Q126" i="18"/>
  <c r="Q132" i="18"/>
  <c r="Q129" i="18"/>
  <c r="Q54" i="24"/>
  <c r="Q20" i="20"/>
  <c r="Q19" i="20"/>
  <c r="Q128" i="18"/>
  <c r="Q21" i="24"/>
  <c r="Q30" i="24"/>
  <c r="Q13" i="24"/>
  <c r="Q12" i="20"/>
  <c r="Q43" i="24"/>
  <c r="D52" i="24"/>
  <c r="D18" i="23"/>
  <c r="D16" i="23"/>
  <c r="D10" i="23"/>
  <c r="D8" i="24"/>
  <c r="D8" i="23"/>
  <c r="D59" i="21"/>
  <c r="D7" i="24"/>
  <c r="D19" i="23"/>
  <c r="D9" i="3"/>
  <c r="D37" i="13"/>
  <c r="D10" i="3"/>
  <c r="R44" i="24"/>
  <c r="R131" i="18"/>
  <c r="R13" i="24"/>
  <c r="R16" i="24"/>
  <c r="R18" i="20"/>
  <c r="P23" i="7"/>
  <c r="R63" i="21"/>
  <c r="R41" i="24"/>
  <c r="R13" i="20"/>
  <c r="R127" i="18"/>
  <c r="R14" i="20"/>
  <c r="R18" i="24"/>
  <c r="R19" i="20"/>
  <c r="R17" i="20"/>
  <c r="R54" i="24"/>
  <c r="R130" i="18"/>
  <c r="R129" i="18"/>
  <c r="R15" i="20"/>
  <c r="R21" i="24"/>
  <c r="R45" i="24"/>
  <c r="R128" i="18"/>
  <c r="R25" i="24"/>
  <c r="R46" i="24"/>
  <c r="R35" i="22"/>
  <c r="R28" i="22"/>
  <c r="R23" i="22"/>
  <c r="R44" i="21"/>
  <c r="R40" i="21"/>
  <c r="R12" i="22"/>
  <c r="R29" i="22"/>
  <c r="R30" i="22"/>
  <c r="R23" i="3"/>
  <c r="R18" i="21"/>
  <c r="P23" i="2"/>
  <c r="R19" i="22"/>
  <c r="R62" i="21"/>
  <c r="R46" i="21"/>
  <c r="R25" i="22"/>
  <c r="R31" i="22"/>
  <c r="R11" i="21"/>
  <c r="R36" i="21"/>
  <c r="R48" i="21"/>
  <c r="R8" i="22"/>
  <c r="R38" i="22"/>
  <c r="R29" i="21"/>
  <c r="R22" i="21"/>
  <c r="R36" i="22"/>
  <c r="Y14" i="7"/>
  <c r="Y45" i="11"/>
  <c r="Y47" i="10"/>
  <c r="AA9" i="3"/>
  <c r="X31" i="6"/>
  <c r="Y18" i="5"/>
  <c r="Y12" i="7"/>
  <c r="Y17" i="9"/>
  <c r="Y63" i="11"/>
  <c r="X28" i="6"/>
  <c r="X19" i="6"/>
  <c r="AA15" i="23"/>
  <c r="Y61" i="11"/>
  <c r="Y57" i="11"/>
  <c r="AA59" i="21"/>
  <c r="Y13" i="7"/>
  <c r="X20" i="6"/>
  <c r="Y19" i="9"/>
  <c r="AA17" i="23"/>
  <c r="Y18" i="9"/>
  <c r="AA9" i="23"/>
  <c r="AA37" i="13"/>
  <c r="Y17" i="7"/>
  <c r="Y50" i="11"/>
  <c r="Y52" i="10"/>
  <c r="AA10" i="3"/>
  <c r="Y17" i="4"/>
  <c r="X27" i="6"/>
  <c r="AA20" i="23"/>
  <c r="AA13" i="23"/>
  <c r="Y60" i="11"/>
  <c r="Y38" i="4"/>
  <c r="AA8" i="24"/>
  <c r="X25" i="6"/>
  <c r="Y17" i="5"/>
  <c r="AA19" i="23"/>
  <c r="Y62" i="11"/>
  <c r="U19" i="23"/>
  <c r="S62" i="11"/>
  <c r="U9" i="23"/>
  <c r="U10" i="23"/>
  <c r="S19" i="9"/>
  <c r="R25" i="6"/>
  <c r="S17" i="5"/>
  <c r="S14" i="7"/>
  <c r="S45" i="11"/>
  <c r="S47" i="10"/>
  <c r="U9" i="3"/>
  <c r="U7" i="23"/>
  <c r="U37" i="13"/>
  <c r="S17" i="7"/>
  <c r="S50" i="11"/>
  <c r="S52" i="10"/>
  <c r="U10" i="3"/>
  <c r="S17" i="4"/>
  <c r="S63" i="11"/>
  <c r="U13" i="23"/>
  <c r="S60" i="11"/>
  <c r="S38" i="4"/>
  <c r="R28" i="6"/>
  <c r="R18" i="6"/>
  <c r="U14" i="28"/>
  <c r="R31" i="6"/>
  <c r="S18" i="5"/>
  <c r="R21" i="6"/>
  <c r="S18" i="9"/>
  <c r="S12" i="7"/>
  <c r="S57" i="11"/>
  <c r="U59" i="21"/>
  <c r="S17" i="9"/>
  <c r="U17" i="23"/>
  <c r="R26" i="6"/>
  <c r="U8" i="23"/>
  <c r="V47" i="24"/>
  <c r="V40" i="24"/>
  <c r="V15" i="20"/>
  <c r="V42" i="24"/>
  <c r="V20" i="20"/>
  <c r="V41" i="24"/>
  <c r="V14" i="20"/>
  <c r="V24" i="24"/>
  <c r="V20" i="24"/>
  <c r="V77" i="18"/>
  <c r="V132" i="18"/>
  <c r="V101" i="18"/>
  <c r="V129" i="18"/>
  <c r="V99" i="18"/>
  <c r="V23" i="26"/>
  <c r="V19" i="20"/>
  <c r="V131" i="18"/>
  <c r="V125" i="18"/>
  <c r="V17" i="20"/>
  <c r="V126" i="18"/>
  <c r="T23" i="7"/>
  <c r="V63" i="21"/>
  <c r="V13" i="20"/>
  <c r="I12" i="24"/>
  <c r="I128" i="18"/>
  <c r="I127" i="18"/>
  <c r="I65" i="24"/>
  <c r="I18" i="20"/>
  <c r="I15" i="20"/>
  <c r="I130" i="18"/>
  <c r="I97" i="18"/>
  <c r="I23" i="24"/>
  <c r="I14" i="20"/>
  <c r="I60" i="24"/>
  <c r="I17" i="24"/>
  <c r="I27" i="24"/>
  <c r="I131" i="18"/>
  <c r="I32" i="24"/>
  <c r="I132" i="18"/>
  <c r="I15" i="24"/>
  <c r="I20" i="20"/>
  <c r="I13" i="20"/>
  <c r="I12" i="20"/>
  <c r="I19" i="20"/>
  <c r="I129" i="18"/>
  <c r="G7" i="23"/>
  <c r="D26" i="6"/>
  <c r="G10" i="24"/>
  <c r="G37" i="13"/>
  <c r="E17" i="7"/>
  <c r="E50" i="11"/>
  <c r="E52" i="10"/>
  <c r="G10" i="3"/>
  <c r="E17" i="4"/>
  <c r="D31" i="6"/>
  <c r="E18" i="5"/>
  <c r="E12" i="7"/>
  <c r="D25" i="6"/>
  <c r="E17" i="5"/>
  <c r="D18" i="6"/>
  <c r="E18" i="9"/>
  <c r="G9" i="24"/>
  <c r="G17" i="23"/>
  <c r="G19" i="23"/>
  <c r="E62" i="11"/>
  <c r="G52" i="24"/>
  <c r="E63" i="11"/>
  <c r="E14" i="7"/>
  <c r="E45" i="11"/>
  <c r="E47" i="10"/>
  <c r="G9" i="3"/>
  <c r="G8" i="23"/>
  <c r="G9" i="23"/>
  <c r="G15" i="23"/>
  <c r="E61" i="11"/>
  <c r="E17" i="9"/>
  <c r="E19" i="9"/>
  <c r="D28" i="6"/>
  <c r="D20" i="6"/>
  <c r="AA24" i="3"/>
  <c r="AA37" i="21"/>
  <c r="AA28" i="21"/>
  <c r="AA17" i="21"/>
  <c r="AA32" i="22"/>
  <c r="AA14" i="22"/>
  <c r="AA10" i="22"/>
  <c r="AA13" i="22"/>
  <c r="AA49" i="21"/>
  <c r="AA35" i="21"/>
  <c r="AA21" i="21"/>
  <c r="AA25" i="22"/>
  <c r="AA47" i="21"/>
  <c r="AA45" i="21"/>
  <c r="AA23" i="22"/>
  <c r="AA10" i="21"/>
  <c r="AA17" i="22"/>
  <c r="AA37" i="22"/>
  <c r="AA60" i="21"/>
  <c r="AA18" i="22"/>
  <c r="AA38" i="22"/>
  <c r="AA36" i="22"/>
  <c r="AA30" i="22"/>
  <c r="W14" i="7"/>
  <c r="W45" i="11"/>
  <c r="W47" i="10"/>
  <c r="Y9" i="3"/>
  <c r="V19" i="6"/>
  <c r="V20" i="6"/>
  <c r="Y7" i="23"/>
  <c r="W12" i="7"/>
  <c r="V31" i="6"/>
  <c r="W18" i="5"/>
  <c r="Y15" i="23"/>
  <c r="W61" i="11"/>
  <c r="Y8" i="24"/>
  <c r="W17" i="9"/>
  <c r="Y7" i="24"/>
  <c r="Y17" i="23"/>
  <c r="Y13" i="23"/>
  <c r="W60" i="11"/>
  <c r="W38" i="4"/>
  <c r="V26" i="6"/>
  <c r="W19" i="9"/>
  <c r="V28" i="6"/>
  <c r="W57" i="11"/>
  <c r="Y59" i="21"/>
  <c r="Y10" i="24"/>
  <c r="Y37" i="13"/>
  <c r="W17" i="7"/>
  <c r="W50" i="11"/>
  <c r="W52" i="10"/>
  <c r="Y10" i="3"/>
  <c r="W17" i="4"/>
  <c r="W11" i="7"/>
  <c r="W18" i="9"/>
  <c r="W63" i="11"/>
  <c r="Y19" i="23"/>
  <c r="W62" i="11"/>
  <c r="W20" i="6"/>
  <c r="X57" i="11"/>
  <c r="Z59" i="21"/>
  <c r="Z15" i="23"/>
  <c r="X61" i="11"/>
  <c r="W26" i="6"/>
  <c r="X17" i="9"/>
  <c r="Z16" i="23"/>
  <c r="X19" i="9"/>
  <c r="X12" i="7"/>
  <c r="Z8" i="24"/>
  <c r="Z8" i="23"/>
  <c r="Z13" i="23"/>
  <c r="X60" i="11"/>
  <c r="X38" i="4"/>
  <c r="X11" i="7"/>
  <c r="W28" i="6"/>
  <c r="X18" i="9"/>
  <c r="X14" i="7"/>
  <c r="X45" i="11"/>
  <c r="X47" i="10"/>
  <c r="Z9" i="3"/>
  <c r="Z37" i="13"/>
  <c r="X17" i="7"/>
  <c r="X50" i="11"/>
  <c r="X52" i="10"/>
  <c r="Z10" i="3"/>
  <c r="X17" i="4"/>
  <c r="W31" i="6"/>
  <c r="X18" i="5"/>
  <c r="X63" i="11"/>
  <c r="Z10" i="23"/>
  <c r="W25" i="6"/>
  <c r="X17" i="5"/>
  <c r="Z20" i="23"/>
  <c r="Z10" i="24"/>
  <c r="T18" i="24"/>
  <c r="T29" i="24"/>
  <c r="T130" i="18"/>
  <c r="T30" i="24"/>
  <c r="T97" i="18"/>
  <c r="T46" i="24"/>
  <c r="T43" i="24"/>
  <c r="T16" i="24"/>
  <c r="T19" i="20"/>
  <c r="T44" i="24"/>
  <c r="T125" i="18"/>
  <c r="T131" i="18"/>
  <c r="T13" i="20"/>
  <c r="T23" i="26"/>
  <c r="T15" i="20"/>
  <c r="T42" i="24"/>
  <c r="T25" i="24"/>
  <c r="T128" i="18"/>
  <c r="T20" i="20"/>
  <c r="T18" i="20"/>
  <c r="T126" i="18"/>
  <c r="R23" i="7"/>
  <c r="T63" i="21"/>
  <c r="W99" i="18"/>
  <c r="W41" i="24"/>
  <c r="W30" i="24"/>
  <c r="W15" i="20"/>
  <c r="W127" i="18"/>
  <c r="W129" i="18"/>
  <c r="W29" i="24"/>
  <c r="W42" i="24"/>
  <c r="W62" i="24"/>
  <c r="W131" i="18"/>
  <c r="W20" i="20"/>
  <c r="W24" i="24"/>
  <c r="W13" i="24"/>
  <c r="W12" i="24"/>
  <c r="W17" i="20"/>
  <c r="W126" i="18"/>
  <c r="W101" i="18"/>
  <c r="U23" i="7"/>
  <c r="W63" i="21"/>
  <c r="W12" i="20"/>
  <c r="W18" i="20"/>
  <c r="W19" i="20"/>
  <c r="W130" i="18"/>
  <c r="O31" i="6"/>
  <c r="P18" i="5"/>
  <c r="R9" i="24"/>
  <c r="R20" i="23"/>
  <c r="P57" i="11"/>
  <c r="R59" i="21"/>
  <c r="P63" i="11"/>
  <c r="P19" i="9"/>
  <c r="R7" i="24"/>
  <c r="R14" i="23"/>
  <c r="R18" i="23"/>
  <c r="R10" i="23"/>
  <c r="P14" i="7"/>
  <c r="P45" i="11"/>
  <c r="P47" i="10"/>
  <c r="R9" i="3"/>
  <c r="P17" i="9"/>
  <c r="O21" i="6"/>
  <c r="P13" i="7"/>
  <c r="R16" i="23"/>
  <c r="O19" i="6"/>
  <c r="P18" i="9"/>
  <c r="O18" i="6"/>
  <c r="O27" i="6"/>
  <c r="P11" i="7"/>
  <c r="R37" i="13"/>
  <c r="P17" i="7"/>
  <c r="P50" i="11"/>
  <c r="P52" i="10"/>
  <c r="R10" i="3"/>
  <c r="P17" i="4"/>
  <c r="O25" i="6"/>
  <c r="P17" i="5"/>
  <c r="AA17" i="20"/>
  <c r="AA18" i="20"/>
  <c r="AA37" i="24"/>
  <c r="AA47" i="24"/>
  <c r="AA12" i="20"/>
  <c r="AA59" i="24"/>
  <c r="AA27" i="24"/>
  <c r="AA98" i="18"/>
  <c r="AA19" i="20"/>
  <c r="AA20" i="24"/>
  <c r="AA38" i="24"/>
  <c r="AA17" i="24"/>
  <c r="AA23" i="24"/>
  <c r="AA12" i="24"/>
  <c r="AA127" i="18"/>
  <c r="AA20" i="20"/>
  <c r="AA80" i="18"/>
  <c r="Y23" i="7"/>
  <c r="AA63" i="21"/>
  <c r="AA14" i="20"/>
  <c r="AA132" i="18"/>
  <c r="AA15" i="24"/>
  <c r="AA126" i="18"/>
  <c r="U126" i="18"/>
  <c r="U99" i="18"/>
  <c r="U132" i="18"/>
  <c r="U65" i="24"/>
  <c r="U101" i="18"/>
  <c r="U129" i="18"/>
  <c r="U24" i="24"/>
  <c r="U19" i="20"/>
  <c r="U131" i="18"/>
  <c r="U40" i="24"/>
  <c r="U39" i="24"/>
  <c r="U130" i="18"/>
  <c r="U21" i="24"/>
  <c r="U20" i="20"/>
  <c r="U128" i="18"/>
  <c r="U12" i="20"/>
  <c r="U97" i="18"/>
  <c r="U30" i="24"/>
  <c r="U46" i="24"/>
  <c r="S23" i="7"/>
  <c r="U63" i="21"/>
  <c r="U15" i="20"/>
  <c r="U43" i="24"/>
  <c r="D34" i="21"/>
  <c r="D50" i="21"/>
  <c r="D10" i="22"/>
  <c r="D27" i="21"/>
  <c r="D20" i="22"/>
  <c r="D23" i="3"/>
  <c r="D18" i="21"/>
  <c r="D24" i="22"/>
  <c r="D29" i="22"/>
  <c r="D54" i="21"/>
  <c r="D38" i="22"/>
  <c r="D33" i="22"/>
  <c r="D16" i="21"/>
  <c r="D36" i="21"/>
  <c r="D18" i="22"/>
  <c r="D25" i="22"/>
  <c r="D9" i="21"/>
  <c r="D11" i="22"/>
  <c r="D8" i="22"/>
  <c r="D15" i="22"/>
  <c r="D34" i="22"/>
  <c r="D47" i="21"/>
  <c r="D36" i="22"/>
  <c r="G126" i="18"/>
  <c r="E23" i="7"/>
  <c r="G63" i="21"/>
  <c r="G69" i="24"/>
  <c r="G129" i="18"/>
  <c r="G13" i="20"/>
  <c r="G130" i="18"/>
  <c r="G14" i="20"/>
  <c r="G15" i="24"/>
  <c r="G131" i="18"/>
  <c r="G99" i="18"/>
  <c r="G101" i="18"/>
  <c r="G38" i="24"/>
  <c r="G20" i="20"/>
  <c r="G15" i="20"/>
  <c r="G18" i="20"/>
  <c r="G12" i="20"/>
  <c r="G37" i="24"/>
  <c r="G27" i="24"/>
  <c r="G23" i="24"/>
  <c r="G103" i="18"/>
  <c r="G20" i="24"/>
  <c r="G12" i="24"/>
  <c r="H13" i="20"/>
  <c r="H65" i="24"/>
  <c r="H12" i="24"/>
  <c r="H27" i="25"/>
  <c r="H87" i="17"/>
  <c r="H15" i="24"/>
  <c r="H17" i="24"/>
  <c r="H129" i="18"/>
  <c r="H15" i="20"/>
  <c r="F23" i="7"/>
  <c r="H63" i="21"/>
  <c r="H130" i="18"/>
  <c r="H77" i="18"/>
  <c r="H127" i="18"/>
  <c r="H103" i="18"/>
  <c r="H85" i="18"/>
  <c r="H128" i="18"/>
  <c r="H16" i="24"/>
  <c r="H17" i="20"/>
  <c r="H18" i="20"/>
  <c r="H19" i="20"/>
  <c r="H102" i="18"/>
  <c r="H20" i="24"/>
  <c r="H12" i="20"/>
  <c r="S130" i="18"/>
  <c r="S127" i="18"/>
  <c r="S25" i="24"/>
  <c r="S21" i="24"/>
  <c r="S131" i="18"/>
  <c r="S13" i="20"/>
  <c r="S42" i="24"/>
  <c r="S16" i="24"/>
  <c r="S103" i="18"/>
  <c r="S18" i="24"/>
  <c r="S45" i="24"/>
  <c r="S17" i="20"/>
  <c r="S126" i="18"/>
  <c r="S19" i="20"/>
  <c r="S69" i="24"/>
  <c r="S14" i="20"/>
  <c r="S47" i="24"/>
  <c r="S41" i="24"/>
  <c r="S13" i="24"/>
  <c r="S128" i="18"/>
  <c r="S129" i="18"/>
  <c r="S30" i="24"/>
  <c r="T21" i="6"/>
  <c r="T26" i="6"/>
  <c r="T31" i="6"/>
  <c r="U18" i="5"/>
  <c r="T20" i="6"/>
  <c r="U12" i="7"/>
  <c r="W9" i="23"/>
  <c r="T18" i="6"/>
  <c r="U18" i="9"/>
  <c r="W10" i="24"/>
  <c r="U19" i="9"/>
  <c r="W37" i="13"/>
  <c r="U17" i="7"/>
  <c r="U50" i="11"/>
  <c r="U52" i="10"/>
  <c r="W10" i="3"/>
  <c r="U17" i="4"/>
  <c r="W7" i="23"/>
  <c r="W19" i="23"/>
  <c r="U62" i="11"/>
  <c r="W17" i="23"/>
  <c r="W15" i="23"/>
  <c r="U61" i="11"/>
  <c r="T25" i="6"/>
  <c r="U17" i="5"/>
  <c r="W9" i="24"/>
  <c r="U14" i="7"/>
  <c r="U45" i="11"/>
  <c r="U47" i="10"/>
  <c r="W9" i="3"/>
  <c r="U63" i="11"/>
  <c r="W8" i="23"/>
  <c r="U17" i="9"/>
  <c r="W10" i="23"/>
  <c r="C11" i="21"/>
  <c r="C36" i="21"/>
  <c r="C27" i="21"/>
  <c r="C31" i="22"/>
  <c r="C19" i="22"/>
  <c r="C48" i="21"/>
  <c r="C11" i="22"/>
  <c r="C61" i="21"/>
  <c r="C23" i="3"/>
  <c r="C18" i="21"/>
  <c r="C50" i="21"/>
  <c r="C8" i="22"/>
  <c r="C29" i="21"/>
  <c r="C45" i="21"/>
  <c r="C13" i="22"/>
  <c r="C9" i="21"/>
  <c r="C23" i="22"/>
  <c r="C14" i="22"/>
  <c r="C18" i="22"/>
  <c r="C38" i="22"/>
  <c r="C25" i="22"/>
  <c r="C34" i="22"/>
  <c r="C54" i="21"/>
  <c r="N23" i="7"/>
  <c r="P63" i="21"/>
  <c r="P31" i="24"/>
  <c r="P22" i="24"/>
  <c r="P98" i="18"/>
  <c r="P20" i="20"/>
  <c r="P129" i="18"/>
  <c r="P54" i="24"/>
  <c r="P17" i="20"/>
  <c r="P42" i="24"/>
  <c r="P130" i="18"/>
  <c r="P19" i="20"/>
  <c r="P43" i="24"/>
  <c r="P13" i="20"/>
  <c r="P56" i="24"/>
  <c r="P19" i="24"/>
  <c r="P16" i="24"/>
  <c r="P18" i="20"/>
  <c r="P102" i="18"/>
  <c r="P26" i="24"/>
  <c r="P125" i="18"/>
  <c r="P13" i="24"/>
  <c r="P128" i="18"/>
  <c r="T23" i="3"/>
  <c r="T18" i="21"/>
  <c r="R23" i="2"/>
  <c r="T38" i="22"/>
  <c r="T54" i="21"/>
  <c r="T11" i="22"/>
  <c r="T28" i="22"/>
  <c r="T50" i="21"/>
  <c r="T29" i="22"/>
  <c r="T27" i="21"/>
  <c r="T8" i="22"/>
  <c r="T36" i="22"/>
  <c r="T36" i="21"/>
  <c r="T16" i="21"/>
  <c r="T31" i="22"/>
  <c r="T12" i="22"/>
  <c r="T19" i="22"/>
  <c r="T15" i="22"/>
  <c r="T9" i="21"/>
  <c r="T34" i="21"/>
  <c r="T20" i="22"/>
  <c r="T26" i="22"/>
  <c r="T48" i="21"/>
  <c r="T35" i="22"/>
  <c r="P12" i="22"/>
  <c r="P35" i="22"/>
  <c r="P24" i="21"/>
  <c r="P40" i="21"/>
  <c r="P44" i="21"/>
  <c r="P33" i="22"/>
  <c r="P26" i="22"/>
  <c r="P10" i="25"/>
  <c r="P50" i="17"/>
  <c r="P20" i="22"/>
  <c r="P8" i="22"/>
  <c r="P9" i="22"/>
  <c r="P22" i="21"/>
  <c r="P16" i="22"/>
  <c r="P62" i="21"/>
  <c r="P31" i="22"/>
  <c r="P42" i="21"/>
  <c r="P13" i="21"/>
  <c r="P31" i="21"/>
  <c r="P60" i="21"/>
  <c r="P19" i="22"/>
  <c r="P29" i="22"/>
  <c r="P39" i="22"/>
  <c r="K12" i="24"/>
  <c r="K15" i="24"/>
  <c r="K19" i="24"/>
  <c r="K15" i="20"/>
  <c r="K18" i="20"/>
  <c r="K13" i="20"/>
  <c r="K27" i="24"/>
  <c r="K132" i="18"/>
  <c r="I23" i="7"/>
  <c r="K63" i="21"/>
  <c r="K19" i="20"/>
  <c r="K127" i="18"/>
  <c r="K37" i="24"/>
  <c r="K23" i="24"/>
  <c r="K17" i="24"/>
  <c r="I14" i="9"/>
  <c r="K24" i="26"/>
  <c r="K14" i="20"/>
  <c r="K26" i="24"/>
  <c r="K62" i="24"/>
  <c r="K80" i="18"/>
  <c r="K17" i="20"/>
  <c r="K98" i="18"/>
  <c r="K126" i="18"/>
  <c r="K44" i="21"/>
  <c r="K34" i="22"/>
  <c r="K28" i="21"/>
  <c r="K20" i="22"/>
  <c r="K21" i="22"/>
  <c r="K10" i="21"/>
  <c r="K13" i="22"/>
  <c r="K60" i="21"/>
  <c r="K17" i="21"/>
  <c r="K37" i="22"/>
  <c r="K9" i="22"/>
  <c r="K17" i="22"/>
  <c r="K52" i="21"/>
  <c r="K10" i="22"/>
  <c r="K47" i="21"/>
  <c r="K21" i="21"/>
  <c r="K49" i="21"/>
  <c r="K30" i="22"/>
  <c r="K24" i="3"/>
  <c r="K37" i="21"/>
  <c r="K35" i="21"/>
  <c r="K62" i="21"/>
  <c r="K35" i="22"/>
  <c r="M8" i="24"/>
  <c r="J19" i="6"/>
  <c r="K14" i="7"/>
  <c r="K45" i="11"/>
  <c r="K47" i="10"/>
  <c r="M9" i="3"/>
  <c r="K63" i="11"/>
  <c r="M7" i="23"/>
  <c r="K17" i="9"/>
  <c r="M20" i="23"/>
  <c r="M13" i="23"/>
  <c r="K60" i="11"/>
  <c r="K38" i="4"/>
  <c r="J25" i="6"/>
  <c r="K17" i="5"/>
  <c r="J21" i="6"/>
  <c r="K11" i="7"/>
  <c r="K19" i="9"/>
  <c r="M37" i="13"/>
  <c r="K17" i="7"/>
  <c r="K50" i="11"/>
  <c r="K52" i="10"/>
  <c r="M10" i="3"/>
  <c r="K17" i="4"/>
  <c r="M18" i="23"/>
  <c r="M9" i="23"/>
  <c r="K57" i="11"/>
  <c r="M59" i="21"/>
  <c r="M17" i="23"/>
  <c r="M15" i="23"/>
  <c r="K61" i="11"/>
  <c r="J28" i="6"/>
  <c r="K18" i="9"/>
  <c r="M7" i="24"/>
  <c r="J31" i="6"/>
  <c r="K18" i="5"/>
  <c r="D39" i="24"/>
  <c r="D20" i="20"/>
  <c r="D19" i="20"/>
  <c r="D99" i="18"/>
  <c r="D24" i="24"/>
  <c r="D131" i="18"/>
  <c r="D14" i="20"/>
  <c r="D58" i="24"/>
  <c r="D17" i="20"/>
  <c r="D37" i="24"/>
  <c r="D20" i="24"/>
  <c r="D126" i="18"/>
  <c r="D101" i="18"/>
  <c r="D38" i="24"/>
  <c r="D15" i="20"/>
  <c r="D56" i="24"/>
  <c r="D97" i="18"/>
  <c r="D63" i="21"/>
  <c r="D29" i="24"/>
  <c r="D18" i="24"/>
  <c r="D125" i="18"/>
  <c r="D16" i="24"/>
  <c r="L20" i="20"/>
  <c r="J23" i="7"/>
  <c r="L63" i="21"/>
  <c r="L12" i="24"/>
  <c r="L17" i="20"/>
  <c r="L22" i="24"/>
  <c r="L12" i="20"/>
  <c r="L65" i="24"/>
  <c r="L15" i="20"/>
  <c r="L132" i="18"/>
  <c r="L102" i="18"/>
  <c r="L26" i="24"/>
  <c r="L18" i="20"/>
  <c r="L32" i="24"/>
  <c r="L129" i="18"/>
  <c r="L14" i="20"/>
  <c r="L46" i="24"/>
  <c r="L27" i="24"/>
  <c r="L98" i="18"/>
  <c r="L15" i="24"/>
  <c r="L130" i="18"/>
  <c r="L13" i="20"/>
  <c r="L17" i="24"/>
  <c r="I38" i="22"/>
  <c r="I24" i="3"/>
  <c r="I37" i="21"/>
  <c r="I24" i="22"/>
  <c r="I41" i="21"/>
  <c r="G10" i="9"/>
  <c r="I8" i="26"/>
  <c r="I10" i="22"/>
  <c r="I21" i="22"/>
  <c r="I12" i="21"/>
  <c r="I30" i="21"/>
  <c r="I34" i="22"/>
  <c r="I47" i="21"/>
  <c r="I39" i="22"/>
  <c r="I23" i="21"/>
  <c r="I13" i="22"/>
  <c r="I21" i="21"/>
  <c r="I26" i="22"/>
  <c r="I45" i="21"/>
  <c r="I18" i="22"/>
  <c r="I23" i="22"/>
  <c r="I9" i="22"/>
  <c r="I14" i="22"/>
  <c r="I32" i="22"/>
  <c r="C125" i="18"/>
  <c r="C20" i="20"/>
  <c r="C130" i="18"/>
  <c r="C37" i="24"/>
  <c r="C13" i="24"/>
  <c r="C56" i="24"/>
  <c r="C12" i="20"/>
  <c r="C29" i="24"/>
  <c r="C63" i="24"/>
  <c r="C21" i="24"/>
  <c r="C15" i="20"/>
  <c r="C99" i="18"/>
  <c r="C103" i="18"/>
  <c r="C49" i="24"/>
  <c r="C38" i="24"/>
  <c r="C14" i="20"/>
  <c r="C16" i="24"/>
  <c r="C97" i="18"/>
  <c r="C18" i="24"/>
  <c r="C39" i="24"/>
  <c r="C19" i="20"/>
  <c r="C131" i="18"/>
  <c r="W23" i="21"/>
  <c r="W25" i="22"/>
  <c r="W32" i="21"/>
  <c r="W15" i="22"/>
  <c r="W9" i="22"/>
  <c r="W28" i="22"/>
  <c r="W61" i="21"/>
  <c r="U25" i="2"/>
  <c r="W11" i="22"/>
  <c r="W32" i="22"/>
  <c r="W26" i="22"/>
  <c r="W25" i="21"/>
  <c r="W18" i="22"/>
  <c r="W36" i="22"/>
  <c r="W34" i="22"/>
  <c r="W30" i="22"/>
  <c r="W41" i="21"/>
  <c r="W10" i="25"/>
  <c r="W50" i="17"/>
  <c r="W14" i="21"/>
  <c r="W43" i="21"/>
  <c r="W24" i="22"/>
  <c r="W7" i="21"/>
  <c r="W14" i="22"/>
  <c r="E17" i="20"/>
  <c r="E128" i="18"/>
  <c r="E20" i="24"/>
  <c r="E39" i="24"/>
  <c r="E132" i="18"/>
  <c r="E27" i="24"/>
  <c r="E18" i="26"/>
  <c r="E129" i="18"/>
  <c r="E60" i="24"/>
  <c r="E131" i="18"/>
  <c r="E37" i="24"/>
  <c r="E24" i="24"/>
  <c r="E58" i="24"/>
  <c r="E99" i="18"/>
  <c r="E15" i="20"/>
  <c r="E18" i="20"/>
  <c r="E13" i="20"/>
  <c r="E125" i="18"/>
  <c r="E12" i="20"/>
  <c r="E101" i="18"/>
  <c r="E19" i="20"/>
  <c r="C23" i="7"/>
  <c r="E63" i="21"/>
  <c r="G25" i="21"/>
  <c r="G21" i="22"/>
  <c r="G23" i="22"/>
  <c r="G61" i="21"/>
  <c r="E25" i="2"/>
  <c r="G9" i="22"/>
  <c r="G18" i="22"/>
  <c r="G29" i="22"/>
  <c r="G45" i="21"/>
  <c r="G14" i="21"/>
  <c r="G32" i="21"/>
  <c r="G23" i="21"/>
  <c r="G38" i="22"/>
  <c r="G10" i="22"/>
  <c r="G7" i="21"/>
  <c r="G34" i="22"/>
  <c r="G11" i="22"/>
  <c r="G17" i="22"/>
  <c r="G39" i="22"/>
  <c r="G41" i="21"/>
  <c r="G26" i="22"/>
  <c r="G43" i="21"/>
  <c r="G14" i="22"/>
  <c r="Q16" i="22"/>
  <c r="Q13" i="21"/>
  <c r="Q30" i="22"/>
  <c r="Q17" i="22"/>
  <c r="Q31" i="21"/>
  <c r="Q23" i="22"/>
  <c r="Q36" i="22"/>
  <c r="Q35" i="22"/>
  <c r="Q11" i="21"/>
  <c r="Q31" i="22"/>
  <c r="Q20" i="22"/>
  <c r="Q29" i="21"/>
  <c r="Q19" i="22"/>
  <c r="Q29" i="22"/>
  <c r="Q15" i="22"/>
  <c r="Q12" i="22"/>
  <c r="Q40" i="21"/>
  <c r="Q28" i="22"/>
  <c r="Q46" i="21"/>
  <c r="Q33" i="22"/>
  <c r="Q22" i="21"/>
  <c r="Q62" i="21"/>
  <c r="F24" i="22"/>
  <c r="F34" i="21"/>
  <c r="F23" i="22"/>
  <c r="F36" i="22"/>
  <c r="F25" i="21"/>
  <c r="F43" i="21"/>
  <c r="F10" i="22"/>
  <c r="F14" i="21"/>
  <c r="F20" i="22"/>
  <c r="F38" i="22"/>
  <c r="F32" i="21"/>
  <c r="F14" i="22"/>
  <c r="F16" i="21"/>
  <c r="F19" i="28"/>
  <c r="F16" i="17"/>
  <c r="F33" i="22"/>
  <c r="F39" i="22"/>
  <c r="F26" i="22"/>
  <c r="F35" i="22"/>
  <c r="F61" i="21"/>
  <c r="D25" i="2"/>
  <c r="F34" i="22"/>
  <c r="F11" i="22"/>
  <c r="F18" i="22"/>
  <c r="S30" i="22"/>
  <c r="S19" i="22"/>
  <c r="S38" i="22"/>
  <c r="S12" i="22"/>
  <c r="S46" i="21"/>
  <c r="S50" i="21"/>
  <c r="S48" i="21"/>
  <c r="S15" i="22"/>
  <c r="S20" i="22"/>
  <c r="S31" i="22"/>
  <c r="S27" i="21"/>
  <c r="S23" i="3"/>
  <c r="S18" i="21"/>
  <c r="Q23" i="2"/>
  <c r="S29" i="22"/>
  <c r="S13" i="22"/>
  <c r="S36" i="21"/>
  <c r="S29" i="21"/>
  <c r="S11" i="21"/>
  <c r="S36" i="22"/>
  <c r="S16" i="22"/>
  <c r="S33" i="22"/>
  <c r="S28" i="22"/>
  <c r="S9" i="21"/>
  <c r="O33" i="22"/>
  <c r="O20" i="22"/>
  <c r="O13" i="22"/>
  <c r="O42" i="21"/>
  <c r="O62" i="21"/>
  <c r="O16" i="22"/>
  <c r="O9" i="22"/>
  <c r="O24" i="21"/>
  <c r="O44" i="21"/>
  <c r="O30" i="22"/>
  <c r="O25" i="22"/>
  <c r="O37" i="22"/>
  <c r="O33" i="21"/>
  <c r="O60" i="21"/>
  <c r="O17" i="22"/>
  <c r="O19" i="22"/>
  <c r="O35" i="22"/>
  <c r="O15" i="21"/>
  <c r="O13" i="21"/>
  <c r="O31" i="21"/>
  <c r="O21" i="22"/>
  <c r="O12" i="22"/>
  <c r="X10" i="25"/>
  <c r="X50" i="17"/>
  <c r="X32" i="22"/>
  <c r="X15" i="22"/>
  <c r="X36" i="22"/>
  <c r="X14" i="21"/>
  <c r="X23" i="21"/>
  <c r="X43" i="21"/>
  <c r="X61" i="21"/>
  <c r="V25" i="2"/>
  <c r="X32" i="21"/>
  <c r="X26" i="22"/>
  <c r="X11" i="22"/>
  <c r="X18" i="22"/>
  <c r="X9" i="20"/>
  <c r="X89" i="18"/>
  <c r="X14" i="22"/>
  <c r="X16" i="22"/>
  <c r="X34" i="22"/>
  <c r="X31" i="22"/>
  <c r="X12" i="21"/>
  <c r="X30" i="21"/>
  <c r="X24" i="22"/>
  <c r="X20" i="28"/>
  <c r="X17" i="17"/>
  <c r="X41" i="21"/>
  <c r="Y30" i="24"/>
  <c r="Y22" i="24"/>
  <c r="Y42" i="24"/>
  <c r="Y32" i="24"/>
  <c r="Y20" i="26"/>
  <c r="Y69" i="24"/>
  <c r="Y29" i="24"/>
  <c r="Y18" i="24"/>
  <c r="Y46" i="24"/>
  <c r="Y26" i="24"/>
  <c r="Y45" i="24"/>
  <c r="Y63" i="24"/>
  <c r="Y40" i="24"/>
  <c r="Y19" i="20"/>
  <c r="Y25" i="24"/>
  <c r="Y60" i="24"/>
  <c r="W23" i="7"/>
  <c r="Y63" i="21"/>
  <c r="Y19" i="24"/>
  <c r="Y22" i="27"/>
  <c r="Y21" i="24"/>
  <c r="Y41" i="24"/>
  <c r="Y20" i="24"/>
  <c r="V25" i="21"/>
  <c r="V36" i="22"/>
  <c r="V24" i="22"/>
  <c r="V34" i="21"/>
  <c r="V11" i="22"/>
  <c r="V38" i="22"/>
  <c r="V7" i="21"/>
  <c r="V25" i="22"/>
  <c r="V29" i="22"/>
  <c r="V54" i="21"/>
  <c r="V32" i="22"/>
  <c r="V16" i="21"/>
  <c r="V34" i="22"/>
  <c r="V8" i="22"/>
  <c r="V20" i="22"/>
  <c r="V15" i="22"/>
  <c r="V14" i="21"/>
  <c r="V26" i="22"/>
  <c r="V18" i="22"/>
  <c r="V31" i="22"/>
  <c r="V32" i="21"/>
  <c r="V19" i="22"/>
  <c r="M35" i="22"/>
  <c r="M21" i="22"/>
  <c r="M20" i="22"/>
  <c r="M9" i="22"/>
  <c r="M17" i="21"/>
  <c r="M36" i="22"/>
  <c r="M28" i="22"/>
  <c r="M15" i="21"/>
  <c r="M52" i="21"/>
  <c r="M26" i="21"/>
  <c r="M17" i="22"/>
  <c r="M34" i="22"/>
  <c r="M16" i="22"/>
  <c r="M33" i="21"/>
  <c r="M8" i="21"/>
  <c r="M30" i="22"/>
  <c r="M19" i="22"/>
  <c r="M39" i="22"/>
  <c r="M35" i="21"/>
  <c r="M60" i="21"/>
  <c r="M37" i="22"/>
  <c r="M62" i="21"/>
  <c r="N9" i="22"/>
  <c r="N8" i="21"/>
  <c r="N28" i="22"/>
  <c r="N29" i="22"/>
  <c r="N21" i="22"/>
  <c r="N36" i="21"/>
  <c r="N48" i="21"/>
  <c r="N31" i="22"/>
  <c r="N35" i="22"/>
  <c r="N33" i="21"/>
  <c r="N26" i="21"/>
  <c r="N12" i="22"/>
  <c r="N26" i="22"/>
  <c r="N39" i="22"/>
  <c r="N15" i="21"/>
  <c r="N13" i="22"/>
  <c r="N32" i="22"/>
  <c r="N42" i="21"/>
  <c r="N24" i="21"/>
  <c r="N30" i="22"/>
  <c r="N10" i="22"/>
  <c r="N16" i="22"/>
  <c r="Z11" i="22"/>
  <c r="Z18" i="22"/>
  <c r="Z24" i="22"/>
  <c r="Z26" i="22"/>
  <c r="Z24" i="3"/>
  <c r="Z37" i="21"/>
  <c r="Z21" i="21"/>
  <c r="Z21" i="22"/>
  <c r="Z12" i="21"/>
  <c r="Z37" i="22"/>
  <c r="Z47" i="21"/>
  <c r="Z10" i="21"/>
  <c r="Z30" i="21"/>
  <c r="Z32" i="22"/>
  <c r="Z10" i="22"/>
  <c r="Z34" i="22"/>
  <c r="Z23" i="22"/>
  <c r="Z39" i="22"/>
  <c r="Z14" i="22"/>
  <c r="Z36" i="22"/>
  <c r="Z28" i="21"/>
  <c r="Z45" i="21"/>
  <c r="Z16" i="22"/>
  <c r="L52" i="21"/>
  <c r="L34" i="22"/>
  <c r="L26" i="21"/>
  <c r="L29" i="22"/>
  <c r="L49" i="21"/>
  <c r="L10" i="21"/>
  <c r="L39" i="22"/>
  <c r="L12" i="22"/>
  <c r="L30" i="22"/>
  <c r="L14" i="22"/>
  <c r="L17" i="22"/>
  <c r="L13" i="22"/>
  <c r="L35" i="22"/>
  <c r="L28" i="21"/>
  <c r="L32" i="22"/>
  <c r="L17" i="21"/>
  <c r="L9" i="22"/>
  <c r="L35" i="21"/>
  <c r="L21" i="22"/>
  <c r="L20" i="22"/>
  <c r="L8" i="21"/>
  <c r="L37" i="22"/>
  <c r="J49" i="21"/>
  <c r="J39" i="22"/>
  <c r="J12" i="21"/>
  <c r="J21" i="22"/>
  <c r="J34" i="22"/>
  <c r="J30" i="21"/>
  <c r="J23" i="22"/>
  <c r="J47" i="21"/>
  <c r="J36" i="22"/>
  <c r="J32" i="22"/>
  <c r="J14" i="22"/>
  <c r="J35" i="22"/>
  <c r="J45" i="21"/>
  <c r="J21" i="21"/>
  <c r="J13" i="22"/>
  <c r="J28" i="21"/>
  <c r="J10" i="21"/>
  <c r="J24" i="3"/>
  <c r="J37" i="21"/>
  <c r="J10" i="22"/>
  <c r="J17" i="22"/>
  <c r="J16" i="22"/>
  <c r="J9" i="26"/>
  <c r="H36" i="22"/>
  <c r="H16" i="22"/>
  <c r="H38" i="22"/>
  <c r="H30" i="21"/>
  <c r="H24" i="22"/>
  <c r="H21" i="22"/>
  <c r="H61" i="21"/>
  <c r="F25" i="2"/>
  <c r="H9" i="22"/>
  <c r="H23" i="21"/>
  <c r="H32" i="21"/>
  <c r="H41" i="21"/>
  <c r="H39" i="22"/>
  <c r="H23" i="22"/>
  <c r="H34" i="22"/>
  <c r="H13" i="22"/>
  <c r="H43" i="21"/>
  <c r="H17" i="22"/>
  <c r="H14" i="21"/>
  <c r="H14" i="22"/>
  <c r="F10" i="5"/>
  <c r="H8" i="25"/>
  <c r="F9" i="2"/>
  <c r="H12" i="21"/>
  <c r="H18" i="22"/>
  <c r="Y9" i="22"/>
  <c r="Y9" i="26"/>
  <c r="Y32" i="22"/>
  <c r="Y26" i="22"/>
  <c r="Y36" i="22"/>
  <c r="Y25" i="22"/>
  <c r="Y31" i="22"/>
  <c r="Y18" i="22"/>
  <c r="Y24" i="3"/>
  <c r="Y37" i="21"/>
  <c r="Y14" i="22"/>
  <c r="Y12" i="21"/>
  <c r="Y45" i="21"/>
  <c r="Y30" i="21"/>
  <c r="Y41" i="21"/>
  <c r="Y29" i="22"/>
  <c r="Y21" i="21"/>
  <c r="Y39" i="22"/>
  <c r="Y11" i="22"/>
  <c r="Y24" i="22"/>
  <c r="Y61" i="21"/>
  <c r="W25" i="2"/>
  <c r="Y43" i="21"/>
  <c r="Y23" i="21"/>
  <c r="R64" i="24"/>
  <c r="R19" i="26"/>
  <c r="R29" i="24"/>
  <c r="R20" i="26"/>
  <c r="R38" i="24"/>
  <c r="R22" i="24"/>
  <c r="R31" i="24"/>
  <c r="R15" i="24"/>
  <c r="R49" i="24"/>
  <c r="R20" i="24"/>
  <c r="R58" i="24"/>
  <c r="R39" i="24"/>
  <c r="R17" i="24"/>
  <c r="R61" i="24"/>
  <c r="R19" i="24"/>
  <c r="R32" i="24"/>
  <c r="R24" i="24"/>
  <c r="R25" i="26"/>
  <c r="R26" i="24"/>
  <c r="R60" i="24"/>
  <c r="R27" i="26"/>
  <c r="R27" i="24"/>
  <c r="X6" i="27"/>
  <c r="X19" i="24"/>
  <c r="X54" i="24"/>
  <c r="X11" i="29"/>
  <c r="X26" i="24"/>
  <c r="X41" i="24"/>
  <c r="X60" i="24"/>
  <c r="X44" i="24"/>
  <c r="X13" i="24"/>
  <c r="X16" i="24"/>
  <c r="X42" i="24"/>
  <c r="X24" i="24"/>
  <c r="X21" i="24"/>
  <c r="X18" i="24"/>
  <c r="X31" i="24"/>
  <c r="X25" i="24"/>
  <c r="X32" i="24"/>
  <c r="X58" i="24"/>
  <c r="X20" i="26"/>
  <c r="X22" i="24"/>
  <c r="X30" i="24"/>
  <c r="X45" i="24"/>
  <c r="G55" i="24"/>
  <c r="G49" i="24"/>
  <c r="G68" i="24"/>
  <c r="G63" i="24"/>
  <c r="G57" i="24"/>
  <c r="G13" i="24"/>
  <c r="G21" i="24"/>
  <c r="G42" i="24"/>
  <c r="G58" i="24"/>
  <c r="G21" i="27"/>
  <c r="G41" i="24"/>
  <c r="G30" i="24"/>
  <c r="G31" i="24"/>
  <c r="G44" i="24"/>
  <c r="G43" i="24"/>
  <c r="G25" i="24"/>
  <c r="G22" i="24"/>
  <c r="G32" i="24"/>
  <c r="G19" i="24"/>
  <c r="G24" i="24"/>
  <c r="G18" i="24"/>
  <c r="G29" i="24"/>
  <c r="H18" i="24"/>
  <c r="H29" i="24"/>
  <c r="H45" i="24"/>
  <c r="H13" i="24"/>
  <c r="H44" i="24"/>
  <c r="H31" i="24"/>
  <c r="H55" i="24"/>
  <c r="H22" i="24"/>
  <c r="H59" i="24"/>
  <c r="H39" i="24"/>
  <c r="H21" i="24"/>
  <c r="H49" i="24"/>
  <c r="H42" i="24"/>
  <c r="H28" i="25"/>
  <c r="H41" i="24"/>
  <c r="H24" i="24"/>
  <c r="H57" i="24"/>
  <c r="H40" i="24"/>
  <c r="H25" i="24"/>
  <c r="H30" i="24"/>
  <c r="H25" i="26"/>
  <c r="H38" i="24"/>
  <c r="E31" i="22"/>
  <c r="E23" i="22"/>
  <c r="E10" i="22"/>
  <c r="E34" i="22"/>
  <c r="E27" i="21"/>
  <c r="E16" i="21"/>
  <c r="E25" i="21"/>
  <c r="E13" i="22"/>
  <c r="E11" i="22"/>
  <c r="E33" i="22"/>
  <c r="E38" i="22"/>
  <c r="E34" i="21"/>
  <c r="E18" i="22"/>
  <c r="E15" i="22"/>
  <c r="E14" i="22"/>
  <c r="E7" i="21"/>
  <c r="E24" i="22"/>
  <c r="E29" i="22"/>
  <c r="E54" i="21"/>
  <c r="E36" i="22"/>
  <c r="E9" i="21"/>
  <c r="E9" i="26"/>
  <c r="Z24" i="24"/>
  <c r="Z16" i="24"/>
  <c r="Z30" i="24"/>
  <c r="Z49" i="24"/>
  <c r="Z29" i="24"/>
  <c r="Z26" i="24"/>
  <c r="Z40" i="24"/>
  <c r="Z12" i="24"/>
  <c r="Z43" i="24"/>
  <c r="Z7" i="27"/>
  <c r="Z89" i="17"/>
  <c r="Z37" i="24"/>
  <c r="Z39" i="24"/>
  <c r="Z31" i="24"/>
  <c r="Z18" i="24"/>
  <c r="Z69" i="24"/>
  <c r="Z13" i="24"/>
  <c r="Z19" i="24"/>
  <c r="Z42" i="24"/>
  <c r="Z6" i="27"/>
  <c r="Z20" i="24"/>
  <c r="Z22" i="24"/>
  <c r="Z46" i="24"/>
  <c r="U30" i="22"/>
  <c r="U33" i="22"/>
  <c r="U37" i="22"/>
  <c r="U27" i="21"/>
  <c r="U25" i="22"/>
  <c r="U9" i="21"/>
  <c r="U34" i="21"/>
  <c r="U7" i="21"/>
  <c r="U13" i="22"/>
  <c r="U15" i="22"/>
  <c r="U19" i="22"/>
  <c r="U54" i="21"/>
  <c r="U11" i="22"/>
  <c r="U50" i="21"/>
  <c r="U29" i="22"/>
  <c r="U36" i="22"/>
  <c r="U25" i="21"/>
  <c r="U31" i="22"/>
  <c r="U26" i="22"/>
  <c r="U16" i="21"/>
  <c r="U28" i="22"/>
  <c r="U8" i="22"/>
  <c r="M57" i="24"/>
  <c r="M17" i="24"/>
  <c r="M29" i="24"/>
  <c r="M23" i="24"/>
  <c r="M42" i="24"/>
  <c r="M27" i="24"/>
  <c r="M12" i="24"/>
  <c r="M49" i="24"/>
  <c r="M41" i="24"/>
  <c r="M18" i="24"/>
  <c r="M14" i="20"/>
  <c r="M24" i="24"/>
  <c r="M47" i="24"/>
  <c r="M61" i="24"/>
  <c r="M55" i="24"/>
  <c r="M16" i="24"/>
  <c r="M15" i="24"/>
  <c r="M59" i="24"/>
  <c r="M21" i="24"/>
  <c r="M68" i="24"/>
  <c r="M37" i="24"/>
  <c r="M38" i="24"/>
  <c r="U31" i="24"/>
  <c r="U25" i="24"/>
  <c r="U18" i="26"/>
  <c r="U26" i="24"/>
  <c r="U67" i="24"/>
  <c r="U13" i="24"/>
  <c r="U17" i="24"/>
  <c r="U58" i="24"/>
  <c r="U16" i="24"/>
  <c r="U20" i="24"/>
  <c r="U45" i="24"/>
  <c r="U44" i="24"/>
  <c r="U28" i="26"/>
  <c r="U23" i="24"/>
  <c r="U56" i="24"/>
  <c r="U54" i="24"/>
  <c r="U32" i="24"/>
  <c r="U19" i="24"/>
  <c r="U15" i="24"/>
  <c r="U12" i="24"/>
  <c r="U27" i="24"/>
  <c r="U37" i="24"/>
  <c r="J31" i="24"/>
  <c r="J46" i="24"/>
  <c r="J23" i="24"/>
  <c r="J42" i="24"/>
  <c r="J43" i="24"/>
  <c r="J16" i="24"/>
  <c r="J18" i="24"/>
  <c r="J38" i="24"/>
  <c r="J39" i="24"/>
  <c r="J24" i="24"/>
  <c r="J20" i="24"/>
  <c r="J59" i="24"/>
  <c r="J49" i="24"/>
  <c r="J29" i="24"/>
  <c r="J30" i="24"/>
  <c r="J37" i="24"/>
  <c r="J40" i="24"/>
  <c r="J13" i="24"/>
  <c r="J12" i="24"/>
  <c r="J28" i="26"/>
  <c r="J27" i="24"/>
  <c r="J6" i="27"/>
  <c r="AA31" i="24"/>
  <c r="AA43" i="24"/>
  <c r="AA26" i="24"/>
  <c r="AA19" i="26"/>
  <c r="AA24" i="24"/>
  <c r="AA16" i="24"/>
  <c r="AA13" i="24"/>
  <c r="AA9" i="27"/>
  <c r="AA21" i="24"/>
  <c r="AA44" i="24"/>
  <c r="AA39" i="24"/>
  <c r="AA32" i="24"/>
  <c r="AA18" i="26"/>
  <c r="AA64" i="24"/>
  <c r="AA19" i="24"/>
  <c r="AA18" i="24"/>
  <c r="AA25" i="24"/>
  <c r="AA30" i="24"/>
  <c r="AA40" i="24"/>
  <c r="AA45" i="24"/>
  <c r="AA65" i="24"/>
  <c r="AA60" i="24"/>
  <c r="I45" i="24"/>
  <c r="I30" i="24"/>
  <c r="I19" i="24"/>
  <c r="I42" i="24"/>
  <c r="I20" i="24"/>
  <c r="I46" i="24"/>
  <c r="I16" i="24"/>
  <c r="I27" i="26"/>
  <c r="I47" i="24"/>
  <c r="I40" i="24"/>
  <c r="I41" i="24"/>
  <c r="I25" i="24"/>
  <c r="I29" i="24"/>
  <c r="I21" i="24"/>
  <c r="G23" i="7"/>
  <c r="I63" i="21"/>
  <c r="I22" i="24"/>
  <c r="I18" i="24"/>
  <c r="I39" i="24"/>
  <c r="I55" i="24"/>
  <c r="I64" i="24"/>
  <c r="I57" i="24"/>
  <c r="I28" i="25"/>
  <c r="O27" i="25"/>
  <c r="O87" i="17"/>
  <c r="O23" i="24"/>
  <c r="O21" i="26"/>
  <c r="O16" i="24"/>
  <c r="O41" i="24"/>
  <c r="O27" i="24"/>
  <c r="O64" i="24"/>
  <c r="O30" i="24"/>
  <c r="O42" i="24"/>
  <c r="O17" i="24"/>
  <c r="O19" i="24"/>
  <c r="O26" i="24"/>
  <c r="O40" i="24"/>
  <c r="O57" i="24"/>
  <c r="O32" i="24"/>
  <c r="O20" i="24"/>
  <c r="O21" i="24"/>
  <c r="O12" i="24"/>
  <c r="O39" i="24"/>
  <c r="O18" i="24"/>
  <c r="O55" i="24"/>
  <c r="O27" i="26"/>
  <c r="T26" i="24"/>
  <c r="T45" i="24"/>
  <c r="T13" i="24"/>
  <c r="T20" i="24"/>
  <c r="T15" i="24"/>
  <c r="T39" i="24"/>
  <c r="T24" i="24"/>
  <c r="T12" i="24"/>
  <c r="T19" i="24"/>
  <c r="T22" i="24"/>
  <c r="T38" i="24"/>
  <c r="T49" i="24"/>
  <c r="T67" i="24"/>
  <c r="T56" i="24"/>
  <c r="T70" i="24"/>
  <c r="T61" i="24"/>
  <c r="R14" i="9"/>
  <c r="T24" i="26"/>
  <c r="T28" i="26"/>
  <c r="T37" i="24"/>
  <c r="T23" i="24"/>
  <c r="T60" i="24"/>
  <c r="T17" i="24"/>
  <c r="Q12" i="24"/>
  <c r="Q20" i="24"/>
  <c r="Q41" i="24"/>
  <c r="Q39" i="24"/>
  <c r="Q59" i="24"/>
  <c r="Q9" i="27"/>
  <c r="O14" i="9"/>
  <c r="Q24" i="26"/>
  <c r="Q15" i="24"/>
  <c r="Q56" i="24"/>
  <c r="Q38" i="24"/>
  <c r="Q24" i="24"/>
  <c r="Q19" i="24"/>
  <c r="Q40" i="24"/>
  <c r="Q61" i="24"/>
  <c r="Q27" i="24"/>
  <c r="Q8" i="27"/>
  <c r="Q32" i="24"/>
  <c r="Q25" i="26"/>
  <c r="Q17" i="24"/>
  <c r="Q23" i="24"/>
  <c r="Q37" i="24"/>
  <c r="Q29" i="24"/>
  <c r="V21" i="24"/>
  <c r="V26" i="24"/>
  <c r="V58" i="24"/>
  <c r="V13" i="24"/>
  <c r="V54" i="24"/>
  <c r="V17" i="24"/>
  <c r="V21" i="26"/>
  <c r="V44" i="24"/>
  <c r="V18" i="24"/>
  <c r="V27" i="24"/>
  <c r="V23" i="24"/>
  <c r="V63" i="24"/>
  <c r="V16" i="24"/>
  <c r="V22" i="24"/>
  <c r="V46" i="24"/>
  <c r="V28" i="25"/>
  <c r="V37" i="24"/>
  <c r="V15" i="24"/>
  <c r="V12" i="24"/>
  <c r="V32" i="24"/>
  <c r="V43" i="24"/>
  <c r="V31" i="24"/>
  <c r="W43" i="24"/>
  <c r="W27" i="24"/>
  <c r="W38" i="24"/>
  <c r="W22" i="24"/>
  <c r="W15" i="24"/>
  <c r="W25" i="24"/>
  <c r="W56" i="24"/>
  <c r="W17" i="24"/>
  <c r="W21" i="24"/>
  <c r="W11" i="29"/>
  <c r="W67" i="24"/>
  <c r="W55" i="24"/>
  <c r="W63" i="24"/>
  <c r="W49" i="24"/>
  <c r="W44" i="24"/>
  <c r="W23" i="24"/>
  <c r="W19" i="24"/>
  <c r="W18" i="24"/>
  <c r="W32" i="24"/>
  <c r="W39" i="24"/>
  <c r="W31" i="24"/>
  <c r="W37" i="24"/>
  <c r="E26" i="24"/>
  <c r="E20" i="27"/>
  <c r="E45" i="24"/>
  <c r="E15" i="24"/>
  <c r="E30" i="24"/>
  <c r="E43" i="24"/>
  <c r="E25" i="24"/>
  <c r="E41" i="24"/>
  <c r="E46" i="24"/>
  <c r="E17" i="24"/>
  <c r="E54" i="24"/>
  <c r="E13" i="24"/>
  <c r="E40" i="24"/>
  <c r="E44" i="24"/>
  <c r="E67" i="24"/>
  <c r="E31" i="24"/>
  <c r="E16" i="24"/>
  <c r="E12" i="24"/>
  <c r="E19" i="24"/>
  <c r="E32" i="24"/>
  <c r="E23" i="24"/>
  <c r="E21" i="24"/>
  <c r="C63" i="21"/>
  <c r="C42" i="24"/>
  <c r="C26" i="24"/>
  <c r="C41" i="24"/>
  <c r="C15" i="24"/>
  <c r="C70" i="24"/>
  <c r="C22" i="24"/>
  <c r="C17" i="24"/>
  <c r="C27" i="24"/>
  <c r="C45" i="24"/>
  <c r="C12" i="24"/>
  <c r="C30" i="24"/>
  <c r="C32" i="24"/>
  <c r="C20" i="26"/>
  <c r="C67" i="24"/>
  <c r="C28" i="25"/>
  <c r="C23" i="24"/>
  <c r="C19" i="24"/>
  <c r="C19" i="26"/>
  <c r="C43" i="24"/>
  <c r="C25" i="24"/>
  <c r="C47" i="24"/>
  <c r="E47" i="24"/>
  <c r="E42" i="24"/>
  <c r="E18" i="27"/>
  <c r="E25" i="25"/>
  <c r="E22" i="27"/>
  <c r="E59" i="24"/>
  <c r="E22" i="24"/>
  <c r="E70" i="24"/>
  <c r="E18" i="24"/>
  <c r="E64" i="24"/>
  <c r="E28" i="26"/>
  <c r="E69" i="24"/>
  <c r="E55" i="24"/>
  <c r="E6" i="27"/>
  <c r="E61" i="24"/>
  <c r="E38" i="24"/>
  <c r="E27" i="25"/>
  <c r="E87" i="17"/>
  <c r="E19" i="26"/>
  <c r="E25" i="26"/>
  <c r="E20" i="26"/>
  <c r="E57" i="24"/>
  <c r="E56" i="24"/>
  <c r="E27" i="26"/>
  <c r="K8" i="27"/>
  <c r="K24" i="24"/>
  <c r="K16" i="24"/>
  <c r="K38" i="24"/>
  <c r="K55" i="24"/>
  <c r="K47" i="24"/>
  <c r="K46" i="24"/>
  <c r="K21" i="24"/>
  <c r="K18" i="24"/>
  <c r="K43" i="24"/>
  <c r="K44" i="24"/>
  <c r="K20" i="24"/>
  <c r="K31" i="24"/>
  <c r="K25" i="24"/>
  <c r="K39" i="24"/>
  <c r="K30" i="24"/>
  <c r="K13" i="24"/>
  <c r="K57" i="24"/>
  <c r="K45" i="24"/>
  <c r="K32" i="24"/>
  <c r="K40" i="24"/>
  <c r="K61" i="24"/>
  <c r="F24" i="24"/>
  <c r="F44" i="24"/>
  <c r="F47" i="24"/>
  <c r="F41" i="24"/>
  <c r="F26" i="24"/>
  <c r="F29" i="24"/>
  <c r="F54" i="24"/>
  <c r="F32" i="24"/>
  <c r="F18" i="26"/>
  <c r="F31" i="24"/>
  <c r="F22" i="24"/>
  <c r="F40" i="24"/>
  <c r="F37" i="24"/>
  <c r="F18" i="24"/>
  <c r="F17" i="24"/>
  <c r="F46" i="24"/>
  <c r="F16" i="24"/>
  <c r="F49" i="24"/>
  <c r="F43" i="24"/>
  <c r="F42" i="24"/>
  <c r="F21" i="24"/>
  <c r="F15" i="24"/>
  <c r="L29" i="24"/>
  <c r="L55" i="24"/>
  <c r="L13" i="24"/>
  <c r="L16" i="24"/>
  <c r="L57" i="24"/>
  <c r="L21" i="24"/>
  <c r="L18" i="24"/>
  <c r="L68" i="24"/>
  <c r="L37" i="24"/>
  <c r="L70" i="24"/>
  <c r="L59" i="24"/>
  <c r="L44" i="24"/>
  <c r="L20" i="24"/>
  <c r="L24" i="24"/>
  <c r="L47" i="24"/>
  <c r="L31" i="24"/>
  <c r="L21" i="27"/>
  <c r="L38" i="24"/>
  <c r="L40" i="24"/>
  <c r="L42" i="24"/>
  <c r="L41" i="24"/>
  <c r="L25" i="24"/>
  <c r="I43" i="24"/>
  <c r="I49" i="24"/>
  <c r="I38" i="24"/>
  <c r="I13" i="24"/>
  <c r="I69" i="24"/>
  <c r="I26" i="24"/>
  <c r="I67" i="24"/>
  <c r="I63" i="24"/>
  <c r="I7" i="27"/>
  <c r="I89" i="17"/>
  <c r="I23" i="26"/>
  <c r="I61" i="24"/>
  <c r="I54" i="24"/>
  <c r="I37" i="24"/>
  <c r="I13" i="27"/>
  <c r="I20" i="25"/>
  <c r="I20" i="26"/>
  <c r="G14" i="9"/>
  <c r="I24" i="26"/>
  <c r="I56" i="24"/>
  <c r="I70" i="24"/>
  <c r="I62" i="24"/>
  <c r="I21" i="26"/>
  <c r="I9" i="27"/>
  <c r="I31" i="24"/>
  <c r="P68" i="24"/>
  <c r="P24" i="24"/>
  <c r="P20" i="24"/>
  <c r="P17" i="24"/>
  <c r="P41" i="24"/>
  <c r="P29" i="24"/>
  <c r="P27" i="24"/>
  <c r="P23" i="24"/>
  <c r="P12" i="24"/>
  <c r="P30" i="24"/>
  <c r="P61" i="24"/>
  <c r="P58" i="24"/>
  <c r="P64" i="24"/>
  <c r="P37" i="24"/>
  <c r="P47" i="24"/>
  <c r="P38" i="24"/>
  <c r="N14" i="9"/>
  <c r="P24" i="26"/>
  <c r="P21" i="24"/>
  <c r="P40" i="24"/>
  <c r="P49" i="24"/>
  <c r="P63" i="24"/>
  <c r="P18" i="24"/>
  <c r="D45" i="24"/>
  <c r="D12" i="24"/>
  <c r="D22" i="24"/>
  <c r="D44" i="24"/>
  <c r="D30" i="24"/>
  <c r="D46" i="24"/>
  <c r="D25" i="24"/>
  <c r="D31" i="24"/>
  <c r="D49" i="24"/>
  <c r="D43" i="24"/>
  <c r="D13" i="24"/>
  <c r="D18" i="26"/>
  <c r="D26" i="24"/>
  <c r="D60" i="24"/>
  <c r="D23" i="24"/>
  <c r="D15" i="24"/>
  <c r="D19" i="24"/>
  <c r="D17" i="24"/>
  <c r="D42" i="24"/>
  <c r="D63" i="24"/>
  <c r="D62" i="24"/>
  <c r="D54" i="24"/>
  <c r="H56" i="24"/>
  <c r="H7" i="27"/>
  <c r="H89" i="17"/>
  <c r="H63" i="24"/>
  <c r="H18" i="26"/>
  <c r="H23" i="24"/>
  <c r="H26" i="24"/>
  <c r="H70" i="24"/>
  <c r="H60" i="24"/>
  <c r="H32" i="24"/>
  <c r="H43" i="24"/>
  <c r="H27" i="24"/>
  <c r="H54" i="24"/>
  <c r="H61" i="24"/>
  <c r="H46" i="24"/>
  <c r="H58" i="24"/>
  <c r="H47" i="24"/>
  <c r="H20" i="26"/>
  <c r="H19" i="24"/>
  <c r="H19" i="26"/>
  <c r="H23" i="26"/>
  <c r="H67" i="24"/>
  <c r="F14" i="9"/>
  <c r="H24" i="26"/>
  <c r="V28" i="26"/>
  <c r="V25" i="24"/>
  <c r="V45" i="24"/>
  <c r="V16" i="27"/>
  <c r="V23" i="25"/>
  <c r="V62" i="24"/>
  <c r="V68" i="24"/>
  <c r="V59" i="24"/>
  <c r="V56" i="24"/>
  <c r="V14" i="27"/>
  <c r="V21" i="25"/>
  <c r="V57" i="24"/>
  <c r="V49" i="24"/>
  <c r="V55" i="24"/>
  <c r="V64" i="24"/>
  <c r="V60" i="24"/>
  <c r="V30" i="24"/>
  <c r="V67" i="24"/>
  <c r="V25" i="26"/>
  <c r="V29" i="24"/>
  <c r="V61" i="24"/>
  <c r="V20" i="26"/>
  <c r="V27" i="25"/>
  <c r="V87" i="17"/>
  <c r="V38" i="24"/>
  <c r="M19" i="26"/>
  <c r="M13" i="24"/>
  <c r="M30" i="24"/>
  <c r="M58" i="24"/>
  <c r="M63" i="24"/>
  <c r="M13" i="27"/>
  <c r="M20" i="25"/>
  <c r="M25" i="24"/>
  <c r="M46" i="24"/>
  <c r="M60" i="24"/>
  <c r="M54" i="24"/>
  <c r="M18" i="26"/>
  <c r="M56" i="24"/>
  <c r="M39" i="24"/>
  <c r="M43" i="24"/>
  <c r="M65" i="24"/>
  <c r="M27" i="25"/>
  <c r="M87" i="17"/>
  <c r="M67" i="24"/>
  <c r="M69" i="24"/>
  <c r="M21" i="26"/>
  <c r="M31" i="24"/>
  <c r="M26" i="24"/>
  <c r="M28" i="25"/>
  <c r="J44" i="24"/>
  <c r="J25" i="24"/>
  <c r="J70" i="24"/>
  <c r="J41" i="24"/>
  <c r="J58" i="24"/>
  <c r="J16" i="27"/>
  <c r="J23" i="25"/>
  <c r="J13" i="27"/>
  <c r="J20" i="25"/>
  <c r="J20" i="26"/>
  <c r="J63" i="24"/>
  <c r="J56" i="24"/>
  <c r="J8" i="27"/>
  <c r="J45" i="24"/>
  <c r="J54" i="24"/>
  <c r="J21" i="26"/>
  <c r="J60" i="24"/>
  <c r="J22" i="24"/>
  <c r="J18" i="26"/>
  <c r="J47" i="24"/>
  <c r="J21" i="24"/>
  <c r="J9" i="27"/>
  <c r="J23" i="26"/>
  <c r="J61" i="24"/>
  <c r="S37" i="24"/>
  <c r="S27" i="24"/>
  <c r="S32" i="24"/>
  <c r="S23" i="26"/>
  <c r="S26" i="24"/>
  <c r="S39" i="24"/>
  <c r="S49" i="24"/>
  <c r="S56" i="24"/>
  <c r="S22" i="24"/>
  <c r="S43" i="24"/>
  <c r="S67" i="24"/>
  <c r="S23" i="24"/>
  <c r="Q23" i="7"/>
  <c r="S63" i="21"/>
  <c r="S15" i="24"/>
  <c r="S38" i="24"/>
  <c r="S61" i="24"/>
  <c r="S70" i="24"/>
  <c r="S21" i="26"/>
  <c r="S17" i="24"/>
  <c r="S29" i="24"/>
  <c r="S12" i="24"/>
  <c r="S19" i="24"/>
  <c r="R8" i="27"/>
  <c r="R47" i="24"/>
  <c r="R14" i="27"/>
  <c r="R21" i="25"/>
  <c r="R55" i="24"/>
  <c r="R30" i="24"/>
  <c r="R62" i="24"/>
  <c r="R27" i="25"/>
  <c r="R87" i="17"/>
  <c r="R28" i="25"/>
  <c r="R69" i="24"/>
  <c r="R42" i="24"/>
  <c r="R63" i="24"/>
  <c r="R40" i="24"/>
  <c r="R37" i="24"/>
  <c r="R70" i="24"/>
  <c r="R9" i="27"/>
  <c r="R68" i="24"/>
  <c r="R12" i="27"/>
  <c r="R19" i="25"/>
  <c r="R12" i="24"/>
  <c r="R65" i="24"/>
  <c r="R7" i="27"/>
  <c r="R89" i="17"/>
  <c r="R59" i="24"/>
  <c r="R28" i="26"/>
  <c r="W6" i="27"/>
  <c r="W59" i="24"/>
  <c r="W18" i="27"/>
  <c r="W25" i="25"/>
  <c r="W70" i="24"/>
  <c r="W25" i="26"/>
  <c r="W23" i="26"/>
  <c r="W20" i="24"/>
  <c r="W54" i="24"/>
  <c r="W68" i="24"/>
  <c r="W27" i="25"/>
  <c r="W87" i="17"/>
  <c r="W47" i="24"/>
  <c r="W40" i="24"/>
  <c r="U14" i="9"/>
  <c r="W24" i="26"/>
  <c r="W22" i="27"/>
  <c r="W28" i="26"/>
  <c r="W20" i="27"/>
  <c r="W58" i="24"/>
  <c r="W64" i="24"/>
  <c r="W45" i="24"/>
  <c r="W69" i="24"/>
  <c r="W16" i="24"/>
  <c r="W27" i="26"/>
  <c r="N13" i="24"/>
  <c r="N29" i="24"/>
  <c r="N15" i="24"/>
  <c r="N23" i="24"/>
  <c r="N38" i="24"/>
  <c r="N27" i="26"/>
  <c r="N59" i="24"/>
  <c r="N67" i="24"/>
  <c r="N64" i="24"/>
  <c r="N25" i="24"/>
  <c r="N27" i="25"/>
  <c r="N87" i="17"/>
  <c r="N55" i="24"/>
  <c r="N68" i="24"/>
  <c r="N40" i="24"/>
  <c r="N20" i="24"/>
  <c r="N24" i="24"/>
  <c r="N43" i="24"/>
  <c r="N42" i="24"/>
  <c r="N39" i="24"/>
  <c r="N18" i="24"/>
  <c r="N16" i="24"/>
  <c r="N30" i="24"/>
  <c r="X28" i="26"/>
  <c r="X17" i="24"/>
  <c r="X27" i="24"/>
  <c r="X49" i="24"/>
  <c r="X63" i="24"/>
  <c r="X8" i="27"/>
  <c r="X55" i="24"/>
  <c r="X23" i="26"/>
  <c r="X57" i="24"/>
  <c r="V14" i="9"/>
  <c r="X24" i="26"/>
  <c r="X19" i="26"/>
  <c r="X61" i="24"/>
  <c r="X70" i="24"/>
  <c r="X21" i="27"/>
  <c r="X56" i="24"/>
  <c r="X46" i="24"/>
  <c r="X27" i="26"/>
  <c r="X25" i="26"/>
  <c r="X23" i="24"/>
  <c r="X67" i="24"/>
  <c r="X47" i="24"/>
  <c r="X43" i="24"/>
  <c r="G39" i="24"/>
  <c r="G70" i="24"/>
  <c r="G62" i="24"/>
  <c r="G18" i="26"/>
  <c r="G25" i="26"/>
  <c r="G67" i="24"/>
  <c r="G27" i="25"/>
  <c r="G87" i="17"/>
  <c r="G54" i="24"/>
  <c r="G65" i="24"/>
  <c r="G64" i="24"/>
  <c r="G6" i="27"/>
  <c r="E14" i="9"/>
  <c r="G24" i="26"/>
  <c r="G28" i="25"/>
  <c r="G22" i="27"/>
  <c r="G40" i="24"/>
  <c r="G23" i="26"/>
  <c r="G47" i="24"/>
  <c r="G56" i="24"/>
  <c r="G59" i="24"/>
  <c r="G16" i="24"/>
  <c r="G17" i="24"/>
  <c r="G45" i="24"/>
  <c r="F38" i="24"/>
  <c r="F23" i="26"/>
  <c r="F25" i="26"/>
  <c r="F22" i="27"/>
  <c r="F25" i="24"/>
  <c r="F28" i="26"/>
  <c r="F18" i="27"/>
  <c r="F25" i="25"/>
  <c r="F61" i="24"/>
  <c r="F58" i="24"/>
  <c r="F27" i="25"/>
  <c r="F87" i="17"/>
  <c r="F27" i="26"/>
  <c r="F57" i="24"/>
  <c r="F64" i="24"/>
  <c r="F63" i="24"/>
  <c r="F20" i="26"/>
  <c r="F21" i="26"/>
  <c r="F55" i="24"/>
  <c r="F30" i="24"/>
  <c r="F45" i="24"/>
  <c r="F59" i="24"/>
  <c r="F6" i="27"/>
  <c r="F67" i="24"/>
  <c r="Q55" i="24"/>
  <c r="Q18" i="26"/>
  <c r="Q62" i="24"/>
  <c r="Q7" i="27"/>
  <c r="Q89" i="17"/>
  <c r="Q21" i="26"/>
  <c r="Q42" i="24"/>
  <c r="Q69" i="24"/>
  <c r="Q64" i="24"/>
  <c r="Q60" i="24"/>
  <c r="Q26" i="24"/>
  <c r="Q49" i="24"/>
  <c r="Q22" i="24"/>
  <c r="Q63" i="24"/>
  <c r="Q22" i="27"/>
  <c r="Q58" i="24"/>
  <c r="Q46" i="24"/>
  <c r="Q19" i="26"/>
  <c r="Q47" i="24"/>
  <c r="Q65" i="24"/>
  <c r="Q45" i="24"/>
  <c r="Q57" i="24"/>
  <c r="Q27" i="25"/>
  <c r="Q87" i="17"/>
  <c r="AA69" i="24"/>
  <c r="AA8" i="27"/>
  <c r="AA55" i="24"/>
  <c r="AA6" i="27"/>
  <c r="AA20" i="26"/>
  <c r="AA25" i="26"/>
  <c r="AA58" i="24"/>
  <c r="AA49" i="24"/>
  <c r="AA29" i="24"/>
  <c r="AA54" i="24"/>
  <c r="AA41" i="24"/>
  <c r="AA67" i="24"/>
  <c r="AA11" i="29"/>
  <c r="AA63" i="24"/>
  <c r="AA21" i="26"/>
  <c r="AA70" i="24"/>
  <c r="Y14" i="9"/>
  <c r="AA24" i="26"/>
  <c r="AA28" i="26"/>
  <c r="AA13" i="27"/>
  <c r="AA20" i="25"/>
  <c r="AA46" i="24"/>
  <c r="AA12" i="27"/>
  <c r="AA19" i="25"/>
  <c r="AA62" i="24"/>
  <c r="K19" i="26"/>
  <c r="K41" i="24"/>
  <c r="K64" i="24"/>
  <c r="K27" i="26"/>
  <c r="K16" i="27"/>
  <c r="K23" i="25"/>
  <c r="K65" i="24"/>
  <c r="K29" i="24"/>
  <c r="K18" i="27"/>
  <c r="K25" i="25"/>
  <c r="K63" i="24"/>
  <c r="K49" i="24"/>
  <c r="K18" i="26"/>
  <c r="K58" i="24"/>
  <c r="K67" i="24"/>
  <c r="K21" i="26"/>
  <c r="K60" i="24"/>
  <c r="K20" i="26"/>
  <c r="K70" i="24"/>
  <c r="K25" i="26"/>
  <c r="K13" i="27"/>
  <c r="K20" i="25"/>
  <c r="K69" i="24"/>
  <c r="K54" i="24"/>
  <c r="K10" i="27"/>
  <c r="K18" i="25"/>
  <c r="Z21" i="26"/>
  <c r="Z61" i="24"/>
  <c r="Z58" i="24"/>
  <c r="Z18" i="26"/>
  <c r="Z20" i="26"/>
  <c r="Z56" i="24"/>
  <c r="Z25" i="24"/>
  <c r="Z21" i="24"/>
  <c r="Z44" i="24"/>
  <c r="Z27" i="26"/>
  <c r="X14" i="9"/>
  <c r="Z24" i="26"/>
  <c r="Z60" i="24"/>
  <c r="Z54" i="24"/>
  <c r="Z23" i="26"/>
  <c r="Z45" i="24"/>
  <c r="Z10" i="27"/>
  <c r="Z18" i="25"/>
  <c r="Z41" i="24"/>
  <c r="Z68" i="24"/>
  <c r="Z9" i="27"/>
  <c r="Z63" i="24"/>
  <c r="Z8" i="27"/>
  <c r="Z70" i="24"/>
  <c r="D65" i="24"/>
  <c r="D55" i="24"/>
  <c r="D25" i="26"/>
  <c r="D16" i="27"/>
  <c r="D23" i="25"/>
  <c r="D57" i="24"/>
  <c r="D19" i="26"/>
  <c r="D24" i="26"/>
  <c r="D59" i="24"/>
  <c r="D61" i="24"/>
  <c r="D20" i="26"/>
  <c r="D28" i="26"/>
  <c r="D32" i="24"/>
  <c r="D47" i="24"/>
  <c r="D13" i="27"/>
  <c r="D20" i="25"/>
  <c r="D68" i="24"/>
  <c r="D70" i="24"/>
  <c r="D67" i="24"/>
  <c r="D23" i="26"/>
  <c r="D27" i="24"/>
  <c r="D64" i="24"/>
  <c r="D20" i="27"/>
  <c r="D40" i="24"/>
  <c r="L18" i="26"/>
  <c r="L10" i="27"/>
  <c r="L18" i="25"/>
  <c r="L56" i="24"/>
  <c r="L61" i="24"/>
  <c r="L19" i="24"/>
  <c r="L62" i="24"/>
  <c r="L43" i="24"/>
  <c r="L23" i="24"/>
  <c r="L67" i="24"/>
  <c r="L16" i="27"/>
  <c r="L23" i="25"/>
  <c r="L39" i="24"/>
  <c r="L60" i="24"/>
  <c r="L45" i="24"/>
  <c r="L20" i="26"/>
  <c r="L58" i="24"/>
  <c r="L49" i="24"/>
  <c r="L19" i="26"/>
  <c r="L54" i="24"/>
  <c r="L21" i="26"/>
  <c r="L28" i="25"/>
  <c r="L27" i="26"/>
  <c r="L69" i="24"/>
  <c r="Y49" i="24"/>
  <c r="W14" i="9"/>
  <c r="Y24" i="26"/>
  <c r="Y67" i="24"/>
  <c r="Y23" i="26"/>
  <c r="Y59" i="24"/>
  <c r="Y68" i="24"/>
  <c r="Y8" i="27"/>
  <c r="Y61" i="24"/>
  <c r="Y23" i="24"/>
  <c r="Y27" i="25"/>
  <c r="Y87" i="17"/>
  <c r="Y65" i="24"/>
  <c r="Y37" i="24"/>
  <c r="Y43" i="24"/>
  <c r="Y38" i="24"/>
  <c r="Y7" i="27"/>
  <c r="Y89" i="17"/>
  <c r="Y31" i="24"/>
  <c r="Y56" i="24"/>
  <c r="Y64" i="24"/>
  <c r="Y55" i="24"/>
  <c r="Y70" i="24"/>
  <c r="Y13" i="24"/>
  <c r="Y54" i="24"/>
  <c r="G31" i="26"/>
  <c r="E9" i="11"/>
  <c r="E34" i="11"/>
  <c r="E36" i="10"/>
  <c r="G16" i="26"/>
  <c r="G32" i="26"/>
  <c r="G7" i="13"/>
  <c r="G22" i="13"/>
  <c r="E19" i="11"/>
  <c r="G7" i="3"/>
  <c r="G32" i="25"/>
  <c r="E14" i="11"/>
  <c r="E33" i="11"/>
  <c r="E35" i="10"/>
  <c r="E59" i="11"/>
  <c r="E24" i="4"/>
  <c r="E56" i="11"/>
  <c r="E31" i="4"/>
  <c r="G30" i="25"/>
  <c r="G58" i="21"/>
  <c r="G33" i="13"/>
  <c r="E6" i="11"/>
  <c r="G6" i="3"/>
  <c r="D6" i="16"/>
  <c r="E10" i="4"/>
  <c r="G26" i="13"/>
  <c r="E25" i="11"/>
  <c r="E27" i="10"/>
  <c r="E45" i="4"/>
  <c r="E21" i="11"/>
  <c r="E23" i="11"/>
  <c r="G31" i="25"/>
  <c r="G30" i="26"/>
  <c r="E12" i="11"/>
  <c r="E35" i="11"/>
  <c r="E37" i="10"/>
  <c r="E7" i="11"/>
  <c r="E22" i="11"/>
  <c r="G16" i="25"/>
  <c r="G30" i="13"/>
  <c r="E38" i="11"/>
  <c r="E40" i="10"/>
  <c r="G8" i="3"/>
  <c r="E52" i="4"/>
  <c r="T17" i="27"/>
  <c r="R14" i="5"/>
  <c r="T24" i="25"/>
  <c r="T40" i="24"/>
  <c r="T14" i="27"/>
  <c r="T21" i="25"/>
  <c r="T55" i="24"/>
  <c r="T62" i="24"/>
  <c r="T54" i="24"/>
  <c r="T65" i="24"/>
  <c r="T25" i="26"/>
  <c r="T57" i="24"/>
  <c r="T13" i="27"/>
  <c r="T20" i="25"/>
  <c r="T47" i="24"/>
  <c r="T68" i="24"/>
  <c r="T31" i="24"/>
  <c r="T28" i="25"/>
  <c r="T58" i="24"/>
  <c r="T59" i="24"/>
  <c r="T32" i="24"/>
  <c r="T64" i="24"/>
  <c r="T18" i="26"/>
  <c r="T63" i="24"/>
  <c r="T69" i="24"/>
  <c r="T27" i="24"/>
  <c r="L14" i="9"/>
  <c r="N24" i="26"/>
  <c r="N70" i="24"/>
  <c r="N21" i="27"/>
  <c r="N69" i="24"/>
  <c r="N17" i="27"/>
  <c r="L14" i="5"/>
  <c r="N24" i="25"/>
  <c r="N18" i="26"/>
  <c r="N28" i="25"/>
  <c r="N41" i="24"/>
  <c r="N56" i="24"/>
  <c r="N57" i="24"/>
  <c r="N17" i="24"/>
  <c r="N21" i="24"/>
  <c r="N46" i="24"/>
  <c r="N60" i="24"/>
  <c r="N49" i="24"/>
  <c r="N63" i="24"/>
  <c r="N65" i="24"/>
  <c r="N58" i="24"/>
  <c r="N28" i="26"/>
  <c r="N37" i="24"/>
  <c r="N7" i="27"/>
  <c r="N89" i="17"/>
  <c r="N19" i="26"/>
  <c r="O68" i="24"/>
  <c r="O63" i="24"/>
  <c r="O65" i="24"/>
  <c r="O59" i="24"/>
  <c r="O28" i="26"/>
  <c r="O29" i="24"/>
  <c r="O60" i="24"/>
  <c r="O49" i="24"/>
  <c r="O19" i="26"/>
  <c r="O54" i="24"/>
  <c r="O47" i="24"/>
  <c r="O62" i="24"/>
  <c r="O67" i="24"/>
  <c r="O28" i="25"/>
  <c r="O20" i="26"/>
  <c r="O7" i="27"/>
  <c r="O89" i="17"/>
  <c r="O58" i="24"/>
  <c r="O37" i="24"/>
  <c r="O21" i="27"/>
  <c r="O24" i="24"/>
  <c r="O20" i="27"/>
  <c r="O44" i="24"/>
  <c r="C31" i="24"/>
  <c r="C44" i="24"/>
  <c r="C20" i="24"/>
  <c r="C58" i="24"/>
  <c r="C17" i="27"/>
  <c r="C24" i="25"/>
  <c r="C11" i="29"/>
  <c r="C28" i="26"/>
  <c r="C46" i="24"/>
  <c r="C57" i="24"/>
  <c r="C68" i="24"/>
  <c r="C69" i="24"/>
  <c r="C23" i="26"/>
  <c r="C59" i="24"/>
  <c r="C14" i="27"/>
  <c r="C21" i="25"/>
  <c r="C62" i="24"/>
  <c r="C21" i="26"/>
  <c r="C40" i="24"/>
  <c r="C61" i="24"/>
  <c r="C55" i="24"/>
  <c r="C20" i="27"/>
  <c r="C24" i="24"/>
  <c r="C9" i="27"/>
  <c r="U18" i="24"/>
  <c r="U25" i="26"/>
  <c r="U22" i="24"/>
  <c r="U69" i="24"/>
  <c r="U68" i="24"/>
  <c r="U27" i="25"/>
  <c r="U87" i="17"/>
  <c r="U12" i="27"/>
  <c r="U19" i="25"/>
  <c r="U47" i="24"/>
  <c r="U41" i="24"/>
  <c r="U59" i="24"/>
  <c r="U61" i="24"/>
  <c r="U27" i="26"/>
  <c r="U42" i="24"/>
  <c r="U70" i="24"/>
  <c r="U64" i="24"/>
  <c r="U55" i="24"/>
  <c r="U38" i="24"/>
  <c r="U28" i="25"/>
  <c r="U29" i="24"/>
  <c r="U49" i="24"/>
  <c r="U13" i="27"/>
  <c r="U20" i="25"/>
  <c r="U57" i="24"/>
  <c r="S17" i="27"/>
  <c r="Q14" i="5"/>
  <c r="S24" i="25"/>
  <c r="S14" i="27"/>
  <c r="S21" i="25"/>
  <c r="S60" i="24"/>
  <c r="S20" i="24"/>
  <c r="S24" i="24"/>
  <c r="S46" i="24"/>
  <c r="S59" i="24"/>
  <c r="S12" i="27"/>
  <c r="S19" i="25"/>
  <c r="S20" i="26"/>
  <c r="S55" i="24"/>
  <c r="S40" i="24"/>
  <c r="S28" i="25"/>
  <c r="S7" i="27"/>
  <c r="S89" i="17"/>
  <c r="S62" i="24"/>
  <c r="S44" i="24"/>
  <c r="S57" i="24"/>
  <c r="S19" i="26"/>
  <c r="S9" i="27"/>
  <c r="S58" i="24"/>
  <c r="S54" i="24"/>
  <c r="S31" i="24"/>
  <c r="S68" i="24"/>
  <c r="P28" i="26"/>
  <c r="P39" i="24"/>
  <c r="P23" i="26"/>
  <c r="P57" i="24"/>
  <c r="P28" i="25"/>
  <c r="P62" i="24"/>
  <c r="P21" i="26"/>
  <c r="P55" i="24"/>
  <c r="P44" i="24"/>
  <c r="P15" i="24"/>
  <c r="P32" i="24"/>
  <c r="P9" i="27"/>
  <c r="P69" i="24"/>
  <c r="P27" i="25"/>
  <c r="P87" i="17"/>
  <c r="P46" i="24"/>
  <c r="P25" i="26"/>
  <c r="P45" i="24"/>
  <c r="P65" i="24"/>
  <c r="P6" i="27"/>
  <c r="P21" i="27"/>
  <c r="P67" i="24"/>
  <c r="P25" i="24"/>
  <c r="M32" i="26"/>
  <c r="K6" i="11"/>
  <c r="M6" i="3"/>
  <c r="J6" i="16"/>
  <c r="K10" i="4"/>
  <c r="K56" i="11"/>
  <c r="K31" i="4"/>
  <c r="M30" i="25"/>
  <c r="M58" i="21"/>
  <c r="K11" i="11"/>
  <c r="M30" i="13"/>
  <c r="K38" i="11"/>
  <c r="K40" i="10"/>
  <c r="M8" i="3"/>
  <c r="K52" i="4"/>
  <c r="K8" i="11"/>
  <c r="K20" i="11"/>
  <c r="M30" i="26"/>
  <c r="K22" i="11"/>
  <c r="M16" i="25"/>
  <c r="K58" i="11"/>
  <c r="K33" i="11"/>
  <c r="K35" i="10"/>
  <c r="M7" i="13"/>
  <c r="M22" i="13"/>
  <c r="K19" i="11"/>
  <c r="M7" i="3"/>
  <c r="M32" i="25"/>
  <c r="M31" i="26"/>
  <c r="M33" i="13"/>
  <c r="K15" i="11"/>
  <c r="M31" i="25"/>
  <c r="K18" i="11"/>
  <c r="K24" i="11"/>
  <c r="K13" i="11"/>
  <c r="M26" i="13"/>
  <c r="K25" i="11"/>
  <c r="K27" i="10"/>
  <c r="K45" i="4"/>
  <c r="K17" i="11"/>
  <c r="M16" i="26"/>
  <c r="L17" i="27"/>
  <c r="J14" i="5"/>
  <c r="L24" i="25"/>
  <c r="L30" i="24"/>
  <c r="L63" i="24"/>
  <c r="L64" i="24"/>
  <c r="L7" i="27"/>
  <c r="L89" i="17"/>
  <c r="L14" i="27"/>
  <c r="L21" i="25"/>
  <c r="L26" i="29"/>
  <c r="L18" i="27"/>
  <c r="L25" i="25"/>
  <c r="L9" i="27"/>
  <c r="L11" i="29"/>
  <c r="L22" i="27"/>
  <c r="L20" i="27"/>
  <c r="L23" i="26"/>
  <c r="L6" i="27"/>
  <c r="L25" i="26"/>
  <c r="L8" i="27"/>
  <c r="J14" i="9"/>
  <c r="L24" i="26"/>
  <c r="L13" i="27"/>
  <c r="L20" i="25"/>
  <c r="L20" i="29"/>
  <c r="L27" i="25"/>
  <c r="L87" i="17"/>
  <c r="L28" i="26"/>
  <c r="L40" i="29"/>
  <c r="S59" i="11"/>
  <c r="S24" i="4"/>
  <c r="S26" i="11"/>
  <c r="S28" i="10"/>
  <c r="S7" i="11"/>
  <c r="S12" i="11"/>
  <c r="S21" i="11"/>
  <c r="U31" i="25"/>
  <c r="U31" i="26"/>
  <c r="U30" i="13"/>
  <c r="S38" i="11"/>
  <c r="S40" i="10"/>
  <c r="U8" i="3"/>
  <c r="S52" i="4"/>
  <c r="U32" i="26"/>
  <c r="S58" i="11"/>
  <c r="S23" i="11"/>
  <c r="U33" i="13"/>
  <c r="S22" i="11"/>
  <c r="U16" i="25"/>
  <c r="U26" i="13"/>
  <c r="S25" i="11"/>
  <c r="S27" i="10"/>
  <c r="S45" i="4"/>
  <c r="U16" i="26"/>
  <c r="U30" i="26"/>
  <c r="S56" i="11"/>
  <c r="S31" i="4"/>
  <c r="U30" i="25"/>
  <c r="U58" i="21"/>
  <c r="U7" i="13"/>
  <c r="U22" i="13"/>
  <c r="S19" i="11"/>
  <c r="U7" i="3"/>
  <c r="U32" i="25"/>
  <c r="S33" i="11"/>
  <c r="S35" i="10"/>
  <c r="S6" i="11"/>
  <c r="U6" i="3"/>
  <c r="R6" i="16"/>
  <c r="S10" i="4"/>
  <c r="S10" i="11"/>
  <c r="S16" i="11"/>
  <c r="D26" i="13"/>
  <c r="D31" i="25"/>
  <c r="D6" i="3"/>
  <c r="D16" i="26"/>
  <c r="D33" i="13"/>
  <c r="D30" i="13"/>
  <c r="D8" i="3"/>
  <c r="D32" i="26"/>
  <c r="D16" i="25"/>
  <c r="D7" i="13"/>
  <c r="D22" i="13"/>
  <c r="D7" i="3"/>
  <c r="D32" i="25"/>
  <c r="D31" i="26"/>
  <c r="D30" i="25"/>
  <c r="D58" i="21"/>
  <c r="E31" i="26"/>
  <c r="E33" i="13"/>
  <c r="C10" i="11"/>
  <c r="C16" i="11"/>
  <c r="E31" i="25"/>
  <c r="C56" i="11"/>
  <c r="C31" i="4"/>
  <c r="E30" i="25"/>
  <c r="E58" i="21"/>
  <c r="C22" i="11"/>
  <c r="E16" i="25"/>
  <c r="C7" i="11"/>
  <c r="C33" i="11"/>
  <c r="C35" i="10"/>
  <c r="C12" i="11"/>
  <c r="E30" i="26"/>
  <c r="C34" i="11"/>
  <c r="C36" i="10"/>
  <c r="C26" i="11"/>
  <c r="C28" i="10"/>
  <c r="C58" i="11"/>
  <c r="E16" i="26"/>
  <c r="E32" i="26"/>
  <c r="E30" i="13"/>
  <c r="C38" i="11"/>
  <c r="C40" i="10"/>
  <c r="E8" i="3"/>
  <c r="C52" i="4"/>
  <c r="E26" i="13"/>
  <c r="C25" i="11"/>
  <c r="C27" i="10"/>
  <c r="C45" i="4"/>
  <c r="C23" i="11"/>
  <c r="C35" i="11"/>
  <c r="C37" i="10"/>
  <c r="C21" i="11"/>
  <c r="E7" i="13"/>
  <c r="E22" i="13"/>
  <c r="C19" i="11"/>
  <c r="E7" i="3"/>
  <c r="E32" i="25"/>
  <c r="I32" i="26"/>
  <c r="G35" i="11"/>
  <c r="G37" i="10"/>
  <c r="G6" i="11"/>
  <c r="I6" i="3"/>
  <c r="F6" i="16"/>
  <c r="G10" i="4"/>
  <c r="I33" i="13"/>
  <c r="G23" i="11"/>
  <c r="I7" i="13"/>
  <c r="I22" i="13"/>
  <c r="G19" i="11"/>
  <c r="I7" i="3"/>
  <c r="I32" i="25"/>
  <c r="G14" i="11"/>
  <c r="G9" i="11"/>
  <c r="I31" i="25"/>
  <c r="G59" i="11"/>
  <c r="G24" i="4"/>
  <c r="I16" i="26"/>
  <c r="I31" i="26"/>
  <c r="G7" i="11"/>
  <c r="I30" i="13"/>
  <c r="G38" i="11"/>
  <c r="G40" i="10"/>
  <c r="I8" i="3"/>
  <c r="G52" i="4"/>
  <c r="G34" i="11"/>
  <c r="G36" i="10"/>
  <c r="G11" i="11"/>
  <c r="G33" i="11"/>
  <c r="G35" i="10"/>
  <c r="G22" i="11"/>
  <c r="I16" i="25"/>
  <c r="I26" i="13"/>
  <c r="G25" i="11"/>
  <c r="G27" i="10"/>
  <c r="G45" i="4"/>
  <c r="G56" i="11"/>
  <c r="G31" i="4"/>
  <c r="I30" i="25"/>
  <c r="I58" i="21"/>
  <c r="G16" i="11"/>
  <c r="I30" i="26"/>
  <c r="P30" i="26"/>
  <c r="N33" i="11"/>
  <c r="N35" i="10"/>
  <c r="N10" i="11"/>
  <c r="N58" i="11"/>
  <c r="N6" i="11"/>
  <c r="P6" i="3"/>
  <c r="M6" i="16"/>
  <c r="N10" i="4"/>
  <c r="P31" i="25"/>
  <c r="P33" i="13"/>
  <c r="P16" i="26"/>
  <c r="N56" i="11"/>
  <c r="N31" i="4"/>
  <c r="P30" i="25"/>
  <c r="P58" i="21"/>
  <c r="N35" i="11"/>
  <c r="N37" i="10"/>
  <c r="N15" i="11"/>
  <c r="P30" i="13"/>
  <c r="N38" i="11"/>
  <c r="N40" i="10"/>
  <c r="P8" i="3"/>
  <c r="N52" i="4"/>
  <c r="N24" i="11"/>
  <c r="P7" i="13"/>
  <c r="P22" i="13"/>
  <c r="N19" i="11"/>
  <c r="P7" i="3"/>
  <c r="P32" i="25"/>
  <c r="N34" i="11"/>
  <c r="N36" i="10"/>
  <c r="N59" i="11"/>
  <c r="N24" i="4"/>
  <c r="N13" i="11"/>
  <c r="P31" i="26"/>
  <c r="P26" i="13"/>
  <c r="N25" i="11"/>
  <c r="N27" i="10"/>
  <c r="N45" i="4"/>
  <c r="N8" i="11"/>
  <c r="P32" i="26"/>
  <c r="N22" i="11"/>
  <c r="P16" i="25"/>
  <c r="J56" i="11"/>
  <c r="J31" i="4"/>
  <c r="L30" i="25"/>
  <c r="L58" i="21"/>
  <c r="L16" i="26"/>
  <c r="J33" i="11"/>
  <c r="J35" i="10"/>
  <c r="L26" i="13"/>
  <c r="J25" i="11"/>
  <c r="J27" i="10"/>
  <c r="J45" i="4"/>
  <c r="L30" i="26"/>
  <c r="J58" i="11"/>
  <c r="J24" i="11"/>
  <c r="J15" i="11"/>
  <c r="J35" i="11"/>
  <c r="J37" i="10"/>
  <c r="L7" i="13"/>
  <c r="L22" i="13"/>
  <c r="J19" i="11"/>
  <c r="L7" i="3"/>
  <c r="L32" i="25"/>
  <c r="J59" i="11"/>
  <c r="J24" i="4"/>
  <c r="L30" i="13"/>
  <c r="J38" i="11"/>
  <c r="J40" i="10"/>
  <c r="L8" i="3"/>
  <c r="J52" i="4"/>
  <c r="L31" i="25"/>
  <c r="L31" i="26"/>
  <c r="J6" i="11"/>
  <c r="L6" i="3"/>
  <c r="I6" i="16"/>
  <c r="J10" i="4"/>
  <c r="J9" i="11"/>
  <c r="J20" i="11"/>
  <c r="L33" i="13"/>
  <c r="J18" i="11"/>
  <c r="J22" i="11"/>
  <c r="L16" i="25"/>
  <c r="J11" i="11"/>
  <c r="L32" i="26"/>
  <c r="N31" i="25"/>
  <c r="L11" i="11"/>
  <c r="L59" i="11"/>
  <c r="L24" i="4"/>
  <c r="N30" i="26"/>
  <c r="N16" i="26"/>
  <c r="L58" i="11"/>
  <c r="L6" i="11"/>
  <c r="N6" i="3"/>
  <c r="K6" i="16"/>
  <c r="L10" i="4"/>
  <c r="L10" i="11"/>
  <c r="L56" i="11"/>
  <c r="L31" i="4"/>
  <c r="N30" i="25"/>
  <c r="N58" i="21"/>
  <c r="N31" i="26"/>
  <c r="L13" i="11"/>
  <c r="L17" i="11"/>
  <c r="L8" i="11"/>
  <c r="L24" i="11"/>
  <c r="N30" i="13"/>
  <c r="L38" i="11"/>
  <c r="L40" i="10"/>
  <c r="N8" i="3"/>
  <c r="L52" i="4"/>
  <c r="L34" i="11"/>
  <c r="L36" i="10"/>
  <c r="N26" i="13"/>
  <c r="L25" i="11"/>
  <c r="L27" i="10"/>
  <c r="L45" i="4"/>
  <c r="L22" i="11"/>
  <c r="N16" i="25"/>
  <c r="N7" i="13"/>
  <c r="N22" i="13"/>
  <c r="L19" i="11"/>
  <c r="N7" i="3"/>
  <c r="N32" i="25"/>
  <c r="L20" i="11"/>
  <c r="N33" i="13"/>
  <c r="N32" i="26"/>
  <c r="X9" i="11"/>
  <c r="Z31" i="26"/>
  <c r="X6" i="11"/>
  <c r="Z6" i="3"/>
  <c r="W6" i="16"/>
  <c r="X10" i="4"/>
  <c r="Z32" i="26"/>
  <c r="Z30" i="26"/>
  <c r="X13" i="11"/>
  <c r="Z30" i="13"/>
  <c r="X38" i="11"/>
  <c r="X40" i="10"/>
  <c r="Z8" i="3"/>
  <c r="X52" i="4"/>
  <c r="X33" i="11"/>
  <c r="X35" i="10"/>
  <c r="Z26" i="13"/>
  <c r="X25" i="11"/>
  <c r="X27" i="10"/>
  <c r="X45" i="4"/>
  <c r="Z7" i="13"/>
  <c r="Z22" i="13"/>
  <c r="X19" i="11"/>
  <c r="Z7" i="3"/>
  <c r="Z32" i="25"/>
  <c r="Z31" i="25"/>
  <c r="X16" i="11"/>
  <c r="X56" i="11"/>
  <c r="X31" i="4"/>
  <c r="Z30" i="25"/>
  <c r="Z58" i="21"/>
  <c r="X34" i="11"/>
  <c r="X36" i="10"/>
  <c r="Z16" i="26"/>
  <c r="X22" i="11"/>
  <c r="Z16" i="25"/>
  <c r="X7" i="11"/>
  <c r="X23" i="11"/>
  <c r="Z33" i="13"/>
  <c r="X59" i="11"/>
  <c r="X24" i="4"/>
  <c r="X18" i="11"/>
  <c r="X20" i="11"/>
  <c r="I26" i="11"/>
  <c r="I28" i="10"/>
  <c r="K32" i="26"/>
  <c r="I56" i="11"/>
  <c r="I31" i="4"/>
  <c r="K30" i="25"/>
  <c r="K58" i="21"/>
  <c r="I9" i="11"/>
  <c r="I6" i="11"/>
  <c r="K6" i="3"/>
  <c r="H6" i="16"/>
  <c r="I10" i="4"/>
  <c r="K16" i="26"/>
  <c r="I16" i="11"/>
  <c r="K30" i="13"/>
  <c r="I38" i="11"/>
  <c r="I40" i="10"/>
  <c r="K8" i="3"/>
  <c r="I52" i="4"/>
  <c r="I15" i="11"/>
  <c r="K31" i="25"/>
  <c r="I11" i="11"/>
  <c r="K30" i="26"/>
  <c r="K7" i="13"/>
  <c r="K22" i="13"/>
  <c r="I19" i="11"/>
  <c r="K7" i="3"/>
  <c r="K32" i="25"/>
  <c r="I13" i="11"/>
  <c r="I18" i="11"/>
  <c r="I59" i="11"/>
  <c r="I24" i="4"/>
  <c r="K26" i="13"/>
  <c r="I25" i="11"/>
  <c r="I27" i="10"/>
  <c r="I45" i="4"/>
  <c r="K33" i="13"/>
  <c r="I33" i="11"/>
  <c r="I35" i="10"/>
  <c r="I22" i="11"/>
  <c r="K16" i="25"/>
  <c r="I58" i="11"/>
  <c r="I34" i="11"/>
  <c r="I36" i="10"/>
  <c r="U21" i="11"/>
  <c r="U59" i="11"/>
  <c r="U24" i="4"/>
  <c r="U23" i="11"/>
  <c r="W7" i="13"/>
  <c r="W22" i="13"/>
  <c r="U19" i="11"/>
  <c r="W7" i="3"/>
  <c r="W32" i="25"/>
  <c r="W32" i="26"/>
  <c r="U7" i="11"/>
  <c r="U26" i="11"/>
  <c r="U28" i="10"/>
  <c r="W33" i="13"/>
  <c r="W16" i="26"/>
  <c r="U6" i="11"/>
  <c r="W6" i="3"/>
  <c r="T6" i="16"/>
  <c r="U10" i="4"/>
  <c r="U56" i="11"/>
  <c r="U31" i="4"/>
  <c r="W30" i="25"/>
  <c r="W58" i="21"/>
  <c r="U33" i="11"/>
  <c r="U35" i="10"/>
  <c r="W31" i="26"/>
  <c r="U14" i="11"/>
  <c r="W26" i="13"/>
  <c r="U25" i="11"/>
  <c r="U27" i="10"/>
  <c r="U45" i="4"/>
  <c r="U22" i="11"/>
  <c r="W16" i="25"/>
  <c r="U12" i="11"/>
  <c r="U35" i="11"/>
  <c r="U37" i="10"/>
  <c r="U9" i="11"/>
  <c r="W30" i="13"/>
  <c r="U38" i="11"/>
  <c r="U40" i="10"/>
  <c r="W8" i="3"/>
  <c r="U52" i="4"/>
  <c r="W31" i="25"/>
  <c r="W30" i="26"/>
  <c r="W26" i="11"/>
  <c r="W28" i="10"/>
  <c r="W9" i="11"/>
  <c r="W6" i="11"/>
  <c r="Y6" i="3"/>
  <c r="V6" i="16"/>
  <c r="W10" i="4"/>
  <c r="Y33" i="13"/>
  <c r="W23" i="11"/>
  <c r="Y7" i="13"/>
  <c r="Y22" i="13"/>
  <c r="W19" i="11"/>
  <c r="Y7" i="3"/>
  <c r="Y32" i="25"/>
  <c r="Y16" i="26"/>
  <c r="W35" i="11"/>
  <c r="W37" i="10"/>
  <c r="W7" i="11"/>
  <c r="Y32" i="26"/>
  <c r="W34" i="11"/>
  <c r="W36" i="10"/>
  <c r="W11" i="11"/>
  <c r="W59" i="11"/>
  <c r="W24" i="4"/>
  <c r="Y26" i="13"/>
  <c r="W25" i="11"/>
  <c r="W27" i="10"/>
  <c r="W45" i="4"/>
  <c r="W14" i="11"/>
  <c r="W22" i="11"/>
  <c r="Y16" i="25"/>
  <c r="Y30" i="26"/>
  <c r="Y31" i="26"/>
  <c r="W16" i="11"/>
  <c r="Y31" i="25"/>
  <c r="W56" i="11"/>
  <c r="W31" i="4"/>
  <c r="Y30" i="25"/>
  <c r="Y58" i="21"/>
  <c r="Y30" i="13"/>
  <c r="W38" i="11"/>
  <c r="W40" i="10"/>
  <c r="Y8" i="3"/>
  <c r="W52" i="4"/>
  <c r="O58" i="11"/>
  <c r="O6" i="11"/>
  <c r="Q6" i="3"/>
  <c r="N6" i="16"/>
  <c r="O10" i="4"/>
  <c r="O21" i="11"/>
  <c r="Q31" i="25"/>
  <c r="O17" i="11"/>
  <c r="O26" i="11"/>
  <c r="O28" i="10"/>
  <c r="O15" i="11"/>
  <c r="O22" i="11"/>
  <c r="Q16" i="25"/>
  <c r="Q26" i="13"/>
  <c r="O25" i="11"/>
  <c r="O27" i="10"/>
  <c r="O45" i="4"/>
  <c r="Q7" i="13"/>
  <c r="Q22" i="13"/>
  <c r="O19" i="11"/>
  <c r="Q7" i="3"/>
  <c r="Q32" i="25"/>
  <c r="Q31" i="26"/>
  <c r="Q30" i="13"/>
  <c r="O38" i="11"/>
  <c r="O40" i="10"/>
  <c r="Q8" i="3"/>
  <c r="O52" i="4"/>
  <c r="Q33" i="13"/>
  <c r="O14" i="11"/>
  <c r="Q16" i="26"/>
  <c r="O56" i="11"/>
  <c r="O31" i="4"/>
  <c r="Q30" i="25"/>
  <c r="Q58" i="21"/>
  <c r="O24" i="11"/>
  <c r="Q30" i="26"/>
  <c r="Q32" i="26"/>
  <c r="O59" i="11"/>
  <c r="O24" i="4"/>
  <c r="O8" i="11"/>
  <c r="O12" i="11"/>
  <c r="H7" i="11"/>
  <c r="H35" i="11"/>
  <c r="H37" i="10"/>
  <c r="H6" i="11"/>
  <c r="J6" i="3"/>
  <c r="G6" i="16"/>
  <c r="H10" i="4"/>
  <c r="H22" i="11"/>
  <c r="J16" i="25"/>
  <c r="H58" i="11"/>
  <c r="H33" i="11"/>
  <c r="H35" i="10"/>
  <c r="J30" i="13"/>
  <c r="H38" i="11"/>
  <c r="H40" i="10"/>
  <c r="J8" i="3"/>
  <c r="H52" i="4"/>
  <c r="J33" i="13"/>
  <c r="J26" i="13"/>
  <c r="H25" i="11"/>
  <c r="H27" i="10"/>
  <c r="H45" i="4"/>
  <c r="J31" i="25"/>
  <c r="J7" i="13"/>
  <c r="J22" i="13"/>
  <c r="H19" i="11"/>
  <c r="J7" i="3"/>
  <c r="J32" i="25"/>
  <c r="H56" i="11"/>
  <c r="H31" i="4"/>
  <c r="J30" i="25"/>
  <c r="J58" i="21"/>
  <c r="H16" i="11"/>
  <c r="H23" i="11"/>
  <c r="H18" i="11"/>
  <c r="H34" i="11"/>
  <c r="H36" i="10"/>
  <c r="J32" i="26"/>
  <c r="H20" i="11"/>
  <c r="H9" i="11"/>
  <c r="J16" i="26"/>
  <c r="J31" i="26"/>
  <c r="J30" i="26"/>
  <c r="O30" i="26"/>
  <c r="M17" i="11"/>
  <c r="M13" i="11"/>
  <c r="O31" i="26"/>
  <c r="O16" i="26"/>
  <c r="M26" i="11"/>
  <c r="M28" i="10"/>
  <c r="O32" i="26"/>
  <c r="M58" i="11"/>
  <c r="M59" i="11"/>
  <c r="M24" i="4"/>
  <c r="O33" i="13"/>
  <c r="M12" i="11"/>
  <c r="O7" i="13"/>
  <c r="O22" i="13"/>
  <c r="M19" i="11"/>
  <c r="O7" i="3"/>
  <c r="O32" i="25"/>
  <c r="M15" i="11"/>
  <c r="M10" i="11"/>
  <c r="M20" i="11"/>
  <c r="M22" i="11"/>
  <c r="O16" i="25"/>
  <c r="M56" i="11"/>
  <c r="M31" i="4"/>
  <c r="O30" i="25"/>
  <c r="O58" i="21"/>
  <c r="M21" i="11"/>
  <c r="O26" i="13"/>
  <c r="M25" i="11"/>
  <c r="M27" i="10"/>
  <c r="M45" i="4"/>
  <c r="O30" i="13"/>
  <c r="M38" i="11"/>
  <c r="M40" i="10"/>
  <c r="O8" i="3"/>
  <c r="M52" i="4"/>
  <c r="O31" i="25"/>
  <c r="M6" i="11"/>
  <c r="O6" i="3"/>
  <c r="L6" i="16"/>
  <c r="M10" i="4"/>
  <c r="X14" i="27"/>
  <c r="X21" i="25"/>
  <c r="X16" i="27"/>
  <c r="X23" i="25"/>
  <c r="X69" i="24"/>
  <c r="X65" i="24"/>
  <c r="X10" i="27"/>
  <c r="X18" i="25"/>
  <c r="X27" i="25"/>
  <c r="X87" i="17"/>
  <c r="X20" i="29"/>
  <c r="X37" i="24"/>
  <c r="X18" i="26"/>
  <c r="X68" i="24"/>
  <c r="X12" i="27"/>
  <c r="X19" i="25"/>
  <c r="X20" i="27"/>
  <c r="X22" i="27"/>
  <c r="X13" i="27"/>
  <c r="X20" i="25"/>
  <c r="X64" i="24"/>
  <c r="X59" i="24"/>
  <c r="X62" i="24"/>
  <c r="X18" i="27"/>
  <c r="X25" i="25"/>
  <c r="X21" i="26"/>
  <c r="X7" i="27"/>
  <c r="X89" i="17"/>
  <c r="X9" i="27"/>
  <c r="X28" i="25"/>
  <c r="Y56" i="11"/>
  <c r="Y31" i="4"/>
  <c r="AA30" i="25"/>
  <c r="AA58" i="21"/>
  <c r="AA7" i="13"/>
  <c r="AA22" i="13"/>
  <c r="Y19" i="11"/>
  <c r="AA7" i="3"/>
  <c r="AA32" i="25"/>
  <c r="AA30" i="13"/>
  <c r="Y38" i="11"/>
  <c r="Y40" i="10"/>
  <c r="AA8" i="3"/>
  <c r="Y52" i="4"/>
  <c r="Y59" i="11"/>
  <c r="Y24" i="4"/>
  <c r="Y11" i="11"/>
  <c r="AA16" i="26"/>
  <c r="Y16" i="11"/>
  <c r="AA31" i="25"/>
  <c r="Y9" i="11"/>
  <c r="AA32" i="26"/>
  <c r="Y26" i="11"/>
  <c r="Y28" i="10"/>
  <c r="AA26" i="13"/>
  <c r="Y25" i="11"/>
  <c r="Y27" i="10"/>
  <c r="Y45" i="4"/>
  <c r="Y33" i="11"/>
  <c r="Y35" i="10"/>
  <c r="Y6" i="11"/>
  <c r="AA6" i="3"/>
  <c r="X6" i="16"/>
  <c r="Y10" i="4"/>
  <c r="Y58" i="11"/>
  <c r="AA30" i="26"/>
  <c r="AA33" i="13"/>
  <c r="Y35" i="11"/>
  <c r="Y37" i="10"/>
  <c r="Y13" i="11"/>
  <c r="Y18" i="11"/>
  <c r="Y34" i="11"/>
  <c r="Y36" i="10"/>
  <c r="Y22" i="11"/>
  <c r="AA16" i="25"/>
  <c r="V30" i="26"/>
  <c r="V33" i="13"/>
  <c r="T26" i="11"/>
  <c r="T28" i="10"/>
  <c r="T6" i="11"/>
  <c r="V6" i="3"/>
  <c r="S6" i="16"/>
  <c r="T10" i="4"/>
  <c r="V31" i="26"/>
  <c r="V7" i="13"/>
  <c r="V22" i="13"/>
  <c r="T19" i="11"/>
  <c r="V7" i="3"/>
  <c r="V32" i="25"/>
  <c r="V16" i="26"/>
  <c r="T12" i="11"/>
  <c r="T16" i="11"/>
  <c r="T21" i="11"/>
  <c r="T35" i="11"/>
  <c r="T37" i="10"/>
  <c r="T59" i="11"/>
  <c r="T24" i="4"/>
  <c r="T9" i="11"/>
  <c r="V32" i="26"/>
  <c r="T14" i="11"/>
  <c r="T56" i="11"/>
  <c r="T31" i="4"/>
  <c r="V30" i="25"/>
  <c r="V58" i="21"/>
  <c r="T22" i="11"/>
  <c r="V16" i="25"/>
  <c r="V30" i="13"/>
  <c r="T38" i="11"/>
  <c r="T40" i="10"/>
  <c r="V8" i="3"/>
  <c r="T52" i="4"/>
  <c r="V31" i="25"/>
  <c r="V26" i="13"/>
  <c r="T25" i="11"/>
  <c r="T27" i="10"/>
  <c r="T45" i="4"/>
  <c r="T34" i="11"/>
  <c r="T36" i="10"/>
  <c r="T18" i="11"/>
  <c r="V59" i="11"/>
  <c r="V24" i="4"/>
  <c r="X7" i="13"/>
  <c r="X22" i="13"/>
  <c r="V19" i="11"/>
  <c r="X7" i="3"/>
  <c r="X32" i="25"/>
  <c r="X31" i="25"/>
  <c r="V18" i="11"/>
  <c r="V56" i="11"/>
  <c r="V31" i="4"/>
  <c r="X30" i="25"/>
  <c r="X58" i="21"/>
  <c r="X32" i="26"/>
  <c r="X30" i="13"/>
  <c r="V38" i="11"/>
  <c r="V40" i="10"/>
  <c r="X8" i="3"/>
  <c r="V52" i="4"/>
  <c r="V16" i="11"/>
  <c r="X33" i="13"/>
  <c r="V23" i="11"/>
  <c r="X31" i="26"/>
  <c r="X30" i="26"/>
  <c r="V6" i="11"/>
  <c r="X6" i="3"/>
  <c r="U6" i="16"/>
  <c r="V10" i="4"/>
  <c r="X16" i="26"/>
  <c r="V22" i="11"/>
  <c r="X16" i="25"/>
  <c r="V14" i="11"/>
  <c r="X26" i="13"/>
  <c r="V25" i="11"/>
  <c r="V27" i="10"/>
  <c r="V45" i="4"/>
  <c r="V35" i="11"/>
  <c r="V37" i="10"/>
  <c r="V21" i="11"/>
  <c r="V7" i="11"/>
  <c r="V34" i="11"/>
  <c r="V36" i="10"/>
  <c r="V26" i="11"/>
  <c r="V28" i="10"/>
  <c r="H30" i="13"/>
  <c r="F38" i="11"/>
  <c r="F40" i="10"/>
  <c r="H8" i="3"/>
  <c r="F52" i="4"/>
  <c r="F16" i="11"/>
  <c r="F35" i="11"/>
  <c r="F37" i="10"/>
  <c r="F23" i="11"/>
  <c r="H31" i="25"/>
  <c r="H33" i="13"/>
  <c r="F58" i="11"/>
  <c r="H32" i="26"/>
  <c r="F59" i="11"/>
  <c r="F24" i="4"/>
  <c r="H30" i="26"/>
  <c r="H31" i="26"/>
  <c r="F7" i="11"/>
  <c r="F6" i="11"/>
  <c r="H6" i="3"/>
  <c r="E6" i="16"/>
  <c r="F10" i="4"/>
  <c r="H7" i="13"/>
  <c r="H22" i="13"/>
  <c r="F19" i="11"/>
  <c r="H7" i="3"/>
  <c r="H32" i="25"/>
  <c r="F56" i="11"/>
  <c r="F31" i="4"/>
  <c r="H30" i="25"/>
  <c r="H58" i="21"/>
  <c r="F22" i="11"/>
  <c r="H16" i="25"/>
  <c r="H16" i="26"/>
  <c r="F14" i="11"/>
  <c r="F34" i="11"/>
  <c r="F36" i="10"/>
  <c r="F21" i="11"/>
  <c r="F26" i="11"/>
  <c r="F28" i="10"/>
  <c r="H26" i="13"/>
  <c r="F25" i="11"/>
  <c r="F27" i="10"/>
  <c r="F45" i="4"/>
  <c r="D16" i="11"/>
  <c r="F30" i="13"/>
  <c r="D38" i="11"/>
  <c r="D40" i="10"/>
  <c r="F8" i="3"/>
  <c r="D52" i="4"/>
  <c r="F7" i="13"/>
  <c r="F22" i="13"/>
  <c r="D19" i="11"/>
  <c r="F7" i="3"/>
  <c r="F32" i="25"/>
  <c r="F16" i="26"/>
  <c r="F33" i="13"/>
  <c r="D26" i="11"/>
  <c r="D28" i="10"/>
  <c r="D14" i="11"/>
  <c r="F31" i="26"/>
  <c r="D33" i="11"/>
  <c r="D35" i="10"/>
  <c r="D6" i="11"/>
  <c r="F6" i="3"/>
  <c r="C6" i="16"/>
  <c r="D10" i="4"/>
  <c r="D9" i="11"/>
  <c r="D56" i="11"/>
  <c r="D31" i="4"/>
  <c r="F30" i="25"/>
  <c r="F58" i="21"/>
  <c r="D59" i="11"/>
  <c r="D24" i="4"/>
  <c r="F30" i="26"/>
  <c r="F26" i="13"/>
  <c r="D25" i="11"/>
  <c r="D27" i="10"/>
  <c r="D45" i="4"/>
  <c r="F32" i="26"/>
  <c r="D58" i="11"/>
  <c r="D22" i="11"/>
  <c r="F16" i="25"/>
  <c r="D21" i="11"/>
  <c r="D12" i="11"/>
  <c r="D35" i="11"/>
  <c r="D37" i="10"/>
  <c r="F31" i="25"/>
  <c r="K12" i="27"/>
  <c r="K19" i="25"/>
  <c r="K6" i="27"/>
  <c r="K27" i="25"/>
  <c r="K87" i="17"/>
  <c r="K40" i="29"/>
  <c r="K28" i="26"/>
  <c r="K22" i="24"/>
  <c r="K17" i="27"/>
  <c r="I14" i="5"/>
  <c r="K24" i="25"/>
  <c r="K21" i="27"/>
  <c r="K56" i="24"/>
  <c r="K28" i="25"/>
  <c r="K14" i="27"/>
  <c r="K21" i="25"/>
  <c r="K9" i="27"/>
  <c r="K59" i="24"/>
  <c r="K20" i="29"/>
  <c r="K22" i="27"/>
  <c r="K26" i="29"/>
  <c r="K7" i="27"/>
  <c r="K89" i="17"/>
  <c r="K11" i="29"/>
  <c r="K23" i="26"/>
  <c r="K68" i="24"/>
  <c r="K20" i="27"/>
  <c r="K42" i="24"/>
  <c r="M20" i="26"/>
  <c r="M12" i="27"/>
  <c r="M19" i="25"/>
  <c r="M7" i="27"/>
  <c r="M89" i="17"/>
  <c r="M40" i="29"/>
  <c r="M64" i="24"/>
  <c r="M70" i="24"/>
  <c r="M8" i="27"/>
  <c r="M20" i="24"/>
  <c r="M17" i="27"/>
  <c r="K14" i="5"/>
  <c r="M24" i="25"/>
  <c r="M16" i="27"/>
  <c r="M23" i="25"/>
  <c r="M27" i="26"/>
  <c r="M20" i="27"/>
  <c r="M9" i="27"/>
  <c r="K14" i="9"/>
  <c r="M24" i="26"/>
  <c r="M40" i="24"/>
  <c r="M20" i="29"/>
  <c r="M6" i="27"/>
  <c r="M25" i="26"/>
  <c r="M18" i="27"/>
  <c r="M25" i="25"/>
  <c r="M10" i="27"/>
  <c r="M18" i="25"/>
  <c r="M22" i="27"/>
  <c r="M14" i="27"/>
  <c r="M21" i="25"/>
  <c r="P10" i="11"/>
  <c r="P24" i="11"/>
  <c r="P35" i="11"/>
  <c r="P37" i="10"/>
  <c r="P26" i="11"/>
  <c r="P28" i="10"/>
  <c r="R33" i="13"/>
  <c r="P58" i="11"/>
  <c r="P33" i="11"/>
  <c r="P35" i="10"/>
  <c r="P12" i="11"/>
  <c r="R30" i="26"/>
  <c r="P8" i="11"/>
  <c r="R26" i="13"/>
  <c r="P25" i="11"/>
  <c r="P27" i="10"/>
  <c r="P45" i="4"/>
  <c r="R30" i="13"/>
  <c r="P38" i="11"/>
  <c r="P40" i="10"/>
  <c r="R8" i="3"/>
  <c r="P52" i="4"/>
  <c r="R31" i="25"/>
  <c r="P56" i="11"/>
  <c r="P31" i="4"/>
  <c r="R30" i="25"/>
  <c r="R58" i="21"/>
  <c r="P17" i="11"/>
  <c r="R16" i="26"/>
  <c r="P15" i="11"/>
  <c r="P6" i="11"/>
  <c r="R6" i="3"/>
  <c r="O6" i="16"/>
  <c r="P10" i="4"/>
  <c r="R31" i="26"/>
  <c r="R7" i="13"/>
  <c r="R22" i="13"/>
  <c r="P19" i="11"/>
  <c r="R7" i="3"/>
  <c r="R32" i="25"/>
  <c r="P21" i="11"/>
  <c r="P22" i="11"/>
  <c r="R16" i="25"/>
  <c r="Q58" i="11"/>
  <c r="Q56" i="11"/>
  <c r="Q31" i="4"/>
  <c r="S30" i="25"/>
  <c r="S58" i="21"/>
  <c r="S16" i="26"/>
  <c r="S7" i="13"/>
  <c r="S22" i="13"/>
  <c r="Q19" i="11"/>
  <c r="S7" i="3"/>
  <c r="S32" i="25"/>
  <c r="S30" i="13"/>
  <c r="Q38" i="11"/>
  <c r="Q40" i="10"/>
  <c r="S8" i="3"/>
  <c r="Q52" i="4"/>
  <c r="S33" i="13"/>
  <c r="Q24" i="11"/>
  <c r="Q34" i="11"/>
  <c r="Q36" i="10"/>
  <c r="Q21" i="11"/>
  <c r="Q10" i="11"/>
  <c r="Q8" i="11"/>
  <c r="Q26" i="11"/>
  <c r="Q28" i="10"/>
  <c r="S32" i="26"/>
  <c r="S30" i="26"/>
  <c r="Q14" i="11"/>
  <c r="S26" i="13"/>
  <c r="Q25" i="11"/>
  <c r="Q27" i="10"/>
  <c r="Q45" i="4"/>
  <c r="Q22" i="11"/>
  <c r="S16" i="25"/>
  <c r="Q6" i="11"/>
  <c r="S6" i="3"/>
  <c r="P6" i="16"/>
  <c r="Q10" i="4"/>
  <c r="S31" i="25"/>
  <c r="S31" i="26"/>
  <c r="Q59" i="11"/>
  <c r="Q24" i="4"/>
  <c r="Q17" i="11"/>
  <c r="G30" i="34"/>
  <c r="H68" i="24"/>
  <c r="H37" i="24"/>
  <c r="H16" i="27"/>
  <c r="H23" i="25"/>
  <c r="H14" i="27"/>
  <c r="H21" i="25"/>
  <c r="H6" i="27"/>
  <c r="H22" i="27"/>
  <c r="H21" i="27"/>
  <c r="H9" i="27"/>
  <c r="H10" i="27"/>
  <c r="H18" i="25"/>
  <c r="H20" i="29"/>
  <c r="H11" i="29"/>
  <c r="H8" i="27"/>
  <c r="H20" i="27"/>
  <c r="H28" i="26"/>
  <c r="H69" i="24"/>
  <c r="H12" i="27"/>
  <c r="H19" i="25"/>
  <c r="H62" i="24"/>
  <c r="H13" i="27"/>
  <c r="H20" i="25"/>
  <c r="H18" i="27"/>
  <c r="H25" i="25"/>
  <c r="H64" i="24"/>
  <c r="H27" i="26"/>
  <c r="H21" i="26"/>
  <c r="T32" i="26"/>
  <c r="T31" i="26"/>
  <c r="T33" i="13"/>
  <c r="C32" i="26"/>
  <c r="T7" i="13"/>
  <c r="T22" i="13"/>
  <c r="R19" i="11"/>
  <c r="T7" i="3"/>
  <c r="T32" i="25"/>
  <c r="T16" i="26"/>
  <c r="C31" i="25"/>
  <c r="R23" i="11"/>
  <c r="C33" i="13"/>
  <c r="C6" i="3"/>
  <c r="R22" i="11"/>
  <c r="T16" i="25"/>
  <c r="R35" i="11"/>
  <c r="R37" i="10"/>
  <c r="C16" i="25"/>
  <c r="C7" i="13"/>
  <c r="C22" i="13"/>
  <c r="C7" i="3"/>
  <c r="C32" i="25"/>
  <c r="R10" i="11"/>
  <c r="R7" i="11"/>
  <c r="C26" i="13"/>
  <c r="C30" i="13"/>
  <c r="C8" i="3"/>
  <c r="T31" i="25"/>
  <c r="C31" i="26"/>
  <c r="R12" i="11"/>
  <c r="C30" i="26"/>
  <c r="R6" i="11"/>
  <c r="T6" i="3"/>
  <c r="Q6" i="16"/>
  <c r="R10" i="4"/>
  <c r="R14" i="11"/>
  <c r="R16" i="11"/>
  <c r="R59" i="11"/>
  <c r="R24" i="4"/>
  <c r="R17" i="11"/>
  <c r="T26" i="13"/>
  <c r="R25" i="11"/>
  <c r="R27" i="10"/>
  <c r="R45" i="4"/>
  <c r="R9" i="11"/>
  <c r="C16" i="26"/>
  <c r="T30" i="13"/>
  <c r="R38" i="11"/>
  <c r="R40" i="10"/>
  <c r="T8" i="3"/>
  <c r="R52" i="4"/>
  <c r="C30" i="25"/>
  <c r="C58" i="21"/>
  <c r="R56" i="11"/>
  <c r="R31" i="4"/>
  <c r="T30" i="25"/>
  <c r="T58" i="21"/>
  <c r="R58" i="11"/>
  <c r="AA7" i="27"/>
  <c r="AA89" i="17"/>
  <c r="AA57" i="24"/>
  <c r="AA26" i="29"/>
  <c r="AA21" i="27"/>
  <c r="AA23" i="26"/>
  <c r="AA28" i="25"/>
  <c r="AA68" i="24"/>
  <c r="AA14" i="27"/>
  <c r="AA21" i="25"/>
  <c r="AA22" i="24"/>
  <c r="AA16" i="27"/>
  <c r="AA23" i="25"/>
  <c r="AA18" i="27"/>
  <c r="AA25" i="25"/>
  <c r="AA10" i="27"/>
  <c r="AA18" i="25"/>
  <c r="AA40" i="29"/>
  <c r="AA20" i="29"/>
  <c r="AA61" i="24"/>
  <c r="AA22" i="27"/>
  <c r="AA20" i="27"/>
  <c r="AA42" i="24"/>
  <c r="AA27" i="25"/>
  <c r="AA87" i="17"/>
  <c r="AA56" i="24"/>
  <c r="AA17" i="27"/>
  <c r="Y14" i="5"/>
  <c r="AA24" i="25"/>
  <c r="AA27" i="26"/>
  <c r="N22" i="27"/>
  <c r="N8" i="27"/>
  <c r="N10" i="27"/>
  <c r="N18" i="25"/>
  <c r="N26" i="29"/>
  <c r="N20" i="26"/>
  <c r="N18" i="27"/>
  <c r="N25" i="25"/>
  <c r="N61" i="24"/>
  <c r="N40" i="29"/>
  <c r="N25" i="26"/>
  <c r="N14" i="27"/>
  <c r="N21" i="25"/>
  <c r="N47" i="24"/>
  <c r="N6" i="27"/>
  <c r="N23" i="26"/>
  <c r="N16" i="30"/>
  <c r="N21" i="26"/>
  <c r="N16" i="27"/>
  <c r="N23" i="25"/>
  <c r="N12" i="27"/>
  <c r="N19" i="25"/>
  <c r="N13" i="27"/>
  <c r="N20" i="25"/>
  <c r="N27" i="24"/>
  <c r="N20" i="27"/>
  <c r="N20" i="29"/>
  <c r="N62" i="24"/>
  <c r="I24" i="24"/>
  <c r="I20" i="27"/>
  <c r="I16" i="27"/>
  <c r="I23" i="25"/>
  <c r="I27" i="25"/>
  <c r="I87" i="17"/>
  <c r="I18" i="26"/>
  <c r="I59" i="24"/>
  <c r="I20" i="29"/>
  <c r="I58" i="24"/>
  <c r="I44" i="24"/>
  <c r="I12" i="27"/>
  <c r="I19" i="25"/>
  <c r="I19" i="26"/>
  <c r="I14" i="27"/>
  <c r="I21" i="25"/>
  <c r="I10" i="27"/>
  <c r="I18" i="25"/>
  <c r="I28" i="26"/>
  <c r="I25" i="26"/>
  <c r="I21" i="27"/>
  <c r="I11" i="29"/>
  <c r="I8" i="27"/>
  <c r="I17" i="27"/>
  <c r="G14" i="5"/>
  <c r="I24" i="25"/>
  <c r="I18" i="27"/>
  <c r="I25" i="25"/>
  <c r="I68" i="24"/>
  <c r="I22" i="27"/>
  <c r="P20" i="27"/>
  <c r="P10" i="27"/>
  <c r="P18" i="25"/>
  <c r="P13" i="27"/>
  <c r="P20" i="25"/>
  <c r="P60" i="24"/>
  <c r="P16" i="30"/>
  <c r="P59" i="24"/>
  <c r="P70" i="24"/>
  <c r="P26" i="29"/>
  <c r="P18" i="27"/>
  <c r="P25" i="25"/>
  <c r="P8" i="27"/>
  <c r="P40" i="29"/>
  <c r="P18" i="26"/>
  <c r="P12" i="27"/>
  <c r="P19" i="25"/>
  <c r="P17" i="27"/>
  <c r="N14" i="5"/>
  <c r="P24" i="25"/>
  <c r="P22" i="27"/>
  <c r="P20" i="29"/>
  <c r="P27" i="26"/>
  <c r="P14" i="27"/>
  <c r="P21" i="25"/>
  <c r="P11" i="29"/>
  <c r="P16" i="27"/>
  <c r="P23" i="25"/>
  <c r="P19" i="26"/>
  <c r="P20" i="26"/>
  <c r="D25" i="29"/>
  <c r="D19" i="29"/>
  <c r="D10" i="29"/>
  <c r="C12" i="8"/>
  <c r="D8" i="29"/>
  <c r="D30" i="29"/>
  <c r="D10" i="25"/>
  <c r="D50" i="17"/>
  <c r="D24" i="29"/>
  <c r="D17" i="28"/>
  <c r="D14" i="17"/>
  <c r="D10" i="26"/>
  <c r="D8" i="25"/>
  <c r="D20" i="28"/>
  <c r="D17" i="17"/>
  <c r="D36" i="29"/>
  <c r="D16" i="29"/>
  <c r="D39" i="22"/>
  <c r="D14" i="22"/>
  <c r="D9" i="25"/>
  <c r="D40" i="17"/>
  <c r="D16" i="28"/>
  <c r="D13" i="17"/>
  <c r="D23" i="22"/>
  <c r="D9" i="26"/>
  <c r="D32" i="22"/>
  <c r="D18" i="28"/>
  <c r="D15" i="17"/>
  <c r="D39" i="29"/>
  <c r="D31" i="29"/>
  <c r="D30" i="22"/>
  <c r="D49" i="21"/>
  <c r="D38" i="29"/>
  <c r="D18" i="29"/>
  <c r="D8" i="26"/>
  <c r="K10" i="9"/>
  <c r="M8" i="26"/>
  <c r="M48" i="21"/>
  <c r="M38" i="22"/>
  <c r="M37" i="29"/>
  <c r="M17" i="29"/>
  <c r="K10" i="5"/>
  <c r="M8" i="25"/>
  <c r="K9" i="2"/>
  <c r="M35" i="29"/>
  <c r="M15" i="29"/>
  <c r="M31" i="22"/>
  <c r="M7" i="29"/>
  <c r="M29" i="29"/>
  <c r="M9" i="25"/>
  <c r="M40" i="17"/>
  <c r="M19" i="28"/>
  <c r="M16" i="17"/>
  <c r="M10" i="26"/>
  <c r="M13" i="22"/>
  <c r="M29" i="22"/>
  <c r="M25" i="29"/>
  <c r="M19" i="29"/>
  <c r="M10" i="29"/>
  <c r="L12" i="8"/>
  <c r="K6" i="9"/>
  <c r="K6" i="5"/>
  <c r="K6" i="2"/>
  <c r="M38" i="29"/>
  <c r="M18" i="29"/>
  <c r="M16" i="28"/>
  <c r="M13" i="17"/>
  <c r="M9" i="26"/>
  <c r="M9" i="29"/>
  <c r="M17" i="28"/>
  <c r="M14" i="17"/>
  <c r="M20" i="28"/>
  <c r="M17" i="17"/>
  <c r="M10" i="25"/>
  <c r="M50" i="17"/>
  <c r="M24" i="29"/>
  <c r="O13" i="34"/>
  <c r="O18" i="34"/>
  <c r="R21" i="26"/>
  <c r="R13" i="27"/>
  <c r="R20" i="25"/>
  <c r="R22" i="27"/>
  <c r="R10" i="27"/>
  <c r="R18" i="25"/>
  <c r="P14" i="9"/>
  <c r="R24" i="26"/>
  <c r="R17" i="27"/>
  <c r="P14" i="5"/>
  <c r="R24" i="25"/>
  <c r="R40" i="29"/>
  <c r="R16" i="30"/>
  <c r="R56" i="24"/>
  <c r="R26" i="29"/>
  <c r="R20" i="29"/>
  <c r="R23" i="24"/>
  <c r="R6" i="27"/>
  <c r="R23" i="26"/>
  <c r="R18" i="26"/>
  <c r="R20" i="27"/>
  <c r="R43" i="24"/>
  <c r="R16" i="27"/>
  <c r="R23" i="25"/>
  <c r="R21" i="27"/>
  <c r="R18" i="27"/>
  <c r="R25" i="25"/>
  <c r="R57" i="24"/>
  <c r="R67" i="24"/>
  <c r="Q68" i="24"/>
  <c r="Q28" i="25"/>
  <c r="Q10" i="27"/>
  <c r="Q18" i="25"/>
  <c r="Q18" i="27"/>
  <c r="Q25" i="25"/>
  <c r="Q40" i="29"/>
  <c r="Q27" i="26"/>
  <c r="Q20" i="26"/>
  <c r="Q28" i="26"/>
  <c r="Q21" i="27"/>
  <c r="Q17" i="27"/>
  <c r="O14" i="5"/>
  <c r="Q24" i="25"/>
  <c r="Q13" i="27"/>
  <c r="Q20" i="25"/>
  <c r="Q16" i="30"/>
  <c r="Q11" i="29"/>
  <c r="Q6" i="27"/>
  <c r="H30" i="34"/>
  <c r="Q26" i="29"/>
  <c r="Q23" i="26"/>
  <c r="Q20" i="27"/>
  <c r="Q70" i="24"/>
  <c r="Q12" i="27"/>
  <c r="Q19" i="25"/>
  <c r="Q14" i="27"/>
  <c r="Q21" i="25"/>
  <c r="Q20" i="29"/>
  <c r="Q67" i="24"/>
  <c r="Y18" i="26"/>
  <c r="Y20" i="27"/>
  <c r="Y11" i="29"/>
  <c r="Y21" i="27"/>
  <c r="Y25" i="26"/>
  <c r="Y16" i="27"/>
  <c r="Y23" i="25"/>
  <c r="Y20" i="29"/>
  <c r="Y18" i="27"/>
  <c r="Y25" i="25"/>
  <c r="Y27" i="26"/>
  <c r="Y10" i="27"/>
  <c r="Y18" i="25"/>
  <c r="Y28" i="25"/>
  <c r="Y28" i="26"/>
  <c r="Y14" i="27"/>
  <c r="Y21" i="25"/>
  <c r="Y44" i="24"/>
  <c r="Y19" i="26"/>
  <c r="Y12" i="27"/>
  <c r="Y19" i="25"/>
  <c r="Y13" i="27"/>
  <c r="Y20" i="25"/>
  <c r="Y58" i="24"/>
  <c r="Y9" i="27"/>
  <c r="Y17" i="27"/>
  <c r="W14" i="5"/>
  <c r="Y24" i="25"/>
  <c r="Y62" i="24"/>
  <c r="Y24" i="24"/>
  <c r="C14" i="9"/>
  <c r="E24" i="26"/>
  <c r="E49" i="24"/>
  <c r="E14" i="27"/>
  <c r="E21" i="25"/>
  <c r="E17" i="27"/>
  <c r="C14" i="5"/>
  <c r="E24" i="25"/>
  <c r="E63" i="24"/>
  <c r="E13" i="27"/>
  <c r="E20" i="25"/>
  <c r="E26" i="29"/>
  <c r="E29" i="24"/>
  <c r="E11" i="29"/>
  <c r="E65" i="24"/>
  <c r="E21" i="26"/>
  <c r="E12" i="27"/>
  <c r="E19" i="25"/>
  <c r="E68" i="24"/>
  <c r="E7" i="27"/>
  <c r="E89" i="17"/>
  <c r="E23" i="26"/>
  <c r="E21" i="27"/>
  <c r="E16" i="27"/>
  <c r="E23" i="25"/>
  <c r="E9" i="27"/>
  <c r="E8" i="27"/>
  <c r="E62" i="24"/>
  <c r="E16" i="30"/>
  <c r="E28" i="25"/>
  <c r="C11" i="24"/>
  <c r="C52" i="24"/>
  <c r="C12" i="30"/>
  <c r="C6" i="28"/>
  <c r="C14" i="28"/>
  <c r="C16" i="23"/>
  <c r="C11" i="28"/>
  <c r="C9" i="24"/>
  <c r="C7" i="28"/>
  <c r="C17" i="23"/>
  <c r="C7" i="30"/>
  <c r="C20" i="30"/>
  <c r="C10" i="24"/>
  <c r="C8" i="28"/>
  <c r="C20" i="23"/>
  <c r="C18" i="23"/>
  <c r="C9" i="28"/>
  <c r="C8" i="24"/>
  <c r="C13" i="28"/>
  <c r="C90" i="17"/>
  <c r="C8" i="23"/>
  <c r="C35" i="24"/>
  <c r="C14" i="23"/>
  <c r="Z11" i="29"/>
  <c r="Z67" i="24"/>
  <c r="Z59" i="24"/>
  <c r="Z17" i="27"/>
  <c r="X14" i="5"/>
  <c r="Z24" i="25"/>
  <c r="Z18" i="27"/>
  <c r="Z25" i="25"/>
  <c r="Z28" i="26"/>
  <c r="Z19" i="26"/>
  <c r="Z28" i="25"/>
  <c r="Z27" i="25"/>
  <c r="Z87" i="17"/>
  <c r="Z65" i="24"/>
  <c r="Z22" i="27"/>
  <c r="Z21" i="27"/>
  <c r="Z47" i="24"/>
  <c r="Z20" i="27"/>
  <c r="Z55" i="24"/>
  <c r="Z16" i="27"/>
  <c r="Z23" i="25"/>
  <c r="Z32" i="24"/>
  <c r="Z25" i="26"/>
  <c r="Z62" i="24"/>
  <c r="Z13" i="27"/>
  <c r="Z20" i="25"/>
  <c r="Z64" i="24"/>
  <c r="Z12" i="27"/>
  <c r="Z19" i="25"/>
  <c r="S26" i="29"/>
  <c r="S16" i="30"/>
  <c r="S27" i="25"/>
  <c r="S87" i="17"/>
  <c r="S63" i="24"/>
  <c r="S18" i="26"/>
  <c r="S65" i="24"/>
  <c r="S10" i="27"/>
  <c r="S18" i="25"/>
  <c r="S16" i="27"/>
  <c r="S23" i="25"/>
  <c r="S18" i="27"/>
  <c r="S25" i="25"/>
  <c r="S8" i="27"/>
  <c r="Q14" i="9"/>
  <c r="S24" i="26"/>
  <c r="S11" i="29"/>
  <c r="S64" i="24"/>
  <c r="S40" i="29"/>
  <c r="S21" i="27"/>
  <c r="S20" i="29"/>
  <c r="S22" i="27"/>
  <c r="S20" i="27"/>
  <c r="S27" i="26"/>
  <c r="S6" i="27"/>
  <c r="S25" i="26"/>
  <c r="S28" i="26"/>
  <c r="J27" i="25"/>
  <c r="J87" i="17"/>
  <c r="J55" i="24"/>
  <c r="J64" i="24"/>
  <c r="J32" i="24"/>
  <c r="J57" i="24"/>
  <c r="J17" i="27"/>
  <c r="H14" i="5"/>
  <c r="J24" i="25"/>
  <c r="J7" i="27"/>
  <c r="J89" i="17"/>
  <c r="J12" i="27"/>
  <c r="J19" i="25"/>
  <c r="J21" i="27"/>
  <c r="J20" i="27"/>
  <c r="H14" i="9"/>
  <c r="J24" i="26"/>
  <c r="J11" i="29"/>
  <c r="J19" i="26"/>
  <c r="J68" i="24"/>
  <c r="J67" i="24"/>
  <c r="J18" i="27"/>
  <c r="J25" i="25"/>
  <c r="J65" i="24"/>
  <c r="J22" i="27"/>
  <c r="J25" i="26"/>
  <c r="J10" i="27"/>
  <c r="J18" i="25"/>
  <c r="J27" i="26"/>
  <c r="J28" i="25"/>
  <c r="I30" i="34"/>
  <c r="U9" i="27"/>
  <c r="U23" i="26"/>
  <c r="S14" i="9"/>
  <c r="U24" i="26"/>
  <c r="U21" i="26"/>
  <c r="U11" i="29"/>
  <c r="U62" i="24"/>
  <c r="U6" i="27"/>
  <c r="U16" i="27"/>
  <c r="U23" i="25"/>
  <c r="U7" i="27"/>
  <c r="U89" i="17"/>
  <c r="U21" i="27"/>
  <c r="U22" i="27"/>
  <c r="U17" i="27"/>
  <c r="S14" i="5"/>
  <c r="U24" i="25"/>
  <c r="U14" i="27"/>
  <c r="U21" i="25"/>
  <c r="U20" i="26"/>
  <c r="U60" i="24"/>
  <c r="U26" i="29"/>
  <c r="U8" i="27"/>
  <c r="U19" i="26"/>
  <c r="U16" i="30"/>
  <c r="U20" i="27"/>
  <c r="U63" i="24"/>
  <c r="U18" i="27"/>
  <c r="U25" i="25"/>
  <c r="P13" i="34"/>
  <c r="P18" i="34"/>
  <c r="J30" i="34"/>
  <c r="T25" i="29"/>
  <c r="T19" i="29"/>
  <c r="T10" i="29"/>
  <c r="S12" i="8"/>
  <c r="R6" i="9"/>
  <c r="R6" i="5"/>
  <c r="R6" i="2"/>
  <c r="T18" i="28"/>
  <c r="T15" i="17"/>
  <c r="T23" i="22"/>
  <c r="T38" i="29"/>
  <c r="T18" i="29"/>
  <c r="T10" i="26"/>
  <c r="T32" i="22"/>
  <c r="T9" i="26"/>
  <c r="T8" i="29"/>
  <c r="T30" i="29"/>
  <c r="T39" i="22"/>
  <c r="R10" i="5"/>
  <c r="T8" i="25"/>
  <c r="R9" i="2"/>
  <c r="T16" i="28"/>
  <c r="T13" i="17"/>
  <c r="R10" i="9"/>
  <c r="T8" i="26"/>
  <c r="T9" i="25"/>
  <c r="T40" i="17"/>
  <c r="T10" i="25"/>
  <c r="T50" i="17"/>
  <c r="T20" i="28"/>
  <c r="T17" i="17"/>
  <c r="T49" i="21"/>
  <c r="T39" i="29"/>
  <c r="T31" i="29"/>
  <c r="Q37" i="6"/>
  <c r="R11" i="5"/>
  <c r="R10" i="2"/>
  <c r="T24" i="29"/>
  <c r="T30" i="22"/>
  <c r="T17" i="28"/>
  <c r="T14" i="17"/>
  <c r="T14" i="22"/>
  <c r="T36" i="29"/>
  <c r="T16" i="29"/>
  <c r="S8" i="28"/>
  <c r="S9" i="28"/>
  <c r="S14" i="28"/>
  <c r="S20" i="30"/>
  <c r="S11" i="24"/>
  <c r="S10" i="24"/>
  <c r="S13" i="28"/>
  <c r="S90" i="17"/>
  <c r="S7" i="30"/>
  <c r="S11" i="28"/>
  <c r="S6" i="28"/>
  <c r="S8" i="24"/>
  <c r="S7" i="28"/>
  <c r="S8" i="23"/>
  <c r="S9" i="24"/>
  <c r="S14" i="23"/>
  <c r="S35" i="24"/>
  <c r="S12" i="30"/>
  <c r="S17" i="23"/>
  <c r="S16" i="23"/>
  <c r="S18" i="23"/>
  <c r="S52" i="24"/>
  <c r="S20" i="23"/>
  <c r="K30" i="34"/>
  <c r="K13" i="34"/>
  <c r="R33" i="29"/>
  <c r="R22" i="29"/>
  <c r="R13" i="29"/>
  <c r="R36" i="29"/>
  <c r="R16" i="29"/>
  <c r="R52" i="21"/>
  <c r="R17" i="28"/>
  <c r="R14" i="17"/>
  <c r="P10" i="9"/>
  <c r="R8" i="26"/>
  <c r="R9" i="26"/>
  <c r="R34" i="22"/>
  <c r="R34" i="29"/>
  <c r="R23" i="29"/>
  <c r="R14" i="29"/>
  <c r="R18" i="28"/>
  <c r="R15" i="17"/>
  <c r="R10" i="26"/>
  <c r="R8" i="29"/>
  <c r="R30" i="29"/>
  <c r="R9" i="25"/>
  <c r="R40" i="17"/>
  <c r="P10" i="5"/>
  <c r="R8" i="25"/>
  <c r="P9" i="2"/>
  <c r="R24" i="29"/>
  <c r="R9" i="29"/>
  <c r="R20" i="28"/>
  <c r="R17" i="17"/>
  <c r="R19" i="28"/>
  <c r="R16" i="17"/>
  <c r="R32" i="22"/>
  <c r="R16" i="22"/>
  <c r="R10" i="25"/>
  <c r="R50" i="17"/>
  <c r="R38" i="29"/>
  <c r="R18" i="29"/>
  <c r="R16" i="28"/>
  <c r="R13" i="17"/>
  <c r="L8" i="28"/>
  <c r="L11" i="24"/>
  <c r="L10" i="24"/>
  <c r="L20" i="30"/>
  <c r="L13" i="28"/>
  <c r="L90" i="17"/>
  <c r="L10" i="28"/>
  <c r="L14" i="30"/>
  <c r="L18" i="30"/>
  <c r="L7" i="24"/>
  <c r="L17" i="23"/>
  <c r="L9" i="24"/>
  <c r="L11" i="28"/>
  <c r="L19" i="23"/>
  <c r="J62" i="11"/>
  <c r="L7" i="23"/>
  <c r="L8" i="24"/>
  <c r="L52" i="24"/>
  <c r="L7" i="28"/>
  <c r="L6" i="28"/>
  <c r="L10" i="30"/>
  <c r="L15" i="23"/>
  <c r="J61" i="11"/>
  <c r="L16" i="23"/>
  <c r="L35" i="24"/>
  <c r="K16" i="28"/>
  <c r="K13" i="17"/>
  <c r="K39" i="22"/>
  <c r="K15" i="22"/>
  <c r="K17" i="28"/>
  <c r="K14" i="17"/>
  <c r="I10" i="9"/>
  <c r="K8" i="26"/>
  <c r="K35" i="29"/>
  <c r="K15" i="29"/>
  <c r="K33" i="29"/>
  <c r="K22" i="29"/>
  <c r="K13" i="29"/>
  <c r="K9" i="25"/>
  <c r="K40" i="17"/>
  <c r="K10" i="25"/>
  <c r="K50" i="17"/>
  <c r="K19" i="28"/>
  <c r="K16" i="17"/>
  <c r="K9" i="29"/>
  <c r="K31" i="22"/>
  <c r="K39" i="29"/>
  <c r="K31" i="29"/>
  <c r="H37" i="6"/>
  <c r="I11" i="5"/>
  <c r="I10" i="2"/>
  <c r="K18" i="28"/>
  <c r="K15" i="17"/>
  <c r="K9" i="26"/>
  <c r="K7" i="29"/>
  <c r="K29" i="29"/>
  <c r="K37" i="29"/>
  <c r="K17" i="29"/>
  <c r="K10" i="26"/>
  <c r="K50" i="21"/>
  <c r="K24" i="22"/>
  <c r="K33" i="22"/>
  <c r="I10" i="5"/>
  <c r="K8" i="25"/>
  <c r="I9" i="2"/>
  <c r="AA21" i="22"/>
  <c r="AA15" i="22"/>
  <c r="AA33" i="22"/>
  <c r="AA9" i="26"/>
  <c r="AA19" i="28"/>
  <c r="AA16" i="17"/>
  <c r="Y10" i="9"/>
  <c r="AA8" i="26"/>
  <c r="AA18" i="28"/>
  <c r="AA15" i="17"/>
  <c r="AA17" i="28"/>
  <c r="AA14" i="17"/>
  <c r="AA33" i="29"/>
  <c r="AA22" i="29"/>
  <c r="AA13" i="29"/>
  <c r="Y10" i="5"/>
  <c r="AA8" i="25"/>
  <c r="Y9" i="2"/>
  <c r="AA39" i="22"/>
  <c r="AA50" i="21"/>
  <c r="AA9" i="29"/>
  <c r="AA39" i="29"/>
  <c r="AA31" i="29"/>
  <c r="X37" i="6"/>
  <c r="Y11" i="5"/>
  <c r="Y10" i="2"/>
  <c r="AA35" i="29"/>
  <c r="AA15" i="29"/>
  <c r="AA16" i="28"/>
  <c r="AA13" i="17"/>
  <c r="AA7" i="29"/>
  <c r="AA29" i="29"/>
  <c r="AA37" i="29"/>
  <c r="AA17" i="29"/>
  <c r="AA10" i="25"/>
  <c r="AA50" i="17"/>
  <c r="AA10" i="26"/>
  <c r="AA24" i="22"/>
  <c r="AA31" i="22"/>
  <c r="J10" i="24"/>
  <c r="J18" i="30"/>
  <c r="J14" i="30"/>
  <c r="J35" i="24"/>
  <c r="J8" i="28"/>
  <c r="J15" i="23"/>
  <c r="H61" i="11"/>
  <c r="J11" i="24"/>
  <c r="J9" i="28"/>
  <c r="J7" i="23"/>
  <c r="J10" i="30"/>
  <c r="J7" i="24"/>
  <c r="J14" i="28"/>
  <c r="J13" i="28"/>
  <c r="J90" i="17"/>
  <c r="J19" i="23"/>
  <c r="H62" i="11"/>
  <c r="J18" i="23"/>
  <c r="J7" i="30"/>
  <c r="J6" i="28"/>
  <c r="J7" i="28"/>
  <c r="J52" i="24"/>
  <c r="J9" i="24"/>
  <c r="P18" i="22"/>
  <c r="J9" i="23"/>
  <c r="P19" i="28"/>
  <c r="P16" i="17"/>
  <c r="J17" i="23"/>
  <c r="P10" i="26"/>
  <c r="P9" i="26"/>
  <c r="N10" i="5"/>
  <c r="P8" i="25"/>
  <c r="N9" i="2"/>
  <c r="P24" i="29"/>
  <c r="P28" i="22"/>
  <c r="P35" i="29"/>
  <c r="P15" i="29"/>
  <c r="P25" i="22"/>
  <c r="P10" i="22"/>
  <c r="P36" i="22"/>
  <c r="P36" i="29"/>
  <c r="P16" i="29"/>
  <c r="P17" i="28"/>
  <c r="P14" i="17"/>
  <c r="P20" i="28"/>
  <c r="P17" i="17"/>
  <c r="P18" i="28"/>
  <c r="P15" i="17"/>
  <c r="P33" i="29"/>
  <c r="P22" i="29"/>
  <c r="P13" i="29"/>
  <c r="P34" i="22"/>
  <c r="P30" i="22"/>
  <c r="P9" i="25"/>
  <c r="P40" i="17"/>
  <c r="P8" i="29"/>
  <c r="P30" i="29"/>
  <c r="N10" i="9"/>
  <c r="P8" i="26"/>
  <c r="P38" i="29"/>
  <c r="P18" i="29"/>
  <c r="W7" i="29"/>
  <c r="W29" i="29"/>
  <c r="W39" i="29"/>
  <c r="W31" i="29"/>
  <c r="T37" i="6"/>
  <c r="U11" i="5"/>
  <c r="U10" i="2"/>
  <c r="W29" i="22"/>
  <c r="W36" i="29"/>
  <c r="W16" i="29"/>
  <c r="W9" i="25"/>
  <c r="W40" i="17"/>
  <c r="W18" i="28"/>
  <c r="W15" i="17"/>
  <c r="U10" i="5"/>
  <c r="W8" i="25"/>
  <c r="U9" i="2"/>
  <c r="W24" i="29"/>
  <c r="W9" i="29"/>
  <c r="W16" i="28"/>
  <c r="W13" i="17"/>
  <c r="W31" i="22"/>
  <c r="W10" i="26"/>
  <c r="W37" i="29"/>
  <c r="W17" i="29"/>
  <c r="W34" i="29"/>
  <c r="W23" i="29"/>
  <c r="W14" i="29"/>
  <c r="W9" i="26"/>
  <c r="W19" i="22"/>
  <c r="W20" i="28"/>
  <c r="W17" i="17"/>
  <c r="W33" i="29"/>
  <c r="W22" i="29"/>
  <c r="W13" i="29"/>
  <c r="W35" i="22"/>
  <c r="W19" i="28"/>
  <c r="W16" i="17"/>
  <c r="U10" i="9"/>
  <c r="W8" i="26"/>
  <c r="W37" i="22"/>
  <c r="L30" i="34"/>
  <c r="L13" i="34"/>
  <c r="G34" i="29"/>
  <c r="G23" i="29"/>
  <c r="G14" i="29"/>
  <c r="G9" i="25"/>
  <c r="G40" i="17"/>
  <c r="G9" i="26"/>
  <c r="E10" i="9"/>
  <c r="G8" i="26"/>
  <c r="G37" i="22"/>
  <c r="G19" i="28"/>
  <c r="G16" i="17"/>
  <c r="G16" i="28"/>
  <c r="G13" i="17"/>
  <c r="G9" i="29"/>
  <c r="E10" i="5"/>
  <c r="G8" i="25"/>
  <c r="E9" i="2"/>
  <c r="G31" i="22"/>
  <c r="G19" i="22"/>
  <c r="G36" i="29"/>
  <c r="G16" i="29"/>
  <c r="G18" i="28"/>
  <c r="G15" i="17"/>
  <c r="G35" i="22"/>
  <c r="G37" i="29"/>
  <c r="G17" i="29"/>
  <c r="G33" i="29"/>
  <c r="G22" i="29"/>
  <c r="G13" i="29"/>
  <c r="G24" i="29"/>
  <c r="G10" i="26"/>
  <c r="G7" i="29"/>
  <c r="G29" i="29"/>
  <c r="G20" i="28"/>
  <c r="G17" i="17"/>
  <c r="G39" i="29"/>
  <c r="G31" i="29"/>
  <c r="D37" i="6"/>
  <c r="E11" i="5"/>
  <c r="E10" i="2"/>
  <c r="G10" i="25"/>
  <c r="G50" i="17"/>
  <c r="C24" i="26"/>
  <c r="C64" i="24"/>
  <c r="C18" i="26"/>
  <c r="C16" i="30"/>
  <c r="C22" i="27"/>
  <c r="C18" i="27"/>
  <c r="C25" i="25"/>
  <c r="C60" i="24"/>
  <c r="C21" i="27"/>
  <c r="C12" i="27"/>
  <c r="C19" i="25"/>
  <c r="C10" i="27"/>
  <c r="C18" i="25"/>
  <c r="C20" i="29"/>
  <c r="C27" i="25"/>
  <c r="C87" i="17"/>
  <c r="C26" i="29"/>
  <c r="C8" i="27"/>
  <c r="C65" i="24"/>
  <c r="C16" i="27"/>
  <c r="C23" i="25"/>
  <c r="C27" i="26"/>
  <c r="C40" i="29"/>
  <c r="C6" i="27"/>
  <c r="C7" i="27"/>
  <c r="C89" i="17"/>
  <c r="C25" i="26"/>
  <c r="C54" i="24"/>
  <c r="X14" i="30"/>
  <c r="X8" i="28"/>
  <c r="X9" i="28"/>
  <c r="X9" i="23"/>
  <c r="X9" i="24"/>
  <c r="X7" i="24"/>
  <c r="X7" i="28"/>
  <c r="X19" i="23"/>
  <c r="V62" i="11"/>
  <c r="V17" i="27"/>
  <c r="T14" i="5"/>
  <c r="V24" i="25"/>
  <c r="X20" i="23"/>
  <c r="X16" i="23"/>
  <c r="X13" i="23"/>
  <c r="V60" i="11"/>
  <c r="V38" i="4"/>
  <c r="X6" i="28"/>
  <c r="V18" i="27"/>
  <c r="V25" i="25"/>
  <c r="V65" i="24"/>
  <c r="X18" i="30"/>
  <c r="X8" i="23"/>
  <c r="X52" i="24"/>
  <c r="V9" i="27"/>
  <c r="D14" i="9"/>
  <c r="F24" i="26"/>
  <c r="V69" i="24"/>
  <c r="V19" i="26"/>
  <c r="Z7" i="24"/>
  <c r="F62" i="24"/>
  <c r="V19" i="24"/>
  <c r="X11" i="24"/>
  <c r="X12" i="30"/>
  <c r="V8" i="27"/>
  <c r="F8" i="27"/>
  <c r="Z19" i="23"/>
  <c r="X62" i="11"/>
  <c r="V22" i="27"/>
  <c r="X10" i="28"/>
  <c r="Q11" i="24"/>
  <c r="V11" i="29"/>
  <c r="F11" i="29"/>
  <c r="X35" i="24"/>
  <c r="F9" i="27"/>
  <c r="X13" i="28"/>
  <c r="X90" i="17"/>
  <c r="Z10" i="28"/>
  <c r="X7" i="30"/>
  <c r="F10" i="27"/>
  <c r="F18" i="25"/>
  <c r="Z9" i="28"/>
  <c r="Z11" i="24"/>
  <c r="Z7" i="28"/>
  <c r="F70" i="24"/>
  <c r="X11" i="28"/>
  <c r="Z13" i="28"/>
  <c r="Z90" i="17"/>
  <c r="F7" i="27"/>
  <c r="F89" i="17"/>
  <c r="T14" i="9"/>
  <c r="V24" i="26"/>
  <c r="V39" i="24"/>
  <c r="F39" i="24"/>
  <c r="Z35" i="24"/>
  <c r="V70" i="24"/>
  <c r="F19" i="24"/>
  <c r="V18" i="26"/>
  <c r="F16" i="27"/>
  <c r="F23" i="25"/>
  <c r="V26" i="29"/>
  <c r="V13" i="27"/>
  <c r="V20" i="25"/>
  <c r="F12" i="27"/>
  <c r="F19" i="25"/>
  <c r="Q7" i="23"/>
  <c r="G29" i="34"/>
  <c r="F19" i="26"/>
  <c r="G37" i="34"/>
  <c r="Z9" i="24"/>
  <c r="Q8" i="23"/>
  <c r="Z52" i="24"/>
  <c r="G41" i="34"/>
  <c r="F14" i="27"/>
  <c r="F21" i="25"/>
  <c r="Z18" i="30"/>
  <c r="F16" i="30"/>
  <c r="Q8" i="28"/>
  <c r="Z7" i="30"/>
  <c r="G8" i="34"/>
  <c r="Q35" i="24"/>
  <c r="F26" i="29"/>
  <c r="Z18" i="23"/>
  <c r="F17" i="27"/>
  <c r="D14" i="5"/>
  <c r="F24" i="25"/>
  <c r="Z9" i="23"/>
  <c r="Q18" i="23"/>
  <c r="G38" i="34"/>
  <c r="Z14" i="23"/>
  <c r="F13" i="27"/>
  <c r="F20" i="25"/>
  <c r="G20" i="34"/>
  <c r="Z8" i="28"/>
  <c r="F68" i="24"/>
  <c r="O20" i="30"/>
  <c r="G39" i="34"/>
  <c r="G40" i="34"/>
  <c r="Q10" i="24"/>
  <c r="Q10" i="30"/>
  <c r="F21" i="27"/>
  <c r="G45" i="34"/>
  <c r="Q11" i="28"/>
  <c r="O8" i="24"/>
  <c r="Z6" i="28"/>
  <c r="Z14" i="28"/>
  <c r="O14" i="28"/>
  <c r="Z10" i="30"/>
  <c r="Q10" i="23"/>
  <c r="V10" i="27"/>
  <c r="V18" i="25"/>
  <c r="F28" i="25"/>
  <c r="G7" i="34"/>
  <c r="G46" i="34"/>
  <c r="G9" i="34"/>
  <c r="Z14" i="30"/>
  <c r="Q6" i="28"/>
  <c r="O9" i="23"/>
  <c r="O18" i="23"/>
  <c r="K10" i="34"/>
  <c r="Z7" i="23"/>
  <c r="F65" i="24"/>
  <c r="G19" i="34"/>
  <c r="V16" i="30"/>
  <c r="K39" i="34"/>
  <c r="V21" i="27"/>
  <c r="Q10" i="28"/>
  <c r="Q14" i="28"/>
  <c r="K40" i="34"/>
  <c r="V12" i="27"/>
  <c r="V19" i="25"/>
  <c r="O13" i="28"/>
  <c r="O90" i="17"/>
  <c r="Q7" i="28"/>
  <c r="V6" i="27"/>
  <c r="Z17" i="23"/>
  <c r="V7" i="27"/>
  <c r="V89" i="17"/>
  <c r="K29" i="34"/>
  <c r="K34" i="34"/>
  <c r="O6" i="28"/>
  <c r="K8" i="34"/>
  <c r="Q20" i="23"/>
  <c r="K43" i="34"/>
  <c r="Q9" i="28"/>
  <c r="O7" i="24"/>
  <c r="G31" i="34"/>
  <c r="Q12" i="30"/>
  <c r="K42" i="34"/>
  <c r="O14" i="23"/>
  <c r="K31" i="34"/>
  <c r="O8" i="28"/>
  <c r="Q20" i="30"/>
  <c r="O7" i="28"/>
  <c r="Q19" i="23"/>
  <c r="O62" i="11"/>
  <c r="Q52" i="24"/>
  <c r="K41" i="34"/>
  <c r="Q8" i="24"/>
  <c r="K9" i="34"/>
  <c r="Q15" i="23"/>
  <c r="O61" i="11"/>
  <c r="K7" i="34"/>
  <c r="O14" i="30"/>
  <c r="O9" i="28"/>
  <c r="K35" i="34"/>
  <c r="O10" i="28"/>
  <c r="O20" i="23"/>
  <c r="O10" i="23"/>
  <c r="O35" i="24"/>
  <c r="O52" i="24"/>
  <c r="O11" i="28"/>
  <c r="O10" i="24"/>
  <c r="O10" i="30"/>
  <c r="M35" i="34"/>
  <c r="M43" i="34"/>
  <c r="O17" i="23"/>
  <c r="M36" i="34"/>
  <c r="M41" i="34"/>
  <c r="M40" i="34"/>
  <c r="M42" i="34"/>
  <c r="M10" i="34"/>
  <c r="M31" i="34"/>
  <c r="M8" i="34"/>
  <c r="M44" i="34"/>
  <c r="M9" i="34"/>
  <c r="O42" i="34"/>
  <c r="M34" i="34"/>
  <c r="E40" i="34"/>
  <c r="O31" i="34"/>
  <c r="E39" i="34"/>
  <c r="E46" i="34"/>
  <c r="E36" i="34"/>
  <c r="O44" i="34"/>
  <c r="O10" i="34"/>
  <c r="O37" i="34"/>
  <c r="E37" i="34"/>
  <c r="E44" i="34"/>
  <c r="E7" i="34"/>
  <c r="E29" i="34"/>
  <c r="E20" i="34"/>
  <c r="O43" i="34"/>
  <c r="O34" i="34"/>
  <c r="E45" i="34"/>
  <c r="E8" i="34"/>
  <c r="E19" i="34"/>
  <c r="O41" i="34"/>
  <c r="O36" i="34"/>
  <c r="O19" i="34"/>
  <c r="T20" i="29"/>
  <c r="E38" i="34"/>
  <c r="O45" i="34"/>
  <c r="O9" i="34"/>
  <c r="O35" i="34"/>
  <c r="C35" i="34"/>
  <c r="C38" i="34"/>
  <c r="C46" i="34"/>
  <c r="C36" i="34"/>
  <c r="C7" i="34"/>
  <c r="C44" i="34"/>
  <c r="C20" i="34"/>
  <c r="C37" i="34"/>
  <c r="C39" i="34"/>
  <c r="C19" i="34"/>
  <c r="C43" i="34"/>
  <c r="C29" i="34"/>
  <c r="C45" i="34"/>
  <c r="Q34" i="22"/>
  <c r="Q8" i="29"/>
  <c r="Q30" i="29"/>
  <c r="Q20" i="28"/>
  <c r="Q17" i="17"/>
  <c r="V18" i="28"/>
  <c r="V15" i="17"/>
  <c r="Q37" i="22"/>
  <c r="O38" i="29"/>
  <c r="O18" i="29"/>
  <c r="Q19" i="28"/>
  <c r="Q16" i="17"/>
  <c r="V19" i="28"/>
  <c r="V16" i="17"/>
  <c r="V37" i="22"/>
  <c r="Q9" i="25"/>
  <c r="Q40" i="17"/>
  <c r="O33" i="29"/>
  <c r="O22" i="29"/>
  <c r="O13" i="29"/>
  <c r="O10" i="5"/>
  <c r="Q8" i="25"/>
  <c r="O9" i="2"/>
  <c r="O8" i="29"/>
  <c r="O30" i="29"/>
  <c r="O46" i="21"/>
  <c r="V36" i="29"/>
  <c r="V16" i="29"/>
  <c r="V34" i="29"/>
  <c r="V23" i="29"/>
  <c r="V14" i="29"/>
  <c r="O39" i="22"/>
  <c r="Q36" i="29"/>
  <c r="Q16" i="29"/>
  <c r="O10" i="9"/>
  <c r="Q8" i="26"/>
  <c r="V10" i="26"/>
  <c r="V30" i="22"/>
  <c r="M10" i="9"/>
  <c r="O8" i="26"/>
  <c r="O37" i="29"/>
  <c r="O17" i="29"/>
  <c r="T10" i="9"/>
  <c r="V8" i="26"/>
  <c r="O17" i="28"/>
  <c r="O14" i="17"/>
  <c r="Q9" i="26"/>
  <c r="Q10" i="25"/>
  <c r="Q50" i="17"/>
  <c r="V35" i="29"/>
  <c r="V15" i="29"/>
  <c r="Q10" i="26"/>
  <c r="Q16" i="28"/>
  <c r="Q13" i="17"/>
  <c r="Q26" i="22"/>
  <c r="Q35" i="29"/>
  <c r="Q15" i="29"/>
  <c r="O11" i="22"/>
  <c r="V12" i="22"/>
  <c r="Q38" i="29"/>
  <c r="Q18" i="29"/>
  <c r="V9" i="29"/>
  <c r="O9" i="26"/>
  <c r="O10" i="26"/>
  <c r="T10" i="5"/>
  <c r="V8" i="25"/>
  <c r="T9" i="2"/>
  <c r="O18" i="28"/>
  <c r="O15" i="17"/>
  <c r="V28" i="22"/>
  <c r="O10" i="25"/>
  <c r="O50" i="17"/>
  <c r="Q39" i="29"/>
  <c r="Q31" i="29"/>
  <c r="N37" i="6"/>
  <c r="O11" i="5"/>
  <c r="O10" i="2"/>
  <c r="Q34" i="29"/>
  <c r="Q23" i="29"/>
  <c r="Q14" i="29"/>
  <c r="V16" i="28"/>
  <c r="V13" i="17"/>
  <c r="V20" i="28"/>
  <c r="V17" i="17"/>
  <c r="V24" i="29"/>
  <c r="O36" i="29"/>
  <c r="O16" i="29"/>
  <c r="O35" i="29"/>
  <c r="O15" i="29"/>
  <c r="Q17" i="28"/>
  <c r="Q14" i="17"/>
  <c r="V47" i="21"/>
  <c r="Q44" i="21"/>
  <c r="O19" i="28"/>
  <c r="O16" i="17"/>
  <c r="V38" i="29"/>
  <c r="V18" i="29"/>
  <c r="O9" i="25"/>
  <c r="O40" i="17"/>
  <c r="T27" i="25"/>
  <c r="T87" i="17"/>
  <c r="O26" i="22"/>
  <c r="Q9" i="22"/>
  <c r="V10" i="25"/>
  <c r="V50" i="17"/>
  <c r="O34" i="29"/>
  <c r="O23" i="29"/>
  <c r="O14" i="29"/>
  <c r="T8" i="27"/>
  <c r="O36" i="22"/>
  <c r="V9" i="26"/>
  <c r="T7" i="27"/>
  <c r="T89" i="17"/>
  <c r="T16" i="27"/>
  <c r="T23" i="25"/>
  <c r="Q24" i="29"/>
  <c r="M10" i="5"/>
  <c r="O8" i="25"/>
  <c r="M9" i="2"/>
  <c r="H8" i="23"/>
  <c r="V37" i="29"/>
  <c r="V17" i="29"/>
  <c r="V39" i="29"/>
  <c r="V31" i="29"/>
  <c r="S37" i="6"/>
  <c r="T11" i="5"/>
  <c r="T10" i="2"/>
  <c r="T16" i="30"/>
  <c r="T26" i="29"/>
  <c r="H7" i="30"/>
  <c r="O29" i="22"/>
  <c r="T40" i="29"/>
  <c r="T27" i="26"/>
  <c r="H6" i="28"/>
  <c r="T41" i="24"/>
  <c r="H10" i="28"/>
  <c r="T6" i="27"/>
  <c r="H52" i="24"/>
  <c r="T20" i="27"/>
  <c r="T21" i="27"/>
  <c r="T21" i="26"/>
  <c r="H7" i="28"/>
  <c r="Y18" i="28"/>
  <c r="Y15" i="17"/>
  <c r="Y9" i="29"/>
  <c r="H11" i="24"/>
  <c r="Y10" i="26"/>
  <c r="H12" i="30"/>
  <c r="T18" i="27"/>
  <c r="T25" i="25"/>
  <c r="Y34" i="29"/>
  <c r="Y23" i="29"/>
  <c r="Y14" i="29"/>
  <c r="H17" i="23"/>
  <c r="T11" i="29"/>
  <c r="T10" i="27"/>
  <c r="T18" i="25"/>
  <c r="Y37" i="29"/>
  <c r="Y17" i="29"/>
  <c r="T20" i="26"/>
  <c r="H20" i="23"/>
  <c r="T19" i="26"/>
  <c r="W10" i="9"/>
  <c r="Y8" i="26"/>
  <c r="H14" i="30"/>
  <c r="Y35" i="22"/>
  <c r="H7" i="24"/>
  <c r="Y10" i="25"/>
  <c r="Y50" i="17"/>
  <c r="T21" i="24"/>
  <c r="T9" i="27"/>
  <c r="H9" i="24"/>
  <c r="Y17" i="22"/>
  <c r="Z37" i="29"/>
  <c r="Z17" i="29"/>
  <c r="H13" i="23"/>
  <c r="F60" i="11"/>
  <c r="F38" i="4"/>
  <c r="Y19" i="28"/>
  <c r="Y16" i="17"/>
  <c r="Z9" i="29"/>
  <c r="T12" i="27"/>
  <c r="T19" i="25"/>
  <c r="X10" i="5"/>
  <c r="Z8" i="25"/>
  <c r="X9" i="2"/>
  <c r="Y20" i="28"/>
  <c r="Y17" i="17"/>
  <c r="H16" i="23"/>
  <c r="Y7" i="29"/>
  <c r="Y29" i="29"/>
  <c r="Z8" i="22"/>
  <c r="H8" i="28"/>
  <c r="H18" i="30"/>
  <c r="Z25" i="29"/>
  <c r="Z19" i="29"/>
  <c r="Z10" i="29"/>
  <c r="Y12" i="8"/>
  <c r="X6" i="9"/>
  <c r="X6" i="5"/>
  <c r="X6" i="2"/>
  <c r="Z7" i="29"/>
  <c r="Z29" i="29"/>
  <c r="H9" i="23"/>
  <c r="Y35" i="29"/>
  <c r="Y15" i="29"/>
  <c r="H13" i="28"/>
  <c r="H90" i="17"/>
  <c r="Z10" i="25"/>
  <c r="Z50" i="17"/>
  <c r="Y33" i="22"/>
  <c r="Y16" i="28"/>
  <c r="Y13" i="17"/>
  <c r="Z10" i="26"/>
  <c r="H9" i="28"/>
  <c r="Y9" i="25"/>
  <c r="Y40" i="17"/>
  <c r="H11" i="28"/>
  <c r="Z35" i="29"/>
  <c r="Z15" i="29"/>
  <c r="Z38" i="29"/>
  <c r="Z18" i="29"/>
  <c r="Y39" i="29"/>
  <c r="Y31" i="29"/>
  <c r="V37" i="6"/>
  <c r="W11" i="5"/>
  <c r="W10" i="2"/>
  <c r="Z9" i="25"/>
  <c r="Z40" i="17"/>
  <c r="Y17" i="28"/>
  <c r="Y14" i="17"/>
  <c r="H19" i="23"/>
  <c r="F62" i="11"/>
  <c r="Z18" i="28"/>
  <c r="Z15" i="17"/>
  <c r="Y24" i="29"/>
  <c r="I10" i="25"/>
  <c r="I50" i="17"/>
  <c r="Z43" i="21"/>
  <c r="Y25" i="29"/>
  <c r="Y19" i="29"/>
  <c r="Y10" i="29"/>
  <c r="X12" i="8"/>
  <c r="W6" i="9"/>
  <c r="W6" i="5"/>
  <c r="W6" i="2"/>
  <c r="I34" i="29"/>
  <c r="I23" i="29"/>
  <c r="I14" i="29"/>
  <c r="W10" i="5"/>
  <c r="Y8" i="25"/>
  <c r="W9" i="2"/>
  <c r="I10" i="26"/>
  <c r="Z25" i="22"/>
  <c r="I7" i="29"/>
  <c r="I29" i="29"/>
  <c r="Y54" i="21"/>
  <c r="I54" i="21"/>
  <c r="X10" i="9"/>
  <c r="Z8" i="26"/>
  <c r="I39" i="29"/>
  <c r="I31" i="29"/>
  <c r="F37" i="6"/>
  <c r="G11" i="5"/>
  <c r="G10" i="2"/>
  <c r="Z9" i="26"/>
  <c r="Z19" i="28"/>
  <c r="Z16" i="17"/>
  <c r="I9" i="29"/>
  <c r="Z39" i="29"/>
  <c r="Z31" i="29"/>
  <c r="W37" i="6"/>
  <c r="X11" i="5"/>
  <c r="X10" i="2"/>
  <c r="Z33" i="22"/>
  <c r="I35" i="22"/>
  <c r="G10" i="5"/>
  <c r="I8" i="25"/>
  <c r="G9" i="2"/>
  <c r="Z34" i="29"/>
  <c r="Z23" i="29"/>
  <c r="Z14" i="29"/>
  <c r="Z33" i="29"/>
  <c r="Z22" i="29"/>
  <c r="Z13" i="29"/>
  <c r="I37" i="29"/>
  <c r="I17" i="29"/>
  <c r="I18" i="28"/>
  <c r="I15" i="17"/>
  <c r="X38" i="22"/>
  <c r="Z16" i="28"/>
  <c r="Z13" i="17"/>
  <c r="X36" i="29"/>
  <c r="X16" i="29"/>
  <c r="I35" i="29"/>
  <c r="I15" i="29"/>
  <c r="I9" i="26"/>
  <c r="V10" i="9"/>
  <c r="X8" i="26"/>
  <c r="X9" i="29"/>
  <c r="I33" i="22"/>
  <c r="I9" i="25"/>
  <c r="I40" i="17"/>
  <c r="X9" i="25"/>
  <c r="X40" i="17"/>
  <c r="X25" i="22"/>
  <c r="I17" i="28"/>
  <c r="I14" i="17"/>
  <c r="I17" i="22"/>
  <c r="I16" i="28"/>
  <c r="I13" i="17"/>
  <c r="X45" i="21"/>
  <c r="X35" i="22"/>
  <c r="X16" i="28"/>
  <c r="X13" i="17"/>
  <c r="I24" i="29"/>
  <c r="X10" i="22"/>
  <c r="I19" i="28"/>
  <c r="I16" i="17"/>
  <c r="X18" i="28"/>
  <c r="X15" i="17"/>
  <c r="I20" i="28"/>
  <c r="I17" i="17"/>
  <c r="X17" i="28"/>
  <c r="X14" i="17"/>
  <c r="I25" i="29"/>
  <c r="I19" i="29"/>
  <c r="I10" i="29"/>
  <c r="H12" i="8"/>
  <c r="G6" i="9"/>
  <c r="G6" i="5"/>
  <c r="G6" i="2"/>
  <c r="X33" i="29"/>
  <c r="X22" i="29"/>
  <c r="X13" i="29"/>
  <c r="X24" i="29"/>
  <c r="X10" i="26"/>
  <c r="X39" i="29"/>
  <c r="X31" i="29"/>
  <c r="U37" i="6"/>
  <c r="V11" i="5"/>
  <c r="V10" i="2"/>
  <c r="X9" i="26"/>
  <c r="X7" i="29"/>
  <c r="X29" i="29"/>
  <c r="X37" i="29"/>
  <c r="X17" i="29"/>
  <c r="V10" i="5"/>
  <c r="X8" i="25"/>
  <c r="V9" i="2"/>
  <c r="X28" i="22"/>
  <c r="X35" i="29"/>
  <c r="X15" i="29"/>
  <c r="W57" i="24"/>
  <c r="W21" i="26"/>
  <c r="W9" i="27"/>
  <c r="W26" i="29"/>
  <c r="W10" i="27"/>
  <c r="W18" i="25"/>
  <c r="W16" i="30"/>
  <c r="W65" i="24"/>
  <c r="H17" i="28"/>
  <c r="H14" i="17"/>
  <c r="H33" i="29"/>
  <c r="H22" i="29"/>
  <c r="H13" i="29"/>
  <c r="W61" i="24"/>
  <c r="H9" i="25"/>
  <c r="H40" i="17"/>
  <c r="W60" i="24"/>
  <c r="H35" i="29"/>
  <c r="H15" i="29"/>
  <c r="W28" i="25"/>
  <c r="W19" i="26"/>
  <c r="H25" i="22"/>
  <c r="H20" i="28"/>
  <c r="H17" i="17"/>
  <c r="W16" i="27"/>
  <c r="W23" i="25"/>
  <c r="F10" i="9"/>
  <c r="H8" i="26"/>
  <c r="W21" i="27"/>
  <c r="H39" i="29"/>
  <c r="H31" i="29"/>
  <c r="E37" i="6"/>
  <c r="F11" i="5"/>
  <c r="F10" i="2"/>
  <c r="W14" i="27"/>
  <c r="W21" i="25"/>
  <c r="H7" i="29"/>
  <c r="H29" i="29"/>
  <c r="W46" i="24"/>
  <c r="W7" i="27"/>
  <c r="W89" i="17"/>
  <c r="H45" i="21"/>
  <c r="H24" i="29"/>
  <c r="W12" i="27"/>
  <c r="W19" i="25"/>
  <c r="W18" i="26"/>
  <c r="H9" i="26"/>
  <c r="H10" i="25"/>
  <c r="H50" i="17"/>
  <c r="H10" i="26"/>
  <c r="W26" i="24"/>
  <c r="W17" i="27"/>
  <c r="U14" i="5"/>
  <c r="W24" i="25"/>
  <c r="H37" i="29"/>
  <c r="H17" i="29"/>
  <c r="H18" i="28"/>
  <c r="H15" i="17"/>
  <c r="W13" i="27"/>
  <c r="W20" i="25"/>
  <c r="H35" i="22"/>
  <c r="H16" i="28"/>
  <c r="H13" i="17"/>
  <c r="W20" i="26"/>
  <c r="H36" i="29"/>
  <c r="H16" i="29"/>
  <c r="H9" i="29"/>
  <c r="H28" i="22"/>
  <c r="H10" i="22"/>
  <c r="D27" i="25"/>
  <c r="D87" i="17"/>
  <c r="D27" i="26"/>
  <c r="D41" i="24"/>
  <c r="D9" i="27"/>
  <c r="D21" i="24"/>
  <c r="D14" i="27"/>
  <c r="D21" i="25"/>
  <c r="D17" i="27"/>
  <c r="D24" i="25"/>
  <c r="D69" i="24"/>
  <c r="D21" i="27"/>
  <c r="D8" i="27"/>
  <c r="D10" i="27"/>
  <c r="D18" i="25"/>
  <c r="D21" i="26"/>
  <c r="D16" i="30"/>
  <c r="D28" i="25"/>
  <c r="D12" i="27"/>
  <c r="D19" i="25"/>
  <c r="D11" i="29"/>
  <c r="D18" i="27"/>
  <c r="D25" i="25"/>
  <c r="D20" i="29"/>
  <c r="D40" i="29"/>
  <c r="D7" i="27"/>
  <c r="D89" i="17"/>
  <c r="D6" i="27"/>
  <c r="D26" i="29"/>
  <c r="G60" i="24"/>
  <c r="G20" i="27"/>
  <c r="G11" i="29"/>
  <c r="G18" i="27"/>
  <c r="G25" i="25"/>
  <c r="G21" i="26"/>
  <c r="G16" i="30"/>
  <c r="E9" i="28"/>
  <c r="E6" i="28"/>
  <c r="G12" i="27"/>
  <c r="G19" i="25"/>
  <c r="G17" i="27"/>
  <c r="E14" i="5"/>
  <c r="G24" i="25"/>
  <c r="E7" i="24"/>
  <c r="G19" i="26"/>
  <c r="E35" i="24"/>
  <c r="G26" i="29"/>
  <c r="G16" i="27"/>
  <c r="G23" i="25"/>
  <c r="I9" i="34"/>
  <c r="G61" i="24"/>
  <c r="E10" i="24"/>
  <c r="I31" i="34"/>
  <c r="E52" i="24"/>
  <c r="E14" i="23"/>
  <c r="I41" i="34"/>
  <c r="G27" i="26"/>
  <c r="G14" i="27"/>
  <c r="G21" i="25"/>
  <c r="E20" i="30"/>
  <c r="G7" i="27"/>
  <c r="G89" i="17"/>
  <c r="I34" i="34"/>
  <c r="E8" i="24"/>
  <c r="G46" i="24"/>
  <c r="E8" i="28"/>
  <c r="I38" i="34"/>
  <c r="G26" i="24"/>
  <c r="G13" i="27"/>
  <c r="G20" i="25"/>
  <c r="I46" i="34"/>
  <c r="E16" i="23"/>
  <c r="E7" i="28"/>
  <c r="I10" i="34"/>
  <c r="G20" i="26"/>
  <c r="I8" i="34"/>
  <c r="E18" i="30"/>
  <c r="G9" i="27"/>
  <c r="E12" i="30"/>
  <c r="I29" i="34"/>
  <c r="I7" i="34"/>
  <c r="E11" i="28"/>
  <c r="G10" i="27"/>
  <c r="G18" i="25"/>
  <c r="E7" i="30"/>
  <c r="G28" i="26"/>
  <c r="I39" i="34"/>
  <c r="E9" i="24"/>
  <c r="I20" i="34"/>
  <c r="I40" i="34"/>
  <c r="E18" i="23"/>
  <c r="E14" i="28"/>
  <c r="I42" i="34"/>
  <c r="E10" i="28"/>
  <c r="E20" i="23"/>
  <c r="E15" i="23"/>
  <c r="C61" i="11"/>
  <c r="F37" i="29"/>
  <c r="F17" i="29"/>
  <c r="D10" i="5"/>
  <c r="F8" i="25"/>
  <c r="D9" i="2"/>
  <c r="F28" i="22"/>
  <c r="F30" i="22"/>
  <c r="F20" i="28"/>
  <c r="F17" i="17"/>
  <c r="F36" i="29"/>
  <c r="F16" i="29"/>
  <c r="F39" i="29"/>
  <c r="F31" i="29"/>
  <c r="C37" i="6"/>
  <c r="D11" i="5"/>
  <c r="D10" i="2"/>
  <c r="F24" i="29"/>
  <c r="F9" i="25"/>
  <c r="F40" i="17"/>
  <c r="F47" i="21"/>
  <c r="F9" i="29"/>
  <c r="F34" i="29"/>
  <c r="F23" i="29"/>
  <c r="F14" i="29"/>
  <c r="F9" i="26"/>
  <c r="F18" i="28"/>
  <c r="F15" i="17"/>
  <c r="F10" i="25"/>
  <c r="F50" i="17"/>
  <c r="F38" i="29"/>
  <c r="F18" i="29"/>
  <c r="F35" i="29"/>
  <c r="F15" i="29"/>
  <c r="F16" i="28"/>
  <c r="F13" i="17"/>
  <c r="F37" i="22"/>
  <c r="F10" i="26"/>
  <c r="F12" i="22"/>
  <c r="D10" i="9"/>
  <c r="F8" i="26"/>
  <c r="N8" i="28"/>
  <c r="N14" i="23"/>
  <c r="N14" i="30"/>
  <c r="N19" i="23"/>
  <c r="L62" i="11"/>
  <c r="N18" i="30"/>
  <c r="N14" i="28"/>
  <c r="N13" i="28"/>
  <c r="N90" i="17"/>
  <c r="N8" i="24"/>
  <c r="N13" i="23"/>
  <c r="L60" i="11"/>
  <c r="L38" i="4"/>
  <c r="N9" i="24"/>
  <c r="N6" i="28"/>
  <c r="N20" i="30"/>
  <c r="N35" i="24"/>
  <c r="N15" i="23"/>
  <c r="L61" i="11"/>
  <c r="N20" i="23"/>
  <c r="N17" i="23"/>
  <c r="N52" i="24"/>
  <c r="N10" i="28"/>
  <c r="N7" i="28"/>
  <c r="N7" i="24"/>
  <c r="N10" i="30"/>
  <c r="N9" i="28"/>
  <c r="N38" i="22"/>
  <c r="N9" i="26"/>
  <c r="N10" i="26"/>
  <c r="N35" i="29"/>
  <c r="N15" i="29"/>
  <c r="N20" i="28"/>
  <c r="N17" i="17"/>
  <c r="N60" i="21"/>
  <c r="N19" i="28"/>
  <c r="N16" i="17"/>
  <c r="N38" i="29"/>
  <c r="N18" i="29"/>
  <c r="N9" i="25"/>
  <c r="N40" i="17"/>
  <c r="N7" i="29"/>
  <c r="N29" i="29"/>
  <c r="N34" i="29"/>
  <c r="N23" i="29"/>
  <c r="N14" i="29"/>
  <c r="N10" i="25"/>
  <c r="N50" i="17"/>
  <c r="N20" i="22"/>
  <c r="N36" i="22"/>
  <c r="N17" i="28"/>
  <c r="N14" i="17"/>
  <c r="N24" i="29"/>
  <c r="K18" i="30"/>
  <c r="N9" i="29"/>
  <c r="L10" i="5"/>
  <c r="N8" i="25"/>
  <c r="L9" i="2"/>
  <c r="L10" i="9"/>
  <c r="N8" i="26"/>
  <c r="N8" i="29"/>
  <c r="N30" i="29"/>
  <c r="N16" i="28"/>
  <c r="N13" i="17"/>
  <c r="V10" i="28"/>
  <c r="E18" i="34"/>
  <c r="V52" i="24"/>
  <c r="N37" i="29"/>
  <c r="N17" i="29"/>
  <c r="C13" i="34"/>
  <c r="E30" i="34"/>
  <c r="V13" i="23"/>
  <c r="T60" i="11"/>
  <c r="T38" i="4"/>
  <c r="V9" i="24"/>
  <c r="V35" i="24"/>
  <c r="V18" i="23"/>
  <c r="V15" i="23"/>
  <c r="T61" i="11"/>
  <c r="V7" i="23"/>
  <c r="K14" i="28"/>
  <c r="V7" i="28"/>
  <c r="K52" i="24"/>
  <c r="C18" i="34"/>
  <c r="V10" i="23"/>
  <c r="V7" i="30"/>
  <c r="V7" i="24"/>
  <c r="K8" i="28"/>
  <c r="V13" i="28"/>
  <c r="V90" i="17"/>
  <c r="K11" i="24"/>
  <c r="V6" i="28"/>
  <c r="H37" i="34"/>
  <c r="K10" i="23"/>
  <c r="I17" i="23"/>
  <c r="V18" i="30"/>
  <c r="V11" i="28"/>
  <c r="V9" i="28"/>
  <c r="K7" i="24"/>
  <c r="I9" i="23"/>
  <c r="I13" i="28"/>
  <c r="I90" i="17"/>
  <c r="K8" i="23"/>
  <c r="V9" i="23"/>
  <c r="I14" i="23"/>
  <c r="K15" i="23"/>
  <c r="I61" i="11"/>
  <c r="H7" i="34"/>
  <c r="I11" i="24"/>
  <c r="I9" i="24"/>
  <c r="V8" i="28"/>
  <c r="K9" i="28"/>
  <c r="V12" i="30"/>
  <c r="I7" i="30"/>
  <c r="V8" i="24"/>
  <c r="H39" i="34"/>
  <c r="G18" i="23"/>
  <c r="I8" i="23"/>
  <c r="V14" i="28"/>
  <c r="I10" i="30"/>
  <c r="K13" i="28"/>
  <c r="K90" i="17"/>
  <c r="H20" i="34"/>
  <c r="K7" i="23"/>
  <c r="H45" i="34"/>
  <c r="I18" i="30"/>
  <c r="G11" i="24"/>
  <c r="H41" i="34"/>
  <c r="K14" i="30"/>
  <c r="K7" i="30"/>
  <c r="K18" i="23"/>
  <c r="I7" i="28"/>
  <c r="H29" i="34"/>
  <c r="I11" i="28"/>
  <c r="I14" i="30"/>
  <c r="G11" i="28"/>
  <c r="K10" i="24"/>
  <c r="I16" i="23"/>
  <c r="H8" i="34"/>
  <c r="K10" i="28"/>
  <c r="G13" i="23"/>
  <c r="E60" i="11"/>
  <c r="E38" i="4"/>
  <c r="H46" i="34"/>
  <c r="G18" i="30"/>
  <c r="K16" i="23"/>
  <c r="K35" i="24"/>
  <c r="H9" i="34"/>
  <c r="G7" i="24"/>
  <c r="H40" i="34"/>
  <c r="I10" i="23"/>
  <c r="G6" i="28"/>
  <c r="K10" i="30"/>
  <c r="H38" i="34"/>
  <c r="K7" i="28"/>
  <c r="G8" i="24"/>
  <c r="I52" i="24"/>
  <c r="H31" i="34"/>
  <c r="G9" i="28"/>
  <c r="I18" i="23"/>
  <c r="K14" i="23"/>
  <c r="H19" i="34"/>
  <c r="G35" i="24"/>
  <c r="I20" i="23"/>
  <c r="I6" i="28"/>
  <c r="M30" i="34"/>
  <c r="G16" i="23"/>
  <c r="M13" i="34"/>
  <c r="G20" i="23"/>
  <c r="I10" i="28"/>
  <c r="F36" i="34"/>
  <c r="I12" i="30"/>
  <c r="G8" i="28"/>
  <c r="M18" i="34"/>
  <c r="G14" i="28"/>
  <c r="E57" i="11"/>
  <c r="G59" i="21"/>
  <c r="C39" i="22"/>
  <c r="G7" i="30"/>
  <c r="I9" i="28"/>
  <c r="G13" i="28"/>
  <c r="G90" i="17"/>
  <c r="G12" i="30"/>
  <c r="C9" i="29"/>
  <c r="C10" i="26"/>
  <c r="C38" i="29"/>
  <c r="C18" i="29"/>
  <c r="G7" i="28"/>
  <c r="G14" i="23"/>
  <c r="C8" i="25"/>
  <c r="C37" i="29"/>
  <c r="C17" i="29"/>
  <c r="G14" i="30"/>
  <c r="C24" i="22"/>
  <c r="C9" i="26"/>
  <c r="G10" i="23"/>
  <c r="C36" i="29"/>
  <c r="C16" i="29"/>
  <c r="F29" i="34"/>
  <c r="F46" i="34"/>
  <c r="C35" i="22"/>
  <c r="F37" i="34"/>
  <c r="C8" i="26"/>
  <c r="F40" i="34"/>
  <c r="F38" i="34"/>
  <c r="C8" i="29"/>
  <c r="C30" i="29"/>
  <c r="P42" i="34"/>
  <c r="F8" i="34"/>
  <c r="C33" i="22"/>
  <c r="P41" i="34"/>
  <c r="F39" i="34"/>
  <c r="P10" i="34"/>
  <c r="C32" i="22"/>
  <c r="F7" i="34"/>
  <c r="P9" i="34"/>
  <c r="C17" i="28"/>
  <c r="C14" i="17"/>
  <c r="F20" i="34"/>
  <c r="C9" i="25"/>
  <c r="C40" i="17"/>
  <c r="F19" i="34"/>
  <c r="P35" i="34"/>
  <c r="F44" i="34"/>
  <c r="P43" i="34"/>
  <c r="C24" i="29"/>
  <c r="C18" i="28"/>
  <c r="C15" i="17"/>
  <c r="F45" i="34"/>
  <c r="P44" i="34"/>
  <c r="P37" i="34"/>
  <c r="C19" i="28"/>
  <c r="C16" i="17"/>
  <c r="C15" i="22"/>
  <c r="P34" i="34"/>
  <c r="C20" i="28"/>
  <c r="C17" i="17"/>
  <c r="P19" i="34"/>
  <c r="C33" i="29"/>
  <c r="C22" i="29"/>
  <c r="C13" i="29"/>
  <c r="P31" i="34"/>
  <c r="P45" i="34"/>
  <c r="P36" i="34"/>
  <c r="AA10" i="30"/>
  <c r="AA14" i="28"/>
  <c r="AA18" i="23"/>
  <c r="AA7" i="30"/>
  <c r="AA13" i="28"/>
  <c r="AA90" i="17"/>
  <c r="AA18" i="30"/>
  <c r="AA9" i="28"/>
  <c r="AA10" i="23"/>
  <c r="AA7" i="24"/>
  <c r="AA7" i="28"/>
  <c r="AA14" i="23"/>
  <c r="AA10" i="28"/>
  <c r="AA16" i="23"/>
  <c r="AA11" i="24"/>
  <c r="AA7" i="23"/>
  <c r="AA52" i="24"/>
  <c r="AA10" i="24"/>
  <c r="O13" i="27"/>
  <c r="O20" i="25"/>
  <c r="AA8" i="23"/>
  <c r="L29" i="34"/>
  <c r="AA9" i="24"/>
  <c r="O22" i="27"/>
  <c r="AA35" i="24"/>
  <c r="L35" i="34"/>
  <c r="L43" i="34"/>
  <c r="AA14" i="30"/>
  <c r="O18" i="26"/>
  <c r="O61" i="24"/>
  <c r="L31" i="34"/>
  <c r="O16" i="30"/>
  <c r="L9" i="34"/>
  <c r="L42" i="34"/>
  <c r="AA8" i="28"/>
  <c r="L34" i="34"/>
  <c r="O14" i="27"/>
  <c r="O21" i="25"/>
  <c r="O69" i="24"/>
  <c r="O8" i="27"/>
  <c r="L40" i="34"/>
  <c r="O23" i="26"/>
  <c r="L7" i="34"/>
  <c r="L8" i="34"/>
  <c r="O16" i="27"/>
  <c r="O23" i="25"/>
  <c r="O25" i="26"/>
  <c r="L10" i="34"/>
  <c r="L39" i="34"/>
  <c r="O12" i="27"/>
  <c r="O19" i="25"/>
  <c r="L41" i="34"/>
  <c r="O17" i="27"/>
  <c r="M14" i="5"/>
  <c r="O24" i="25"/>
  <c r="O38" i="24"/>
  <c r="O9" i="27"/>
  <c r="O10" i="27"/>
  <c r="O18" i="25"/>
  <c r="O20" i="29"/>
  <c r="O26" i="29"/>
  <c r="O70" i="24"/>
  <c r="M14" i="9"/>
  <c r="O24" i="26"/>
  <c r="O6" i="27"/>
  <c r="O40" i="29"/>
  <c r="U25" i="29"/>
  <c r="U19" i="29"/>
  <c r="U10" i="29"/>
  <c r="T12" i="8"/>
  <c r="S6" i="9"/>
  <c r="S6" i="5"/>
  <c r="S6" i="2"/>
  <c r="U39" i="29"/>
  <c r="U31" i="29"/>
  <c r="R37" i="6"/>
  <c r="S11" i="5"/>
  <c r="S10" i="2"/>
  <c r="U36" i="29"/>
  <c r="U16" i="29"/>
  <c r="U24" i="29"/>
  <c r="U9" i="29"/>
  <c r="U17" i="28"/>
  <c r="U14" i="17"/>
  <c r="U10" i="26"/>
  <c r="U18" i="28"/>
  <c r="U15" i="17"/>
  <c r="U39" i="22"/>
  <c r="S10" i="5"/>
  <c r="U8" i="25"/>
  <c r="S9" i="2"/>
  <c r="U21" i="22"/>
  <c r="U35" i="29"/>
  <c r="U15" i="29"/>
  <c r="U16" i="28"/>
  <c r="U13" i="17"/>
  <c r="U10" i="25"/>
  <c r="U50" i="17"/>
  <c r="U8" i="29"/>
  <c r="U30" i="29"/>
  <c r="U7" i="29"/>
  <c r="U29" i="29"/>
  <c r="U9" i="26"/>
  <c r="U9" i="25"/>
  <c r="U40" i="17"/>
  <c r="S10" i="9"/>
  <c r="U8" i="26"/>
  <c r="U20" i="28"/>
  <c r="U17" i="17"/>
  <c r="U38" i="29"/>
  <c r="U18" i="29"/>
  <c r="M8" i="28"/>
  <c r="U61" i="21"/>
  <c r="S25" i="2"/>
  <c r="M8" i="23"/>
  <c r="M14" i="30"/>
  <c r="F7" i="24"/>
  <c r="M13" i="28"/>
  <c r="M90" i="17"/>
  <c r="F13" i="23"/>
  <c r="D60" i="11"/>
  <c r="D38" i="4"/>
  <c r="M35" i="24"/>
  <c r="F52" i="24"/>
  <c r="M6" i="28"/>
  <c r="F6" i="28"/>
  <c r="F7" i="28"/>
  <c r="M9" i="28"/>
  <c r="D57" i="11"/>
  <c r="F59" i="21"/>
  <c r="M9" i="24"/>
  <c r="M20" i="30"/>
  <c r="M10" i="23"/>
  <c r="F14" i="28"/>
  <c r="F9" i="28"/>
  <c r="M10" i="24"/>
  <c r="M14" i="28"/>
  <c r="F7" i="30"/>
  <c r="M19" i="23"/>
  <c r="K62" i="11"/>
  <c r="F8" i="28"/>
  <c r="F9" i="24"/>
  <c r="M10" i="30"/>
  <c r="F10" i="28"/>
  <c r="M10" i="28"/>
  <c r="F7" i="23"/>
  <c r="M11" i="24"/>
  <c r="M16" i="23"/>
  <c r="F15" i="23"/>
  <c r="D61" i="11"/>
  <c r="M7" i="28"/>
  <c r="F18" i="23"/>
  <c r="F18" i="30"/>
  <c r="M11" i="28"/>
  <c r="M52" i="24"/>
  <c r="F8" i="24"/>
  <c r="F11" i="28"/>
  <c r="M14" i="23"/>
  <c r="R15" i="23"/>
  <c r="P61" i="11"/>
  <c r="R17" i="23"/>
  <c r="F10" i="23"/>
  <c r="F19" i="23"/>
  <c r="D62" i="11"/>
  <c r="M18" i="30"/>
  <c r="R52" i="24"/>
  <c r="F12" i="30"/>
  <c r="R19" i="23"/>
  <c r="P62" i="11"/>
  <c r="R20" i="30"/>
  <c r="F11" i="24"/>
  <c r="R10" i="30"/>
  <c r="R35" i="24"/>
  <c r="R8" i="24"/>
  <c r="R14" i="28"/>
  <c r="R9" i="28"/>
  <c r="R13" i="23"/>
  <c r="P60" i="11"/>
  <c r="P38" i="4"/>
  <c r="R7" i="23"/>
  <c r="D12" i="30"/>
  <c r="D11" i="28"/>
  <c r="R6" i="28"/>
  <c r="R11" i="24"/>
  <c r="D11" i="24"/>
  <c r="D8" i="28"/>
  <c r="R9" i="23"/>
  <c r="D14" i="23"/>
  <c r="R8" i="23"/>
  <c r="D9" i="23"/>
  <c r="R10" i="28"/>
  <c r="R10" i="24"/>
  <c r="D15" i="23"/>
  <c r="D17" i="23"/>
  <c r="R11" i="28"/>
  <c r="R8" i="28"/>
  <c r="D9" i="28"/>
  <c r="D7" i="23"/>
  <c r="R12" i="30"/>
  <c r="D13" i="23"/>
  <c r="D7" i="30"/>
  <c r="D6" i="28"/>
  <c r="R7" i="30"/>
  <c r="D13" i="28"/>
  <c r="D90" i="17"/>
  <c r="D10" i="28"/>
  <c r="D20" i="30"/>
  <c r="D7" i="28"/>
  <c r="D35" i="24"/>
  <c r="D10" i="24"/>
  <c r="D9" i="24"/>
  <c r="D20" i="23"/>
  <c r="D14" i="28"/>
  <c r="N42" i="34"/>
  <c r="N41" i="34"/>
  <c r="N34" i="34"/>
  <c r="N36" i="34"/>
  <c r="N43" i="34"/>
  <c r="N35" i="34"/>
  <c r="N40" i="34"/>
  <c r="N10" i="34"/>
  <c r="N31" i="34"/>
  <c r="J34" i="29"/>
  <c r="J23" i="29"/>
  <c r="J14" i="29"/>
  <c r="J9" i="29"/>
  <c r="N44" i="34"/>
  <c r="N8" i="34"/>
  <c r="N9" i="34"/>
  <c r="J10" i="25"/>
  <c r="J50" i="17"/>
  <c r="J18" i="28"/>
  <c r="J15" i="17"/>
  <c r="J25" i="29"/>
  <c r="J19" i="29"/>
  <c r="J10" i="29"/>
  <c r="I12" i="8"/>
  <c r="H6" i="9"/>
  <c r="H6" i="5"/>
  <c r="H6" i="2"/>
  <c r="J33" i="29"/>
  <c r="J22" i="29"/>
  <c r="J13" i="29"/>
  <c r="J43" i="21"/>
  <c r="J35" i="29"/>
  <c r="J15" i="29"/>
  <c r="J25" i="22"/>
  <c r="J39" i="29"/>
  <c r="J31" i="29"/>
  <c r="G37" i="6"/>
  <c r="H11" i="5"/>
  <c r="H10" i="2"/>
  <c r="J9" i="25"/>
  <c r="J40" i="17"/>
  <c r="E36" i="29"/>
  <c r="E16" i="29"/>
  <c r="T8" i="28"/>
  <c r="J37" i="29"/>
  <c r="J17" i="29"/>
  <c r="E20" i="28"/>
  <c r="E17" i="17"/>
  <c r="T7" i="30"/>
  <c r="J7" i="29"/>
  <c r="J29" i="29"/>
  <c r="T7" i="24"/>
  <c r="E39" i="22"/>
  <c r="E10" i="25"/>
  <c r="E50" i="17"/>
  <c r="T9" i="23"/>
  <c r="J16" i="28"/>
  <c r="J13" i="17"/>
  <c r="T12" i="30"/>
  <c r="J33" i="22"/>
  <c r="D39" i="34"/>
  <c r="J20" i="28"/>
  <c r="J17" i="17"/>
  <c r="E24" i="29"/>
  <c r="H10" i="5"/>
  <c r="J8" i="25"/>
  <c r="H9" i="2"/>
  <c r="E25" i="29"/>
  <c r="E19" i="29"/>
  <c r="E10" i="29"/>
  <c r="D12" i="8"/>
  <c r="C6" i="9"/>
  <c r="C6" i="5"/>
  <c r="C6" i="2"/>
  <c r="T20" i="30"/>
  <c r="J19" i="28"/>
  <c r="J16" i="17"/>
  <c r="E16" i="28"/>
  <c r="E13" i="17"/>
  <c r="J10" i="26"/>
  <c r="E37" i="22"/>
  <c r="E61" i="21"/>
  <c r="C25" i="2"/>
  <c r="T10" i="24"/>
  <c r="T7" i="28"/>
  <c r="T11" i="24"/>
  <c r="E9" i="29"/>
  <c r="J38" i="29"/>
  <c r="J18" i="29"/>
  <c r="T15" i="23"/>
  <c r="R61" i="11"/>
  <c r="C10" i="5"/>
  <c r="E8" i="25"/>
  <c r="C9" i="2"/>
  <c r="T17" i="23"/>
  <c r="T35" i="24"/>
  <c r="J8" i="22"/>
  <c r="H10" i="9"/>
  <c r="J8" i="26"/>
  <c r="E35" i="29"/>
  <c r="E15" i="29"/>
  <c r="E8" i="29"/>
  <c r="E30" i="29"/>
  <c r="C10" i="9"/>
  <c r="E8" i="26"/>
  <c r="T9" i="28"/>
  <c r="T14" i="23"/>
  <c r="E18" i="28"/>
  <c r="E15" i="17"/>
  <c r="T6" i="28"/>
  <c r="T52" i="24"/>
  <c r="E21" i="22"/>
  <c r="E10" i="26"/>
  <c r="D19" i="34"/>
  <c r="D7" i="34"/>
  <c r="T9" i="24"/>
  <c r="E7" i="29"/>
  <c r="E29" i="29"/>
  <c r="D44" i="34"/>
  <c r="T20" i="23"/>
  <c r="E39" i="29"/>
  <c r="E31" i="29"/>
  <c r="C11" i="5"/>
  <c r="C10" i="2"/>
  <c r="T13" i="23"/>
  <c r="R60" i="11"/>
  <c r="R38" i="4"/>
  <c r="D46" i="34"/>
  <c r="Y9" i="24"/>
  <c r="E17" i="28"/>
  <c r="E14" i="17"/>
  <c r="E9" i="25"/>
  <c r="E40" i="17"/>
  <c r="T13" i="28"/>
  <c r="T90" i="17"/>
  <c r="Y16" i="23"/>
  <c r="Y18" i="23"/>
  <c r="Y14" i="30"/>
  <c r="D37" i="34"/>
  <c r="T7" i="23"/>
  <c r="E38" i="29"/>
  <c r="E18" i="29"/>
  <c r="Y7" i="28"/>
  <c r="D43" i="34"/>
  <c r="D20" i="34"/>
  <c r="Y8" i="23"/>
  <c r="T11" i="28"/>
  <c r="D35" i="34"/>
  <c r="Y14" i="23"/>
  <c r="D36" i="34"/>
  <c r="Y9" i="28"/>
  <c r="D45" i="34"/>
  <c r="Y13" i="28"/>
  <c r="Y90" i="17"/>
  <c r="Y11" i="24"/>
  <c r="D29" i="34"/>
  <c r="Y9" i="23"/>
  <c r="D38" i="34"/>
  <c r="Y10" i="23"/>
  <c r="Y18" i="30"/>
  <c r="W11" i="24"/>
  <c r="Y11" i="28"/>
  <c r="W14" i="28"/>
  <c r="Y6" i="28"/>
  <c r="W13" i="23"/>
  <c r="U60" i="11"/>
  <c r="U38" i="4"/>
  <c r="W11" i="28"/>
  <c r="P52" i="24"/>
  <c r="W14" i="23"/>
  <c r="Y35" i="24"/>
  <c r="Y52" i="24"/>
  <c r="P19" i="23"/>
  <c r="N62" i="11"/>
  <c r="P15" i="23"/>
  <c r="N61" i="11"/>
  <c r="Y10" i="28"/>
  <c r="P13" i="23"/>
  <c r="N60" i="11"/>
  <c r="N38" i="4"/>
  <c r="W20" i="23"/>
  <c r="Y20" i="23"/>
  <c r="W14" i="30"/>
  <c r="W7" i="30"/>
  <c r="Y12" i="30"/>
  <c r="P14" i="28"/>
  <c r="W6" i="28"/>
  <c r="W35" i="24"/>
  <c r="Y7" i="30"/>
  <c r="W12" i="30"/>
  <c r="P10" i="28"/>
  <c r="P11" i="28"/>
  <c r="P6" i="28"/>
  <c r="W52" i="24"/>
  <c r="Y10" i="30"/>
  <c r="P17" i="23"/>
  <c r="U57" i="11"/>
  <c r="W59" i="21"/>
  <c r="P13" i="28"/>
  <c r="P90" i="17"/>
  <c r="P14" i="30"/>
  <c r="W18" i="23"/>
  <c r="W9" i="28"/>
  <c r="P18" i="23"/>
  <c r="P7" i="24"/>
  <c r="W8" i="28"/>
  <c r="W8" i="24"/>
  <c r="P12" i="30"/>
  <c r="P10" i="30"/>
  <c r="W7" i="28"/>
  <c r="S33" i="29"/>
  <c r="S22" i="29"/>
  <c r="S13" i="29"/>
  <c r="U6" i="28"/>
  <c r="U20" i="23"/>
  <c r="W13" i="28"/>
  <c r="W90" i="17"/>
  <c r="S32" i="22"/>
  <c r="U52" i="24"/>
  <c r="W18" i="30"/>
  <c r="P8" i="28"/>
  <c r="S36" i="29"/>
  <c r="S16" i="29"/>
  <c r="P7" i="28"/>
  <c r="U18" i="30"/>
  <c r="Q10" i="9"/>
  <c r="S8" i="26"/>
  <c r="P35" i="24"/>
  <c r="W7" i="24"/>
  <c r="S35" i="22"/>
  <c r="U10" i="24"/>
  <c r="S24" i="22"/>
  <c r="U12" i="30"/>
  <c r="P10" i="23"/>
  <c r="W16" i="23"/>
  <c r="P9" i="23"/>
  <c r="U8" i="28"/>
  <c r="S10" i="26"/>
  <c r="S39" i="22"/>
  <c r="P10" i="24"/>
  <c r="U11" i="28"/>
  <c r="U20" i="30"/>
  <c r="P20" i="30"/>
  <c r="S10" i="25"/>
  <c r="S50" i="17"/>
  <c r="S9" i="29"/>
  <c r="U7" i="24"/>
  <c r="U18" i="23"/>
  <c r="S9" i="25"/>
  <c r="S40" i="17"/>
  <c r="S20" i="28"/>
  <c r="S17" i="17"/>
  <c r="U35" i="24"/>
  <c r="U10" i="28"/>
  <c r="S37" i="29"/>
  <c r="S17" i="29"/>
  <c r="U9" i="24"/>
  <c r="S42" i="21"/>
  <c r="S8" i="29"/>
  <c r="S30" i="29"/>
  <c r="U9" i="28"/>
  <c r="U15" i="23"/>
  <c r="S61" i="11"/>
  <c r="S18" i="28"/>
  <c r="S15" i="17"/>
  <c r="S38" i="29"/>
  <c r="S18" i="29"/>
  <c r="U14" i="23"/>
  <c r="U7" i="28"/>
  <c r="Q10" i="5"/>
  <c r="S8" i="25"/>
  <c r="Q9" i="2"/>
  <c r="S24" i="29"/>
  <c r="S17" i="28"/>
  <c r="S14" i="17"/>
  <c r="U16" i="23"/>
  <c r="S9" i="26"/>
  <c r="U8" i="24"/>
  <c r="U7" i="30"/>
  <c r="L19" i="28"/>
  <c r="L16" i="17"/>
  <c r="S19" i="28"/>
  <c r="S16" i="17"/>
  <c r="L35" i="29"/>
  <c r="L15" i="29"/>
  <c r="U11" i="24"/>
  <c r="L7" i="29"/>
  <c r="L29" i="29"/>
  <c r="L10" i="26"/>
  <c r="L8" i="29"/>
  <c r="L30" i="29"/>
  <c r="L36" i="29"/>
  <c r="L16" i="29"/>
  <c r="L37" i="29"/>
  <c r="L17" i="29"/>
  <c r="L39" i="29"/>
  <c r="L31" i="29"/>
  <c r="I37" i="6"/>
  <c r="J11" i="5"/>
  <c r="J10" i="2"/>
  <c r="L9" i="25"/>
  <c r="L40" i="17"/>
  <c r="L62" i="21"/>
  <c r="L9" i="26"/>
  <c r="L16" i="28"/>
  <c r="L13" i="17"/>
  <c r="L18" i="28"/>
  <c r="L15" i="17"/>
  <c r="J10" i="9"/>
  <c r="L8" i="26"/>
  <c r="L17" i="28"/>
  <c r="L14" i="17"/>
  <c r="L10" i="25"/>
  <c r="L50" i="17"/>
  <c r="L25" i="29"/>
  <c r="L19" i="29"/>
  <c r="L10" i="29"/>
  <c r="K12" i="8"/>
  <c r="J6" i="9"/>
  <c r="J6" i="5"/>
  <c r="J6" i="2"/>
  <c r="L31" i="22"/>
  <c r="L38" i="22"/>
  <c r="L9" i="29"/>
  <c r="J10" i="5"/>
  <c r="L8" i="25"/>
  <c r="J9" i="2"/>
  <c r="L23" i="22"/>
  <c r="J39" i="34"/>
  <c r="J29" i="34"/>
  <c r="J41" i="34"/>
  <c r="J46" i="34"/>
  <c r="J38" i="34"/>
  <c r="J34" i="34"/>
  <c r="J8" i="34"/>
  <c r="J40" i="34"/>
  <c r="J10" i="34"/>
  <c r="J20" i="34"/>
  <c r="J31" i="34"/>
  <c r="J42" i="34"/>
  <c r="J9" i="34"/>
  <c r="J7" i="34"/>
  <c r="N13" i="34"/>
  <c r="N18" i="34"/>
  <c r="D13" i="34"/>
  <c r="D18" i="34"/>
  <c r="N30" i="34"/>
  <c r="F18" i="34"/>
  <c r="F30" i="34"/>
  <c r="K16" i="30"/>
  <c r="Z20" i="30"/>
  <c r="Z12" i="30"/>
  <c r="Z11" i="28"/>
  <c r="F13" i="34"/>
  <c r="I45" i="34"/>
  <c r="I44" i="34"/>
  <c r="I36" i="34"/>
  <c r="I37" i="34"/>
  <c r="I43" i="34"/>
  <c r="I19" i="34"/>
  <c r="I35" i="34"/>
  <c r="O30" i="34"/>
  <c r="P30" i="34"/>
  <c r="AA16" i="30"/>
  <c r="M7" i="30"/>
  <c r="M12" i="30"/>
  <c r="G18" i="34"/>
  <c r="G13" i="34"/>
  <c r="E13" i="34"/>
  <c r="H18" i="34"/>
  <c r="H13" i="34"/>
  <c r="I13" i="34"/>
  <c r="I18" i="34"/>
  <c r="C30" i="34"/>
  <c r="O20" i="34"/>
  <c r="O46" i="34"/>
  <c r="O40" i="34"/>
  <c r="O38" i="34"/>
  <c r="O7" i="34"/>
  <c r="O39" i="34"/>
  <c r="O29" i="34"/>
  <c r="O8" i="34"/>
  <c r="E42" i="34"/>
  <c r="E31" i="34"/>
  <c r="E43" i="34"/>
  <c r="E34" i="34"/>
  <c r="E10" i="34"/>
  <c r="E9" i="34"/>
  <c r="E35" i="34"/>
  <c r="E41" i="34"/>
  <c r="C10" i="30"/>
  <c r="C18" i="30"/>
  <c r="C14" i="30"/>
  <c r="C10" i="28"/>
  <c r="K46" i="34"/>
  <c r="K45" i="34"/>
  <c r="K20" i="34"/>
  <c r="K37" i="34"/>
  <c r="K44" i="34"/>
  <c r="K38" i="34"/>
  <c r="K19" i="34"/>
  <c r="K36" i="34"/>
  <c r="C40" i="34"/>
  <c r="C8" i="34"/>
  <c r="C34" i="34"/>
  <c r="C31" i="34"/>
  <c r="C10" i="34"/>
  <c r="C9" i="34"/>
  <c r="C41" i="34"/>
  <c r="C42" i="34"/>
  <c r="G43" i="34"/>
  <c r="G44" i="34"/>
  <c r="G42" i="34"/>
  <c r="G10" i="34"/>
  <c r="G34" i="34"/>
  <c r="G36" i="34"/>
  <c r="G35" i="34"/>
  <c r="M37" i="34"/>
  <c r="M38" i="34"/>
  <c r="M7" i="34"/>
  <c r="M19" i="34"/>
  <c r="M39" i="34"/>
  <c r="M46" i="34"/>
  <c r="M20" i="34"/>
  <c r="M45" i="34"/>
  <c r="M29" i="34"/>
  <c r="S18" i="30"/>
  <c r="S10" i="28"/>
  <c r="S14" i="30"/>
  <c r="S10" i="30"/>
  <c r="K31" i="26"/>
  <c r="J11" i="28"/>
  <c r="J12" i="30"/>
  <c r="J20" i="30"/>
  <c r="K18" i="34"/>
  <c r="G20" i="29"/>
  <c r="G8" i="27"/>
  <c r="G40" i="29"/>
  <c r="AA31" i="26"/>
  <c r="E10" i="27"/>
  <c r="E18" i="25"/>
  <c r="E20" i="29"/>
  <c r="E40" i="29"/>
  <c r="U20" i="29"/>
  <c r="U10" i="27"/>
  <c r="U18" i="25"/>
  <c r="U40" i="29"/>
  <c r="T30" i="26"/>
  <c r="Y16" i="30"/>
  <c r="Y26" i="29"/>
  <c r="Y6" i="27"/>
  <c r="Y40" i="29"/>
  <c r="J8" i="29"/>
  <c r="J30" i="29"/>
  <c r="J36" i="29"/>
  <c r="J16" i="29"/>
  <c r="J17" i="28"/>
  <c r="J24" i="29"/>
  <c r="D30" i="26"/>
  <c r="G10" i="28"/>
  <c r="G10" i="30"/>
  <c r="G20" i="30"/>
  <c r="R32" i="26"/>
  <c r="F40" i="29"/>
  <c r="F20" i="29"/>
  <c r="F20" i="27"/>
  <c r="I40" i="29"/>
  <c r="I16" i="30"/>
  <c r="I26" i="29"/>
  <c r="I6" i="27"/>
  <c r="N9" i="27"/>
  <c r="N11" i="29"/>
  <c r="W20" i="29"/>
  <c r="W8" i="27"/>
  <c r="W40" i="29"/>
  <c r="P7" i="27"/>
  <c r="S34" i="29"/>
  <c r="S23" i="29"/>
  <c r="S14" i="29"/>
  <c r="S25" i="29"/>
  <c r="S19" i="29"/>
  <c r="S10" i="29"/>
  <c r="S7" i="29"/>
  <c r="S29" i="29"/>
  <c r="S35" i="29"/>
  <c r="S15" i="29"/>
  <c r="S16" i="28"/>
  <c r="S39" i="29"/>
  <c r="S31" i="29"/>
  <c r="C13" i="27"/>
  <c r="C20" i="25"/>
  <c r="L16" i="30"/>
  <c r="L12" i="27"/>
  <c r="L19" i="25"/>
  <c r="S13" i="27"/>
  <c r="S20" i="25"/>
  <c r="Q16" i="27"/>
  <c r="Q23" i="25"/>
  <c r="V20" i="27"/>
  <c r="V27" i="26"/>
  <c r="V20" i="29"/>
  <c r="V40" i="29"/>
  <c r="X26" i="29"/>
  <c r="X17" i="27"/>
  <c r="X24" i="25"/>
  <c r="X16" i="30"/>
  <c r="X40" i="29"/>
  <c r="N11" i="28"/>
  <c r="N12" i="30"/>
  <c r="N7" i="30"/>
  <c r="T22" i="27"/>
  <c r="X34" i="29"/>
  <c r="X23" i="29"/>
  <c r="X14" i="29"/>
  <c r="X19" i="28"/>
  <c r="X8" i="29"/>
  <c r="X30" i="29"/>
  <c r="X38" i="29"/>
  <c r="X18" i="29"/>
  <c r="X25" i="29"/>
  <c r="X19" i="29"/>
  <c r="X10" i="29"/>
  <c r="P7" i="30"/>
  <c r="P9" i="28"/>
  <c r="P18" i="30"/>
  <c r="E14" i="30"/>
  <c r="E10" i="30"/>
  <c r="E13" i="28"/>
  <c r="R14" i="30"/>
  <c r="R13" i="28"/>
  <c r="R7" i="28"/>
  <c r="R18" i="30"/>
  <c r="H17" i="27"/>
  <c r="H24" i="25"/>
  <c r="H26" i="29"/>
  <c r="H16" i="30"/>
  <c r="H40" i="29"/>
  <c r="D22" i="27"/>
  <c r="H8" i="29"/>
  <c r="H30" i="29"/>
  <c r="H25" i="29"/>
  <c r="H19" i="29"/>
  <c r="H10" i="29"/>
  <c r="H38" i="29"/>
  <c r="H18" i="29"/>
  <c r="H34" i="29"/>
  <c r="H23" i="29"/>
  <c r="H14" i="29"/>
  <c r="H19" i="28"/>
  <c r="Z36" i="29"/>
  <c r="Z16" i="29"/>
  <c r="Z20" i="28"/>
  <c r="Z8" i="29"/>
  <c r="Z30" i="29"/>
  <c r="Z24" i="29"/>
  <c r="Z17" i="28"/>
  <c r="O11" i="29"/>
  <c r="O18" i="27"/>
  <c r="O25" i="25"/>
  <c r="I8" i="28"/>
  <c r="I14" i="28"/>
  <c r="I20" i="30"/>
  <c r="M39" i="29"/>
  <c r="M31" i="29"/>
  <c r="M34" i="29"/>
  <c r="M23" i="29"/>
  <c r="M14" i="29"/>
  <c r="M36" i="29"/>
  <c r="M16" i="29"/>
  <c r="M8" i="29"/>
  <c r="M30" i="29"/>
  <c r="M33" i="29"/>
  <c r="M22" i="29"/>
  <c r="M13" i="29"/>
  <c r="M18" i="28"/>
  <c r="F33" i="29"/>
  <c r="F22" i="29"/>
  <c r="F13" i="29"/>
  <c r="F17" i="28"/>
  <c r="F25" i="29"/>
  <c r="F19" i="29"/>
  <c r="F10" i="29"/>
  <c r="F7" i="29"/>
  <c r="F29" i="29"/>
  <c r="F8" i="29"/>
  <c r="F30" i="29"/>
  <c r="L12" i="30"/>
  <c r="L7" i="30"/>
  <c r="L9" i="28"/>
  <c r="L14" i="28"/>
  <c r="V7" i="29"/>
  <c r="V29" i="29"/>
  <c r="V17" i="28"/>
  <c r="V33" i="29"/>
  <c r="V22" i="29"/>
  <c r="V13" i="29"/>
  <c r="V25" i="29"/>
  <c r="V19" i="29"/>
  <c r="V10" i="29"/>
  <c r="V8" i="29"/>
  <c r="V30" i="29"/>
  <c r="W10" i="28"/>
  <c r="W10" i="30"/>
  <c r="W20" i="30"/>
  <c r="Y20" i="30"/>
  <c r="Y14" i="28"/>
  <c r="Y8" i="28"/>
  <c r="T37" i="29"/>
  <c r="T17" i="29"/>
  <c r="T7" i="29"/>
  <c r="T29" i="29"/>
  <c r="T34" i="29"/>
  <c r="T23" i="29"/>
  <c r="T14" i="29"/>
  <c r="T9" i="29"/>
  <c r="T33" i="29"/>
  <c r="T22" i="29"/>
  <c r="T13" i="29"/>
  <c r="T35" i="29"/>
  <c r="T15" i="29"/>
  <c r="T19" i="28"/>
  <c r="H10" i="30"/>
  <c r="H20" i="30"/>
  <c r="H14" i="28"/>
  <c r="U14" i="30"/>
  <c r="U13" i="28"/>
  <c r="U10" i="30"/>
  <c r="D35" i="29"/>
  <c r="D15" i="29"/>
  <c r="D37" i="29"/>
  <c r="D17" i="29"/>
  <c r="D34" i="29"/>
  <c r="D23" i="29"/>
  <c r="D14" i="29"/>
  <c r="D9" i="29"/>
  <c r="D7" i="29"/>
  <c r="D29" i="29"/>
  <c r="D33" i="29"/>
  <c r="D22" i="29"/>
  <c r="D13" i="29"/>
  <c r="D19" i="28"/>
  <c r="O16" i="28"/>
  <c r="O25" i="29"/>
  <c r="O19" i="29"/>
  <c r="O10" i="29"/>
  <c r="O24" i="29"/>
  <c r="O20" i="28"/>
  <c r="O39" i="29"/>
  <c r="O31" i="29"/>
  <c r="O7" i="29"/>
  <c r="O29" i="29"/>
  <c r="O9" i="29"/>
  <c r="K36" i="29"/>
  <c r="K16" i="29"/>
  <c r="K25" i="29"/>
  <c r="K19" i="29"/>
  <c r="K10" i="29"/>
  <c r="K8" i="29"/>
  <c r="K30" i="29"/>
  <c r="K34" i="29"/>
  <c r="K23" i="29"/>
  <c r="K14" i="29"/>
  <c r="K20" i="28"/>
  <c r="K38" i="29"/>
  <c r="K18" i="29"/>
  <c r="K24" i="29"/>
  <c r="Q9" i="29"/>
  <c r="Q18" i="28"/>
  <c r="Q37" i="29"/>
  <c r="Q17" i="29"/>
  <c r="Q33" i="29"/>
  <c r="Q22" i="29"/>
  <c r="Q13" i="29"/>
  <c r="Q7" i="29"/>
  <c r="Q29" i="29"/>
  <c r="Q25" i="29"/>
  <c r="Q19" i="29"/>
  <c r="Q10" i="29"/>
  <c r="R11" i="29"/>
  <c r="Y8" i="29"/>
  <c r="Y30" i="29"/>
  <c r="Y38" i="29"/>
  <c r="Y18" i="29"/>
  <c r="Y36" i="29"/>
  <c r="Y16" i="29"/>
  <c r="Y33" i="29"/>
  <c r="Y22" i="29"/>
  <c r="Y13" i="29"/>
  <c r="AA25" i="29"/>
  <c r="AA19" i="29"/>
  <c r="AA10" i="29"/>
  <c r="AA24" i="29"/>
  <c r="AA34" i="29"/>
  <c r="AA23" i="29"/>
  <c r="AA14" i="29"/>
  <c r="AA20" i="28"/>
  <c r="AA8" i="29"/>
  <c r="AA30" i="29"/>
  <c r="AA38" i="29"/>
  <c r="AA18" i="29"/>
  <c r="AA36" i="29"/>
  <c r="AA16" i="29"/>
  <c r="D8" i="34"/>
  <c r="D41" i="34"/>
  <c r="D34" i="34"/>
  <c r="D9" i="34"/>
  <c r="D10" i="34"/>
  <c r="D40" i="34"/>
  <c r="D31" i="34"/>
  <c r="D42" i="34"/>
  <c r="P40" i="34"/>
  <c r="P29" i="34"/>
  <c r="P7" i="34"/>
  <c r="P38" i="34"/>
  <c r="P8" i="34"/>
  <c r="P46" i="34"/>
  <c r="P39" i="34"/>
  <c r="P20" i="34"/>
  <c r="I8" i="29"/>
  <c r="I30" i="29"/>
  <c r="I38" i="29"/>
  <c r="I18" i="29"/>
  <c r="I36" i="29"/>
  <c r="I16" i="29"/>
  <c r="I33" i="29"/>
  <c r="I22" i="29"/>
  <c r="I13" i="29"/>
  <c r="F34" i="34"/>
  <c r="F31" i="34"/>
  <c r="F35" i="34"/>
  <c r="F42" i="34"/>
  <c r="F9" i="34"/>
  <c r="F41" i="34"/>
  <c r="F43" i="34"/>
  <c r="F10" i="34"/>
  <c r="Z40" i="29"/>
  <c r="Z16" i="30"/>
  <c r="Z14" i="27"/>
  <c r="Z20" i="29"/>
  <c r="Z26" i="29"/>
  <c r="L45" i="34"/>
  <c r="L46" i="34"/>
  <c r="L37" i="34"/>
  <c r="L44" i="34"/>
  <c r="L36" i="34"/>
  <c r="L19" i="34"/>
  <c r="L20" i="34"/>
  <c r="L38" i="34"/>
  <c r="N20" i="34"/>
  <c r="N39" i="34"/>
  <c r="N45" i="34"/>
  <c r="N19" i="34"/>
  <c r="N7" i="34"/>
  <c r="N46" i="34"/>
  <c r="N38" i="34"/>
  <c r="N29" i="34"/>
  <c r="N37" i="34"/>
  <c r="H34" i="34"/>
  <c r="H36" i="34"/>
  <c r="H35" i="34"/>
  <c r="H43" i="34"/>
  <c r="H44" i="34"/>
  <c r="H10" i="34"/>
  <c r="H42" i="34"/>
  <c r="U34" i="29"/>
  <c r="U23" i="29"/>
  <c r="U37" i="29"/>
  <c r="U17" i="29"/>
  <c r="U33" i="29"/>
  <c r="U22" i="29"/>
  <c r="U13" i="29"/>
  <c r="U19" i="28"/>
  <c r="G38" i="29"/>
  <c r="G18" i="29"/>
  <c r="G30" i="29"/>
  <c r="G35" i="29"/>
  <c r="G15" i="29"/>
  <c r="G10" i="29"/>
  <c r="G17" i="28"/>
  <c r="J37" i="34"/>
  <c r="J19" i="34"/>
  <c r="J43" i="34"/>
  <c r="J44" i="34"/>
  <c r="J45" i="34"/>
  <c r="J36" i="34"/>
  <c r="J35" i="34"/>
  <c r="AA12" i="30"/>
  <c r="AA11" i="28"/>
  <c r="AA6" i="28"/>
  <c r="AA20" i="30"/>
  <c r="M16" i="30"/>
  <c r="M11" i="29"/>
  <c r="M21" i="27"/>
  <c r="M26" i="29"/>
  <c r="M28" i="26"/>
  <c r="R25" i="29"/>
  <c r="R35" i="29"/>
  <c r="R15" i="29"/>
  <c r="R39" i="29"/>
  <c r="R31" i="29"/>
  <c r="R37" i="29"/>
  <c r="R17" i="29"/>
  <c r="R7" i="29"/>
  <c r="N18" i="28"/>
  <c r="N22" i="29"/>
  <c r="N36" i="29"/>
  <c r="N16" i="29"/>
  <c r="N39" i="29"/>
  <c r="N31" i="29"/>
  <c r="N25" i="29"/>
  <c r="N19" i="29"/>
  <c r="C39" i="29"/>
  <c r="C25" i="29"/>
  <c r="C19" i="29"/>
  <c r="C35" i="29"/>
  <c r="C15" i="29"/>
  <c r="C16" i="28"/>
  <c r="C23" i="29"/>
  <c r="C7" i="29"/>
  <c r="J14" i="27"/>
  <c r="J20" i="29"/>
  <c r="J16" i="30"/>
  <c r="J40" i="29"/>
  <c r="J26" i="29"/>
  <c r="L22" i="29"/>
  <c r="L20" i="28"/>
  <c r="L38" i="29"/>
  <c r="L18" i="29"/>
  <c r="L34" i="29"/>
  <c r="L14" i="29"/>
  <c r="L24" i="29"/>
  <c r="D18" i="30"/>
  <c r="D10" i="30"/>
  <c r="D14" i="30"/>
  <c r="O7" i="30"/>
  <c r="O18" i="30"/>
  <c r="O12" i="30"/>
  <c r="P34" i="29"/>
  <c r="P14" i="29"/>
  <c r="P19" i="29"/>
  <c r="P16" i="28"/>
  <c r="P29" i="29"/>
  <c r="P39" i="29"/>
  <c r="P9" i="29"/>
  <c r="P37" i="29"/>
  <c r="P17" i="29"/>
  <c r="E19" i="28"/>
  <c r="E37" i="29"/>
  <c r="E17" i="29"/>
  <c r="E33" i="29"/>
  <c r="E13" i="29"/>
  <c r="E23" i="29"/>
  <c r="J18" i="34"/>
  <c r="J13" i="34"/>
  <c r="T10" i="28"/>
  <c r="T10" i="30"/>
  <c r="T14" i="30"/>
  <c r="T18" i="30"/>
  <c r="L18" i="34"/>
  <c r="V10" i="30"/>
  <c r="V14" i="30"/>
  <c r="V20" i="30"/>
  <c r="Q18" i="30"/>
  <c r="Q14" i="30"/>
  <c r="Q7" i="30"/>
  <c r="Q13" i="28"/>
  <c r="X10" i="30"/>
  <c r="X20" i="30"/>
  <c r="X14" i="28"/>
  <c r="W17" i="28"/>
  <c r="W35" i="29"/>
  <c r="W15" i="29"/>
  <c r="W30" i="29"/>
  <c r="W10" i="29"/>
  <c r="W38" i="29"/>
  <c r="W18" i="29"/>
  <c r="K6" i="28"/>
  <c r="K12" i="30"/>
  <c r="K20" i="30"/>
  <c r="K11" i="28"/>
  <c r="D30" i="34"/>
  <c r="F14" i="30"/>
  <c r="F20" i="30"/>
  <c r="F10" i="30"/>
  <c r="P25" i="29"/>
  <c r="P23" i="29"/>
  <c r="C10" i="29"/>
  <c r="R10" i="29"/>
  <c r="E34" i="29"/>
  <c r="N33" i="29"/>
  <c r="L23" i="29"/>
  <c r="E22" i="29"/>
  <c r="W19" i="29"/>
  <c r="G19" i="29"/>
  <c r="U14" i="29"/>
  <c r="P10" i="29"/>
  <c r="P7" i="29"/>
  <c r="N13" i="29"/>
  <c r="N10" i="29"/>
  <c r="L13" i="29"/>
  <c r="P31" i="29"/>
  <c r="G8" i="29"/>
  <c r="R29" i="29"/>
  <c r="W25" i="29"/>
  <c r="C34" i="29"/>
  <c r="C31" i="29"/>
  <c r="E14" i="29"/>
  <c r="G25" i="29"/>
  <c r="W8" i="29"/>
  <c r="Z21" i="25"/>
  <c r="C14" i="29"/>
  <c r="L33" i="29"/>
  <c r="R19" i="29"/>
  <c r="C29" i="29"/>
  <c r="J21" i="25"/>
  <c r="P89" i="17"/>
  <c r="E90" i="17"/>
  <c r="U90" i="17"/>
  <c r="R90" i="17"/>
  <c r="O17" i="17"/>
  <c r="X16" i="17"/>
  <c r="H16" i="17"/>
  <c r="Q15" i="17"/>
  <c r="Z14" i="17"/>
  <c r="J14" i="17"/>
  <c r="S13" i="17"/>
  <c r="C13" i="17"/>
  <c r="Q90" i="17"/>
  <c r="L17" i="17"/>
  <c r="U16" i="17"/>
  <c r="E16" i="17"/>
  <c r="N15" i="17"/>
  <c r="W14" i="17"/>
  <c r="G14" i="17"/>
  <c r="P13" i="17"/>
  <c r="AA17" i="17"/>
  <c r="K17" i="17"/>
  <c r="T16" i="17"/>
  <c r="D16" i="17"/>
  <c r="M15" i="17"/>
  <c r="V14" i="17"/>
  <c r="F14" i="17"/>
  <c r="O13" i="17"/>
  <c r="Z17" i="17"/>
  <c r="O6" i="9"/>
  <c r="W12" i="8"/>
  <c r="G12" i="8"/>
  <c r="Z12" i="8"/>
  <c r="M37" i="6"/>
  <c r="Y6" i="9"/>
  <c r="F12" i="8"/>
  <c r="L37" i="6"/>
  <c r="N11" i="5"/>
  <c r="F6" i="9"/>
  <c r="E12" i="8"/>
  <c r="K37" i="6"/>
  <c r="E6" i="9"/>
  <c r="V12" i="8"/>
  <c r="J37" i="6"/>
  <c r="L11" i="5"/>
  <c r="V6" i="9"/>
  <c r="D6" i="9"/>
  <c r="U12" i="8"/>
  <c r="K11" i="5"/>
  <c r="N6" i="5"/>
  <c r="U6" i="9"/>
  <c r="M6" i="5"/>
  <c r="T6" i="9"/>
  <c r="R12" i="8"/>
  <c r="L6" i="5"/>
  <c r="Q12" i="8"/>
  <c r="P12" i="8"/>
  <c r="Q6" i="9"/>
  <c r="O12" i="8"/>
  <c r="Y6" i="5"/>
  <c r="I6" i="5"/>
  <c r="N6" i="9"/>
  <c r="M12" i="8"/>
  <c r="M6" i="9"/>
  <c r="I6" i="9"/>
  <c r="F14" i="5"/>
  <c r="O6" i="5"/>
  <c r="Q6" i="2"/>
  <c r="P6" i="2"/>
  <c r="P37" i="6"/>
  <c r="O6" i="2"/>
  <c r="O37" i="6"/>
  <c r="N6" i="2"/>
  <c r="Q10" i="2"/>
  <c r="M6" i="2"/>
  <c r="L6" i="2"/>
  <c r="E6" i="2"/>
  <c r="P6" i="5"/>
  <c r="Q11" i="5"/>
  <c r="F6" i="5"/>
  <c r="P10" i="2"/>
  <c r="P11" i="5"/>
  <c r="E6" i="5"/>
  <c r="N12" i="8"/>
  <c r="V14" i="5"/>
  <c r="M11" i="5"/>
  <c r="D6" i="5"/>
  <c r="N10" i="2"/>
  <c r="F6" i="2"/>
  <c r="T6" i="5"/>
  <c r="U6" i="2"/>
  <c r="M10" i="2"/>
  <c r="Y6" i="2"/>
  <c r="I6" i="2"/>
  <c r="L10" i="2"/>
  <c r="U6" i="5"/>
  <c r="V6" i="2"/>
  <c r="Q6" i="5"/>
  <c r="J12" i="8"/>
  <c r="K10" i="2"/>
  <c r="P6" i="9"/>
  <c r="L6" i="9"/>
  <c r="V6" i="5"/>
  <c r="T6" i="2"/>
  <c r="D6" i="2"/>
</calcChain>
</file>

<file path=xl/sharedStrings.xml><?xml version="1.0" encoding="utf-8"?>
<sst xmlns="http://schemas.openxmlformats.org/spreadsheetml/2006/main" count="5219" uniqueCount="1414">
  <si>
    <t>Revenue</t>
  </si>
  <si>
    <t>Total Revenue</t>
  </si>
  <si>
    <t>Gross Profit</t>
  </si>
  <si>
    <t>Cash &amp; Equivalents</t>
  </si>
  <si>
    <t>Reference Items</t>
  </si>
  <si>
    <t>Right click to show data transparency (not supported for all values)</t>
  </si>
  <si>
    <t>Intra-Cellular Therapies Inc (ITCI US) - Adj Highlights</t>
  </si>
  <si>
    <t>In Millions of USD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</si>
  <si>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</si>
  <si>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</si>
  <si>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</si>
  <si>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</si>
  <si>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</si>
  <si>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</si>
  <si>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</si>
  <si>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</si>
  <si>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</si>
  <si>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</si>
  <si>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</si>
  <si>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</si>
  <si>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</si>
  <si>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</si>
  <si>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</si>
  <si>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</si>
  <si>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</si>
  <si>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</si>
  <si>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</si>
  <si>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</si>
  <si>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</si>
  <si>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</si>
  <si>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</si>
  <si>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 Est</t>
  </si>
  <si>
    <t>Q2 2025 Est</t>
  </si>
  <si>
    <t>3 Months Ending</t>
  </si>
  <si>
    <t>06/30/2019</t>
  </si>
  <si>
    <t>09/30/2019</t>
  </si>
  <si>
    <t>12/31/2019</t>
  </si>
  <si>
    <t>03/31/2020</t>
  </si>
  <si>
    <t>06/30/2020</t>
  </si>
  <si>
    <t>09/30/2020</t>
  </si>
  <si>
    <t>12/31/2020</t>
  </si>
  <si>
    <t>03/31/2021</t>
  </si>
  <si>
    <t>06/30/2021</t>
  </si>
  <si>
    <t>09/30/2021</t>
  </si>
  <si>
    <t>12/31/2021</t>
  </si>
  <si>
    <t>03/31/2022</t>
  </si>
  <si>
    <t>06/30/2022</t>
  </si>
  <si>
    <t>09/30/2022</t>
  </si>
  <si>
    <t>12/31/2022</t>
  </si>
  <si>
    <t>03/31/2023</t>
  </si>
  <si>
    <t>06/30/2023</t>
  </si>
  <si>
    <t>09/30/2023</t>
  </si>
  <si>
    <t>12/31/2023</t>
  </si>
  <si>
    <t>03/31/2024</t>
  </si>
  <si>
    <t>06/30/2024</t>
  </si>
  <si>
    <t>09/30/2024</t>
  </si>
  <si>
    <t>12/31/2024</t>
  </si>
  <si>
    <t>03/31/2025</t>
  </si>
  <si>
    <t>06/30/2025</t>
  </si>
  <si>
    <t>Market Capitalization</t>
  </si>
  <si>
    <t>HISTORICAL_MARKET_CAP</t>
  </si>
  <si>
    <t>- Cash &amp; Equivalents</t>
  </si>
  <si>
    <t>CASH_AND_MARKETABLE_SECURITIES</t>
  </si>
  <si>
    <t>+ Preferred &amp; Other</t>
  </si>
  <si>
    <t>PFD_EQTY_MINORTY_INTEREST</t>
  </si>
  <si>
    <t>+ Total Debt</t>
  </si>
  <si>
    <t>SHORT_AND_LONG_TERM_DEBT</t>
  </si>
  <si>
    <t>Enterprise Value</t>
  </si>
  <si>
    <t>ENTERPRISE_VALUE</t>
  </si>
  <si>
    <t>Revenue, Adj</t>
  </si>
  <si>
    <t>SALES_REV_TURN</t>
  </si>
  <si>
    <t xml:space="preserve">  Growth %, YoY</t>
  </si>
  <si>
    <t>SALES_GROWTH</t>
  </si>
  <si>
    <t>Gross Profit, Adj</t>
  </si>
  <si>
    <t>GROSS_PROFIT</t>
  </si>
  <si>
    <t xml:space="preserve">  Margin %</t>
  </si>
  <si>
    <t>—</t>
  </si>
  <si>
    <t>EBITDA, Adj</t>
  </si>
  <si>
    <t>EBITDA</t>
  </si>
  <si>
    <t>Net Income, Adj</t>
  </si>
  <si>
    <t>EARN_FOR_COMMON</t>
  </si>
  <si>
    <t>EPS, Adj</t>
  </si>
  <si>
    <t>IS_DIL_EPS_CONT_OPS</t>
  </si>
  <si>
    <t>DILUTED_EPS_AFT_XO_ITEMS_GROWTH</t>
  </si>
  <si>
    <t>Cash from Operations</t>
  </si>
  <si>
    <t>CF_CASH_FROM_OPER</t>
  </si>
  <si>
    <t>Capital Expenditures</t>
  </si>
  <si>
    <t>CAPITAL_EXPEND</t>
  </si>
  <si>
    <t>Free Cash Flow</t>
  </si>
  <si>
    <t>CF_FREE_CASH_FLOW</t>
  </si>
  <si>
    <t>Source: Bloomberg</t>
  </si>
  <si>
    <t>Intra-Cellular Therapies Inc (ITCI US) - GAAP Highlights</t>
  </si>
  <si>
    <t>In Millions of USD except Per Share</t>
  </si>
  <si>
    <t>Q4 2018</t>
  </si>
  <si>
    <t>Q1 2019</t>
  </si>
  <si>
    <t>12/31/2018</t>
  </si>
  <si>
    <t>03/31/2019</t>
  </si>
  <si>
    <t>Total Revenues</t>
  </si>
  <si>
    <t>Operating Income</t>
  </si>
  <si>
    <t>IS_OPER_INC</t>
  </si>
  <si>
    <t>Net Income to Common</t>
  </si>
  <si>
    <t>Basic EPS, GAAP</t>
  </si>
  <si>
    <t>IS_EPS</t>
  </si>
  <si>
    <t>Diluted EPS, GAAP</t>
  </si>
  <si>
    <t>IS_DILUTED_EPS</t>
  </si>
  <si>
    <t xml:space="preserve">  Basic Weighted Avg Shares</t>
  </si>
  <si>
    <t>IS_AVG_NUM_SH_FOR_EPS</t>
  </si>
  <si>
    <t xml:space="preserve">  Diluted Weighted Avg Shares</t>
  </si>
  <si>
    <t>IS_SH_FOR_DILUTED_EPS</t>
  </si>
  <si>
    <t>Cash and Equivalents</t>
  </si>
  <si>
    <t>Total Current Assets</t>
  </si>
  <si>
    <t>BS_CUR_ASSET_REPORT</t>
  </si>
  <si>
    <t>Total Assets</t>
  </si>
  <si>
    <t>BS_TOT_ASSET</t>
  </si>
  <si>
    <t>Total Current Liabilities</t>
  </si>
  <si>
    <t>BS_CUR_LIAB</t>
  </si>
  <si>
    <t>Total Liabilities</t>
  </si>
  <si>
    <t>BS_TOT_LIAB2</t>
  </si>
  <si>
    <t>Total Equity</t>
  </si>
  <si>
    <t>TOTAL_EQUITY</t>
  </si>
  <si>
    <t xml:space="preserve">  Shares Out on Balance Sheet</t>
  </si>
  <si>
    <t>BS_SH_OUT</t>
  </si>
  <si>
    <t xml:space="preserve">  Shares Out on Filing Cover</t>
  </si>
  <si>
    <t>ARD_SHARE_OUT_FROM_FRONT_COVER</t>
  </si>
  <si>
    <t>Cash From Operations</t>
  </si>
  <si>
    <t>Cash From Investing</t>
  </si>
  <si>
    <t>CF_CASH_FROM_INV_ACT</t>
  </si>
  <si>
    <t>Cash From Financing</t>
  </si>
  <si>
    <t>CF_CASH_FROM_FNC_ACT</t>
  </si>
  <si>
    <t>Intra-Cellular Therapies Inc (ITCI US) - Earnings</t>
  </si>
  <si>
    <t>Consensus Estimate</t>
  </si>
  <si>
    <t>BEST_SALES</t>
  </si>
  <si>
    <t>Comparable Actual</t>
  </si>
  <si>
    <t>IS_COMP_SALES</t>
  </si>
  <si>
    <t xml:space="preserve">  Revenue Surprise %</t>
  </si>
  <si>
    <t xml:space="preserve">  GAAP Actual</t>
  </si>
  <si>
    <t xml:space="preserve">  Adjusted Actual</t>
  </si>
  <si>
    <t>Earnings Per Share</t>
  </si>
  <si>
    <t>BEST_EPS</t>
  </si>
  <si>
    <t>IS_COMP_EPS_ADJUSTED</t>
  </si>
  <si>
    <t xml:space="preserve">  EPS Surprise %</t>
  </si>
  <si>
    <t>EBIT</t>
  </si>
  <si>
    <t>BEST_OPP</t>
  </si>
  <si>
    <t>IS_COMPARABLE_EBIT</t>
  </si>
  <si>
    <t xml:space="preserve">  EBIT Surprise %</t>
  </si>
  <si>
    <t>BEST_EBITDA</t>
  </si>
  <si>
    <t>IS_COMPARABLE_EBITDA</t>
  </si>
  <si>
    <t xml:space="preserve">  EBITDA Surprise %</t>
  </si>
  <si>
    <t>Gross Margin %</t>
  </si>
  <si>
    <t>BEST_GROSS_MARGIN</t>
  </si>
  <si>
    <t>IS_COMP_GROSS_MARGIN_PERCENTAGE</t>
  </si>
  <si>
    <t xml:space="preserve">  Gross Margin Surprise %</t>
  </si>
  <si>
    <t>GROSS_MARGIN</t>
  </si>
  <si>
    <t>Pretax Income (Loss)</t>
  </si>
  <si>
    <t>BEST_PTP</t>
  </si>
  <si>
    <t>IS_COMP_PTP_EX_STK_BASED_COMP</t>
  </si>
  <si>
    <t xml:space="preserve">  Pretax Income (Loss) Surprise %</t>
  </si>
  <si>
    <t>PRETAX_INC</t>
  </si>
  <si>
    <t>Net Income</t>
  </si>
  <si>
    <t>BEST_NET_INCOME</t>
  </si>
  <si>
    <t>IS_COMP_NET_INCOME_ADJUST</t>
  </si>
  <si>
    <t xml:space="preserve">  Net Income Surprise %</t>
  </si>
  <si>
    <t>Intra-Cellular Therapies Inc (ITCI US) - Enterprise Value</t>
  </si>
  <si>
    <t>Current</t>
  </si>
  <si>
    <t>03/28/2025</t>
  </si>
  <si>
    <t xml:space="preserve">  - Cash &amp; Equivalents</t>
  </si>
  <si>
    <t xml:space="preserve">  + Preferred Equity</t>
  </si>
  <si>
    <t>PFD_EQTY_HYBRID_CAPITAL</t>
  </si>
  <si>
    <t xml:space="preserve">  + Minority Interest</t>
  </si>
  <si>
    <t>MINORITY_NONCONTROLLING_INTEREST</t>
  </si>
  <si>
    <t xml:space="preserve">  + Total Debt</t>
  </si>
  <si>
    <t>Total Capital</t>
  </si>
  <si>
    <t>BS_TOT_CAP</t>
  </si>
  <si>
    <t>Total Debt/Total Capital</t>
  </si>
  <si>
    <t>TOT_DEBT_TO_TOT_CAP</t>
  </si>
  <si>
    <t>Total Debt/EV</t>
  </si>
  <si>
    <t>TOTAL_DEBT_TO_EV</t>
  </si>
  <si>
    <t>EV/Sales</t>
  </si>
  <si>
    <t>EV_TO_T12M_SALES</t>
  </si>
  <si>
    <t>EV/EBIT</t>
  </si>
  <si>
    <t>EV_TO_T12M_EBIT</t>
  </si>
  <si>
    <t>Diluted Market Cap</t>
  </si>
  <si>
    <t>DILUTED_MKT_CAP</t>
  </si>
  <si>
    <t>Diluted Enterprise Value</t>
  </si>
  <si>
    <t>DILUTED_EV</t>
  </si>
  <si>
    <t>EV per Share</t>
  </si>
  <si>
    <t>EV_TO_SH_OUT</t>
  </si>
  <si>
    <t>Trailing 12 Month Values for Ratios</t>
  </si>
  <si>
    <t>IFRS 16/ASC 842 Adoption</t>
  </si>
  <si>
    <t>IFRS_16_ASC_842_ADOPTION_IND</t>
  </si>
  <si>
    <t>Yes</t>
  </si>
  <si>
    <t>Sales</t>
  </si>
  <si>
    <t>TRAIL_12M_NET_SALES</t>
  </si>
  <si>
    <t>TRAIL_12M_EBITDA</t>
  </si>
  <si>
    <t>TRAIL_12M_OPER_INC</t>
  </si>
  <si>
    <t>Intra-Cellular Therapies Inc (ITCI US) - Multiples</t>
  </si>
  <si>
    <t>P/E</t>
  </si>
  <si>
    <t>PE_RATIO</t>
  </si>
  <si>
    <t>P/Book</t>
  </si>
  <si>
    <t>PX_TO_BOOK_RATIO</t>
  </si>
  <si>
    <t xml:space="preserve">  Average</t>
  </si>
  <si>
    <t>AVERAGE_PRICE_TO_BOOK_RATIO</t>
  </si>
  <si>
    <t xml:space="preserve">  High</t>
  </si>
  <si>
    <t>HIGH_CLOSING_PRICE_TO_BOOK_RATIO</t>
  </si>
  <si>
    <t xml:space="preserve">  Low</t>
  </si>
  <si>
    <t>LOW_CLOSING_PRICE_TO_BOOK_RATIO</t>
  </si>
  <si>
    <t>P/Tangible Book</t>
  </si>
  <si>
    <t>PX_TO_TANG_BV_PER_SH</t>
  </si>
  <si>
    <t>AVERAGE_PRICE_TO_TANGIBLE_BPS</t>
  </si>
  <si>
    <t>HIGH_PRICE_TO_TANGIBLE_BPS</t>
  </si>
  <si>
    <t>LOW_PRICE_TO_TANGIBLE_BPS</t>
  </si>
  <si>
    <t>P/Sales</t>
  </si>
  <si>
    <t>PX_TO_SALES_RATIO</t>
  </si>
  <si>
    <t>AVERAGE_PRICE_TO_SALES_RATIO</t>
  </si>
  <si>
    <t>HIGH_PX_TO_SALES_RATIO</t>
  </si>
  <si>
    <t>LOW_PX_TO_SALES_RATIO</t>
  </si>
  <si>
    <t>AVERAGE_EV_TO_T12M_SALES</t>
  </si>
  <si>
    <t>HIGH_EV_TO_T12M_SALES</t>
  </si>
  <si>
    <t>LOW_EV_TO_T12M_SALES</t>
  </si>
  <si>
    <t>Price/Share</t>
  </si>
  <si>
    <t>PX_LAST</t>
  </si>
  <si>
    <t>PX_HIGH</t>
  </si>
  <si>
    <t>PX_LOW</t>
  </si>
  <si>
    <t>AVERAGE_ENTERPRISE_VALUE</t>
  </si>
  <si>
    <t>HIGH_ENTERPRISE_VALUE</t>
  </si>
  <si>
    <t>LOW_ENTERPRISE_VALUE</t>
  </si>
  <si>
    <t>Intra-Cellular Therapies Inc (ITCI US) - Per Share</t>
  </si>
  <si>
    <t>Basic Shares Outstanding</t>
  </si>
  <si>
    <t>Diluted Weighted Avg Shares</t>
  </si>
  <si>
    <t>Basic Weighted Avg Shares</t>
  </si>
  <si>
    <t>Per Share Data Items</t>
  </si>
  <si>
    <t>REVENUE_PER_SH</t>
  </si>
  <si>
    <t>EBITDA_PER_SH</t>
  </si>
  <si>
    <t>OPER_INC_PER_SH</t>
  </si>
  <si>
    <t>Net Income to Common - Basic</t>
  </si>
  <si>
    <t>Net Income before XO - Basic</t>
  </si>
  <si>
    <t>IS_EARN_BEF_XO_ITEMS_PER_SH</t>
  </si>
  <si>
    <t>Normalized Net Income - Basic</t>
  </si>
  <si>
    <t>IS_BASIC_EPS_CONT_OPS</t>
  </si>
  <si>
    <t>Net Income to Common - Diluted</t>
  </si>
  <si>
    <t>Net Income before XO - Diluted</t>
  </si>
  <si>
    <t>IS_DIL_EPS_BEF_XO</t>
  </si>
  <si>
    <t>Normalized Net Income - Diluted</t>
  </si>
  <si>
    <t>Dividends</t>
  </si>
  <si>
    <t>EQY_DPS</t>
  </si>
  <si>
    <t>Cash Flow</t>
  </si>
  <si>
    <t>CASH_FLOW_PER_SH</t>
  </si>
  <si>
    <t>FREE_CASH_FLOW_PER_SH</t>
  </si>
  <si>
    <t>CASH_ST_INVESTMENTS_PER_SH</t>
  </si>
  <si>
    <t>Book Value</t>
  </si>
  <si>
    <t>BOOK_VAL_PER_SH</t>
  </si>
  <si>
    <t>Tangible Book Value</t>
  </si>
  <si>
    <t>TANG_BOOK_VAL_PER_SH</t>
  </si>
  <si>
    <t>Intra-Cellular Therapies Inc (ITCI US) - Stock Value</t>
  </si>
  <si>
    <t>Last Price</t>
  </si>
  <si>
    <t xml:space="preserve">  Period-over-Period % Change</t>
  </si>
  <si>
    <t>CHG_PCT_PERIOD</t>
  </si>
  <si>
    <t>Open Price</t>
  </si>
  <si>
    <t>PX_OPEN</t>
  </si>
  <si>
    <t>High Price</t>
  </si>
  <si>
    <t>Low Price</t>
  </si>
  <si>
    <t xml:space="preserve">  Current Shares Outstanding</t>
  </si>
  <si>
    <t>EQY_SH_OUT</t>
  </si>
  <si>
    <t xml:space="preserve">  Equity Float</t>
  </si>
  <si>
    <t>EQY_FLOAT</t>
  </si>
  <si>
    <t>Intra-Cellular Therapies Inc (ITCI US) - EV Ex Operating Leases</t>
  </si>
  <si>
    <t>TOT_DEBT_EX_OPERATING_LEA_LIABS</t>
  </si>
  <si>
    <t>EV_EX_OPERATING_LEASE_LIABS</t>
  </si>
  <si>
    <t>TOT_CPTL_EX_OPERATING_LEA_LIABS</t>
  </si>
  <si>
    <t>TOT_DBT_TO_CPTL_EX_OP_LEA_LIABS</t>
  </si>
  <si>
    <t>TOT_DEBT_TO_EV_EX_OPER_LEA_LIABS</t>
  </si>
  <si>
    <t>EV_EX_OPER_LEA_LIABS_TO_SALES</t>
  </si>
  <si>
    <t>EV/EBITDA</t>
  </si>
  <si>
    <t>EV_TO_EBITDA_EX_OPERATING_LEASE</t>
  </si>
  <si>
    <t>EV_TO_EBIT_EX_OPERATING_LEASE</t>
  </si>
  <si>
    <t>DILUTED_EV_EX_OPERATING_LEASE</t>
  </si>
  <si>
    <t>EV_EX_OP_LEA_LIAB_TO_SHS_OUTSTDG</t>
  </si>
  <si>
    <t>T12M_EBITDA_AFTER_OPER_LEA_EXPN</t>
  </si>
  <si>
    <t>T12_EBIT_AFT_OPER_LEASE_EXPN</t>
  </si>
  <si>
    <t>Intra-Cellular Therapies Inc (ITCI US) - Adjusted</t>
  </si>
  <si>
    <t xml:space="preserve">    + Sales &amp; Services Revenue</t>
  </si>
  <si>
    <t>IS_SALES_AND_SERVICES_REVENUES</t>
  </si>
  <si>
    <t xml:space="preserve">    + Other Revenue</t>
  </si>
  <si>
    <t>IS_OTHER_REVENUE</t>
  </si>
  <si>
    <t xml:space="preserve">  - Cost of Revenue</t>
  </si>
  <si>
    <t>IS_COGS_TO_FE_AND_PP_AND_G</t>
  </si>
  <si>
    <t xml:space="preserve">    + Cost of Goods &amp; Services</t>
  </si>
  <si>
    <t>IS_COG_AND_SERVICES_SOLD</t>
  </si>
  <si>
    <t xml:space="preserve">  + Other Operating Income</t>
  </si>
  <si>
    <t>IS_OTHER_OPER_INC</t>
  </si>
  <si>
    <t xml:space="preserve">  - Operating Expenses</t>
  </si>
  <si>
    <t>IS_OPERATING_EXPN</t>
  </si>
  <si>
    <t xml:space="preserve">    + Selling, General &amp; Admin</t>
  </si>
  <si>
    <t>IS_SGA_EXPENSE</t>
  </si>
  <si>
    <t xml:space="preserve">    + Selling &amp; Marketing</t>
  </si>
  <si>
    <t>IS_SELLING_EXPENSES</t>
  </si>
  <si>
    <t xml:space="preserve">    + General &amp; Administrative</t>
  </si>
  <si>
    <t>IS_GENERAL_AND_ADMINISTRATIVE</t>
  </si>
  <si>
    <t xml:space="preserve">    + Research &amp; Development</t>
  </si>
  <si>
    <t>IS_OPERATING_EXPENSES_RD</t>
  </si>
  <si>
    <t xml:space="preserve">    + Other Operating Expense</t>
  </si>
  <si>
    <t>IS_OTHER_OPERATING_EXPENSES</t>
  </si>
  <si>
    <t>Operating Income (Loss)</t>
  </si>
  <si>
    <t xml:space="preserve">  - Non-Operating (Income) Loss</t>
  </si>
  <si>
    <t>IS_NONOP_INCOME_LOSS</t>
  </si>
  <si>
    <t xml:space="preserve">    + Interest Expense, Net</t>
  </si>
  <si>
    <t>IS_NET_INTEREST_EXPENSE</t>
  </si>
  <si>
    <t xml:space="preserve">    + Interest Expense</t>
  </si>
  <si>
    <t>IS_INT_EXPENSE</t>
  </si>
  <si>
    <t xml:space="preserve">    - Interest Income</t>
  </si>
  <si>
    <t>IS_INT_INC</t>
  </si>
  <si>
    <t xml:space="preserve">    + Other Non-Op (Income) Loss</t>
  </si>
  <si>
    <t>IS_OTHER_NON_OPERATING_INC_LOSS</t>
  </si>
  <si>
    <t>Pretax Income (Loss), Adjusted</t>
  </si>
  <si>
    <t xml:space="preserve">  - Abnormal Losses (Gains)</t>
  </si>
  <si>
    <t>IS_ABNORMAL_ITEM</t>
  </si>
  <si>
    <t>Pretax Income (Loss), GAAP</t>
  </si>
  <si>
    <t xml:space="preserve">  - Income Tax Expense (Benefit)</t>
  </si>
  <si>
    <t>IS_INC_TAX_EXP</t>
  </si>
  <si>
    <t xml:space="preserve">    + Current Income Tax</t>
  </si>
  <si>
    <t>IS_CURRENT_INCOME_TAX_BENEFIT</t>
  </si>
  <si>
    <t xml:space="preserve">    + Deferred Income Tax</t>
  </si>
  <si>
    <t>IS_DEFERRED_INCOME_TAX_BENEFIT</t>
  </si>
  <si>
    <t>Income (Loss) from Cont Ops</t>
  </si>
  <si>
    <t>IS_INC_BEF_XO_ITEM</t>
  </si>
  <si>
    <t xml:space="preserve">  - Net Extraordinary Losses (Gains)</t>
  </si>
  <si>
    <t>XO_GL_NET_OF_TAX</t>
  </si>
  <si>
    <t xml:space="preserve">    + Discontinued Operations</t>
  </si>
  <si>
    <t>IS_DISCONTINUED_OPERATIONS</t>
  </si>
  <si>
    <t xml:space="preserve">    + XO &amp; Accounting Changes</t>
  </si>
  <si>
    <t>EXTRAORD_ITEMS_ACCOUNTING_CHANGS</t>
  </si>
  <si>
    <t>Income (Loss) Incl. MI</t>
  </si>
  <si>
    <t>NI_INCLUDING_MINORITY_INT_RATIO</t>
  </si>
  <si>
    <t xml:space="preserve">  - Minority Interest</t>
  </si>
  <si>
    <t>MIN_NONCONTROL_INTEREST_CREDITS</t>
  </si>
  <si>
    <t>Net Income, GAAP</t>
  </si>
  <si>
    <t>NET_INCOME</t>
  </si>
  <si>
    <t xml:space="preserve">  - Preferred Dividends</t>
  </si>
  <si>
    <t>IS_TOT_CASH_PFD_DVD</t>
  </si>
  <si>
    <t xml:space="preserve">  - Other Adjustments</t>
  </si>
  <si>
    <t>OTHER_ADJUSTMENTS</t>
  </si>
  <si>
    <t>Net Income Avail to Common, GAAP</t>
  </si>
  <si>
    <t>Net Income Avail to Common, Adj</t>
  </si>
  <si>
    <t xml:space="preserve">  Net Abnormal Losses (Gains)</t>
  </si>
  <si>
    <t>IS_NET_ABNORMAL_ITEMS</t>
  </si>
  <si>
    <t xml:space="preserve">  Net Extraordinary Losses (Gains)</t>
  </si>
  <si>
    <t>Basic EPS from Cont Ops, GAAP</t>
  </si>
  <si>
    <t>Basic EPS from Cont Ops, Adjusted</t>
  </si>
  <si>
    <t>Diluted EPS from Cont Ops, GAAP</t>
  </si>
  <si>
    <t>Diluted EPS from Cont Ops, Adjusted</t>
  </si>
  <si>
    <t>Accounting Standard</t>
  </si>
  <si>
    <t>ACCOUNTING_STANDARD</t>
  </si>
  <si>
    <t>US GAAP</t>
  </si>
  <si>
    <t>EBITDA Margin (T12M)</t>
  </si>
  <si>
    <t>EBITDA_MARGIN</t>
  </si>
  <si>
    <t>EBITA</t>
  </si>
  <si>
    <t>Gross Margin</t>
  </si>
  <si>
    <t>Operating Margin</t>
  </si>
  <si>
    <t>OPER_MARGIN</t>
  </si>
  <si>
    <t>Profit Margin</t>
  </si>
  <si>
    <t>PROF_MARGIN</t>
  </si>
  <si>
    <t>Sales per Employee</t>
  </si>
  <si>
    <t>ACTUAL_SALES_PER_EMPL</t>
  </si>
  <si>
    <t>Dividends per Share</t>
  </si>
  <si>
    <t>Total Cash Common Dividends</t>
  </si>
  <si>
    <t>IS_TOT_CASH_COM_DVD</t>
  </si>
  <si>
    <t>Capitalized Interest Expense</t>
  </si>
  <si>
    <t>IS_CAP_INT_EXP</t>
  </si>
  <si>
    <t>Depreciation Expense</t>
  </si>
  <si>
    <t>IS_DEPR_EXP</t>
  </si>
  <si>
    <t>Rental Expense</t>
  </si>
  <si>
    <t>BS_CURR_RENTAL_EXPENSE</t>
  </si>
  <si>
    <t>Intra-Cellular Therapies Inc (ITCI US) - GAAP</t>
  </si>
  <si>
    <t>IS_OPER_EXPENSES_RD_GAAP</t>
  </si>
  <si>
    <t>OTHER_OPERATING_EXPENSES_RATIO</t>
  </si>
  <si>
    <t>NONOP_INCOME_LOSS</t>
  </si>
  <si>
    <t>OTHER_NONOP_INCOME_LOSS</t>
  </si>
  <si>
    <t>Pretax Income</t>
  </si>
  <si>
    <t>Intra-Cellular Therapies Inc (ITCI US) - As Reported</t>
  </si>
  <si>
    <t>Income Statement</t>
  </si>
  <si>
    <t xml:space="preserve">  Revenues</t>
  </si>
  <si>
    <t>Revenues</t>
  </si>
  <si>
    <t>ARD_REVENUES</t>
  </si>
  <si>
    <t>Other Revenue</t>
  </si>
  <si>
    <t>ARD_OTHER_REV</t>
  </si>
  <si>
    <t>Product Revenue</t>
  </si>
  <si>
    <t>ARD_PRODUCT_REVENUE</t>
  </si>
  <si>
    <t>ARD_TOTAL_REVENUES</t>
  </si>
  <si>
    <t xml:space="preserve">  Operating Expenses</t>
  </si>
  <si>
    <t>Total Operating Expenses</t>
  </si>
  <si>
    <t>ARD_TOTAL_OPERATING_EXPENSES</t>
  </si>
  <si>
    <t>R &amp; D Expenditures</t>
  </si>
  <si>
    <t>ARD_R&amp;D_EXPENDITURES</t>
  </si>
  <si>
    <t>Selling General and Administrative Expenses</t>
  </si>
  <si>
    <t>ARD_SELLING_GENERAL_ADMIN_EXP</t>
  </si>
  <si>
    <t>General and Administrative Expenses</t>
  </si>
  <si>
    <t>ARD_GENERAL_ADMINISTRATIVE_EXP</t>
  </si>
  <si>
    <t>ARD_OPERATING_INCOME</t>
  </si>
  <si>
    <t>Cost of Products Sold</t>
  </si>
  <si>
    <t>ARD_COST_OF_PRODUCTS_SOLD</t>
  </si>
  <si>
    <t xml:space="preserve">  Non-Operating Expenses</t>
  </si>
  <si>
    <t>Interest Income</t>
  </si>
  <si>
    <t>ARD_INT_INCOME</t>
  </si>
  <si>
    <t>Income Tax Expense (Benefit)</t>
  </si>
  <si>
    <t>ARD_INCOME_TAX_EXP_BENEFIT</t>
  </si>
  <si>
    <t>Income Before Income Taxes</t>
  </si>
  <si>
    <t>ARD_INCOME_BEFORE_INCOME_TAXES</t>
  </si>
  <si>
    <t xml:space="preserve">  Earnings</t>
  </si>
  <si>
    <t>Basic EPS</t>
  </si>
  <si>
    <t>ARD_BASIC_EPS</t>
  </si>
  <si>
    <t>Weighted Avg. Shares - Basic</t>
  </si>
  <si>
    <t>ARD_WEIGHTED_AVG_SHARES_BASIC</t>
  </si>
  <si>
    <t>Diluted EPS</t>
  </si>
  <si>
    <t>ARD_DILUTED_EPS</t>
  </si>
  <si>
    <t>Weighted Avg. Shares - Diluted</t>
  </si>
  <si>
    <t>ARD_WEIGHTED_AVG_SHARE_DILUTED</t>
  </si>
  <si>
    <t>Basic &amp; Diluted EPS</t>
  </si>
  <si>
    <t>ARD_BASIC_AND_DILUTED_EPS</t>
  </si>
  <si>
    <t>Weighted Avg. Shares - Basic &amp; Diluted</t>
  </si>
  <si>
    <t>ARD_WTD_AVG_SHS_BASIC_DILUTED</t>
  </si>
  <si>
    <t>Net Income Available For Common Shareholders</t>
  </si>
  <si>
    <t>ARD_NET_INC_AVAIL_COM_SHRHLDR</t>
  </si>
  <si>
    <t>Cumulative Net Income</t>
  </si>
  <si>
    <t>ARD_CUMULATIVE_NET_INCOME</t>
  </si>
  <si>
    <t>ARD_NET_INC</t>
  </si>
  <si>
    <t xml:space="preserve">  Comprehensive Income</t>
  </si>
  <si>
    <t>Unrealized Gain (Loss) On Securities</t>
  </si>
  <si>
    <t>ARD_UNREALIZED_GL_ON_SECS</t>
  </si>
  <si>
    <t>Total Comprehensive Income</t>
  </si>
  <si>
    <t>ARD_TOTAL_COMPREHENSIVE_INCOME</t>
  </si>
  <si>
    <t>Net Income - Comprehensive Income</t>
  </si>
  <si>
    <t>ARD_COMPREHENSIVE_INCOME_NET_INC</t>
  </si>
  <si>
    <t xml:space="preserve">  Others</t>
  </si>
  <si>
    <t xml:space="preserve">  Reference Items</t>
  </si>
  <si>
    <t>ARDR_R&amp;D_EXPENDITURES</t>
  </si>
  <si>
    <t>Sales/Marketing/Advertising Expenses</t>
  </si>
  <si>
    <t>ARDR_SALES_MKT_ADVERTISING_EXP</t>
  </si>
  <si>
    <t>ARDR_DEPRECIATION_EXP</t>
  </si>
  <si>
    <t>Selling General and Administrative Expense</t>
  </si>
  <si>
    <t>ARDR_SELLING_GENERAL_ADMIN_EXP</t>
  </si>
  <si>
    <t>ARDR_INT_INCOME</t>
  </si>
  <si>
    <t>Interest Income - Net</t>
  </si>
  <si>
    <t>ARDR_INTEREST_INCOME_NET</t>
  </si>
  <si>
    <t>ARDR_INCOME_TAX_EXP_BENEFIT</t>
  </si>
  <si>
    <t>ARDR_UNREALIZED_GL_ON_SECS</t>
  </si>
  <si>
    <t>ARDR_GENERAL_ADMINISTRATIVE_EXP</t>
  </si>
  <si>
    <t>ARDR_OTHER_REV</t>
  </si>
  <si>
    <t>ARDR_BASIC_EPS</t>
  </si>
  <si>
    <t>ARDR_WEIGHTED_AVG_SHARES_BASIC</t>
  </si>
  <si>
    <t>ARDR_DILUTED_EPS</t>
  </si>
  <si>
    <t>ARDR_WEIGHTED_AVG_SHARE_DILUTED</t>
  </si>
  <si>
    <t>Current Rental Expense</t>
  </si>
  <si>
    <t>ARDR_CURRENT_RENTAL_EXP</t>
  </si>
  <si>
    <t>Stock Based Compensation Expense</t>
  </si>
  <si>
    <t>ARDR_STK_BASED_COMPENSATION_EXP</t>
  </si>
  <si>
    <t>ARDR_BASIC_AND_DILUTED_EPS</t>
  </si>
  <si>
    <t>ARDR_TOTAL_COMPREHENSIVE_INCOME</t>
  </si>
  <si>
    <t>ARDR_WTD_AVG_SHS_BASIC_DILUTED</t>
  </si>
  <si>
    <t>ARDR_TOTAL_REVENUES</t>
  </si>
  <si>
    <t>ARDR_PRODUCT_REVENUE</t>
  </si>
  <si>
    <t>Diluted Net Income</t>
  </si>
  <si>
    <t>ARDR_DILUTED_NET_INCOME</t>
  </si>
  <si>
    <t>Advertising Expenses</t>
  </si>
  <si>
    <t>ARDR_ADVERTISING_EXPENSES</t>
  </si>
  <si>
    <t>Stock-Based Compensation Attrib to R&amp;D</t>
  </si>
  <si>
    <t>ARDR_STOCK_BASED_CMPNSTN_IN_R&amp;D</t>
  </si>
  <si>
    <t>Stock-Based Compensation Attrib to SG&amp;A</t>
  </si>
  <si>
    <t>ARDR_STOCK_BASED_CMPNSTN_IN_SG&amp;A</t>
  </si>
  <si>
    <t>Stock-Based Compensation Attrib to COGS</t>
  </si>
  <si>
    <t>ARDR_STOCK_BASED_CMPNSTN_IN_COGS</t>
  </si>
  <si>
    <t>Earnings Before Interest and Taxes</t>
  </si>
  <si>
    <t>ARDR_EBIT</t>
  </si>
  <si>
    <t>ARDR Stock Based Compensation Attributable to G&amp;AE</t>
  </si>
  <si>
    <t>ARDR_STK_BSD_COMP_ATTRIB_TO_G&amp;AE</t>
  </si>
  <si>
    <t>ARDR Stock Based Compensation CF Pre Tax</t>
  </si>
  <si>
    <t>ARDR_STK_BSD_CMPNSTN_CF_PRE_TAX</t>
  </si>
  <si>
    <t>Intra-Cellular Therapies Inc (ITCI US) - Reconciliation</t>
  </si>
  <si>
    <t>EBITDA Reconciliation</t>
  </si>
  <si>
    <t>EBIT, GAAP</t>
  </si>
  <si>
    <t xml:space="preserve">  + Revenue Adjustments</t>
  </si>
  <si>
    <t>IS_REVENUE_ADJUSTMENTS</t>
  </si>
  <si>
    <t xml:space="preserve">  + Cost of Revenue Adjustments</t>
  </si>
  <si>
    <t>IS_COST_OF_REVENUE_ADJUSTMENTS</t>
  </si>
  <si>
    <t xml:space="preserve">  + Other Op Inc Adjustments</t>
  </si>
  <si>
    <t>IS_OTHER_OPER_INC_NONGAAP_ADJUST</t>
  </si>
  <si>
    <t xml:space="preserve">  + SG&amp;A Adjustments</t>
  </si>
  <si>
    <t>IS_SGA_ADJ</t>
  </si>
  <si>
    <t xml:space="preserve">  + R&amp;D Expense Adjustments</t>
  </si>
  <si>
    <t>IS_RD_EXPENSE_NON_GAAP_ADJ</t>
  </si>
  <si>
    <t xml:space="preserve">  + D&amp;A Adjustments</t>
  </si>
  <si>
    <t>IS_DA_NON_GAAP_ADJ</t>
  </si>
  <si>
    <t xml:space="preserve">  + Prov for Doubtful Acct Adj</t>
  </si>
  <si>
    <t>IS_PDA_NONGAAP_ADJUSTMENTS</t>
  </si>
  <si>
    <t xml:space="preserve">  + Other Op Exp Adjustments</t>
  </si>
  <si>
    <t>IS_OTHER_OPERATING_EXPN_ADJUST</t>
  </si>
  <si>
    <t>EBIT, Adjusted</t>
  </si>
  <si>
    <t xml:space="preserve">  + Depreciation &amp; Amortization</t>
  </si>
  <si>
    <t>ADJUSTED_DA_EXPENSES</t>
  </si>
  <si>
    <t xml:space="preserve">  + Cost of Capitalized Operating Leases</t>
  </si>
  <si>
    <t>COST_CAPITALIZED_OPERATING_LEAS</t>
  </si>
  <si>
    <t>EBITDA, Adjusted</t>
  </si>
  <si>
    <t>EBIT Reconciliation</t>
  </si>
  <si>
    <t>Pretax Income Reconciliation</t>
  </si>
  <si>
    <t>Net Income Reconciliation</t>
  </si>
  <si>
    <t>Net Inc Avail to Common, GAAP</t>
  </si>
  <si>
    <t xml:space="preserve">  + Discontinued Operations</t>
  </si>
  <si>
    <t xml:space="preserve">  + XO &amp; Accounting Changes</t>
  </si>
  <si>
    <t>Net Inc Avail to Common Cont, GAAP</t>
  </si>
  <si>
    <t>INC_BEF_XO_LESS_MIN_INT_PREF_DVD</t>
  </si>
  <si>
    <t>Earnings Per Share Reconciliation</t>
  </si>
  <si>
    <t>IS_DISC_OPS_DILUTED_SH</t>
  </si>
  <si>
    <t>IS_XO_ITEMS_ACCT_CHG_DIL_SH</t>
  </si>
  <si>
    <t>Diluted EPS from Cont Ops, Adj</t>
  </si>
  <si>
    <t>Intra-Cellular Therapies Inc (ITCI US) - SBC &amp; Amort</t>
  </si>
  <si>
    <t>Basic EPS Ex-SBC, Adj</t>
  </si>
  <si>
    <t>BASIC_EPS_EX_STK_BASED_COMP</t>
  </si>
  <si>
    <t>Diluted EPS Ex-SBC, Adj</t>
  </si>
  <si>
    <t>DILUTED_EPS_EX_STK_BASED_COMP</t>
  </si>
  <si>
    <t>Stock Based Compensation</t>
  </si>
  <si>
    <t>Pre-Tax</t>
  </si>
  <si>
    <t>IS_EXPENSE_STOCK_BASED_COMP</t>
  </si>
  <si>
    <t>After-Tax</t>
  </si>
  <si>
    <t>IS_STK_BASED_COMP_AFT_TAX</t>
  </si>
  <si>
    <t>Per Basic Share</t>
  </si>
  <si>
    <t>IS_STK_BASED_COMP_PER_BAS_SH</t>
  </si>
  <si>
    <t>Per Diluted Share</t>
  </si>
  <si>
    <t>IS_STK_BASED_COMP_PER_DIL_SH</t>
  </si>
  <si>
    <t>Cost of Revenue</t>
  </si>
  <si>
    <t>IS_SBC_ATTRIB_TO_COGS_PRETX</t>
  </si>
  <si>
    <t>Selling, General &amp; Administrative</t>
  </si>
  <si>
    <t>IS_SBC_INCL_SELLING</t>
  </si>
  <si>
    <t>General &amp; Administrative</t>
  </si>
  <si>
    <t>IS_SBC_INCL_GEN_ADMIN</t>
  </si>
  <si>
    <t>Research &amp; Development</t>
  </si>
  <si>
    <t>IS_SBC_INCL_RD</t>
  </si>
  <si>
    <t>Amortization of Acquisition Related Intangibles</t>
  </si>
  <si>
    <t>Amortization of Total Intangibles</t>
  </si>
  <si>
    <t>Intra-Cellular Therapies Inc (ITCI US) - Adj %</t>
  </si>
  <si>
    <t>Intra-Cellular Therapies Inc (ITCI US) - GAAP %</t>
  </si>
  <si>
    <t>Last 12M</t>
  </si>
  <si>
    <t>Intra-Cellular Therapies Inc (ITCI US) - Standardized</t>
  </si>
  <si>
    <t xml:space="preserve">  + Cash, Cash Equivalents &amp; STI</t>
  </si>
  <si>
    <t>CASH_CASH_EQTY_STI_DETAILED</t>
  </si>
  <si>
    <t xml:space="preserve">    + Cash &amp; Cash Equivalents</t>
  </si>
  <si>
    <t>BS_CASH_NEAR_CASH_ITEM</t>
  </si>
  <si>
    <t xml:space="preserve">    + ST Investments</t>
  </si>
  <si>
    <t>BS_MKT_SEC_OTHER_ST_INVEST</t>
  </si>
  <si>
    <t xml:space="preserve">  + Accounts &amp; Notes Receiv</t>
  </si>
  <si>
    <t>BS_ACCT_NOTE_RCV</t>
  </si>
  <si>
    <t xml:space="preserve">    + Accounts Receivable, Net</t>
  </si>
  <si>
    <t>BS_ACCTS_REC_EXCL_NOTES_REC</t>
  </si>
  <si>
    <t xml:space="preserve">    + Notes Receivable, Net</t>
  </si>
  <si>
    <t>NOTES_RECEIVABLE</t>
  </si>
  <si>
    <t xml:space="preserve">  + Inventories</t>
  </si>
  <si>
    <t>BS_INVENTORIES</t>
  </si>
  <si>
    <t xml:space="preserve">    + Raw Materials</t>
  </si>
  <si>
    <t>INVTRY_RAW_MATERIALS</t>
  </si>
  <si>
    <t xml:space="preserve">    + Work In Process</t>
  </si>
  <si>
    <t>INVTRY_IN_PROGRESS</t>
  </si>
  <si>
    <t xml:space="preserve">    + Finished Goods</t>
  </si>
  <si>
    <t>INVTRY_FINISHED_GOODS</t>
  </si>
  <si>
    <t xml:space="preserve">    + Other Inventory</t>
  </si>
  <si>
    <t>BS_OTHER_INV</t>
  </si>
  <si>
    <t xml:space="preserve">  + Other ST Assets</t>
  </si>
  <si>
    <t>OTHER_CURRENT_ASSETS_DETAILED</t>
  </si>
  <si>
    <t xml:space="preserve">    + Derivative &amp; Hedging Assets</t>
  </si>
  <si>
    <t>BS_DERIV_HEDGING_ASST_ST</t>
  </si>
  <si>
    <t xml:space="preserve">    + Misc ST Assets</t>
  </si>
  <si>
    <t>BS_OTHER_CUR_ASSET_LESS_PREPAY</t>
  </si>
  <si>
    <t xml:space="preserve">  + Property, Plant &amp; Equip, Net</t>
  </si>
  <si>
    <t>BS_NET_FIX_ASSET</t>
  </si>
  <si>
    <t xml:space="preserve">    + Property, Plant &amp; Equip</t>
  </si>
  <si>
    <t>BS_GROSS_FIX_ASSET</t>
  </si>
  <si>
    <t xml:space="preserve">    - Accumulated Depreciation</t>
  </si>
  <si>
    <t>BS_ACCUM_DEPR</t>
  </si>
  <si>
    <t xml:space="preserve">  + LT Investments &amp; Receivables</t>
  </si>
  <si>
    <t>BS_LT_INVEST</t>
  </si>
  <si>
    <t xml:space="preserve">  + Other LT Assets</t>
  </si>
  <si>
    <t>BS_OTHER_ASSETS_DEF_CHRG_OTHER</t>
  </si>
  <si>
    <t xml:space="preserve">    + Total Intangible Assets</t>
  </si>
  <si>
    <t>BS_DISCLOSED_INTANGIBLES</t>
  </si>
  <si>
    <t xml:space="preserve">    + Goodwill</t>
  </si>
  <si>
    <t>BS_GOODWILL</t>
  </si>
  <si>
    <t xml:space="preserve">    + Other Intangible Assets</t>
  </si>
  <si>
    <t>OTHER_INTANGIBLE_ASSETS_DETAILED</t>
  </si>
  <si>
    <t xml:space="preserve">    + Deferred Tax Assets</t>
  </si>
  <si>
    <t>BS_DEFERRED_TAX_ASSETS_LT</t>
  </si>
  <si>
    <t>BS_DERIV_HEDGING_ASST_LT</t>
  </si>
  <si>
    <t xml:space="preserve">    + Misc LT Assets</t>
  </si>
  <si>
    <t>OTHER_NONCURRENT_ASSETS_DETAILED</t>
  </si>
  <si>
    <t>Total Noncurrent Assets</t>
  </si>
  <si>
    <t>BS_TOT_NON_CUR_ASSET</t>
  </si>
  <si>
    <t>Liabilities &amp; Shareholders' Equity</t>
  </si>
  <si>
    <t xml:space="preserve">  + Payables &amp; Accruals</t>
  </si>
  <si>
    <t>ACCT_PAYABLE_ACCRUALS_DETAILED</t>
  </si>
  <si>
    <t xml:space="preserve">    + Accounts Payable</t>
  </si>
  <si>
    <t>BS_ACCT_PAYABLE</t>
  </si>
  <si>
    <t xml:space="preserve">    + Other Payables &amp; Accruals</t>
  </si>
  <si>
    <t>BS_ACCRUAL</t>
  </si>
  <si>
    <t xml:space="preserve">  + ST Debt</t>
  </si>
  <si>
    <t>BS_ST_BORROW</t>
  </si>
  <si>
    <t xml:space="preserve">    + ST Borrowings</t>
  </si>
  <si>
    <t>SHORT_TERM_DEBT_DETAILED</t>
  </si>
  <si>
    <t xml:space="preserve">    + ST Lease Liabilities</t>
  </si>
  <si>
    <t>ST_CAPITALIZED_LEASE_LIABILITIES</t>
  </si>
  <si>
    <t xml:space="preserve">      + ST Finance Leases</t>
  </si>
  <si>
    <t>ST_CAPITAL_LEASE_OBLIGATIONS</t>
  </si>
  <si>
    <t xml:space="preserve">      + ST Operating Leases</t>
  </si>
  <si>
    <t>BS_ST_OPERATING_LEASE_LIABS</t>
  </si>
  <si>
    <t xml:space="preserve">  + Other ST Liabilities</t>
  </si>
  <si>
    <t>OTHER_CURRENT_LIABS_SUB_DETAILED</t>
  </si>
  <si>
    <t xml:space="preserve">    + Deferred Revenue</t>
  </si>
  <si>
    <t>ST_DEFERRED_REVENUE</t>
  </si>
  <si>
    <t xml:space="preserve">    + Derivatives &amp; Hedging</t>
  </si>
  <si>
    <t>BS_DERIV_HEDGING_LIAB_ST</t>
  </si>
  <si>
    <t xml:space="preserve">    + Misc ST Liabilities</t>
  </si>
  <si>
    <t>OTHER_CURRENT_LIABS_DETAILED</t>
  </si>
  <si>
    <t xml:space="preserve">  + LT Debt</t>
  </si>
  <si>
    <t>BS_LT_BORROW</t>
  </si>
  <si>
    <t xml:space="preserve">    + LT Borrowings</t>
  </si>
  <si>
    <t>LONG_TERM_BORROWINGS_DETAILED</t>
  </si>
  <si>
    <t xml:space="preserve">    + LT Lease Liabilities</t>
  </si>
  <si>
    <t>LT_CAPITALIZED_LEASE_LIABILITIES</t>
  </si>
  <si>
    <t xml:space="preserve">      + LT Finance Leases</t>
  </si>
  <si>
    <t>LT_CAPITAL_LEASE_OBLIGATIONS</t>
  </si>
  <si>
    <t xml:space="preserve">      + LT Operating Leases</t>
  </si>
  <si>
    <t>BS_LT_OPERATING_LEASE_LIABS</t>
  </si>
  <si>
    <t xml:space="preserve">  + Other LT Liabilities</t>
  </si>
  <si>
    <t>OTHER_NONCUR_LIABS_SUB_DETAILED</t>
  </si>
  <si>
    <t xml:space="preserve">    + Accrued Liabilities</t>
  </si>
  <si>
    <t>BS_ACCRUED_LIABILITIES</t>
  </si>
  <si>
    <t xml:space="preserve">    + Pension Liabilities</t>
  </si>
  <si>
    <t>PENSION_LIABILITIES</t>
  </si>
  <si>
    <t xml:space="preserve">    + Pensions</t>
  </si>
  <si>
    <t>BS_PENSIONS_LT_LIABS</t>
  </si>
  <si>
    <t xml:space="preserve">    + Other Post-Ret Benefits</t>
  </si>
  <si>
    <t>BS_OPRB_LT_LIABS</t>
  </si>
  <si>
    <t>LT_DEFERRED_REVENUE</t>
  </si>
  <si>
    <t>BS_DERIV_HEDGING_LIAB_LT</t>
  </si>
  <si>
    <t xml:space="preserve">    + Misc LT Liabilities</t>
  </si>
  <si>
    <t>OTHER_NONCURRENT_LIABS_DETAILED</t>
  </si>
  <si>
    <t>Total Noncurrent Liabilities</t>
  </si>
  <si>
    <t>NON_CUR_LIAB</t>
  </si>
  <si>
    <t xml:space="preserve">  + Preferred Equity and Hybrid Capital</t>
  </si>
  <si>
    <t xml:space="preserve">  + Share Capital &amp; APIC</t>
  </si>
  <si>
    <t>BS_SH_CAP_AND_APIC</t>
  </si>
  <si>
    <t xml:space="preserve">    + Common Stock</t>
  </si>
  <si>
    <t>BS_COMMON_STOCK</t>
  </si>
  <si>
    <t xml:space="preserve">    + Additional Paid in Capital</t>
  </si>
  <si>
    <t>BS_ADD_PAID_IN_CAP</t>
  </si>
  <si>
    <t xml:space="preserve">  - Treasury Stock</t>
  </si>
  <si>
    <t>BS_AMT_OF_TSY_STOCK</t>
  </si>
  <si>
    <t xml:space="preserve">  + Retained Earnings</t>
  </si>
  <si>
    <t>BS_PURE_RETAINED_EARNINGS</t>
  </si>
  <si>
    <t xml:space="preserve">  + Other Equity</t>
  </si>
  <si>
    <t>OTHER_EQUITY_RATIO</t>
  </si>
  <si>
    <t>Equity Before Minority Interest</t>
  </si>
  <si>
    <t>EQTY_BEF_MINORITY_INT_DETAILED</t>
  </si>
  <si>
    <t xml:space="preserve">  + Minority/Non Controlling Interest</t>
  </si>
  <si>
    <t>Total Liabilities &amp; Equity</t>
  </si>
  <si>
    <t>TOT_LIAB_AND_EQY</t>
  </si>
  <si>
    <t>Shares Outstanding</t>
  </si>
  <si>
    <t>Number of Treasury Shares</t>
  </si>
  <si>
    <t>BS_NUM_OF_TSY_SH</t>
  </si>
  <si>
    <t>Pension Obligations</t>
  </si>
  <si>
    <t>BS_PENSION_RSRV</t>
  </si>
  <si>
    <t>Future Minimum Operating Lease Obligations</t>
  </si>
  <si>
    <t>BS_FUTURE_MIN_OPER_LEASE_OBLIG</t>
  </si>
  <si>
    <t>Capital Leases - Total</t>
  </si>
  <si>
    <t>BS_TOTAL_CAPITAL_LEASES</t>
  </si>
  <si>
    <t>Options Granted During Period</t>
  </si>
  <si>
    <t>BS_OPTIONS_GRANTED</t>
  </si>
  <si>
    <t>Options Outstanding at Period End</t>
  </si>
  <si>
    <t>BS_OPTIONS_OUTSTANDING</t>
  </si>
  <si>
    <t>Net Debt</t>
  </si>
  <si>
    <t>NET_DEBT</t>
  </si>
  <si>
    <t>Net Debt to Equity</t>
  </si>
  <si>
    <t>NET_DEBT_TO_SHRHLDR_EQTY</t>
  </si>
  <si>
    <t>Tangible Common Equity Ratio</t>
  </si>
  <si>
    <t>TCE_RATIO</t>
  </si>
  <si>
    <t>Current Ratio</t>
  </si>
  <si>
    <t>CUR_RATIO</t>
  </si>
  <si>
    <t>Cash Conversion Cycle</t>
  </si>
  <si>
    <t>CASH_CONVERSION_CYCLE</t>
  </si>
  <si>
    <t>Number of Employees</t>
  </si>
  <si>
    <t>NUM_OF_EMPLOYEES</t>
  </si>
  <si>
    <t>Balance Sheet</t>
  </si>
  <si>
    <t xml:space="preserve">  Current Assets</t>
  </si>
  <si>
    <t>ARD_CASH_AND_EQUIVALENTS</t>
  </si>
  <si>
    <t>Accounts Receivable - Trade</t>
  </si>
  <si>
    <t>ARD_ACCTS_RECEIVABLE_TRADE</t>
  </si>
  <si>
    <t>Inventories</t>
  </si>
  <si>
    <t>ARD_INVENTORY</t>
  </si>
  <si>
    <t>Prepaid Expenses and Other</t>
  </si>
  <si>
    <t>ARD_PREPAID_EXP_AND_OTHER</t>
  </si>
  <si>
    <t>Restricted Cash (Short-Term)</t>
  </si>
  <si>
    <t>ARD_RESTRICTED_CASH_ST</t>
  </si>
  <si>
    <t>Allowance For Doubtful Accounts</t>
  </si>
  <si>
    <t>ARD_ALLOW_FOR_DOUBTFUL_ACCTS</t>
  </si>
  <si>
    <t>Short-Term Investments</t>
  </si>
  <si>
    <t>ARD_ST_INVEST</t>
  </si>
  <si>
    <t>ARD_TOTAL_CUR_ASSETS</t>
  </si>
  <si>
    <t xml:space="preserve">  Noncurrent Assets</t>
  </si>
  <si>
    <t>Property Plant &amp; Equipment - Net</t>
  </si>
  <si>
    <t>ARD_PROPERTY_PLANT_EQUIP_NET</t>
  </si>
  <si>
    <t>Deferred Income Tax Asset (Long-Term)</t>
  </si>
  <si>
    <t>ARD_DEFERRED_INC_TAX_ASSET_LT</t>
  </si>
  <si>
    <t>Other Noncurrent Assets</t>
  </si>
  <si>
    <t>ARD_OTHER_NONCURRENT_ASSET</t>
  </si>
  <si>
    <t>Total Non-Current Assets</t>
  </si>
  <si>
    <t>ARD_TOTAL_NONCURRENT_ASSETS</t>
  </si>
  <si>
    <t>Inventories (Noncurrent)</t>
  </si>
  <si>
    <t>ARD_INVENTORIES_NONCURRENT</t>
  </si>
  <si>
    <t>ARD_TOT_ASSETS</t>
  </si>
  <si>
    <t xml:space="preserve">  Current Liabilities</t>
  </si>
  <si>
    <t>Accounts Payable - Trade</t>
  </si>
  <si>
    <t>ARD_ACCOUNTS_PAYABLE_TRADE</t>
  </si>
  <si>
    <t>Accrued Compensation/Postretirement Obligation</t>
  </si>
  <si>
    <t>ARD_ACC_COMP_POSTRETIRE_OBLIG</t>
  </si>
  <si>
    <t>Accrued Expenses</t>
  </si>
  <si>
    <t>ARD_ACCRUED_EXPENSES</t>
  </si>
  <si>
    <t>Accrued Expenses and Other</t>
  </si>
  <si>
    <t>ARD_ACCRUED_EXP_AND_OTHER</t>
  </si>
  <si>
    <t>Short Term Operating Lease Liabilities</t>
  </si>
  <si>
    <t>ARD_ST_OPERATING_LEASE_LIABS</t>
  </si>
  <si>
    <t>ARD_TOTAL_CURRENT_LIABILITIES</t>
  </si>
  <si>
    <t xml:space="preserve">  Non Current Liabilities</t>
  </si>
  <si>
    <t>ARD_TOT_NONCURRENT_LIABILITIES</t>
  </si>
  <si>
    <t>Deferred/Unearned Revenue (Long-Term)</t>
  </si>
  <si>
    <t>ARD_DEFERRED_UNEARNED_REV_LT</t>
  </si>
  <si>
    <t>Long Term Operating Lease Liabilities</t>
  </si>
  <si>
    <t>ARD_LT_OPERATING_LEASE_LIABS</t>
  </si>
  <si>
    <t>ARD_TOT_LIABILITIES</t>
  </si>
  <si>
    <t xml:space="preserve">  Stockholder Equity</t>
  </si>
  <si>
    <t>Common Stock</t>
  </si>
  <si>
    <t>ARD_COMMON_STOCK</t>
  </si>
  <si>
    <t>Additional Paid In Capital</t>
  </si>
  <si>
    <t>ARD_ADDITIONAL_PAID_IN_CAPITAL</t>
  </si>
  <si>
    <t>Accumulated Other Comprehensive Income</t>
  </si>
  <si>
    <t>ARD_ACC_OTH_COMPREHENSIVE_INC</t>
  </si>
  <si>
    <t>Retained Earnings (Accumulated Deficit)</t>
  </si>
  <si>
    <t>ARD_RETAINED_EARN_ACC_DEFICIT</t>
  </si>
  <si>
    <t>ARD_SHARES_OUTSTANDING</t>
  </si>
  <si>
    <t>Par Value</t>
  </si>
  <si>
    <t>ARD_PAR_VALUE</t>
  </si>
  <si>
    <t>Shares Issued</t>
  </si>
  <si>
    <t>ARD_SHARES_ISSUED</t>
  </si>
  <si>
    <t>Total Shareholders Equity</t>
  </si>
  <si>
    <t>ARD_TOTAL_SHAREHOLDERS_EQUITY</t>
  </si>
  <si>
    <t>Shares Authorized</t>
  </si>
  <si>
    <t>ARD_SHARES_AUTHORIZED</t>
  </si>
  <si>
    <t>Preferred Stock Shares Outstanding</t>
  </si>
  <si>
    <t>ARD_PREFERRED_STOCK_SHARES_OUT</t>
  </si>
  <si>
    <t>Total Liabilities and Shareholders Equity</t>
  </si>
  <si>
    <t>ARD_TOT_LIAB_AND_SHAREHOLDER_EQY</t>
  </si>
  <si>
    <t>ARDR Number of RSU Beginning of the Period</t>
  </si>
  <si>
    <t>ARDR_NUM_OF_RSU_BEGIN_OF_PER</t>
  </si>
  <si>
    <t>ARDR Number of Restricted Stock Units Granted</t>
  </si>
  <si>
    <t>ARDR_NUMBER_OF_RSU_GRANTED</t>
  </si>
  <si>
    <t>ARDR Number of Restricted Stock Units Vested</t>
  </si>
  <si>
    <t>ARDR_NUMBER_OF_RSU_VESTED</t>
  </si>
  <si>
    <t>ARDR Number of RSU Forfeited Canceled</t>
  </si>
  <si>
    <t>ARDR_NUMBER_OF_RSU_FORFTD_CANCLD</t>
  </si>
  <si>
    <t>ARDR_INVENTORY</t>
  </si>
  <si>
    <t>Leasehold Improvements</t>
  </si>
  <si>
    <t>ARDR_LEASEHOLD_IMPROVEMENTS</t>
  </si>
  <si>
    <t>Furniture/Machinery/Equipment</t>
  </si>
  <si>
    <t>ARDR_FURNITURE_MACHINERY_EQUIP</t>
  </si>
  <si>
    <t>Property Plant &amp; Equipment - Gross</t>
  </si>
  <si>
    <t>ARDR_PROPERTY_PLANT_EQUIP_GROSS</t>
  </si>
  <si>
    <t>Accumulated Depreciation</t>
  </si>
  <si>
    <t>ARDR_ACCUMULATED_DEPREC</t>
  </si>
  <si>
    <t>ARDR_PROPERTY_PLANT_EQUIP_NET</t>
  </si>
  <si>
    <t>Deferred Income Tax Asset (LT)</t>
  </si>
  <si>
    <t>ARDR_DEFERRED_INC_TAX_ASSET_LT</t>
  </si>
  <si>
    <t>ARDR_COMMON_STOCK</t>
  </si>
  <si>
    <t>ARDR_ADDITIONAL_PAID_IN_CAPITAL</t>
  </si>
  <si>
    <t>ARDR_ACC_OTH_COMPREHENSIVE_INC</t>
  </si>
  <si>
    <t>ARDR_RETAINED_EARN_ACC_DEFICIT</t>
  </si>
  <si>
    <t>ARDR_SHARES_OUTSTANDING</t>
  </si>
  <si>
    <t>ARDR_PAR_VALUE</t>
  </si>
  <si>
    <t>Raw Materials</t>
  </si>
  <si>
    <t>ARDR_RAW_MATERIAL</t>
  </si>
  <si>
    <t>Work In Progress</t>
  </si>
  <si>
    <t>ARDR_WORK_IN_PROGRESS</t>
  </si>
  <si>
    <t>Finished Goods</t>
  </si>
  <si>
    <t>ARDR_FINISHED_GOOD</t>
  </si>
  <si>
    <t>Other Inventory</t>
  </si>
  <si>
    <t>ARDR_OTHER_INVENTORY</t>
  </si>
  <si>
    <t>ARDR_FUT_MIN_OPER_LEASE_OBLIG</t>
  </si>
  <si>
    <t>Rental Expense - Year 1</t>
  </si>
  <si>
    <t>ARDR_RENTAL_EXP_YR1</t>
  </si>
  <si>
    <t>Rental Expense - Year 2</t>
  </si>
  <si>
    <t>ARDR_RENTAL_EXP_YR2</t>
  </si>
  <si>
    <t>Rental Expense - Year 3</t>
  </si>
  <si>
    <t>ARDR_RENTAL_EXP_YR3</t>
  </si>
  <si>
    <t>Rental Expense - Year 4</t>
  </si>
  <si>
    <t>ARDR_RENTAL_EXP_YR4</t>
  </si>
  <si>
    <t>Rental Expense - Year 5</t>
  </si>
  <si>
    <t>ARDR_RENTAL_EXP_YR5</t>
  </si>
  <si>
    <t>Rental Expense - Beyond Year 5</t>
  </si>
  <si>
    <t>ARDR_RENTAL_EXP_BEYOND_YR5</t>
  </si>
  <si>
    <t>ARDR_TOTAL_SHAREHOLDERS_EQUITY</t>
  </si>
  <si>
    <t>ARDR_NUMBER_EMPLOYEES</t>
  </si>
  <si>
    <t>Shares Outstanding From The Front Cover</t>
  </si>
  <si>
    <t>ARDR_SHARE_OUT_FROM_FRONT_COVER</t>
  </si>
  <si>
    <t>ARDR_OPTIONS_GRANTED_DURING_PER</t>
  </si>
  <si>
    <t>Options Outstanding End Period</t>
  </si>
  <si>
    <t>ARDR_OPTIONS_OUTSTANDING_END_PER</t>
  </si>
  <si>
    <t>ARDR_SHARES_AUTHORIZED</t>
  </si>
  <si>
    <t>Options Exercised During the Period</t>
  </si>
  <si>
    <t>ARDR_OPTIONS_EXERCISED_DUR_PER</t>
  </si>
  <si>
    <t>Options Expired During the Period</t>
  </si>
  <si>
    <t>ARDR_OPTIONS_EXPIRED_DUR_PER</t>
  </si>
  <si>
    <t>Cash Equivalents</t>
  </si>
  <si>
    <t>ARDR_CASH_EQUIVS</t>
  </si>
  <si>
    <t>ARDR Total Operating Liabilities</t>
  </si>
  <si>
    <t>ARDR_TOTAL_OPERATING_LIABILITIES</t>
  </si>
  <si>
    <t>Fair Value Assets Recur - Level 1</t>
  </si>
  <si>
    <t>ARDR_FV_ASSETS_REC_LEVEL_1</t>
  </si>
  <si>
    <t>Fair Value Assets Recur - Level 2</t>
  </si>
  <si>
    <t>ARDR_FV_ASSETS_REC_LEVEL_2</t>
  </si>
  <si>
    <t>Fair Value Assets Recur - Level 3</t>
  </si>
  <si>
    <t>ARDR_FV_ASSETS_REC_LEVEL_3</t>
  </si>
  <si>
    <t>Fair Value Assets Recur - Total</t>
  </si>
  <si>
    <t>ARDR_FV_ASSETS_REC_TOTAL</t>
  </si>
  <si>
    <t>ARDR Options Cancelled or Forfeited</t>
  </si>
  <si>
    <t>ARDR_OPTIONS_CANCELLED_FORFEITED</t>
  </si>
  <si>
    <t>Contractual Obligations - Year 1</t>
  </si>
  <si>
    <t>ARDR_CONTRACTUAL_OBLIG_YEAR_1</t>
  </si>
  <si>
    <t>Contractual Obligations Years - 2 &amp; 3</t>
  </si>
  <si>
    <t>ARDR_CONTRACTUAL_OBLIG_YEAR_2_3</t>
  </si>
  <si>
    <t>Contractual Obligations Years - 4 &amp; 5</t>
  </si>
  <si>
    <t>ARDR_CONTRACTUAL_OBLIG_YEAR_4_5</t>
  </si>
  <si>
    <t>Contractual Obligations - Beyond Year 5</t>
  </si>
  <si>
    <t>ARDR_CONT_OBLIG_BEYOND_YEAR_5</t>
  </si>
  <si>
    <t>Total Contractual Obligations</t>
  </si>
  <si>
    <t>ARDR_CONTRACTUAL_OBLIG_TOTAL</t>
  </si>
  <si>
    <t>PV of Future Min Op Lease Obligations</t>
  </si>
  <si>
    <t>ARDR_PV_FUTURE_MIN_OP_LEASE_OBL</t>
  </si>
  <si>
    <t>Stock Opt Valuation - Risk Free Rate (%)</t>
  </si>
  <si>
    <t>ARDR_STOCK_OPTION_VAL_RFR</t>
  </si>
  <si>
    <t>Stock Opt Valuation - Expected Life (Yrs)</t>
  </si>
  <si>
    <t>ARDR_STOCK_OPTION_VAL_EXP_LIFE</t>
  </si>
  <si>
    <t>Stock Opt Valuation - Expected Volatil (%)</t>
  </si>
  <si>
    <t>ARDR_STOCK_OPTION_VAL_EXP_VOL</t>
  </si>
  <si>
    <t>Stock Opt Valuation - Dividend Yield (%)</t>
  </si>
  <si>
    <t>ARDR_STOCK_OPTION_VAL_DVD_YLD</t>
  </si>
  <si>
    <t>Avg Exercise Price (Options Exercisable)</t>
  </si>
  <si>
    <t>ARDR_AVG_EXER_PX_OPT_EXERCISABLE</t>
  </si>
  <si>
    <t>Avg Exercise Price (Options Outstanding)</t>
  </si>
  <si>
    <t>ARDR_AVG_EXER_PX_OPT_OUTSTANDING</t>
  </si>
  <si>
    <t>Options Exercisable End of Period</t>
  </si>
  <si>
    <t>ARDR_OPTIONS_EXERCISABLE</t>
  </si>
  <si>
    <t>Deferred Tax Asset - Valuation Allowance</t>
  </si>
  <si>
    <t>ARDR_DEFERRED_TAX_ALLOWANCE</t>
  </si>
  <si>
    <t>FV Assets Rec L1: Trading Treasuries</t>
  </si>
  <si>
    <t>ARDR_FV_ASSETS_REC_L1_TRAD_TREAS</t>
  </si>
  <si>
    <t>FV Assets Rec L1: Trading Bonds</t>
  </si>
  <si>
    <t>ARDR_FV_ASSETS_REC_L1_TRAD_BONDS</t>
  </si>
  <si>
    <t>FV Assets Rec L1: Trading GSE CMO</t>
  </si>
  <si>
    <t>ARDR_FV_ASTS_REC_L1_TRAD_GSE_CMO</t>
  </si>
  <si>
    <t>FV Assets Rec L1: Other</t>
  </si>
  <si>
    <t>ARDR_FV_ASSETS_REC_L1_OTHER</t>
  </si>
  <si>
    <t>FV Assets Rec L2: Trading Treasuries</t>
  </si>
  <si>
    <t>ARDR_FV_ASTS_REC_L2_TRAD_TREAS</t>
  </si>
  <si>
    <t>FV Assets Rec L2: Trading Bonds</t>
  </si>
  <si>
    <t>ARDR_FV_ASTS_REC_L2_TRAD_BONDS</t>
  </si>
  <si>
    <t>FV Assets Rec L2: Trading GSE CMO</t>
  </si>
  <si>
    <t>ARDR_FV_ASTS_REC_L2_TRAD_GSE_CMO</t>
  </si>
  <si>
    <t>FV Assets Rec L2: AFS Treasuries</t>
  </si>
  <si>
    <t>ARDR_FV_ASSETS_REC_L2_AFS_TREAS</t>
  </si>
  <si>
    <t>FV Assets Rec L2: AFS CDO CLO</t>
  </si>
  <si>
    <t>ARDR_FV_ASTS_REC_L2_AFS_CDO_CLO</t>
  </si>
  <si>
    <t>FV Assets Rec L2: Other</t>
  </si>
  <si>
    <t>ARDR_FV_ASSETS_REC_L2_OTH</t>
  </si>
  <si>
    <t>FV Assets Rec L3: Trading Treasuries</t>
  </si>
  <si>
    <t>ARDR_FV_ASTS_REC_L3_TRAD_TREAS</t>
  </si>
  <si>
    <t>FV Assets Rec L3: Trading Bonds</t>
  </si>
  <si>
    <t>ARDR_FV_ASTS_REC_L3_TRAD_BONDS</t>
  </si>
  <si>
    <t>FV Assets Rec L3: Trading GSE CMO</t>
  </si>
  <si>
    <t>ARDR_FV_ASTS_REC_L3_TRAD_GSE_CMO</t>
  </si>
  <si>
    <t>FV Assets Rec L3: Other</t>
  </si>
  <si>
    <t>ARDR_FV_ASSETS_REC_L3_OTHER</t>
  </si>
  <si>
    <t>FV Assets Rec Total: Cash Securities</t>
  </si>
  <si>
    <t>ARDR_FV_ASSETS_REC_TOT_CASH_SECS</t>
  </si>
  <si>
    <t>FV Assets Rec Total: Trading Account</t>
  </si>
  <si>
    <t>ARDR_FV_ASTS_REC_TOT_TRADING_ACC</t>
  </si>
  <si>
    <t>FV Assets Rec Total: AFS</t>
  </si>
  <si>
    <t>ARDR_FV_ASSETS_REC_TOT_AFS</t>
  </si>
  <si>
    <t>FV Assets Rec Total: CP</t>
  </si>
  <si>
    <t>ARDR_FV_ASSETS_REC_TOT_CP</t>
  </si>
  <si>
    <t>FV Assets Rec Total: Other</t>
  </si>
  <si>
    <t>ARDR_FV_ASSETS_REC_TOT_OTHER</t>
  </si>
  <si>
    <t>DTA - Net Operating Loss Carryforward</t>
  </si>
  <si>
    <t>ARDR_DTA_NOL_CARRYFORWARD</t>
  </si>
  <si>
    <t>Options at Beginning of Period</t>
  </si>
  <si>
    <t>ARDR_OPTIONS_BEGINNING_OF_PERIOD</t>
  </si>
  <si>
    <t>Options Cancelled Forfeited or Expired</t>
  </si>
  <si>
    <t>ARDR_OPTIONS_CANCEL_FORFEIT_EXP</t>
  </si>
  <si>
    <t>Options Adjustment</t>
  </si>
  <si>
    <t>ARDR_OPTIONS_ADJUSTMENT</t>
  </si>
  <si>
    <t>As Reported Data Reference Restricted Stock Units</t>
  </si>
  <si>
    <t>ARDR_RESTRICTED_STOCK_UNITS</t>
  </si>
  <si>
    <t>ARDR Restricted Stock Unit WAvg FV PS</t>
  </si>
  <si>
    <t>ARDR_RSTR_STK_UNIT_WAVG_FV_PS</t>
  </si>
  <si>
    <t>ARDR Full Time Employees</t>
  </si>
  <si>
    <t>ARDR_FULL_TIME_EMPLOYEES</t>
  </si>
  <si>
    <t>Stock Opt Val - Expctd Volatility % - Low</t>
  </si>
  <si>
    <t>ARDR_STK_OPT_VALN_EXP_VOL_PCT_LO</t>
  </si>
  <si>
    <t>Stock Opt Val - Expctd Volatility % - High</t>
  </si>
  <si>
    <t>ARDR_STK_OPT_VALN_EXP_VOL_PCT_HI</t>
  </si>
  <si>
    <t>Intra-Cellular Therapies Inc (ITCI US) - Common Size</t>
  </si>
  <si>
    <t>Intra-Cellular Therapies Inc (ITCI US) - Fair Value Analysis</t>
  </si>
  <si>
    <t xml:space="preserve">  Level 1 Assets</t>
  </si>
  <si>
    <t xml:space="preserve">  Level 2 Assets</t>
  </si>
  <si>
    <t xml:space="preserve">  Level 3 Assets</t>
  </si>
  <si>
    <t>Total FV Assets</t>
  </si>
  <si>
    <t xml:space="preserve">  Level 1 Assets/Total Equity</t>
  </si>
  <si>
    <t>LEVEL_1_ASSETS_TO_TOTAL_EQUITY</t>
  </si>
  <si>
    <t xml:space="preserve">  Level 2 Assets/Total Equity</t>
  </si>
  <si>
    <t>LEVEL_2_ASSETS_TO_TOTAL_EQUITY</t>
  </si>
  <si>
    <t xml:space="preserve">  Level 3 Assets/Total Equity</t>
  </si>
  <si>
    <t>LEVEL_3_ASSETS_TO_TOTAL_EQUITY</t>
  </si>
  <si>
    <t>Total FV Assets/Total Equity</t>
  </si>
  <si>
    <t>TOT_FAIR_VAL_ASSETS_TO_TOT_EQTY</t>
  </si>
  <si>
    <t xml:space="preserve">  Level 1 Assets/Total Assets</t>
  </si>
  <si>
    <t>LEVEL_1_ASSETS_TO_TOTAL_ASSETS</t>
  </si>
  <si>
    <t xml:space="preserve">  Level 2 Assets/Total Assets</t>
  </si>
  <si>
    <t>LEVEL_2_ASSETS_TO_TOTAL_ASSETS</t>
  </si>
  <si>
    <t xml:space="preserve">  Level 3 Assets/Total Assets</t>
  </si>
  <si>
    <t>LEVEL_3_ASSETS_TO_TOTAL_ASSETS</t>
  </si>
  <si>
    <t>Total FV Assets/Total Assets</t>
  </si>
  <si>
    <t>TOT_FAIR_VAL_ASSET_TO_TOT_ASSETS</t>
  </si>
  <si>
    <t>Cash from Operating Activities</t>
  </si>
  <si>
    <t xml:space="preserve">  + Net Income</t>
  </si>
  <si>
    <t>CF_NET_INC</t>
  </si>
  <si>
    <t>CF_DEPR_AMORT</t>
  </si>
  <si>
    <t xml:space="preserve">  + Non-Cash Items</t>
  </si>
  <si>
    <t>NON_CASH_ITEMS_DETAILED</t>
  </si>
  <si>
    <t xml:space="preserve">    + Stock-Based Compensation</t>
  </si>
  <si>
    <t>CF_STOCK_BASED_COMPENSATION</t>
  </si>
  <si>
    <t xml:space="preserve">    + Other Non-Cash Adj</t>
  </si>
  <si>
    <t>OTHER_NON_CASH_ADJ_LESS_DETAILED</t>
  </si>
  <si>
    <t xml:space="preserve">  + Chg in Non-Cash Work Cap</t>
  </si>
  <si>
    <t>CF_CHNG_NON_CASH_WORK_CAP</t>
  </si>
  <si>
    <t xml:space="preserve">    + (Inc) Dec in Accts Receiv</t>
  </si>
  <si>
    <t>CF_ACCT_RCV_UNBILLED_REV</t>
  </si>
  <si>
    <t xml:space="preserve">    + (Inc) Dec in Inventories</t>
  </si>
  <si>
    <t>CF_CHANGE_IN_INVENTORIES</t>
  </si>
  <si>
    <t xml:space="preserve">    + Inc (Dec) in Accts Payable</t>
  </si>
  <si>
    <t>CF_CHANGE_IN_ACCOUNTS_PAYABLE</t>
  </si>
  <si>
    <t xml:space="preserve">    + Inc (Dec) in Other</t>
  </si>
  <si>
    <t>INC_DEC_IN_OT_OP_AST_LIAB_DETAIL</t>
  </si>
  <si>
    <t xml:space="preserve">  + Net Cash From Disc Ops</t>
  </si>
  <si>
    <t>CF_NET_CASH_DISCONT_OPS_OPER</t>
  </si>
  <si>
    <t>Cash from Investing Activities</t>
  </si>
  <si>
    <t xml:space="preserve">  + Change in Fixed &amp; Intang</t>
  </si>
  <si>
    <t>FIXED_INTANG_ASST_CHANGE</t>
  </si>
  <si>
    <t xml:space="preserve">    + Disp in Fixed &amp; Intang</t>
  </si>
  <si>
    <t>DISPOSAL_OF_FIXED_INTANG</t>
  </si>
  <si>
    <t xml:space="preserve">    + Disp of Fixed Prod Assets</t>
  </si>
  <si>
    <t>CF_DISPOSAL_OF_FIXED_PROD_ASSETS</t>
  </si>
  <si>
    <t xml:space="preserve">    + Disp of Intangible Assets</t>
  </si>
  <si>
    <t>CF_DISPOSAL_OF_INTANGIBLE_ASSETS</t>
  </si>
  <si>
    <t xml:space="preserve">    + Acq of Fixed &amp; Intang</t>
  </si>
  <si>
    <t>ACQUIS_OF_FIXED_INTANG</t>
  </si>
  <si>
    <t xml:space="preserve">    + Acq of Fixed Prod Assets</t>
  </si>
  <si>
    <t>CF_PURCHASE_OF_FIXED_PROD_ASSETS</t>
  </si>
  <si>
    <t xml:space="preserve">    + Acq of Intangible Assets</t>
  </si>
  <si>
    <t>CF_ACQUISITION_OF_INTANG_ASSETS</t>
  </si>
  <si>
    <t xml:space="preserve">  + Net Change in LT Investment</t>
  </si>
  <si>
    <t>NET_CHG_IN_LT_INVEST_DETAILED</t>
  </si>
  <si>
    <t xml:space="preserve">    + Dec in LT Investment</t>
  </si>
  <si>
    <t>CF_DECR_INVEST</t>
  </si>
  <si>
    <t xml:space="preserve">    + Inc in LT Investment</t>
  </si>
  <si>
    <t>CF_INCR_INVEST</t>
  </si>
  <si>
    <t xml:space="preserve">  + Net Cash From Acq &amp; Div</t>
  </si>
  <si>
    <t>CF_NT_CSH_RCVD_PD_FOR_ACQUIS_DIV</t>
  </si>
  <si>
    <t xml:space="preserve">    + Cash from Divestitures</t>
  </si>
  <si>
    <t>CF_CASH_FOR_DIVESTITURES</t>
  </si>
  <si>
    <t xml:space="preserve">    + Cash for Acq of Subs</t>
  </si>
  <si>
    <t>CF_CASH_FOR_ACQUIS_SUBSIDIARIES</t>
  </si>
  <si>
    <t xml:space="preserve">    + Cash for JVs</t>
  </si>
  <si>
    <t>CF_CASH_FOR_JOINT_VENTURES_ASSOC</t>
  </si>
  <si>
    <t xml:space="preserve">  + Other Investing Activities</t>
  </si>
  <si>
    <t>OTHER_INVESTING_ACT_DETAILED</t>
  </si>
  <si>
    <t>CF_NET_CASH_DISCONTINUED_OPS_INV</t>
  </si>
  <si>
    <t>Cash from Financing Activities</t>
  </si>
  <si>
    <t xml:space="preserve">  + Dividends Paid</t>
  </si>
  <si>
    <t>CF_DVD_PAID</t>
  </si>
  <si>
    <t xml:space="preserve">  + Cash From (Repayment) Debt</t>
  </si>
  <si>
    <t>PROC_FR_REPAYMNTS_BOR_DETAILED</t>
  </si>
  <si>
    <t xml:space="preserve">    + Cash From (Repay) ST Debt</t>
  </si>
  <si>
    <t>CF_NET_CHG_ST_DEBT_CPTL_LEAS</t>
  </si>
  <si>
    <t xml:space="preserve">    + Cash From LT Debt</t>
  </si>
  <si>
    <t>CF_LT_DEBT_CAP_LEAS_PROCEEDS</t>
  </si>
  <si>
    <t xml:space="preserve">    + Repayments of LT Debt</t>
  </si>
  <si>
    <t>CF_LT_DEBT_CAP_LEAS_PAYMENT</t>
  </si>
  <si>
    <t xml:space="preserve">  + Cash (Repurchase) of Equity</t>
  </si>
  <si>
    <t>PROC_FR_REPURCH_EQTY_DETAILED</t>
  </si>
  <si>
    <t xml:space="preserve">    + Increase in Capital Stock</t>
  </si>
  <si>
    <t>CF_INCR_CAP_STOCK</t>
  </si>
  <si>
    <t xml:space="preserve">    + Decrease in Capital Stock</t>
  </si>
  <si>
    <t>CF_DECR_CAP_STOCK</t>
  </si>
  <si>
    <t xml:space="preserve">  + Other Financing Activities</t>
  </si>
  <si>
    <t>OTHER_FIN_AND_DEC_CAP</t>
  </si>
  <si>
    <t>CF_NET_CASH_DISCONTINUED_OPS_FIN</t>
  </si>
  <si>
    <t>CFF_ACTIVITIES_DETAILED</t>
  </si>
  <si>
    <t xml:space="preserve">  Effect of Foreign Exchange Rates</t>
  </si>
  <si>
    <t>CF_EFFECT_FOREIGN_EXCHANGES</t>
  </si>
  <si>
    <t>Net Changes in Cash</t>
  </si>
  <si>
    <t>CF_NET_CHNG_CASH</t>
  </si>
  <si>
    <t>Trailing 12M EBITDA Margin</t>
  </si>
  <si>
    <t>Net Cash Paid for Acquisitions</t>
  </si>
  <si>
    <t>CF_NET_CASH_PAID_FOR_AQUIS</t>
  </si>
  <si>
    <t>Free Cash Flow to Equity</t>
  </si>
  <si>
    <t>FREE_CASH_FLOW_EQUITY</t>
  </si>
  <si>
    <t>Free Cash Flow per Basic Share</t>
  </si>
  <si>
    <t xml:space="preserve">  Cash From Operating Activities</t>
  </si>
  <si>
    <t>Net Income - CF</t>
  </si>
  <si>
    <t>ARD_NET_INCOME_CF</t>
  </si>
  <si>
    <t>Depreciation</t>
  </si>
  <si>
    <t>ARD_DEPRECIATION_CF</t>
  </si>
  <si>
    <t>Deferred Income Taxes - CF</t>
  </si>
  <si>
    <t>ARD_DEFERRED_INCOME_TAXES_CF</t>
  </si>
  <si>
    <t>ARD_STOCK_BASED_COMPENSATION</t>
  </si>
  <si>
    <t>Other Non-Cash Items</t>
  </si>
  <si>
    <t>ARD_OTHER_NON_CASH_ITEMS</t>
  </si>
  <si>
    <t>Change in Inventories</t>
  </si>
  <si>
    <t>ARD_CHANGE_IN_INVENTORIES</t>
  </si>
  <si>
    <t>Change in Accounts Payable</t>
  </si>
  <si>
    <t>ARD_CHANGE_IN_ACCOUNTS_PAYABLE</t>
  </si>
  <si>
    <t>Change in Accounts Receivable</t>
  </si>
  <si>
    <t>ARD_CHG_IN_ACCOUNTS_RECEIVABLE</t>
  </si>
  <si>
    <t>Change in Prepaid Expenses</t>
  </si>
  <si>
    <t>ARD_CHANGE_IN_PREPAID_EXP</t>
  </si>
  <si>
    <t>Change in Accrued Expenses</t>
  </si>
  <si>
    <t>ARD_CHANGE_IN_ACCRUED_EXP</t>
  </si>
  <si>
    <t>Change in Deferred/Unearned Revenue -ST</t>
  </si>
  <si>
    <t>ARD_CHG_IN_DEF_UNEARN_REVENUE_ST</t>
  </si>
  <si>
    <t>Other Amortization of Non-Cash Expenses/Gains</t>
  </si>
  <si>
    <t>ARD_OTH_AMORT_NONCASH_EXP_GAINS</t>
  </si>
  <si>
    <t>Change in Other Assets</t>
  </si>
  <si>
    <t>ARD_CHANGE_IN_OTHER_ASSETS</t>
  </si>
  <si>
    <t>Total Cash Flows From Operations</t>
  </si>
  <si>
    <t>ARD_TOT_CASH_FLOWS_FROM_OPS</t>
  </si>
  <si>
    <t xml:space="preserve">  Cash From Investing Activities</t>
  </si>
  <si>
    <t>ARD_CAPITAL_EXPENDITURES</t>
  </si>
  <si>
    <t>Proceeds From Investments</t>
  </si>
  <si>
    <t>ARD_PROCEEDS_FROM_INVESTMENTS</t>
  </si>
  <si>
    <t>Purchases of Investments</t>
  </si>
  <si>
    <t>ARD_PURCHASES_OF_INVESTMENTS</t>
  </si>
  <si>
    <t>Total Cash Flows From Investing</t>
  </si>
  <si>
    <t>ARD_TOT_CASHFLOWS_FROM_INVESTING</t>
  </si>
  <si>
    <t xml:space="preserve">  Cash from Financing Activities</t>
  </si>
  <si>
    <t>Increase In Short-Term Borrowings</t>
  </si>
  <si>
    <t>ARD_INCR_IN_ST_BORROW</t>
  </si>
  <si>
    <t>Decrease In St Borrowings</t>
  </si>
  <si>
    <t>ARD_DECR_IN_ST_BORROW</t>
  </si>
  <si>
    <t>Issuance of Common Stock</t>
  </si>
  <si>
    <t>ARD_ISSUANCE_OF_COMMON_STOCK</t>
  </si>
  <si>
    <t>Other Financing Activities</t>
  </si>
  <si>
    <t>ARD_OTHER_FINANCING_ACTIVITIES</t>
  </si>
  <si>
    <t>Cash Paid For Taxes</t>
  </si>
  <si>
    <t>ARD_CASH_PAID_FOR_TAXES</t>
  </si>
  <si>
    <t>Cash Paid For Interest</t>
  </si>
  <si>
    <t>ARD_CASH_PAID_FOR_INTEREST</t>
  </si>
  <si>
    <t>Exercise of Stock Options</t>
  </si>
  <si>
    <t>ARD_EXERCISE_OF_STOCK_OPTIONS</t>
  </si>
  <si>
    <t>Net Change In Cash</t>
  </si>
  <si>
    <t>ARD_NET_CHANGE_IN_CASH</t>
  </si>
  <si>
    <t>Proceeds From Exercise/Issuance of Warrants</t>
  </si>
  <si>
    <t>ARD_PRO_FROM_EXER_ISSU_OF_WRT</t>
  </si>
  <si>
    <t>Cash and Cash Equivalents (End of Period)</t>
  </si>
  <si>
    <t>ARD_CASH_CASH_EQUIV_END_OF_PER</t>
  </si>
  <si>
    <t>Cash and Cash Equivalents (Beg of Period)</t>
  </si>
  <si>
    <t>ARD_CASH_CASH_EQUIV_BEG_OF_PER</t>
  </si>
  <si>
    <t>Total Cash Flows From Financing</t>
  </si>
  <si>
    <t>ARD_TOT_CASHFLOWS_FROM_FINANCING</t>
  </si>
  <si>
    <t>Intra-Cellular Therapies Inc (ITCI US) - Profitability</t>
  </si>
  <si>
    <t>Returns</t>
  </si>
  <si>
    <t>Return on Common Equity</t>
  </si>
  <si>
    <t>RETURN_COM_EQY</t>
  </si>
  <si>
    <t>Return on Assets</t>
  </si>
  <si>
    <t>RETURN_ON_ASSET</t>
  </si>
  <si>
    <t>Return on Capital</t>
  </si>
  <si>
    <t>RETURN_ON_CAP</t>
  </si>
  <si>
    <t>Return on Invested Capital</t>
  </si>
  <si>
    <t>RETURN_ON_INV_CAPITAL</t>
  </si>
  <si>
    <t>Margins</t>
  </si>
  <si>
    <t>EBITDA Margin</t>
  </si>
  <si>
    <t>EBITDA_TO_REVENUE</t>
  </si>
  <si>
    <t>Incremental Operating Margin</t>
  </si>
  <si>
    <t>INCREMENTAL_OPERATING_MARGIN</t>
  </si>
  <si>
    <t>Pretax Margin</t>
  </si>
  <si>
    <t>PRETAX_INC_TO_NET_SALES</t>
  </si>
  <si>
    <t>Income before XO Margin</t>
  </si>
  <si>
    <t>INC_BEF_XO_ITEMS_TO_NET_SALES</t>
  </si>
  <si>
    <t>Net Income Margin</t>
  </si>
  <si>
    <t>Net Income to Common Margin</t>
  </si>
  <si>
    <t>NET_INCOME_TO_COMMON_MARGIN</t>
  </si>
  <si>
    <t>Additional</t>
  </si>
  <si>
    <t>Intra-Cellular Therapies Inc (ITCI US) - Growth</t>
  </si>
  <si>
    <t>1 Year Growth</t>
  </si>
  <si>
    <t>EBITDA_GROWTH</t>
  </si>
  <si>
    <t>OPER_INC_GROWTH</t>
  </si>
  <si>
    <t>EARN_FOR_COM_GROWTH</t>
  </si>
  <si>
    <t>EPS Diluted</t>
  </si>
  <si>
    <t>EPS Diluted before XO</t>
  </si>
  <si>
    <t>DILUTED_EPS_BEF_XO_ITEMS_GROWTH</t>
  </si>
  <si>
    <t>EPS Diluted before Abnormal</t>
  </si>
  <si>
    <t>RR_DIL_EPS_CONT_OPS_GROWTH</t>
  </si>
  <si>
    <t>Accounts Receivable</t>
  </si>
  <si>
    <t>ACCOUNTS_RECEIVABLE_GROWTH</t>
  </si>
  <si>
    <t>Inventory</t>
  </si>
  <si>
    <t>INVENTORY_GROWTH</t>
  </si>
  <si>
    <t>Fixed Assets</t>
  </si>
  <si>
    <t>NET_FIXED_ASSETS_1_YEAR_GROWTH</t>
  </si>
  <si>
    <t>ASSET_GROWTH</t>
  </si>
  <si>
    <t>Modified Working Capital</t>
  </si>
  <si>
    <t>MODIFIED_WORK_CAP_GROWTH</t>
  </si>
  <si>
    <t>Working Capital</t>
  </si>
  <si>
    <t>WORK_CAP_GROWTH</t>
  </si>
  <si>
    <t>Employees</t>
  </si>
  <si>
    <t>EMPL_GROWTH</t>
  </si>
  <si>
    <t>Accounts Payable</t>
  </si>
  <si>
    <t>ACCOUNTS_PAYABLE_GROWTH_1YR</t>
  </si>
  <si>
    <t>Short-Term Debt</t>
  </si>
  <si>
    <t>SHORT_TERM_DEBT_1_YEAR_GROWTH</t>
  </si>
  <si>
    <t>Total Debt</t>
  </si>
  <si>
    <t>TOTAL_DEBT_1_YEAR_GROWTH</t>
  </si>
  <si>
    <t>TOTAL_EQUITY_1_YEAR_GROWTH</t>
  </si>
  <si>
    <t>Capital</t>
  </si>
  <si>
    <t>GROWTH_IN_CAP</t>
  </si>
  <si>
    <t>Book Value per Share</t>
  </si>
  <si>
    <t>BVPS_GROWTH</t>
  </si>
  <si>
    <t>CASH_FLOW_GROWTH</t>
  </si>
  <si>
    <t>TOT_CAP_EXPEND_GROWTH</t>
  </si>
  <si>
    <t>NET_CHANGE_IN_CASH_1_YEAR_GROWTH</t>
  </si>
  <si>
    <t>FREE_CASH_FLOW_1_YEAR_GROWTH</t>
  </si>
  <si>
    <t>5 Year Growth</t>
  </si>
  <si>
    <t>GEO_GROW_NET_SALES</t>
  </si>
  <si>
    <t>ACCOUNTS_RECEIVABLE_5_YR_GROWTH</t>
  </si>
  <si>
    <t>NET_FIXED_ASSETS_5_YEAR_GROWTH</t>
  </si>
  <si>
    <t>GEO_GROW_TOT_ASSET</t>
  </si>
  <si>
    <t>WORKING_CAPITAL_5_YEAR_GROWTH</t>
  </si>
  <si>
    <t>EMPLOYEES_5_YEAR_GROWTH</t>
  </si>
  <si>
    <t>ACCOUNTS_PAYABLE_5_YEAR_GROWTH</t>
  </si>
  <si>
    <t>SHORT_TERM_DEBT_5_YEAR_GROWTH</t>
  </si>
  <si>
    <t>TOTAL_DEBT_5_YEAR_GROWTH</t>
  </si>
  <si>
    <t>GEO_GROW_TOT_SHRHLDR_EQY</t>
  </si>
  <si>
    <t>Total Capital 5 Year Growth</t>
  </si>
  <si>
    <t>TOTAL_CAPITAL_5_YEAR_GROWTH</t>
  </si>
  <si>
    <t>GEO_GROW_BOOK_VAL</t>
  </si>
  <si>
    <t>NET_CHANGE_IN_CASH_5_YEAR_GROWTH</t>
  </si>
  <si>
    <t>Sequential Growth</t>
  </si>
  <si>
    <t>REVENUE_SEQUENTIAL_GROWTH</t>
  </si>
  <si>
    <t>ACCOUNTS_RECEIVABLE_SEQ_GROWTH</t>
  </si>
  <si>
    <t>INVENTORY_SEQUENTIAL_GROWTH</t>
  </si>
  <si>
    <t>FIXED_ASSETS_SEQUENTIAL_GROWTH</t>
  </si>
  <si>
    <t>TOTAL_ASSETS_SEQUENTIAL_GROWTH</t>
  </si>
  <si>
    <t>MODIFIED_WORKING_CPTL_SEQ_GRWTH</t>
  </si>
  <si>
    <t>WORKING_CAPITAL_SEQ_GROWTH</t>
  </si>
  <si>
    <t>ACCOUNTS_PAYABLE_SEQ_GROWTH</t>
  </si>
  <si>
    <t>ST_DEBT_SEQUENTIAL_GROWTH</t>
  </si>
  <si>
    <t>TOTAL_DEBT_SEQUENTIAL_GROWTH</t>
  </si>
  <si>
    <t>TOTAL_EQUITY_SEQUENTIAL_GROWTH</t>
  </si>
  <si>
    <t>TOTAL_CAPITAL_SEQUENTIAL_GROWTH</t>
  </si>
  <si>
    <t>BPS_SEQUENTIAL_GROWTH</t>
  </si>
  <si>
    <t>CFO_SEQUENTIAL_GROWTH</t>
  </si>
  <si>
    <t>CAPEX_SEQUENTIAL_GROWTH</t>
  </si>
  <si>
    <t>NET_CHANGE_IN_CASH_SEQ_GROWTH</t>
  </si>
  <si>
    <t>FREE_CASH_FLOW_SEQUENTIAL_GROWTH</t>
  </si>
  <si>
    <t>Intra-Cellular Therapies Inc (ITCI US) - Credit</t>
  </si>
  <si>
    <t>No</t>
  </si>
  <si>
    <t xml:space="preserve">  Short-Term Debt</t>
  </si>
  <si>
    <t xml:space="preserve">  Long Term Debt</t>
  </si>
  <si>
    <t>Interest Expense</t>
  </si>
  <si>
    <t>Common Equity/Total Assets</t>
  </si>
  <si>
    <t>COM_EQY_TO_TOT_ASSET</t>
  </si>
  <si>
    <t>Long-Term Debt/Equity</t>
  </si>
  <si>
    <t>LT_DEBT_TO_TOT_EQY</t>
  </si>
  <si>
    <t>Long-Term Debt/Capital</t>
  </si>
  <si>
    <t>LT_DEBT_TO_TOT_CAP</t>
  </si>
  <si>
    <t>Long-Term Debt/Total Assets</t>
  </si>
  <si>
    <t>LT_DEBT_TO_TOT_ASSET</t>
  </si>
  <si>
    <t>Total Debt/Equity</t>
  </si>
  <si>
    <t>TOT_DEBT_TO_TOT_EQY</t>
  </si>
  <si>
    <t>Total Debt/Capital</t>
  </si>
  <si>
    <t>Total Debt/Total Assets</t>
  </si>
  <si>
    <t>TOT_DEBT_TO_TOT_ASSET</t>
  </si>
  <si>
    <t>Net Debt/Equity</t>
  </si>
  <si>
    <t>Net Debt/Capital</t>
  </si>
  <si>
    <t>NET_DEBT_PCT_OF_TOT_CAPITAL</t>
  </si>
  <si>
    <t>EBITDA-CapEx</t>
  </si>
  <si>
    <t>EBITDA_AFTER_CAPEX</t>
  </si>
  <si>
    <t>Intra-Cellular Therapies Inc (ITCI US) - Credit Ex Operating Leases</t>
  </si>
  <si>
    <t>ST_DEBT_EX_OPERATING_LEASE_LIABS</t>
  </si>
  <si>
    <t>LT_DEBT_EX_OPERATING_LEASE_LIABS</t>
  </si>
  <si>
    <t>INT_EXPN_AFTER_OPERATING_LEA_ACT</t>
  </si>
  <si>
    <t>CE_TO_TOT_AST_LESS_OPER_LEA_AST</t>
  </si>
  <si>
    <t>LT_DBT_EX_OPER_LEA_LIABS_TO_EQTY</t>
  </si>
  <si>
    <t>LT_DBT_TO_CPTL_EX_OPER_LEA_LIABS</t>
  </si>
  <si>
    <t>LT_DBT_AST_EX_OP_LEA_LIAB_AST</t>
  </si>
  <si>
    <t>TOT_DBT_EX_OP_LEA_LIABS_TO_EQTY</t>
  </si>
  <si>
    <t>TOT_DBT_AST_EX_OP_LEA_LIAB_AST</t>
  </si>
  <si>
    <t>NET_DBT_EX_OPER_LEA_LIABS_EQTY</t>
  </si>
  <si>
    <t>NET_DBT_CPTL_EX_OPER_LEA_LIABS</t>
  </si>
  <si>
    <t>EBITDA_AFTER_OPERATING_LEA_EXPN</t>
  </si>
  <si>
    <t>EBITDA_AFT_CAPEX_AND_OP_LEA_EXPN</t>
  </si>
  <si>
    <t>EBIT_AFTER_OPERATING_LEASE</t>
  </si>
  <si>
    <t>Intra-Cellular Therapies Inc (ITCI US) - Liquidity</t>
  </si>
  <si>
    <t>Cash Ratio</t>
  </si>
  <si>
    <t>CASH_RATIO</t>
  </si>
  <si>
    <t>Quick Ratio</t>
  </si>
  <si>
    <t>QUICK_RATIO</t>
  </si>
  <si>
    <t>CFO/Avg Current Liab</t>
  </si>
  <si>
    <t>CFO_TO_AVG_CURRENT_LIABILITIES</t>
  </si>
  <si>
    <t>CFO/Total Liabilities</t>
  </si>
  <si>
    <t>CASH_FLOW_TO_TOT_LIAB</t>
  </si>
  <si>
    <t>CFO/CapEx</t>
  </si>
  <si>
    <t>CAP_EXPEND_RATIO</t>
  </si>
  <si>
    <t>Altman's Z-Score</t>
  </si>
  <si>
    <t>ALTMAN_Z_SCORE</t>
  </si>
  <si>
    <t>Intra-Cellular Therapies Inc (ITCI US) - Working Capital</t>
  </si>
  <si>
    <t>Accounts Receivable Turnover</t>
  </si>
  <si>
    <t>ACCT_RCV_TURN</t>
  </si>
  <si>
    <t xml:space="preserve">  Days Sales Outstanding</t>
  </si>
  <si>
    <t>ACCT_RCV_DAYS</t>
  </si>
  <si>
    <t>Inventory Turnover</t>
  </si>
  <si>
    <t>INVENT_TURN</t>
  </si>
  <si>
    <t xml:space="preserve">  Days Inventory Outstanding</t>
  </si>
  <si>
    <t>INVENT_DAYS</t>
  </si>
  <si>
    <t>Accounts Payable Turnover</t>
  </si>
  <si>
    <t>ACCOUNTS_PAYABLE_TURNOVER</t>
  </si>
  <si>
    <t xml:space="preserve">  Accounts Payable Turnover Days</t>
  </si>
  <si>
    <t>ACCOUNTS_PAYABLE_TURNOVER_DAYS</t>
  </si>
  <si>
    <t>Inventory to Cash Days</t>
  </si>
  <si>
    <t>INV_TO_CASH_DAYS</t>
  </si>
  <si>
    <t>Total Inventory</t>
  </si>
  <si>
    <t xml:space="preserve">  Inventory Raw Materials</t>
  </si>
  <si>
    <t xml:space="preserve">  Inventory In Progress</t>
  </si>
  <si>
    <t xml:space="preserve">  Inventory Finished Goods</t>
  </si>
  <si>
    <t xml:space="preserve">  Other Inventory</t>
  </si>
  <si>
    <t>Intra-Cellular Therapies Inc (ITCI US) - Yield Analysis</t>
  </si>
  <si>
    <t>T12 Cash Flows to Equity</t>
  </si>
  <si>
    <t>+ Cash From Operations</t>
  </si>
  <si>
    <t>TRAIL_12M_CASH_FROM_OPER</t>
  </si>
  <si>
    <t>+ Capital Expenditures</t>
  </si>
  <si>
    <t>TRAIL_12M_CAP_EXPEND</t>
  </si>
  <si>
    <t>TRAIL_12M_FREE_CASH_FLOW</t>
  </si>
  <si>
    <t>Free Cash Flow Yield</t>
  </si>
  <si>
    <t>FREE_CASH_FLOW_YIELD</t>
  </si>
  <si>
    <t>Dividends Paid</t>
  </si>
  <si>
    <t>T12M_DVDS_PAID</t>
  </si>
  <si>
    <t>Net Share Repurchases</t>
  </si>
  <si>
    <t>T12M_NET_CAPITAL_STOCK</t>
  </si>
  <si>
    <t>Net ST Debt Repayments</t>
  </si>
  <si>
    <t>T12M_CHG_ST_BORROWINGS</t>
  </si>
  <si>
    <t>Net LT Debt Repayments</t>
  </si>
  <si>
    <t>T12M_CHG_LT_DEBT</t>
  </si>
  <si>
    <t>T12_OTHER_CFF</t>
  </si>
  <si>
    <t>T12 Cash to Suppliers of Capital</t>
  </si>
  <si>
    <t>T12_CFF</t>
  </si>
  <si>
    <t>T12 Shareholder Yield</t>
  </si>
  <si>
    <t>SHAREHOLDER_YIELD_CFF</t>
  </si>
  <si>
    <t>- Dividends Paid</t>
  </si>
  <si>
    <t>- Net Share Repurchases</t>
  </si>
  <si>
    <t>T12 Cash to Shareholders</t>
  </si>
  <si>
    <t>RETURNED_CAPITAL_EX_DEBT</t>
  </si>
  <si>
    <t>T12 Shareholder Yield, Ex Debt</t>
  </si>
  <si>
    <t>SHAREHOLDER_YIELD_EX_DEBT</t>
  </si>
  <si>
    <t>T12 Cash Flows to the Firm</t>
  </si>
  <si>
    <t>Periodic Enterprise Value</t>
  </si>
  <si>
    <t>- Net ST Debt Repayments</t>
  </si>
  <si>
    <t>- Net LT Debt Repayments</t>
  </si>
  <si>
    <t>- Other Financing Activities</t>
  </si>
  <si>
    <t>T12 Capital Yield</t>
  </si>
  <si>
    <t>CAPITAL_YIELD</t>
  </si>
  <si>
    <t>Intra-Cellular Therapies Inc (ITCI US) - DuPont Analysis</t>
  </si>
  <si>
    <t>Tax Burden</t>
  </si>
  <si>
    <t xml:space="preserve">  Net Inc to Comn/Pre-Tax Profit %</t>
  </si>
  <si>
    <t>TAX_EFFICIENCY</t>
  </si>
  <si>
    <t>Adjustment Factor</t>
  </si>
  <si>
    <t>Interest Burden</t>
  </si>
  <si>
    <t xml:space="preserve">  Pre-Tax Profit/EBIT %</t>
  </si>
  <si>
    <t>INT_BURDEN</t>
  </si>
  <si>
    <t xml:space="preserve">  EBIT/Revenue %</t>
  </si>
  <si>
    <t>T12_EBIT_TO_REVENUE</t>
  </si>
  <si>
    <t>Asset Turnover</t>
  </si>
  <si>
    <t xml:space="preserve">  Revenue/Avg Assets</t>
  </si>
  <si>
    <t>ASSET_TURNOVER</t>
  </si>
  <si>
    <t>Leverage Ratio</t>
  </si>
  <si>
    <t xml:space="preserve">  Avg Assets/Avg Equity</t>
  </si>
  <si>
    <t>FNCL_LVRG</t>
  </si>
  <si>
    <t>Adjusted Return on Equity</t>
  </si>
  <si>
    <t>NORMALIZED_ROE</t>
  </si>
  <si>
    <t>5 Year Average Adj ROE</t>
  </si>
  <si>
    <t>5_YEAR_AVERAGE_ADJUSTED_ROE</t>
  </si>
  <si>
    <t>Intra-Cellular Therapies Inc (ITCI US) - By Measure</t>
  </si>
  <si>
    <t xml:space="preserve">  Acetylcholinesterase Inhibitors</t>
  </si>
  <si>
    <t>Revenue - Supplementary Breakdown</t>
  </si>
  <si>
    <t xml:space="preserve">  Caplyta</t>
  </si>
  <si>
    <t xml:space="preserve">  Grant</t>
  </si>
  <si>
    <t>Income Taxes</t>
  </si>
  <si>
    <t>Property/Plant/Equipment</t>
  </si>
  <si>
    <t>Goodwill</t>
  </si>
  <si>
    <t>Assets</t>
  </si>
  <si>
    <t>Liabilities</t>
  </si>
  <si>
    <t>Depreciation and Amortization</t>
  </si>
  <si>
    <t>R&amp;D Expenses</t>
  </si>
  <si>
    <t>Intra-Cellular Therapies Inc (ITCI US) - By Geography</t>
  </si>
  <si>
    <t xml:space="preserve">  Worldwide</t>
  </si>
  <si>
    <t>Intra-Cellular Therapies Inc (ITCI US) - By Segment</t>
  </si>
  <si>
    <t>Acetylcholinesterase Inhibitors</t>
  </si>
  <si>
    <t xml:space="preserve">  Revenue</t>
  </si>
  <si>
    <t xml:space="preserve">  Operating Income</t>
  </si>
  <si>
    <t xml:space="preserve">  Assets</t>
  </si>
  <si>
    <t xml:space="preserve">  Depreciation and Amortization</t>
  </si>
  <si>
    <t xml:space="preserve">  Capital Expenditures</t>
  </si>
  <si>
    <t xml:space="preserve">  Property/Plant/Equipment</t>
  </si>
  <si>
    <t xml:space="preserve">  Liabilities</t>
  </si>
  <si>
    <t xml:space="preserve">  Goodwill</t>
  </si>
  <si>
    <t xml:space="preserve">  Net Income</t>
  </si>
  <si>
    <t xml:space="preserve">  Gross Profit</t>
  </si>
  <si>
    <t xml:space="preserve">  Depreciation</t>
  </si>
  <si>
    <t xml:space="preserve">  Pretax Income</t>
  </si>
  <si>
    <t xml:space="preserve">  R&amp;D Expenses</t>
  </si>
  <si>
    <t xml:space="preserve">  Interest Expense</t>
  </si>
  <si>
    <t xml:space="preserve">  Interest Income</t>
  </si>
  <si>
    <t xml:space="preserve">  Income Taxes</t>
  </si>
  <si>
    <t>Grant</t>
  </si>
  <si>
    <t xml:space="preserve">  Revenue - Supplementary Breakdown</t>
  </si>
  <si>
    <t>Caplyta</t>
  </si>
  <si>
    <t>Intra-Cellular Therapies Inc (ITCI US) - ESG Ratios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</si>
  <si>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</si>
  <si>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</si>
  <si>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</si>
  <si>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</si>
  <si>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</si>
  <si>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</si>
  <si>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</si>
  <si>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</si>
  <si>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</si>
  <si>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</si>
  <si>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</si>
  <si>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</si>
  <si>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FY 2023</t>
  </si>
  <si>
    <t>FY 2024</t>
  </si>
  <si>
    <t>12/31/2011</t>
  </si>
  <si>
    <t>12/31/2012</t>
  </si>
  <si>
    <t>12/31/2013</t>
  </si>
  <si>
    <t>12/31/2014</t>
  </si>
  <si>
    <t>12/31/2015</t>
  </si>
  <si>
    <t>12/31/2016</t>
  </si>
  <si>
    <t>12/31/2017</t>
  </si>
  <si>
    <t>Disclosure Scores</t>
  </si>
  <si>
    <t>ESG Disclosure Score</t>
  </si>
  <si>
    <t>ESG_DISCLOSURE_SCORE</t>
  </si>
  <si>
    <t>Environmental Disclosure Score</t>
  </si>
  <si>
    <t>ENVIRON_DISCLOSURE_SCORE</t>
  </si>
  <si>
    <t>Social Disclosure Score</t>
  </si>
  <si>
    <t>SOCIAL_DISCLOSURE_SCORE</t>
  </si>
  <si>
    <t>Governance Disclosure Score</t>
  </si>
  <si>
    <t>GOVNCE_DISCLOSURE_SCORE</t>
  </si>
  <si>
    <t>Greenhouse Gases</t>
  </si>
  <si>
    <t>GHG Scope 1 Intensity per Sales</t>
  </si>
  <si>
    <t>GHG_SCOPE_1_INTENSITY_PER_SALES</t>
  </si>
  <si>
    <t>Carbon Dioxide</t>
  </si>
  <si>
    <t>Energy</t>
  </si>
  <si>
    <t>Energy Intensity per Sales</t>
  </si>
  <si>
    <t>ENERGY_INTENSITY_PER_SALES</t>
  </si>
  <si>
    <t>Energy Intensity per Employee</t>
  </si>
  <si>
    <t>ENERGY_INTENSITY_PER_EMPLOYEE</t>
  </si>
  <si>
    <t>Energy Intensity per Assets</t>
  </si>
  <si>
    <t>ENERGY_INTENSITY_PER_ASSETS</t>
  </si>
  <si>
    <t>Water</t>
  </si>
  <si>
    <t>Waste</t>
  </si>
  <si>
    <t>Other Environmental</t>
  </si>
  <si>
    <t>Social</t>
  </si>
  <si>
    <t>R&amp;D Expenditures per Cash Flow</t>
  </si>
  <si>
    <t>RD_EXPENDITURES_PER_CASH_FLOW</t>
  </si>
  <si>
    <t>Actual Net Income per Employee</t>
  </si>
  <si>
    <t>ACTUAL_NET_INCOME_PER_EMPLOYEE</t>
  </si>
  <si>
    <t>Actual Cash Flow per Employee</t>
  </si>
  <si>
    <t>CASH_FLOW_PER_EMPLOYEE</t>
  </si>
  <si>
    <t>Governance</t>
  </si>
  <si>
    <t>Percentage of Non-Executive Directors on Board</t>
  </si>
  <si>
    <t>PCT_OF_NON_EXEC_DIR_ON_BRD</t>
  </si>
  <si>
    <t>Pct Independent Directors</t>
  </si>
  <si>
    <t>PCT_INDEPENDENT_DIRECTORS</t>
  </si>
  <si>
    <t>% Women on Board</t>
  </si>
  <si>
    <t>PCT_WOMEN_ON_BOARD</t>
  </si>
  <si>
    <t>Percentage of Female Executives</t>
  </si>
  <si>
    <t>PERCENTAGE_OF_FEMALE_EXECUTIVES</t>
  </si>
  <si>
    <t>Board of Directors Age Range</t>
  </si>
  <si>
    <t>BOARD_OF_DIRECTORS_AGE_RANGE</t>
  </si>
  <si>
    <t>Board Average Age</t>
  </si>
  <si>
    <t>BOARD_AVERAGE_AGE</t>
  </si>
  <si>
    <t>Board Meeting Attendance Pct</t>
  </si>
  <si>
    <t>BOARD_MEETING_ATTENDANCE_PCT</t>
  </si>
  <si>
    <t>Independent Directors Board Meeting Attendance %</t>
  </si>
  <si>
    <t>IND_DIRECTORS_BRD_MTG_ATTEND_PCT</t>
  </si>
  <si>
    <t>Pct of Independent Directors on Audit Committee</t>
  </si>
  <si>
    <t>PCT_IND_DIRECTORS_ON_AUDIT_CMTE</t>
  </si>
  <si>
    <t>Audit Committee Meeting Attendance Percentage</t>
  </si>
  <si>
    <t>AUDIT_COMMITTEE_MTG_ATTEND_PCT</t>
  </si>
  <si>
    <t>Pct of Ind Directors on Compensation Committee</t>
  </si>
  <si>
    <t>PCT_IND_DIRECTORS_ON_COMP_CMTE</t>
  </si>
  <si>
    <t>Compensation Committee Meeting Attendance %</t>
  </si>
  <si>
    <t>COMPENSATION_CMTE_MTG_ATTEND_PCT</t>
  </si>
  <si>
    <t>Pct of Ind Directors on Nomination Committee</t>
  </si>
  <si>
    <t>PCT_OF_IND_DIRECTORS_ON_NOM_CMTE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</si>
</sst>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#,##0.0"/>
    <numFmt numFmtId="173" formatCode="0.0%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77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6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172" fontId="1" fillId="34" borderId="2">
      <alignment horizontal="right"/>
    </xf>
    <xf numFmtId="4" fontId="1" fillId="34" borderId="2">
      <alignment horizontal="right"/>
    </xf>
    <xf numFmtId="3" fontId="1" fillId="35" borderId="2">
      <alignment horizontal="right"/>
    </xf>
    <xf numFmtId="172" fontId="1" fillId="35" borderId="2">
      <alignment horizontal="right"/>
    </xf>
    <xf numFmtId="4" fontId="1" fillId="35" borderId="2">
      <alignment horizontal="right"/>
    </xf>
    <xf numFmtId="3" fontId="8" fillId="34" borderId="2">
      <alignment horizontal="right"/>
    </xf>
    <xf numFmtId="172" fontId="8" fillId="34" borderId="2">
      <alignment horizontal="right"/>
    </xf>
    <xf numFmtId="4" fontId="8" fillId="34" borderId="2">
      <alignment horizontal="right"/>
    </xf>
    <xf numFmtId="3" fontId="8" fillId="35" borderId="2">
      <alignment horizontal="right"/>
    </xf>
    <xf numFmtId="172" fontId="8" fillId="35" borderId="2">
      <alignment horizontal="right"/>
    </xf>
    <xf numFmtId="4" fontId="8" fillId="35" borderId="2">
      <alignment horizontal="right"/>
    </xf>
    <xf numFmtId="3" fontId="11" fillId="34" borderId="2">
      <alignment horizontal="right"/>
    </xf>
    <xf numFmtId="172" fontId="11" fillId="34" borderId="2">
      <alignment horizontal="right"/>
    </xf>
    <xf numFmtId="4" fontId="11" fillId="34" borderId="2">
      <alignment horizontal="right"/>
    </xf>
    <xf numFmtId="3" fontId="11" fillId="35" borderId="2">
      <alignment horizontal="right"/>
    </xf>
    <xf numFmtId="172" fontId="11" fillId="35" borderId="2">
      <alignment horizontal="right"/>
    </xf>
    <xf numFmtId="4" fontId="11" fillId="35" borderId="2">
      <alignment horizontal="right"/>
    </xf>
    <xf numFmtId="0" fontId="7" fillId="33" borderId="16">
      <alignment horizontal="centerContinuous"/>
    </xf>
    <xf numFmtId="0" fontId="7" fillId="33" borderId="17">
      <alignment horizontal="centerContinuous"/>
    </xf>
    <xf numFmtId="172" fontId="1" fillId="34" borderId="18">
      <alignment horizontal="right"/>
    </xf>
    <xf numFmtId="173" fontId="1" fillId="34" borderId="19">
      <alignment horizontal="right"/>
    </xf>
    <xf numFmtId="172" fontId="8" fillId="34" borderId="18">
      <alignment horizontal="right"/>
    </xf>
    <xf numFmtId="173" fontId="8" fillId="34" borderId="19">
      <alignment horizontal="right"/>
    </xf>
  </cellStyleXfs>
  <cellXfs count="36">
    <xf numFmtId="0" fontId="0" fillId="0" borderId="0" xfId="0"/>
    <xf numFmtId="0" fontId="2" fillId="33" borderId="0" xfId="26"/>
    <xf numFmtId="0" fontId="6" fillId="34" borderId="0" xfId="31">
      <alignment horizontal="center"/>
    </xf>
    <xf numFmtId="0" fontId="7" fillId="33" borderId="3" xfId="33">
      <alignment horizontal="left"/>
    </xf>
    <xf numFmtId="0" fontId="7" fillId="33" borderId="3" xfId="32">
      <alignment horizontal="right"/>
    </xf>
    <xf numFmtId="0" fontId="7" fillId="33" borderId="1" xfId="30">
      <alignment horizontal="right"/>
    </xf>
    <xf numFmtId="0" fontId="8" fillId="34" borderId="5" xfId="35"/>
    <xf numFmtId="0" fontId="11" fillId="36" borderId="4" xfId="34"/>
    <xf numFmtId="0" fontId="5" fillId="33" borderId="15" xfId="51">
      <alignment horizontal="left" vertical="center" readingOrder="1"/>
    </xf>
    <xf numFmtId="0" fontId="7" fillId="33" borderId="1" xfId="52">
      <alignment horizontal="left"/>
    </xf>
    <xf numFmtId="0" fontId="3" fillId="34" borderId="5" xfId="37" applyFont="1"/>
    <xf numFmtId="0" fontId="4" fillId="34" borderId="5" xfId="36" applyFont="1"/>
    <xf numFmtId="3" fontId="1" fillId="34" borderId="2" xfId="53">
      <alignment horizontal="right"/>
    </xf>
    <xf numFmtId="172" fontId="1" fillId="34" borderId="2" xfId="54">
      <alignment horizontal="right"/>
    </xf>
    <xf numFmtId="4" fontId="1" fillId="34" borderId="2" xfId="55">
      <alignment horizontal="right"/>
    </xf>
    <xf numFmtId="3" fontId="1" fillId="35" borderId="2" xfId="56">
      <alignment horizontal="right"/>
    </xf>
    <xf numFmtId="172" fontId="1" fillId="35" borderId="2" xfId="57">
      <alignment horizontal="right"/>
    </xf>
    <xf numFmtId="4" fontId="1" fillId="35" borderId="2" xfId="58">
      <alignment horizontal="right"/>
    </xf>
    <xf numFmtId="3" fontId="8" fillId="34" borderId="2" xfId="59">
      <alignment horizontal="right"/>
    </xf>
    <xf numFmtId="172" fontId="8" fillId="34" borderId="2" xfId="60">
      <alignment horizontal="right"/>
    </xf>
    <xf numFmtId="4" fontId="8" fillId="34" borderId="2" xfId="61">
      <alignment horizontal="right"/>
    </xf>
    <xf numFmtId="3" fontId="8" fillId="35" borderId="2" xfId="62">
      <alignment horizontal="right"/>
    </xf>
    <xf numFmtId="172" fontId="8" fillId="35" borderId="2" xfId="63">
      <alignment horizontal="right"/>
    </xf>
    <xf numFmtId="4" fontId="8" fillId="35" borderId="2" xfId="64">
      <alignment horizontal="right"/>
    </xf>
    <xf numFmtId="3" fontId="11" fillId="34" borderId="2" xfId="65">
      <alignment horizontal="right"/>
    </xf>
    <xf numFmtId="172" fontId="11" fillId="34" borderId="2" xfId="66">
      <alignment horizontal="right"/>
    </xf>
    <xf numFmtId="4" fontId="11" fillId="34" borderId="2" xfId="67">
      <alignment horizontal="right"/>
    </xf>
    <xf numFmtId="3" fontId="11" fillId="35" borderId="2" xfId="68">
      <alignment horizontal="right"/>
    </xf>
    <xf numFmtId="172" fontId="11" fillId="35" borderId="2" xfId="69">
      <alignment horizontal="right"/>
    </xf>
    <xf numFmtId="4" fontId="11" fillId="35" borderId="2" xfId="70">
      <alignment horizontal="right"/>
    </xf>
    <xf numFmtId="0" fontId="7" fillId="33" borderId="16" xfId="71">
      <alignment horizontal="centerContinuous"/>
    </xf>
    <xf numFmtId="0" fontId="7" fillId="33" borderId="17" xfId="72">
      <alignment horizontal="centerContinuous"/>
    </xf>
    <xf numFmtId="172" fontId="1" fillId="34" borderId="18" xfId="73">
      <alignment horizontal="right"/>
    </xf>
    <xf numFmtId="173" fontId="1" fillId="34" borderId="19" xfId="74">
      <alignment horizontal="right"/>
    </xf>
    <xf numFmtId="172" fontId="8" fillId="34" borderId="18" xfId="75">
      <alignment horizontal="right"/>
    </xf>
    <xf numFmtId="173" fontId="8" fillId="34" borderId="19" xfId="76">
      <alignment horizontal="right"/>
    </xf>
  </cellXfs>
  <cellStyles count="7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1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centered" xfId="72" xr:uid="{00000000-0005-0000-0000-00001F000000}"/>
    <cellStyle name="fa_column_header_bottom_left" xfId="52" xr:uid="{00000000-0005-0000-0000-000020000000}"/>
    <cellStyle name="fa_column_header_empty" xfId="31" xr:uid="{00000000-0005-0000-0000-000021000000}"/>
    <cellStyle name="fa_column_header_top" xfId="32" xr:uid="{00000000-0005-0000-0000-000022000000}"/>
    <cellStyle name="fa_column_header_top_centered" xfId="71" xr:uid="{00000000-0005-0000-0000-000023000000}"/>
    <cellStyle name="fa_column_header_top_left" xfId="33" xr:uid="{00000000-0005-0000-0000-000024000000}"/>
    <cellStyle name="fa_data_bold_0_grouped" xfId="59" xr:uid="{00000000-0005-0000-0000-000025000000}"/>
    <cellStyle name="fa_data_bold_1_grouped" xfId="60" xr:uid="{00000000-0005-0000-0000-000026000000}"/>
    <cellStyle name="fa_data_bold_1_grouped_single_border" xfId="75" xr:uid="{00000000-0005-0000-0000-000027000000}"/>
    <cellStyle name="fa_data_bold_1_percent_single_border" xfId="76" xr:uid="{00000000-0005-0000-0000-000028000000}"/>
    <cellStyle name="fa_data_bold_2_grouped" xfId="61" xr:uid="{00000000-0005-0000-0000-000029000000}"/>
    <cellStyle name="fa_data_current_bold_0_grouped" xfId="62" xr:uid="{00000000-0005-0000-0000-00002A000000}"/>
    <cellStyle name="fa_data_current_bold_1_grouped" xfId="63" xr:uid="{00000000-0005-0000-0000-00002B000000}"/>
    <cellStyle name="fa_data_current_bold_2_grouped" xfId="64" xr:uid="{00000000-0005-0000-0000-00002C000000}"/>
    <cellStyle name="fa_data_current_italic_0_grouped" xfId="68" xr:uid="{00000000-0005-0000-0000-00002D000000}"/>
    <cellStyle name="fa_data_current_italic_1_grouped" xfId="69" xr:uid="{00000000-0005-0000-0000-00002E000000}"/>
    <cellStyle name="fa_data_current_italic_2_grouped" xfId="70" xr:uid="{00000000-0005-0000-0000-00002F000000}"/>
    <cellStyle name="fa_data_current_standard_0_grouped" xfId="56" xr:uid="{00000000-0005-0000-0000-000030000000}"/>
    <cellStyle name="fa_data_current_standard_1_grouped" xfId="57" xr:uid="{00000000-0005-0000-0000-000031000000}"/>
    <cellStyle name="fa_data_current_standard_2_grouped" xfId="58" xr:uid="{00000000-0005-0000-0000-000032000000}"/>
    <cellStyle name="fa_data_italic_0_grouped" xfId="65" xr:uid="{00000000-0005-0000-0000-000033000000}"/>
    <cellStyle name="fa_data_italic_1_grouped" xfId="66" xr:uid="{00000000-0005-0000-0000-000034000000}"/>
    <cellStyle name="fa_data_italic_2_grouped" xfId="67" xr:uid="{00000000-0005-0000-0000-000035000000}"/>
    <cellStyle name="fa_data_standard_0_grouped" xfId="53" xr:uid="{00000000-0005-0000-0000-000036000000}"/>
    <cellStyle name="fa_data_standard_1_grouped" xfId="54" xr:uid="{00000000-0005-0000-0000-000037000000}"/>
    <cellStyle name="fa_data_standard_1_grouped_single_border" xfId="73" xr:uid="{00000000-0005-0000-0000-000038000000}"/>
    <cellStyle name="fa_data_standard_1_percent_single_border" xfId="74" xr:uid="{00000000-0005-0000-0000-000039000000}"/>
    <cellStyle name="fa_data_standard_2_grouped" xfId="55" xr:uid="{00000000-0005-0000-0000-00003A000000}"/>
    <cellStyle name="fa_footer_italic" xfId="34" xr:uid="{00000000-0005-0000-0000-00003B000000}"/>
    <cellStyle name="fa_row_header_bold" xfId="35" xr:uid="{00000000-0005-0000-0000-00003C000000}"/>
    <cellStyle name="fa_row_header_italic" xfId="36" xr:uid="{00000000-0005-0000-0000-00003D000000}"/>
    <cellStyle name="fa_row_header_standard" xfId="37" xr:uid="{00000000-0005-0000-0000-00003E000000}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BDH|11311110299503891027</stp>
        <tr r="W19" s="9"/>
      </tp>
      <tp t="e">
        <v>#N/A</v>
        <stp/>
        <stp>BDH|12866783797813575533</stp>
        <tr r="D13" s="24"/>
      </tp>
      <tp t="e">
        <v>#N/A</v>
        <stp/>
        <stp>BDH|16991299420964626873</stp>
        <tr r="Q9" s="29"/>
      </tp>
      <tp t="e">
        <v>#N/A</v>
        <stp/>
        <stp>BDH|13684950373224423350</stp>
        <tr r="U11" s="18"/>
      </tp>
      <tp t="e">
        <v>#N/A</v>
        <stp/>
        <stp>BDH|16292774080600062342</stp>
        <tr r="N48" s="10"/>
        <tr r="N46" s="11"/>
        <tr r="N15" s="7"/>
      </tp>
      <tp t="e">
        <v>#N/A</v>
        <stp/>
        <stp>BDH|18266655037711896693</stp>
        <tr r="H7" s="23"/>
      </tp>
      <tp t="e">
        <v>#N/A</v>
        <stp/>
        <stp>BDH|15395440192074322676</stp>
        <tr r="E24" s="26"/>
        <tr r="C14" s="9"/>
      </tp>
      <tp t="e">
        <v>#N/A</v>
        <stp/>
        <stp>BDH|15013750931809669232</stp>
        <tr r="H44" s="24"/>
      </tp>
      <tp t="e">
        <v>#N/A</v>
        <stp/>
        <stp>BDH|12579098594294999508</stp>
        <tr r="W132" s="18"/>
      </tp>
      <tp t="e">
        <v>#N/A</v>
        <stp/>
        <stp>BDH|15300776675288915799</stp>
        <tr r="V21" s="3"/>
      </tp>
      <tp t="e">
        <v>#N/A</v>
        <stp/>
        <stp>BDH|14429440115143509810</stp>
        <tr r="I74" s="18"/>
      </tp>
      <tp t="e">
        <v>#N/A</v>
        <stp/>
        <stp>BDH|17861686495502302076</stp>
        <tr r="I14" s="23"/>
      </tp>
      <tp t="e">
        <v>#N/A</v>
        <stp/>
        <stp>BDH|13057825615632436227</stp>
        <tr r="N42" s="17"/>
      </tp>
      <tp t="e">
        <v>#N/A</v>
        <stp/>
        <stp>BDH|11496122222998067055</stp>
        <tr r="V14" s="20"/>
      </tp>
      <tp t="e">
        <v>#N/A</v>
        <stp/>
        <stp>BDH|17041872937593866594</stp>
        <tr r="P50" s="18"/>
      </tp>
      <tp t="e">
        <v>#N/A</v>
        <stp/>
        <stp>BDH|15141805355234564602</stp>
        <tr r="V18" s="11"/>
      </tp>
      <tp t="e">
        <v>#N/A</v>
        <stp/>
        <stp>BDH|11231849667185790074</stp>
        <tr r="X92" s="18"/>
      </tp>
      <tp t="e">
        <v>#N/A</v>
        <stp/>
        <stp>BDH|10744032678775424896</stp>
        <tr r="I12" s="3"/>
        <tr r="G51" s="10"/>
        <tr r="G49" s="11"/>
        <tr r="G7" s="7"/>
      </tp>
      <tp t="e">
        <v>#N/A</v>
        <stp/>
        <stp>BDH|12848330319188472277</stp>
        <tr r="W27" s="6"/>
      </tp>
      <tp t="e">
        <v>#N/A</v>
        <stp/>
        <stp>BDH|12341840531594118764</stp>
        <tr r="Q29" s="9"/>
      </tp>
      <tp t="e">
        <v>#N/A</v>
        <stp/>
        <stp>BDH|16828931049999509870</stp>
        <tr r="K19" s="26"/>
      </tp>
      <tp t="e">
        <v>#N/A</v>
        <stp/>
        <stp>BDH|17359683099431624349</stp>
        <tr r="D50" s="21"/>
      </tp>
      <tp t="e">
        <v>#N/A</v>
        <stp/>
        <stp>BDH|11952875248231082663</stp>
        <tr r="D84" s="17"/>
      </tp>
      <tp t="e">
        <v>#N/A</v>
        <stp/>
        <stp>BDH|14706656751579284412</stp>
        <tr r="L11" s="28"/>
      </tp>
      <tp t="e">
        <v>#N/A</v>
        <stp/>
        <stp>BDH|15760511846056585850</stp>
        <tr r="C16" s="14"/>
      </tp>
      <tp t="e">
        <v>#N/A</v>
        <stp/>
        <stp>BDH|10016929373056964282</stp>
        <tr r="K20" s="29"/>
      </tp>
      <tp t="e">
        <v>#N/A</v>
        <stp/>
        <stp>BDH|16639127551600500801</stp>
        <tr r="H28" s="17"/>
      </tp>
      <tp t="e">
        <v>#N/A</v>
        <stp/>
        <stp>BDH|11245951890302748901</stp>
        <tr r="D23" s="10"/>
      </tp>
      <tp t="e">
        <v>#N/A</v>
        <stp/>
        <stp>BDH|18009104175152102645</stp>
        <tr r="W29" s="29"/>
        <tr r="W7" s="29"/>
      </tp>
      <tp t="e">
        <v>#N/A</v>
        <stp/>
        <stp>BDH|13590960566865169347</stp>
        <tr r="AA42" s="21"/>
      </tp>
      <tp t="e">
        <v>#N/A</v>
        <stp/>
        <stp>BDH|18200410308015207390</stp>
        <tr r="AA14" s="28"/>
      </tp>
      <tp t="e">
        <v>#N/A</v>
        <stp/>
        <stp>BDH|12356094319679346003</stp>
        <tr r="T7" s="24"/>
      </tp>
      <tp t="e">
        <v>#N/A</v>
        <stp/>
        <stp>BDH|14722263000074192808</stp>
        <tr r="J34" s="21"/>
      </tp>
      <tp t="e">
        <v>#N/A</v>
        <stp/>
        <stp>BDH|14880580314819621322</stp>
        <tr r="S19" s="14"/>
      </tp>
      <tp t="e">
        <v>#N/A</v>
        <stp/>
        <stp>BDH|10724068078995960802</stp>
        <tr r="P9" s="24"/>
      </tp>
      <tp t="e">
        <v>#N/A</v>
        <stp/>
        <stp>BDH|14502832156663135010</stp>
        <tr r="D21" s="22"/>
      </tp>
      <tp t="e">
        <v>#N/A</v>
        <stp/>
        <stp>BDH|10686509239725648994</stp>
        <tr r="E39" s="4"/>
        <tr r="E62" s="10"/>
      </tp>
      <tp t="e">
        <v>#N/A</v>
        <stp/>
        <stp>BDH|14049387080462054784</stp>
        <tr r="C18" s="30"/>
      </tp>
      <tp t="e">
        <v>#N/A</v>
        <stp/>
        <stp>BDH|11743970578161111492</stp>
        <tr r="G64" s="24"/>
      </tp>
      <tp t="e">
        <v>#N/A</v>
        <stp/>
        <stp>BDH|11553930653572422514</stp>
        <tr r="K13" s="6"/>
      </tp>
      <tp t="e">
        <v>#N/A</v>
        <stp/>
        <stp>BDH|11559887109701451205</stp>
        <tr r="I95" s="18"/>
      </tp>
      <tp t="e">
        <v>#N/A</v>
        <stp/>
        <stp>BDH|12248164974509955795</stp>
        <tr r="R6" s="28"/>
      </tp>
      <tp t="e">
        <v>#N/A</v>
        <stp/>
        <stp>BDH|17733450793459473955</stp>
        <tr r="U18" s="11"/>
      </tp>
      <tp t="e">
        <v>#N/A</v>
        <stp/>
        <stp>BDH|11400836471842397653</stp>
        <tr r="Q32" s="17"/>
      </tp>
      <tp t="e">
        <v>#N/A</v>
        <stp/>
        <stp>BDH|15767635074309496772</stp>
        <tr r="AA57" s="18"/>
      </tp>
      <tp t="e">
        <v>#N/A</v>
        <stp/>
        <stp>BDH|14827862278689555809</stp>
        <tr r="L46" s="34"/>
      </tp>
      <tp t="e">
        <v>#N/A</v>
        <stp/>
        <stp>BDH|17130925443178341809</stp>
        <tr r="AA72" s="18"/>
      </tp>
      <tp t="e">
        <v>#N/A</v>
        <stp/>
        <stp>BDH|14827315469693687850</stp>
        <tr r="I15" s="12"/>
      </tp>
      <tp t="e">
        <v>#N/A</v>
        <stp/>
        <stp>BDH|14029678473279144665</stp>
        <tr r="D28" s="18"/>
      </tp>
      <tp t="e">
        <v>#N/A</v>
        <stp/>
        <stp>BDH|12282547185743033602</stp>
        <tr r="Y15" s="9"/>
      </tp>
      <tp t="e">
        <v>#N/A</v>
        <stp/>
        <stp>BDH|15111443603818541307</stp>
        <tr r="M17" s="22"/>
      </tp>
      <tp t="e">
        <v>#N/A</v>
        <stp/>
        <stp>BDH|10523638138328550784</stp>
        <tr r="I10" s="18"/>
      </tp>
      <tp t="e">
        <v>#N/A</v>
        <stp/>
        <stp>BDH|12981777144378979304</stp>
        <tr r="N109" s="18"/>
      </tp>
      <tp t="e">
        <v>#N/A</v>
        <stp/>
        <stp>BDH|15357772291521189075</stp>
        <tr r="I50" s="18"/>
      </tp>
      <tp t="e">
        <v>#N/A</v>
        <stp/>
        <stp>BDH|11397575469088671084</stp>
        <tr r="C22" s="10"/>
      </tp>
      <tp t="e">
        <v>#N/A</v>
        <stp/>
        <stp>BDH|18373083285328519289</stp>
        <tr r="S26" s="29"/>
      </tp>
      <tp t="e">
        <v>#N/A</v>
        <stp/>
        <stp>BDH|11768139522791244973</stp>
        <tr r="C15" s="5"/>
      </tp>
      <tp t="e">
        <v>#N/A</v>
        <stp/>
        <stp>BDH|11328997019450058309</stp>
        <tr r="Y126" s="18"/>
      </tp>
      <tp t="e">
        <v>#N/A</v>
        <stp/>
        <stp>BDH|11906050818859268353</stp>
        <tr r="N58" s="17"/>
      </tp>
      <tp t="e">
        <v>#N/A</v>
        <stp/>
        <stp>BDH|17533637056976616851</stp>
        <tr r="O12" s="10"/>
      </tp>
      <tp t="e">
        <v>#N/A</v>
        <stp/>
        <stp>BDH|14286955678578875843</stp>
        <tr r="R8" s="26"/>
        <tr r="P10" s="9"/>
      </tp>
      <tp t="e">
        <v>#N/A</v>
        <stp/>
        <stp>BDH|17163284829048685559</stp>
        <tr r="R21" s="25"/>
        <tr r="R14" s="27"/>
      </tp>
      <tp t="e">
        <v>#N/A</v>
        <stp/>
        <stp>BDH|12442460622398764640</stp>
        <tr r="W17" s="9"/>
      </tp>
      <tp t="e">
        <v>#N/A</v>
        <stp/>
        <stp>BDH|13511201986250727371</stp>
        <tr r="H42" s="17"/>
      </tp>
      <tp t="e">
        <v>#N/A</v>
        <stp/>
        <stp>BDH|10119022414122718932</stp>
        <tr r="I14" s="20"/>
      </tp>
      <tp t="e">
        <v>#N/A</v>
        <stp/>
        <stp>BDH|11437372780779894988</stp>
        <tr r="I38" s="10"/>
        <tr r="I36" s="11"/>
      </tp>
      <tp t="e">
        <v>#N/A</v>
        <stp/>
        <stp>BDH|11973596932695478856</stp>
        <tr r="K17" s="10"/>
      </tp>
      <tp t="e">
        <v>#N/A</v>
        <stp/>
        <stp>BDH|13497745700758093634</stp>
        <tr r="H89" s="18"/>
        <tr r="H9" s="20"/>
      </tp>
      <tp t="e">
        <v>#N/A</v>
        <stp/>
        <stp>BDH|17893252265958902124</stp>
        <tr r="M48" s="21"/>
      </tp>
      <tp t="e">
        <v>#N/A</v>
        <stp/>
        <stp>BDH|11551917706922270039</stp>
        <tr r="M13" s="12"/>
      </tp>
      <tp t="e">
        <v>#N/A</v>
        <stp/>
        <stp>BDH|14612986443242708191</stp>
        <tr r="N18" s="30"/>
      </tp>
      <tp t="e">
        <v>#N/A</v>
        <stp/>
        <stp>BDH|11275269812480386866</stp>
        <tr r="Y10" s="18"/>
      </tp>
      <tp t="e">
        <v>#N/A</v>
        <stp/>
        <stp>BDH|12568233169865513987</stp>
        <tr r="M16" s="25"/>
        <tr r="K22" s="11"/>
      </tp>
      <tp t="e">
        <v>#N/A</v>
        <stp/>
        <stp>BDH|13603043413470558868</stp>
        <tr r="F11" s="29"/>
      </tp>
      <tp t="e">
        <v>#N/A</v>
        <stp/>
        <stp>BDH|18016662947074524468</stp>
        <tr r="N67" s="12"/>
      </tp>
      <tp t="e">
        <v>#N/A</v>
        <stp/>
        <stp>BDH|15991819319183016538</stp>
        <tr r="L12" s="14"/>
      </tp>
      <tp t="e">
        <v>#N/A</v>
        <stp/>
        <stp>BDH|12747079776336572911</stp>
        <tr r="U31" s="21"/>
      </tp>
      <tp t="e">
        <v>#N/A</v>
        <stp/>
        <stp>BDH|10066262009430596881</stp>
        <tr r="M49" s="10"/>
        <tr r="M47" s="11"/>
        <tr r="M16" s="7"/>
      </tp>
      <tp t="e">
        <v>#N/A</v>
        <stp/>
        <stp>BDH|13478568422138401661</stp>
        <tr r="X34" s="21"/>
      </tp>
      <tp t="e">
        <v>#N/A</v>
        <stp/>
        <stp>BDH|14872166648313451808</stp>
        <tr r="W61" s="12"/>
      </tp>
      <tp t="e">
        <v>#N/A</v>
        <stp/>
        <stp>BDH|11376157494616611569</stp>
        <tr r="C19" s="17"/>
      </tp>
      <tp t="e">
        <v>#N/A</v>
        <stp/>
        <stp>BDH|14096620807741066975</stp>
        <tr r="M7" s="23"/>
      </tp>
      <tp t="e">
        <v>#N/A</v>
        <stp/>
        <stp>BDH|18078012166903643735</stp>
        <tr r="N48" s="18"/>
      </tp>
      <tp t="e">
        <v>#N/A</v>
        <stp/>
        <stp>BDH|11668349355774279972</stp>
        <tr r="K49" s="10"/>
        <tr r="K47" s="11"/>
        <tr r="K16" s="7"/>
      </tp>
      <tp t="e">
        <v>#N/A</v>
        <stp/>
        <stp>BDH|13096101140479352514</stp>
        <tr r="J70" s="17"/>
      </tp>
      <tp t="e">
        <v>#N/A</v>
        <stp/>
        <stp>BDH|16270174803128664528</stp>
        <tr r="S55" s="17"/>
      </tp>
      <tp t="e">
        <v>#N/A</v>
        <stp/>
        <stp>BDH|16485027831958222778</stp>
        <tr r="C34" s="10"/>
        <tr r="C32" s="11"/>
        <tr r="E32" s="13"/>
      </tp>
      <tp t="e">
        <v>#N/A</v>
        <stp/>
        <stp>BDH|16277979725392459564</stp>
        <tr r="V16" s="22"/>
      </tp>
      <tp t="e">
        <v>#N/A</v>
        <stp/>
        <stp>BDH|13269096164428809758</stp>
        <tr r="R7" s="21"/>
      </tp>
      <tp t="e">
        <v>#N/A</v>
        <stp/>
        <stp>BDH|13244462905364214916</stp>
        <tr r="J34" s="10"/>
        <tr r="J32" s="11"/>
        <tr r="L32" s="13"/>
      </tp>
      <tp t="e">
        <v>#N/A</v>
        <stp/>
        <stp>BDH|10006893097099821243</stp>
        <tr r="I61" s="24"/>
      </tp>
      <tp t="e">
        <v>#N/A</v>
        <stp/>
        <stp>BDH|18374035764127388359</stp>
        <tr r="G55" s="18"/>
      </tp>
      <tp t="e">
        <v>#N/A</v>
        <stp/>
        <stp>BDH|10762301296019028934</stp>
        <tr r="K53" s="12"/>
      </tp>
      <tp t="e">
        <v>#N/A</v>
        <stp/>
        <stp>BDH|17974423098551895199</stp>
        <tr r="AA28" s="21"/>
      </tp>
      <tp t="e">
        <v>#N/A</v>
        <stp/>
        <stp>BDH|11852920952401338693</stp>
        <tr r="Z12" s="21"/>
      </tp>
      <tp t="e">
        <v>#N/A</v>
        <stp/>
        <stp>BDH|10558248990849458870</stp>
        <tr r="U116" s="18"/>
      </tp>
      <tp t="e">
        <v>#N/A</v>
        <stp/>
        <stp>BDH|17957492907319323066</stp>
        <tr r="W38" s="18"/>
      </tp>
      <tp t="e">
        <v>#N/A</v>
        <stp/>
        <stp>BDH|17934117860633868924</stp>
        <tr r="X6" s="27"/>
      </tp>
      <tp t="e">
        <v>#N/A</v>
        <stp/>
        <stp>BDH|14311581806099831274</stp>
        <tr r="E54" s="24"/>
      </tp>
      <tp t="e">
        <v>#N/A</v>
        <stp/>
        <stp>BDH|13522913946743876787</stp>
        <tr r="N36" s="4"/>
      </tp>
      <tp t="e">
        <v>#N/A</v>
        <stp/>
        <stp>BDH|10471625660013144953</stp>
        <tr r="U10" s="10"/>
      </tp>
      <tp t="e">
        <v>#N/A</v>
        <stp/>
        <stp>BDH|14778715597864595467</stp>
        <tr r="T19" s="24"/>
      </tp>
      <tp t="e">
        <v>#N/A</v>
        <stp/>
        <stp>BDH|11867663404714009986</stp>
        <tr r="N8" s="24"/>
      </tp>
      <tp t="e">
        <v>#N/A</v>
        <stp/>
        <stp>BDH|17048198688032188620</stp>
        <tr r="P58" s="18"/>
      </tp>
      <tp t="e">
        <v>#N/A</v>
        <stp/>
        <stp>BDH|13546370434649711037</stp>
        <tr r="R40" s="29"/>
      </tp>
      <tp t="e">
        <v>#N/A</v>
        <stp/>
        <stp>BDH|17983884756460243078</stp>
        <tr r="H30" s="29"/>
        <tr r="H8" s="29"/>
      </tp>
      <tp t="e">
        <v>#N/A</v>
        <stp/>
        <stp>BDH|14320636726239681355</stp>
        <tr r="G67" s="18"/>
      </tp>
      <tp t="e">
        <v>#N/A</v>
        <stp/>
        <stp>BDH|10269216504288109038</stp>
        <tr r="P7" s="30"/>
      </tp>
      <tp t="e">
        <v>#N/A</v>
        <stp/>
        <stp>BDH|17999173121548920637</stp>
        <tr r="E39" s="34"/>
      </tp>
      <tp t="e">
        <v>#N/A</v>
        <stp/>
        <stp>BDH|12993951170234178287</stp>
        <tr r="W22" s="7"/>
      </tp>
      <tp t="e">
        <v>#N/A</v>
        <stp/>
        <stp>BDH|10477625245428745018</stp>
        <tr r="AA14" s="18"/>
      </tp>
      <tp t="e">
        <v>#N/A</v>
        <stp/>
        <stp>BDH|13400868660563561422</stp>
        <tr r="E52" s="18"/>
      </tp>
      <tp t="e">
        <v>#N/A</v>
        <stp/>
        <stp>BDH|15179117086941474776</stp>
        <tr r="P74" s="18"/>
      </tp>
      <tp t="e">
        <v>#N/A</v>
        <stp/>
        <stp>BDH|17681615353136279833</stp>
        <tr r="K27" s="5"/>
        <tr r="K28" s="9"/>
      </tp>
      <tp t="e">
        <v>#N/A</v>
        <stp/>
        <stp>BDH|12827922013822971257</stp>
        <tr r="E13" s="8"/>
      </tp>
      <tp t="e">
        <v>#N/A</v>
        <stp/>
        <stp>BDH|10734303191505556568</stp>
        <tr r="L26" s="29"/>
      </tp>
      <tp t="e">
        <v>#N/A</v>
        <stp/>
        <stp>BDH|12767200953329891692</stp>
        <tr r="O30" s="24"/>
      </tp>
      <tp t="e">
        <v>#N/A</v>
        <stp/>
        <stp>BDH|13419943234705411659</stp>
        <tr r="N20" s="18"/>
      </tp>
      <tp t="e">
        <v>#N/A</v>
        <stp/>
        <stp>BDH|15497804669538831906</stp>
        <tr r="G69" s="24"/>
      </tp>
      <tp t="e">
        <v>#N/A</v>
        <stp/>
        <stp>BDH|18269162522849685858</stp>
        <tr r="N33" s="6"/>
        <tr r="P6" s="8"/>
      </tp>
      <tp t="e">
        <v>#N/A</v>
        <stp/>
        <stp>BDH|12213404515198403568</stp>
        <tr r="I13" s="34"/>
      </tp>
      <tp t="e">
        <v>#N/A</v>
        <stp/>
        <stp>BDH|17601934347818568826</stp>
        <tr r="Q58" s="11"/>
      </tp>
      <tp t="e">
        <v>#N/A</v>
        <stp/>
        <stp>BDH|12151081784382188293</stp>
        <tr r="D48" s="18"/>
      </tp>
      <tp t="e">
        <v>#N/A</v>
        <stp/>
        <stp>BDH|13219408421589137673</stp>
        <tr r="G67" s="24"/>
      </tp>
      <tp t="e">
        <v>#N/A</v>
        <stp/>
        <stp>BDH|10820608079489687225</stp>
        <tr r="N21" s="10"/>
      </tp>
      <tp t="e">
        <v>#N/A</v>
        <stp/>
        <stp>BDH|10315076605099260363</stp>
        <tr r="U41" s="21"/>
      </tp>
      <tp t="e">
        <v>#N/A</v>
        <stp/>
        <stp>BDH|12037566715524474825</stp>
        <tr r="C35" s="6"/>
        <tr r="E10" s="8"/>
      </tp>
      <tp t="e">
        <v>#N/A</v>
        <stp/>
        <stp>BDH|12354885344861309599</stp>
        <tr r="AA10" s="17"/>
      </tp>
      <tp t="e">
        <v>#N/A</v>
        <stp/>
        <stp>BDH|13778901363793846595</stp>
        <tr r="M18" s="2"/>
        <tr r="M53" s="4"/>
        <tr r="M42" s="10"/>
        <tr r="M40" s="11"/>
        <tr r="O34" s="13"/>
      </tp>
      <tp t="e">
        <v>#N/A</v>
        <stp/>
        <stp>BDH|17898314722078895463</stp>
        <tr r="Y16" s="12"/>
      </tp>
      <tp t="e">
        <v>#N/A</v>
        <stp/>
        <stp>BDH|17232842294368401435</stp>
        <tr r="G43" s="34"/>
      </tp>
      <tp t="e">
        <v>#N/A</v>
        <stp/>
        <stp>BDH|10020620096023912684</stp>
        <tr r="C82" s="18"/>
      </tp>
      <tp t="e">
        <v>#N/A</v>
        <stp/>
        <stp>BDH|17231075990642547652</stp>
        <tr r="I13" s="24"/>
      </tp>
      <tp t="e">
        <v>#N/A</v>
        <stp/>
        <stp>BDH|15015494831170457894</stp>
        <tr r="L30" s="24"/>
      </tp>
      <tp t="e">
        <v>#N/A</v>
        <stp/>
        <stp>BDH|16591113890560637479</stp>
        <tr r="K41" s="24"/>
      </tp>
      <tp t="e">
        <v>#N/A</v>
        <stp/>
        <stp>BDH|11615520987436474027</stp>
        <tr r="C61" s="21"/>
      </tp>
      <tp t="e">
        <v>#N/A</v>
        <stp/>
        <stp>BDH|12062612904537923996</stp>
        <tr r="P16" s="28"/>
        <tr r="P13" s="17"/>
      </tp>
      <tp t="e">
        <v>#N/A</v>
        <stp/>
        <stp>BDH|11584759185204529055</stp>
        <tr r="J30" s="12"/>
      </tp>
      <tp t="e">
        <v>#N/A</v>
        <stp/>
        <stp>BDH|15242909217981593659</stp>
        <tr r="K99" s="18"/>
      </tp>
      <tp t="e">
        <v>#N/A</v>
        <stp/>
        <stp>BDH|16630660186904625643</stp>
        <tr r="I8" s="24"/>
      </tp>
      <tp t="e">
        <v>#N/A</v>
        <stp/>
        <stp>BDH|14369202582830452413</stp>
        <tr r="W106" s="18"/>
      </tp>
      <tp t="e">
        <v>#N/A</v>
        <stp/>
        <stp>BDH|12575877653776590304</stp>
        <tr r="T16" s="11"/>
      </tp>
      <tp t="e">
        <v>#N/A</v>
        <stp/>
        <stp>BDH|13242127383879700901</stp>
        <tr r="S11" s="28"/>
      </tp>
      <tp t="e">
        <v>#N/A</v>
        <stp/>
        <stp>BDH|17758532181936416656</stp>
        <tr r="O58" s="12"/>
      </tp>
      <tp t="e">
        <v>#N/A</v>
        <stp/>
        <stp>BDH|13799465815098262423</stp>
        <tr r="F16" s="29"/>
        <tr r="F36" s="29"/>
      </tp>
      <tp t="e">
        <v>#N/A</v>
        <stp/>
        <stp>BDH|15027888047611840231</stp>
        <tr r="H13" s="14"/>
      </tp>
      <tp t="e">
        <v>#N/A</v>
        <stp/>
        <stp>BDH|16597962042300301161</stp>
        <tr r="D12" s="21"/>
      </tp>
      <tp t="e">
        <v>#N/A</v>
        <stp/>
        <stp>BDH|14695145987993690474</stp>
        <tr r="C16" s="30"/>
      </tp>
      <tp t="e">
        <v>#N/A</v>
        <stp/>
        <stp>BDH|15896854014265817356</stp>
        <tr r="Y20" s="10"/>
      </tp>
      <tp t="e">
        <v>#N/A</v>
        <stp/>
        <stp>BDH|10258128444029052606</stp>
        <tr r="K72" s="18"/>
      </tp>
      <tp t="e">
        <v>#N/A</v>
        <stp/>
        <stp>BDH|17841859839421552751</stp>
        <tr r="H52" s="21"/>
      </tp>
      <tp t="e">
        <v>#N/A</v>
        <stp/>
        <stp>BDH|18317079456962458528</stp>
        <tr r="E38" s="10"/>
        <tr r="E36" s="11"/>
      </tp>
      <tp t="e">
        <v>#N/A</v>
        <stp/>
        <stp>BDH|10836381777616269811</stp>
        <tr r="S18" s="13"/>
      </tp>
      <tp t="e">
        <v>#N/A</v>
        <stp/>
        <stp>BDH|13638950846221532541</stp>
        <tr r="E82" s="17"/>
      </tp>
      <tp t="e">
        <v>#N/A</v>
        <stp/>
        <stp>BDH|16803331526209112480</stp>
        <tr r="T7" s="4"/>
      </tp>
      <tp t="e">
        <v>#N/A</v>
        <stp/>
        <stp>BDH|11722053629200643995</stp>
        <tr r="Z16" s="23"/>
      </tp>
      <tp t="e">
        <v>#N/A</v>
        <stp/>
        <stp>BDH|17157533893406379764</stp>
        <tr r="AA47" s="17"/>
      </tp>
      <tp t="e">
        <v>#N/A</v>
        <stp/>
        <stp>BDH|12548595740369061083</stp>
        <tr r="F10" s="22"/>
      </tp>
      <tp t="e">
        <v>#N/A</v>
        <stp/>
        <stp>BDH|17337406423159433200</stp>
        <tr r="R8" s="4"/>
      </tp>
      <tp t="e">
        <v>#N/A</v>
        <stp/>
        <stp>BDH|12376570288854815109</stp>
        <tr r="O21" s="11"/>
      </tp>
      <tp t="e">
        <v>#N/A</v>
        <stp/>
        <stp>BDH|16984398584916871188</stp>
        <tr r="C36" s="22"/>
      </tp>
      <tp t="e">
        <v>#N/A</v>
        <stp/>
        <stp>BDH|16405874692189606430</stp>
        <tr r="W59" s="18"/>
      </tp>
      <tp t="e">
        <v>#N/A</v>
        <stp/>
        <stp>BDH|14223207564153547975</stp>
        <tr r="H79" s="18"/>
      </tp>
      <tp t="e">
        <v>#N/A</v>
        <stp/>
        <stp>BDH|10155477284625314350</stp>
        <tr r="O106" s="18"/>
      </tp>
      <tp t="e">
        <v>#N/A</v>
        <stp/>
        <stp>BDH|11990762734446682992</stp>
        <tr r="W13" s="8"/>
      </tp>
      <tp t="e">
        <v>#N/A</v>
        <stp/>
        <stp>BDH|16912889164850864293</stp>
        <tr r="X20" s="17"/>
      </tp>
      <tp t="e">
        <v>#N/A</v>
        <stp/>
        <stp>BDH|17218835933697146172</stp>
        <tr r="P14" s="11"/>
      </tp>
      <tp t="e">
        <v>#N/A</v>
        <stp/>
        <stp>BDH|13030827219756747683</stp>
        <tr r="Y118" s="18"/>
      </tp>
      <tp t="e">
        <v>#N/A</v>
        <stp/>
        <stp>BDH|13930852217058647891</stp>
        <tr r="C19" s="22"/>
      </tp>
      <tp t="e">
        <v>#N/A</v>
        <stp/>
        <stp>BDH|13657074992572272268</stp>
        <tr r="C74" s="17"/>
        <tr r="C19" s="3"/>
      </tp>
      <tp t="e">
        <v>#N/A</v>
        <stp/>
        <stp>BDH|18179321183269381046</stp>
        <tr r="R51" s="17"/>
      </tp>
      <tp t="e">
        <v>#N/A</v>
        <stp/>
        <stp>BDH|17842044186213409698</stp>
        <tr r="J44" s="24"/>
      </tp>
      <tp t="e">
        <v>#N/A</v>
        <stp/>
        <stp>BDH|13960329331679913042</stp>
        <tr r="H6" s="2"/>
        <tr r="H6" s="5"/>
        <tr r="H6" s="9"/>
        <tr r="I12" s="8"/>
        <tr r="J10" s="29"/>
        <tr r="J19" s="29"/>
        <tr r="J25" s="29"/>
      </tp>
      <tp t="e">
        <v>#N/A</v>
        <stp/>
        <stp>BDH|15079887554692872038</stp>
        <tr r="P69" s="17"/>
      </tp>
      <tp t="e">
        <v>#N/A</v>
        <stp/>
        <stp>BDH|13885769708956055814</stp>
        <tr r="O14" s="20"/>
      </tp>
      <tp t="e">
        <v>#N/A</v>
        <stp/>
        <stp>BDH|16598807216577672223</stp>
        <tr r="G80" s="18"/>
      </tp>
      <tp t="e">
        <v>#N/A</v>
        <stp/>
        <stp>BDH|13745848026580079321</stp>
        <tr r="S29" s="12"/>
      </tp>
      <tp t="e">
        <v>#N/A</v>
        <stp/>
        <stp>BDH|18403859485014239614</stp>
        <tr r="I24" s="24"/>
      </tp>
      <tp t="e">
        <v>#N/A</v>
        <stp/>
        <stp>BDH|15353671096572160249</stp>
        <tr r="U38" s="18"/>
      </tp>
      <tp t="e">
        <v>#N/A</v>
        <stp/>
        <stp>BDH|17982143293467849216</stp>
        <tr r="S27" s="18"/>
      </tp>
      <tp t="e">
        <v>#N/A</v>
        <stp/>
        <stp>BDH|18284164836823607339</stp>
        <tr r="C20" s="5"/>
        <tr r="C21" s="9"/>
      </tp>
      <tp t="e">
        <v>#N/A</v>
        <stp/>
        <stp>BDH|14952886430857679200</stp>
        <tr r="R63" s="21"/>
        <tr r="P23" s="7"/>
      </tp>
      <tp t="e">
        <v>#N/A</v>
        <stp/>
        <stp>BDH|13089929640985589103</stp>
        <tr r="M16" s="30"/>
      </tp>
      <tp t="e">
        <v>#N/A</v>
        <stp/>
        <stp>BDH|15174652701310668943</stp>
        <tr r="G50" s="21"/>
      </tp>
      <tp t="e">
        <v>#N/A</v>
        <stp/>
        <stp>BDH|10408199696195921759</stp>
        <tr r="C107" s="18"/>
      </tp>
      <tp t="e">
        <v>#N/A</v>
        <stp/>
        <stp>BDH|16457836624937184151</stp>
        <tr r="C43" s="12"/>
      </tp>
      <tp t="e">
        <v>#N/A</v>
        <stp/>
        <stp>BDH|18442480870334966523</stp>
        <tr r="E67" s="17"/>
      </tp>
      <tp t="e">
        <v>#N/A</v>
        <stp/>
        <stp>BDH|16123606905173634954</stp>
        <tr r="S20" s="24"/>
      </tp>
      <tp t="e">
        <v>#N/A</v>
        <stp/>
        <stp>BDH|15732361093673311667</stp>
        <tr r="K48" s="21"/>
      </tp>
      <tp t="e">
        <v>#N/A</v>
        <stp/>
        <stp>BDH|10553756208165768884</stp>
        <tr r="R12" s="17"/>
      </tp>
      <tp t="e">
        <v>#N/A</v>
        <stp/>
        <stp>BDH|16078300590257355147</stp>
        <tr r="N7" s="23"/>
      </tp>
      <tp t="e">
        <v>#N/A</v>
        <stp/>
        <stp>BDH|16108952602933681675</stp>
        <tr r="T39" s="24"/>
      </tp>
      <tp t="e">
        <v>#N/A</v>
        <stp/>
        <stp>BDH|17742892725167837042</stp>
        <tr r="V30" s="21"/>
      </tp>
      <tp t="e">
        <v>#N/A</v>
        <stp/>
        <stp>BDH|16448400790132057335</stp>
        <tr r="Q18" s="14"/>
      </tp>
      <tp t="e">
        <v>#N/A</v>
        <stp/>
        <stp>BDH|11627632822427366836</stp>
        <tr r="L32" s="25"/>
        <tr r="L7" s="3"/>
        <tr r="J19" s="11"/>
        <tr r="L22" s="13"/>
        <tr r="L7" s="13"/>
      </tp>
      <tp t="e">
        <v>#N/A</v>
        <stp/>
        <stp>BDH|13588529589195003194</stp>
        <tr r="E29" s="18"/>
      </tp>
      <tp t="e">
        <v>#N/A</v>
        <stp/>
        <stp>BDH|13601862817177278720</stp>
        <tr r="N76" s="18"/>
      </tp>
      <tp t="e">
        <v>#N/A</v>
        <stp/>
        <stp>BDH|13301908329381417381</stp>
        <tr r="N53" s="10"/>
        <tr r="N51" s="11"/>
        <tr r="N18" s="7"/>
        <tr r="P40" s="13"/>
      </tp>
      <tp t="e">
        <v>#N/A</v>
        <stp/>
        <stp>BDH|10388870066342786639</stp>
        <tr r="Y76" s="18"/>
      </tp>
      <tp t="e">
        <v>#N/A</v>
        <stp/>
        <stp>BDH|12356371446058489705</stp>
        <tr r="I26" s="17"/>
      </tp>
      <tp t="e">
        <v>#N/A</v>
        <stp/>
        <stp>BDH|15268843345302693136</stp>
        <tr r="F35" s="4"/>
      </tp>
      <tp t="e">
        <v>#N/A</v>
        <stp/>
        <stp>BDH|16727602533941740854</stp>
        <tr r="I15" s="18"/>
      </tp>
      <tp t="e">
        <v>#N/A</v>
        <stp/>
        <stp>BDH|13244354493257235408</stp>
        <tr r="P11" s="22"/>
      </tp>
      <tp t="e">
        <v>#N/A</v>
        <stp/>
        <stp>BDH|15998357689555349106</stp>
        <tr r="M16" s="11"/>
      </tp>
      <tp t="e">
        <v>#N/A</v>
        <stp/>
        <stp>BDH|12719148991018054844</stp>
        <tr r="C27" s="24"/>
      </tp>
      <tp t="e">
        <v>#N/A</v>
        <stp/>
        <stp>BDH|13659727524994720811</stp>
        <tr r="T20" s="6"/>
      </tp>
      <tp t="e">
        <v>#N/A</v>
        <stp/>
        <stp>BDH|14449445194714305719</stp>
        <tr r="X12" s="13"/>
      </tp>
      <tp t="e">
        <v>#N/A</v>
        <stp/>
        <stp>BDH|16966004586997051391</stp>
        <tr r="K85" s="18"/>
      </tp>
      <tp t="e">
        <v>#N/A</v>
        <stp/>
        <stp>BDH|12241998225756064582</stp>
        <tr r="X20" s="30"/>
      </tp>
      <tp t="e">
        <v>#N/A</v>
        <stp/>
        <stp>BDH|16201177381395526078</stp>
        <tr r="H7" s="17"/>
      </tp>
      <tp t="e">
        <v>#N/A</v>
        <stp/>
        <stp>BDH|11296863414583615100</stp>
        <tr r="F25" s="24"/>
      </tp>
      <tp t="e">
        <v>#N/A</v>
        <stp/>
        <stp>BDH|11728969060487754304</stp>
        <tr r="X39" s="6"/>
      </tp>
      <tp t="e">
        <v>#N/A</v>
        <stp/>
        <stp>BDH|14673104281337573049</stp>
        <tr r="C39" s="12"/>
      </tp>
      <tp t="e">
        <v>#N/A</v>
        <stp/>
        <stp>BDH|12720898271710820711</stp>
        <tr r="L46" s="21"/>
      </tp>
      <tp t="e">
        <v>#N/A</v>
        <stp/>
        <stp>BDH|17471532135038498301</stp>
        <tr r="K50" s="18"/>
      </tp>
      <tp t="e">
        <v>#N/A</v>
        <stp/>
        <stp>BDH|11301937714870770355</stp>
        <tr r="T41" s="18"/>
      </tp>
      <tp t="e">
        <v>#N/A</v>
        <stp/>
        <stp>BDH|17934937988964743835</stp>
        <tr r="Q30" s="9"/>
      </tp>
      <tp t="e">
        <v>#N/A</v>
        <stp/>
        <stp>BDH|15481264585241545449</stp>
        <tr r="S8" s="10"/>
      </tp>
      <tp t="e">
        <v>#N/A</v>
        <stp/>
        <stp>BDH|12073933164186629176</stp>
        <tr r="W55" s="24"/>
      </tp>
      <tp t="e">
        <v>#N/A</v>
        <stp/>
        <stp>BDH|16665453304248220034</stp>
        <tr r="W17" s="10"/>
      </tp>
      <tp t="e">
        <v>#N/A</v>
        <stp/>
        <stp>BDH|10755863664690677457</stp>
        <tr r="E66" s="12"/>
      </tp>
      <tp t="e">
        <v>#N/A</v>
        <stp/>
        <stp>BDH|13091732045009534358</stp>
        <tr r="H53" s="18"/>
      </tp>
      <tp t="e">
        <v>#N/A</v>
        <stp/>
        <stp>BDH|12579817331995497670</stp>
        <tr r="I41" s="34"/>
      </tp>
      <tp t="e">
        <v>#N/A</v>
        <stp/>
        <stp>BDH|11246486353502983868</stp>
        <tr r="N7" s="10"/>
      </tp>
      <tp t="e">
        <v>#N/A</v>
        <stp/>
        <stp>BDH|11001829136361657148</stp>
        <tr r="I53" s="18"/>
      </tp>
      <tp t="e">
        <v>#N/A</v>
        <stp/>
        <stp>BDH|16323732483734277777</stp>
        <tr r="G68" s="24"/>
      </tp>
      <tp t="e">
        <v>#N/A</v>
        <stp/>
        <stp>BDH|13622313782013764141</stp>
        <tr r="D50" s="4"/>
      </tp>
      <tp t="e">
        <v>#N/A</v>
        <stp/>
        <stp>BDH|15832552649018667641</stp>
        <tr r="R45" s="21"/>
      </tp>
      <tp t="e">
        <v>#N/A</v>
        <stp/>
        <stp>BDH|15386749690992581345</stp>
        <tr r="P119" s="18"/>
      </tp>
      <tp t="e">
        <v>#N/A</v>
        <stp/>
        <stp>BDH|10888579708166240930</stp>
        <tr r="T72" s="18"/>
      </tp>
      <tp t="e">
        <v>#N/A</v>
        <stp/>
        <stp>BDH|12434110104661578826</stp>
        <tr r="L70" s="10"/>
        <tr r="L68" s="11"/>
      </tp>
      <tp t="e">
        <v>#N/A</v>
        <stp/>
        <stp>BDH|15837595508248786276</stp>
        <tr r="T23" s="21"/>
      </tp>
      <tp t="e">
        <v>#N/A</v>
        <stp/>
        <stp>BDH|12801299939971700869</stp>
        <tr r="K12" s="17"/>
      </tp>
      <tp t="e">
        <v>#N/A</v>
        <stp/>
        <stp>BDH|12912428386540474402</stp>
        <tr r="R67" s="18"/>
      </tp>
      <tp t="e">
        <v>#N/A</v>
        <stp/>
        <stp>BDH|17628829767404996739</stp>
        <tr r="E49" s="10"/>
        <tr r="E47" s="11"/>
        <tr r="E16" s="7"/>
      </tp>
      <tp t="e">
        <v>#N/A</v>
        <stp/>
        <stp>BDH|16981754476909528569</stp>
        <tr r="M69" s="18"/>
      </tp>
      <tp t="e">
        <v>#N/A</v>
        <stp/>
        <stp>BDH|18421584471180285061</stp>
        <tr r="I50" s="17"/>
        <tr r="I10" s="25"/>
      </tp>
      <tp t="e">
        <v>#N/A</v>
        <stp/>
        <stp>BDH|13894601417868191677</stp>
        <tr r="P41" s="17"/>
      </tp>
      <tp t="e">
        <v>#N/A</v>
        <stp/>
        <stp>BDH|17836688108409757264</stp>
        <tr r="X51" s="17"/>
      </tp>
      <tp t="e">
        <v>#N/A</v>
        <stp/>
        <stp>BDH|13111662210026795896</stp>
        <tr r="F22" s="21"/>
      </tp>
      <tp t="e">
        <v>#N/A</v>
        <stp/>
        <stp>BDH|11488732936447157897</stp>
        <tr r="U53" s="18"/>
      </tp>
      <tp t="e">
        <v>#N/A</v>
        <stp/>
        <stp>BDH|10429687005638066406</stp>
        <tr r="Q19" s="24"/>
      </tp>
      <tp t="e">
        <v>#N/A</v>
        <stp/>
        <stp>BDH|12372827098668072103</stp>
        <tr r="Y26" s="29"/>
      </tp>
      <tp t="e">
        <v>#N/A</v>
        <stp/>
        <stp>BDH|18282698204970513439</stp>
        <tr r="R8" s="27"/>
      </tp>
      <tp t="e">
        <v>#N/A</v>
        <stp/>
        <stp>BDH|10390819039676531774</stp>
        <tr r="I47" s="21"/>
      </tp>
      <tp t="e">
        <v>#N/A</v>
        <stp/>
        <stp>BDH|10260925507286775596</stp>
        <tr r="T34" s="18"/>
      </tp>
      <tp t="e">
        <v>#N/A</v>
        <stp/>
        <stp>BDH|18402507037135922134</stp>
        <tr r="I77" s="18"/>
      </tp>
      <tp t="e">
        <v>#N/A</v>
        <stp/>
        <stp>BDH|13114909311509082890</stp>
        <tr r="D24" s="25"/>
        <tr r="D17" s="27"/>
      </tp>
      <tp t="e">
        <v>#N/A</v>
        <stp/>
        <stp>BDH|12642075488089769972</stp>
        <tr r="N32" s="18"/>
      </tp>
      <tp t="e">
        <v>#N/A</v>
        <stp/>
        <stp>BDH|11061855300772564197</stp>
        <tr r="Q34" s="18"/>
      </tp>
      <tp t="e">
        <v>#N/A</v>
        <stp/>
        <stp>BDH|18080699110586524352</stp>
        <tr r="O23" s="21"/>
      </tp>
      <tp t="e">
        <v>#N/A</v>
        <stp/>
        <stp>BDH|14842203747331009960</stp>
        <tr r="X39" s="17"/>
      </tp>
      <tp t="e">
        <v>#N/A</v>
        <stp/>
        <stp>BDH|18155871809478222246</stp>
        <tr r="Z84" s="18"/>
      </tp>
      <tp t="e">
        <v>#N/A</v>
        <stp/>
        <stp>BDH|13919511891546667378</stp>
        <tr r="W40" s="18"/>
      </tp>
      <tp t="e">
        <v>#N/A</v>
        <stp/>
        <stp>BDH|16508693617812493978</stp>
        <tr r="O16" s="10"/>
      </tp>
      <tp t="e">
        <v>#N/A</v>
        <stp/>
        <stp>BDH|14021086742628306218</stp>
        <tr r="U30" s="12"/>
      </tp>
      <tp t="e">
        <v>#N/A</v>
        <stp/>
        <stp>BDH|18313890949856850833</stp>
        <tr r="O68" s="18"/>
      </tp>
      <tp t="e">
        <v>#N/A</v>
        <stp/>
        <stp>BDH|13404938077387849000</stp>
        <tr r="G13" s="8"/>
      </tp>
      <tp t="e">
        <v>#N/A</v>
        <stp/>
        <stp>BDH|13492441881544968105</stp>
        <tr r="R48" s="10"/>
        <tr r="R46" s="11"/>
        <tr r="R15" s="7"/>
      </tp>
      <tp t="e">
        <v>#N/A</v>
        <stp/>
        <stp>BDH|13169704429425950990</stp>
        <tr r="F104" s="18"/>
      </tp>
      <tp t="e">
        <v>#N/A</v>
        <stp/>
        <stp>BDH|13744869368100289737</stp>
        <tr r="R17" s="9"/>
      </tp>
      <tp t="e">
        <v>#N/A</v>
        <stp/>
        <stp>BDH|15978086049383478847</stp>
        <tr r="D24" s="10"/>
      </tp>
      <tp t="e">
        <v>#N/A</v>
        <stp/>
        <stp>BDH|12614389200208714319</stp>
        <tr r="H12" s="30"/>
      </tp>
      <tp t="e">
        <v>#N/A</v>
        <stp/>
        <stp>BDH|16028946416573972737</stp>
        <tr r="Q34" s="6"/>
        <tr r="S9" s="8"/>
      </tp>
      <tp t="e">
        <v>#N/A</v>
        <stp/>
        <stp>BDH|15225996662426729663</stp>
        <tr r="J41" s="24"/>
      </tp>
      <tp t="e">
        <v>#N/A</v>
        <stp/>
        <stp>BDH|10949616982484648043</stp>
        <tr r="P38" s="34"/>
      </tp>
      <tp t="e">
        <v>#N/A</v>
        <stp/>
        <stp>BDH|14270430591436948517</stp>
        <tr r="P12" s="11"/>
      </tp>
      <tp t="e">
        <v>#N/A</v>
        <stp/>
        <stp>BDH|17414498375286196812</stp>
        <tr r="I8" s="28"/>
      </tp>
      <tp t="e">
        <v>#N/A</v>
        <stp/>
        <stp>BDH|17161689579578086485</stp>
        <tr r="C120" s="18"/>
      </tp>
      <tp t="e">
        <v>#N/A</v>
        <stp/>
        <stp>BDH|18211115517745538796</stp>
        <tr r="M22" s="17"/>
      </tp>
      <tp t="e">
        <v>#N/A</v>
        <stp/>
        <stp>BDH|17984772530869407024</stp>
        <tr r="D84" s="18"/>
      </tp>
      <tp t="e">
        <v>#N/A</v>
        <stp/>
        <stp>BDH|16152161845050910930</stp>
        <tr r="J13" s="2"/>
      </tp>
      <tp t="e">
        <v>#N/A</v>
        <stp/>
        <stp>BDH|12306271228809255169</stp>
        <tr r="I16" s="29"/>
        <tr r="I36" s="29"/>
      </tp>
      <tp t="e">
        <v>#N/A</v>
        <stp/>
        <stp>BDH|16863639227929521111</stp>
        <tr r="F33" s="6"/>
        <tr r="H6" s="8"/>
      </tp>
      <tp t="e">
        <v>#N/A</v>
        <stp/>
        <stp>BDH|11009237843379835403</stp>
        <tr r="R18" s="26"/>
      </tp>
      <tp t="e">
        <v>#N/A</v>
        <stp/>
        <stp>BDH|18086901798745570762</stp>
        <tr r="S27" s="24"/>
      </tp>
      <tp t="e">
        <v>#N/A</v>
        <stp/>
        <stp>BDH|15687191500548526615</stp>
        <tr r="L99" s="18"/>
      </tp>
      <tp t="e">
        <v>#N/A</v>
        <stp/>
        <stp>BDH|12879945136164310628</stp>
        <tr r="F43" s="21"/>
      </tp>
      <tp t="e">
        <v>#N/A</v>
        <stp/>
        <stp>BDH|12073819028340131234</stp>
        <tr r="S27" s="5"/>
        <tr r="S28" s="9"/>
      </tp>
      <tp t="e">
        <v>#N/A</v>
        <stp/>
        <stp>BDH|14868021514179169648</stp>
        <tr r="Y12" s="7"/>
      </tp>
      <tp t="e">
        <v>#N/A</v>
        <stp/>
        <stp>BDH|16648875114777602288</stp>
        <tr r="Q14" s="4"/>
      </tp>
      <tp t="e">
        <v>#N/A</v>
        <stp/>
        <stp>BDH|14601991274928849882</stp>
        <tr r="K74" s="17"/>
        <tr r="K19" s="3"/>
      </tp>
      <tp t="e">
        <v>#N/A</v>
        <stp/>
        <stp>BDH|12178436448869958182</stp>
        <tr r="O130" s="18"/>
      </tp>
      <tp t="e">
        <v>#N/A</v>
        <stp/>
        <stp>BDH|10279015698484782773</stp>
        <tr r="U67" s="10"/>
        <tr r="U65" s="11"/>
      </tp>
      <tp t="e">
        <v>#N/A</v>
        <stp/>
        <stp>BDH|11900049185456439572</stp>
        <tr r="K29" s="4"/>
      </tp>
      <tp t="e">
        <v>#N/A</v>
        <stp/>
        <stp>BDH|14912929902844382314</stp>
        <tr r="Y8" s="23"/>
      </tp>
      <tp t="e">
        <v>#N/A</v>
        <stp/>
        <stp>BDH|15446793987806903683</stp>
        <tr r="D50" s="17"/>
        <tr r="D10" s="25"/>
      </tp>
      <tp t="e">
        <v>#N/A</v>
        <stp/>
        <stp>BDH|12772290503842340857</stp>
        <tr r="G10" s="6"/>
      </tp>
      <tp t="e">
        <v>#N/A</v>
        <stp/>
        <stp>BDH|18322307927012951163</stp>
        <tr r="H34" s="12"/>
      </tp>
      <tp t="e">
        <v>#N/A</v>
        <stp/>
        <stp>BDH|17479384295270152736</stp>
        <tr r="W99" s="18"/>
      </tp>
      <tp t="e">
        <v>#N/A</v>
        <stp/>
        <stp>BDH|14460496710603508831</stp>
        <tr r="Q97" s="18"/>
      </tp>
      <tp t="e">
        <v>#N/A</v>
        <stp/>
        <stp>BDH|13857599991201885431</stp>
        <tr r="D24" s="11"/>
      </tp>
      <tp t="e">
        <v>#N/A</v>
        <stp/>
        <stp>BDH|16893540790434032465</stp>
        <tr r="U31" s="24"/>
      </tp>
      <tp t="e">
        <v>#N/A</v>
        <stp/>
        <stp>BDH|11525289695887099720</stp>
        <tr r="AA9" s="27"/>
      </tp>
      <tp t="e">
        <v>#N/A</v>
        <stp/>
        <stp>BDH|12108404288937245310</stp>
        <tr r="F9" s="28"/>
      </tp>
      <tp t="e">
        <v>#N/A</v>
        <stp/>
        <stp>BDH|15110983970724543568</stp>
        <tr r="H30" s="21"/>
      </tp>
      <tp t="e">
        <v>#N/A</v>
        <stp/>
        <stp>BDH|10943302456795399961</stp>
        <tr r="I125" s="18"/>
      </tp>
      <tp t="e">
        <v>#N/A</v>
        <stp/>
        <stp>BDH|16314268586343013592</stp>
        <tr r="Q18" s="26"/>
      </tp>
      <tp t="e">
        <v>#N/A</v>
        <stp/>
        <stp>BDH|17861002928018240788</stp>
        <tr r="P16" s="17"/>
        <tr r="P19" s="28"/>
      </tp>
      <tp t="e">
        <v>#N/A</v>
        <stp/>
        <stp>BDH|10790993140810784732</stp>
        <tr r="J10" s="28"/>
      </tp>
      <tp t="e">
        <v>#N/A</v>
        <stp/>
        <stp>BDH|11455833064686180387</stp>
        <tr r="D7" s="11"/>
      </tp>
      <tp t="e">
        <v>#N/A</v>
        <stp/>
        <stp>BDH|15527723826913236997</stp>
        <tr r="P121" s="18"/>
      </tp>
      <tp t="e">
        <v>#N/A</v>
        <stp/>
        <stp>BDH|10630204579996309962</stp>
        <tr r="S100" s="18"/>
      </tp>
      <tp t="e">
        <v>#N/A</v>
        <stp/>
        <stp>BDH|11641602186977235280</stp>
        <tr r="Q13" s="14"/>
      </tp>
      <tp t="e">
        <v>#N/A</v>
        <stp/>
        <stp>BDH|12361399304933317874</stp>
        <tr r="K65" s="12"/>
      </tp>
      <tp t="e">
        <v>#N/A</v>
        <stp/>
        <stp>BDH|11806332666089628712</stp>
        <tr r="W23" s="17"/>
      </tp>
      <tp t="e">
        <v>#N/A</v>
        <stp/>
        <stp>BDH|17107860489019681429</stp>
        <tr r="D63" s="17"/>
      </tp>
      <tp t="e">
        <v>#N/A</v>
        <stp/>
        <stp>BDH|11462875811461195399</stp>
        <tr r="Y21" s="17"/>
        <tr r="Y15" s="3"/>
      </tp>
      <tp t="e">
        <v>#N/A</v>
        <stp/>
        <stp>BDH|11968400728569331487</stp>
        <tr r="H109" s="18"/>
      </tp>
      <tp t="e">
        <v>#N/A</v>
        <stp/>
        <stp>BDH|17204896762257576465</stp>
        <tr r="Q21" s="4"/>
      </tp>
      <tp t="e">
        <v>#N/A</v>
        <stp/>
        <stp>BDH|17793701794206954509</stp>
        <tr r="N15" s="20"/>
      </tp>
      <tp t="e">
        <v>#N/A</v>
        <stp/>
        <stp>BDH|12301725427198522593</stp>
        <tr r="S21" s="3"/>
      </tp>
      <tp t="e">
        <v>#N/A</v>
        <stp/>
        <stp>BDH|16371829679413063057</stp>
        <tr r="Q63" s="18"/>
      </tp>
      <tp t="e">
        <v>#N/A</v>
        <stp/>
        <stp>BDH|17304262532319282582</stp>
        <tr r="M27" s="5"/>
        <tr r="M28" s="9"/>
      </tp>
      <tp t="e">
        <v>#N/A</v>
        <stp/>
        <stp>BDH|10882057899941064299</stp>
        <tr r="X16" s="6"/>
      </tp>
      <tp t="e">
        <v>#N/A</v>
        <stp/>
        <stp>BDH|10073870837071963049</stp>
        <tr r="Y13" s="22"/>
      </tp>
      <tp t="e">
        <v>#N/A</v>
        <stp/>
        <stp>BDH|11671028297443949177</stp>
        <tr r="E39" s="12"/>
      </tp>
      <tp t="e">
        <v>#N/A</v>
        <stp/>
        <stp>BDH|15626427913268982233</stp>
        <tr r="W36" s="12"/>
      </tp>
      <tp t="e">
        <v>#N/A</v>
        <stp/>
        <stp>BDH|13819909077102427568</stp>
        <tr r="V48" s="21"/>
      </tp>
      <tp t="e">
        <v>#N/A</v>
        <stp/>
        <stp>BDH|11289445686895853253</stp>
        <tr r="X25" s="4"/>
        <tr r="X61" s="10"/>
      </tp>
      <tp t="e">
        <v>#N/A</v>
        <stp/>
        <stp>BDH|17937542156154059967</stp>
        <tr r="Q86" s="18"/>
        <tr r="Q6" s="20"/>
      </tp>
      <tp t="e">
        <v>#N/A</v>
        <stp/>
        <stp>BDH|11209888256886714060</stp>
        <tr r="U49" s="21"/>
      </tp>
      <tp t="e">
        <v>#N/A</v>
        <stp/>
        <stp>BDH|17534824469373215014</stp>
        <tr r="N77" s="18"/>
      </tp>
      <tp t="e">
        <v>#N/A</v>
        <stp/>
        <stp>BDH|12924045181437144707</stp>
        <tr r="H23" s="21"/>
      </tp>
      <tp t="e">
        <v>#N/A</v>
        <stp/>
        <stp>BDH|10544831008486625455</stp>
        <tr r="J65" s="12"/>
      </tp>
      <tp t="e">
        <v>#N/A</v>
        <stp/>
        <stp>BDH|14174595271834691825</stp>
        <tr r="U26" s="17"/>
      </tp>
      <tp t="e">
        <v>#N/A</v>
        <stp/>
        <stp>BDH|14779786186167459600</stp>
        <tr r="Q60" s="12"/>
      </tp>
      <tp t="e">
        <v>#N/A</v>
        <stp/>
        <stp>BDH|15220036339045681939</stp>
        <tr r="G18" s="30"/>
      </tp>
      <tp t="e">
        <v>#N/A</v>
        <stp/>
        <stp>BDH|18185436079729694804</stp>
        <tr r="J14" s="20"/>
      </tp>
      <tp t="e">
        <v>#N/A</v>
        <stp/>
        <stp>BDH|11187325699082527334</stp>
        <tr r="J64" s="10"/>
      </tp>
      <tp t="e">
        <v>#N/A</v>
        <stp/>
        <stp>BDH|13399155367377558981</stp>
        <tr r="D71" s="18"/>
      </tp>
      <tp t="e">
        <v>#N/A</v>
        <stp/>
        <stp>BDH|13969523984047692357</stp>
        <tr r="Q14" s="23"/>
      </tp>
      <tp t="e">
        <v>#N/A</v>
        <stp/>
        <stp>BDH|12823865097850325967</stp>
        <tr r="W8" s="12"/>
      </tp>
      <tp t="e">
        <v>#N/A</v>
        <stp/>
        <stp>BDH|14395493982045346776</stp>
        <tr r="Q17" s="9"/>
      </tp>
      <tp t="e">
        <v>#N/A</v>
        <stp/>
        <stp>BDH|10929038567428619477</stp>
        <tr r="W87" s="17"/>
        <tr r="W27" s="25"/>
      </tp>
      <tp t="e">
        <v>#N/A</v>
        <stp/>
        <stp>BDH|10777909711894988636</stp>
        <tr r="AA84" s="18"/>
      </tp>
      <tp t="e">
        <v>#N/A</v>
        <stp/>
        <stp>BDH|12830956451512970698</stp>
        <tr r="D8" s="25"/>
      </tp>
      <tp t="e">
        <v>#N/A</v>
        <stp/>
        <stp>BDH|13054730782082883453</stp>
        <tr r="K52" s="21"/>
      </tp>
      <tp t="e">
        <v>#N/A</v>
        <stp/>
        <stp>BDH|17344558796575417485</stp>
        <tr r="J66" s="17"/>
      </tp>
      <tp t="e">
        <v>#N/A</v>
        <stp/>
        <stp>BDH|16579134388723430664</stp>
        <tr r="S21" s="5"/>
      </tp>
      <tp t="e">
        <v>#N/A</v>
        <stp/>
        <stp>BDH|16884960892958658467</stp>
        <tr r="Y8" s="2"/>
      </tp>
      <tp t="e">
        <v>#N/A</v>
        <stp/>
        <stp>BDH|13635656569000376950</stp>
        <tr r="K14" s="22"/>
      </tp>
      <tp t="e">
        <v>#N/A</v>
        <stp/>
        <stp>BDH|16669895863442243021</stp>
        <tr r="U29" s="9"/>
      </tp>
      <tp t="e">
        <v>#N/A</v>
        <stp/>
        <stp>BDH|11740417685112886578</stp>
        <tr r="S50" s="17"/>
        <tr r="S10" s="25"/>
      </tp>
      <tp t="e">
        <v>#N/A</v>
        <stp/>
        <stp>BDH|14010482085583239137</stp>
        <tr r="Z14" s="14"/>
      </tp>
      <tp t="e">
        <v>#N/A</v>
        <stp/>
        <stp>BDH|17035093226206536963</stp>
        <tr r="O7" s="11"/>
      </tp>
      <tp t="e">
        <v>#N/A</v>
        <stp/>
        <stp>BDH|10102457349782337822</stp>
        <tr r="G30" s="10"/>
        <tr r="G28" s="11"/>
      </tp>
      <tp t="e">
        <v>#N/A</v>
        <stp/>
        <stp>BDH|14269100278760535833</stp>
        <tr r="O21" s="2"/>
      </tp>
      <tp t="e">
        <v>#N/A</v>
        <stp/>
        <stp>BDH|17681567999103693236</stp>
        <tr r="AA28" s="18"/>
      </tp>
      <tp t="e">
        <v>#N/A</v>
        <stp/>
        <stp>BDH|10280270888817299738</stp>
        <tr r="R36" s="18"/>
      </tp>
      <tp t="e">
        <v>#N/A</v>
        <stp/>
        <stp>BDH|13842055436079584329</stp>
        <tr r="E70" s="24"/>
      </tp>
      <tp t="e">
        <v>#N/A</v>
        <stp/>
        <stp>BDH|10620015455386931970</stp>
        <tr r="J42" s="12"/>
      </tp>
      <tp t="e">
        <v>#N/A</v>
        <stp/>
        <stp>BDH|11340317129153359940</stp>
        <tr r="K14" s="29"/>
        <tr r="K23" s="29"/>
        <tr r="K34" s="29"/>
      </tp>
      <tp t="e">
        <v>#N/A</v>
        <stp/>
        <stp>BDH|16982358226649320452</stp>
        <tr r="H13" s="29"/>
        <tr r="H22" s="29"/>
        <tr r="H33" s="29"/>
      </tp>
      <tp t="e">
        <v>#N/A</v>
        <stp/>
        <stp>BDH|15535596716532760910</stp>
        <tr r="Y11" s="12"/>
      </tp>
      <tp t="e">
        <v>#N/A</v>
        <stp/>
        <stp>BDH|14276797200709218052</stp>
        <tr r="V10" s="17"/>
      </tp>
      <tp t="e">
        <v>#N/A</v>
        <stp/>
        <stp>BDH|17931636770959681500</stp>
        <tr r="E27" s="7"/>
      </tp>
      <tp t="e">
        <v>#N/A</v>
        <stp/>
        <stp>BDH|10169587256173791972</stp>
        <tr r="Q37" s="21"/>
        <tr r="Q24" s="3"/>
      </tp>
      <tp t="e">
        <v>#N/A</v>
        <stp/>
        <stp>BDH|10246104493983677185</stp>
        <tr r="T47" s="21"/>
      </tp>
      <tp t="e">
        <v>#N/A</v>
        <stp/>
        <stp>BDH|16958658962525134900</stp>
        <tr r="V35" s="10"/>
        <tr r="V33" s="11"/>
      </tp>
      <tp t="e">
        <v>#N/A</v>
        <stp/>
        <stp>BDH|14213420391167894463</stp>
        <tr r="U83" s="17"/>
      </tp>
      <tp t="e">
        <v>#N/A</v>
        <stp/>
        <stp>BDH|16989447385636164666</stp>
        <tr r="G20" s="27"/>
      </tp>
      <tp t="e">
        <v>#N/A</v>
        <stp/>
        <stp>BDH|16235114180744895140</stp>
        <tr r="Z18" s="14"/>
      </tp>
      <tp t="e">
        <v>#N/A</v>
        <stp/>
        <stp>BDH|17252237617916907803</stp>
        <tr r="Q8" s="23"/>
      </tp>
      <tp t="e">
        <v>#N/A</v>
        <stp/>
        <stp>BDH|14735908718883597555</stp>
        <tr r="N18" s="17"/>
      </tp>
      <tp t="e">
        <v>#N/A</v>
        <stp/>
        <stp>BDH|11088090042736217960</stp>
        <tr r="P16" s="12"/>
      </tp>
      <tp t="e">
        <v>#N/A</v>
        <stp/>
        <stp>BDH|11045982322169410918</stp>
        <tr r="C8" s="12"/>
      </tp>
      <tp t="e">
        <v>#N/A</v>
        <stp/>
        <stp>BDH|16757699494353133041</stp>
        <tr r="R55" s="24"/>
      </tp>
      <tp t="e">
        <v>#N/A</v>
        <stp/>
        <stp>BDH|16960934145448091902</stp>
        <tr r="V106" s="18"/>
      </tp>
      <tp t="e">
        <v>#N/A</v>
        <stp/>
        <stp>BDH|11817764312264733949</stp>
        <tr r="M39" s="34"/>
      </tp>
      <tp t="e">
        <v>#N/A</v>
        <stp/>
        <stp>BDH|13747040659955007950</stp>
        <tr r="M43" s="34"/>
      </tp>
      <tp t="e">
        <v>#N/A</v>
        <stp/>
        <stp>BDH|10941808957224646376</stp>
        <tr r="W11" s="9"/>
      </tp>
      <tp t="e">
        <v>#N/A</v>
        <stp/>
        <stp>BDH|14648332253931050999</stp>
        <tr r="O33" s="18"/>
      </tp>
      <tp t="e">
        <v>#N/A</v>
        <stp/>
        <stp>BDH|13945616387065703270</stp>
        <tr r="F19" s="17"/>
      </tp>
      <tp t="e">
        <v>#N/A</v>
        <stp/>
        <stp>BDH|14302535181887695485</stp>
        <tr r="U23" s="29"/>
        <tr r="U34" s="29"/>
        <tr r="U14" s="29"/>
      </tp>
      <tp t="e">
        <v>#N/A</v>
        <stp/>
        <stp>BDH|12836392391111874377</stp>
        <tr r="F8" s="8"/>
      </tp>
      <tp t="e">
        <v>#N/A</v>
        <stp/>
        <stp>BDH|16593719449567118833</stp>
        <tr r="P14" s="2"/>
        <tr r="P11" s="10"/>
      </tp>
      <tp t="e">
        <v>#N/A</v>
        <stp/>
        <stp>BDH|14734462588502574034</stp>
        <tr r="Z29" s="12"/>
      </tp>
      <tp t="e">
        <v>#N/A</v>
        <stp/>
        <stp>BDH|13406187574327510822</stp>
        <tr r="O37" s="10"/>
        <tr r="O35" s="11"/>
      </tp>
      <tp t="e">
        <v>#N/A</v>
        <stp/>
        <stp>BDH|12646490367573200956</stp>
        <tr r="T23" s="9"/>
      </tp>
      <tp t="e">
        <v>#N/A</v>
        <stp/>
        <stp>BDH|10360542137549772580</stp>
        <tr r="J20" s="27"/>
      </tp>
      <tp t="e">
        <v>#N/A</v>
        <stp/>
        <stp>BDH|11489693376708412208</stp>
        <tr r="E62" s="18"/>
      </tp>
      <tp t="e">
        <v>#N/A</v>
        <stp/>
        <stp>BDH|17299730889851031377</stp>
        <tr r="Y11" s="29"/>
      </tp>
      <tp t="e">
        <v>#N/A</v>
        <stp/>
        <stp>BDH|14317493572275312845</stp>
        <tr r="I34" s="10"/>
        <tr r="I32" s="11"/>
        <tr r="K32" s="13"/>
      </tp>
      <tp t="e">
        <v>#N/A</v>
        <stp/>
        <stp>BDH|11606802481433040898</stp>
        <tr r="T38" s="17"/>
      </tp>
      <tp t="e">
        <v>#N/A</v>
        <stp/>
        <stp>BDH|12059027885443886314</stp>
        <tr r="Z32" s="25"/>
        <tr r="Z7" s="3"/>
        <tr r="X19" s="11"/>
        <tr r="Z22" s="13"/>
        <tr r="Z7" s="13"/>
      </tp>
      <tp t="e">
        <v>#N/A</v>
        <stp/>
        <stp>BDH|17683004717964748888</stp>
        <tr r="P123" s="18"/>
      </tp>
      <tp t="e">
        <v>#N/A</v>
        <stp/>
        <stp>BDH|11483887105622526122</stp>
        <tr r="P12" s="3"/>
        <tr r="N51" s="10"/>
        <tr r="N49" s="11"/>
        <tr r="N7" s="7"/>
      </tp>
      <tp t="e">
        <v>#N/A</v>
        <stp/>
        <stp>BDH|18403361461873910441</stp>
        <tr r="P36" s="21"/>
      </tp>
      <tp t="e">
        <v>#N/A</v>
        <stp/>
        <stp>BDH|12696462164549208386</stp>
        <tr r="J17" s="5"/>
        <tr r="I25" s="6"/>
      </tp>
      <tp t="e">
        <v>#N/A</v>
        <stp/>
        <stp>BDH|10874819406425216733</stp>
        <tr r="W104" s="18"/>
      </tp>
      <tp t="e">
        <v>#N/A</v>
        <stp/>
        <stp>BDH|13993630393847789106</stp>
        <tr r="W108" s="18"/>
      </tp>
      <tp t="e">
        <v>#N/A</v>
        <stp/>
        <stp>BDH|16766919932424950231</stp>
        <tr r="C31" s="24"/>
      </tp>
      <tp t="e">
        <v>#N/A</v>
        <stp/>
        <stp>BDH|15904870750892310036</stp>
        <tr r="P11" s="28"/>
      </tp>
      <tp t="e">
        <v>#N/A</v>
        <stp/>
        <stp>BDH|17075999087488239427</stp>
        <tr r="C19" s="29"/>
        <tr r="C25" s="29"/>
        <tr r="C10" s="29"/>
      </tp>
      <tp t="e">
        <v>#N/A</v>
        <stp/>
        <stp>BDH|17752340209966692828</stp>
        <tr r="N9" s="26"/>
      </tp>
      <tp t="e">
        <v>#N/A</v>
        <stp/>
        <stp>BDH|10103893857296183104</stp>
        <tr r="AA68" s="24"/>
      </tp>
      <tp t="e">
        <v>#N/A</v>
        <stp/>
        <stp>BDH|16439533985019495885</stp>
        <tr r="Q42" s="18"/>
      </tp>
      <tp t="e">
        <v>#N/A</v>
        <stp/>
        <stp>BDH|14937460902223424970</stp>
        <tr r="J13" s="5"/>
      </tp>
      <tp t="e">
        <v>#N/A</v>
        <stp/>
        <stp>BDH|16019268040678195294</stp>
        <tr r="M28" s="21"/>
      </tp>
      <tp t="e">
        <v>#N/A</v>
        <stp/>
        <stp>BDH|15774393087067606316</stp>
        <tr r="AA14" s="22"/>
      </tp>
      <tp t="e">
        <v>#N/A</v>
        <stp/>
        <stp>BDH|13893881518521792116</stp>
        <tr r="O10" s="12"/>
      </tp>
      <tp t="e">
        <v>#N/A</v>
        <stp/>
        <stp>BDH|10970483790013920467</stp>
        <tr r="J33" s="21"/>
      </tp>
      <tp t="e">
        <v>#N/A</v>
        <stp/>
        <stp>BDH|12388904468983256471</stp>
        <tr r="T19" s="9"/>
      </tp>
      <tp t="e">
        <v>#N/A</v>
        <stp/>
        <stp>BDH|15899302294363013629</stp>
        <tr r="U13" s="21"/>
      </tp>
      <tp t="e">
        <v>#N/A</v>
        <stp/>
        <stp>BDH|11557688085893704615</stp>
        <tr r="Z20" s="20"/>
      </tp>
      <tp t="e">
        <v>#N/A</v>
        <stp/>
        <stp>BDH|16423914775606776497</stp>
        <tr r="U70" s="17"/>
      </tp>
      <tp t="e">
        <v>#N/A</v>
        <stp/>
        <stp>BDH|13296535750950625990</stp>
        <tr r="Z28" s="26"/>
      </tp>
      <tp t="e">
        <v>#N/A</v>
        <stp/>
        <stp>BDH|13446206669175244810</stp>
        <tr r="T70" s="17"/>
      </tp>
      <tp t="e">
        <v>#N/A</v>
        <stp/>
        <stp>BDH|15089942522011191595</stp>
        <tr r="T24" s="17"/>
      </tp>
      <tp t="e">
        <v>#N/A</v>
        <stp/>
        <stp>BDH|10509047419079582239</stp>
        <tr r="V26" s="6"/>
      </tp>
      <tp t="e">
        <v>#N/A</v>
        <stp/>
        <stp>BDH|17969949261216292402</stp>
        <tr r="D51" s="12"/>
      </tp>
      <tp t="e">
        <v>#N/A</v>
        <stp/>
        <stp>BDH|10842860139593971200</stp>
        <tr r="W79" s="18"/>
      </tp>
      <tp t="e">
        <v>#N/A</v>
        <stp/>
        <stp>BDH|16175720274335056995</stp>
        <tr r="G36" s="12"/>
      </tp>
      <tp t="e">
        <v>#N/A</v>
        <stp/>
        <stp>BDH|17153084991210917509</stp>
        <tr r="M20" s="6"/>
      </tp>
      <tp t="e">
        <v>#N/A</v>
        <stp/>
        <stp>BDH|16680042874362016873</stp>
        <tr r="Y39" s="10"/>
        <tr r="Y37" s="11"/>
      </tp>
      <tp t="e">
        <v>#N/A</v>
        <stp/>
        <stp>BDH|11263159886317229425</stp>
        <tr r="G14" s="2"/>
        <tr r="G11" s="10"/>
      </tp>
      <tp t="e">
        <v>#N/A</v>
        <stp/>
        <stp>BDH|14629604684072546368</stp>
        <tr r="D87" s="17"/>
        <tr r="D27" s="25"/>
      </tp>
      <tp t="e">
        <v>#N/A</v>
        <stp/>
        <stp>BDH|15480217607379708546</stp>
        <tr r="C62" s="18"/>
      </tp>
      <tp t="e">
        <v>#N/A</v>
        <stp/>
        <stp>BDH|13824810759257516248</stp>
        <tr r="AA37" s="21"/>
        <tr r="AA24" s="3"/>
      </tp>
      <tp t="e">
        <v>#N/A</v>
        <stp/>
        <stp>BDH|18406523002822549407</stp>
        <tr r="K8" s="28"/>
      </tp>
      <tp t="e">
        <v>#N/A</v>
        <stp/>
        <stp>BDH|14012899881039020692</stp>
        <tr r="M17" s="29"/>
        <tr r="M37" s="29"/>
      </tp>
      <tp t="e">
        <v>#N/A</v>
        <stp/>
        <stp>BDH|11654195378099294541</stp>
        <tr r="G100" s="18"/>
      </tp>
      <tp t="e">
        <v>#N/A</v>
        <stp/>
        <stp>BDH|17481855640602534257</stp>
        <tr r="M61" s="11"/>
        <tr r="O15" s="23"/>
      </tp>
      <tp t="e">
        <v>#N/A</v>
        <stp/>
        <stp>BDH|11297590138019079523</stp>
        <tr r="N12" s="11"/>
      </tp>
      <tp t="e">
        <v>#N/A</v>
        <stp/>
        <stp>BDH|12802408370358832215</stp>
        <tr r="M31" s="22"/>
      </tp>
      <tp t="e">
        <v>#N/A</v>
        <stp/>
        <stp>BDH|13494531197957614373</stp>
        <tr r="P34" s="10"/>
        <tr r="P32" s="11"/>
        <tr r="R32" s="13"/>
      </tp>
      <tp t="e">
        <v>#N/A</v>
        <stp/>
        <stp>BDH|17925446280644475486</stp>
        <tr r="U20" s="6"/>
      </tp>
      <tp t="e">
        <v>#N/A</v>
        <stp/>
        <stp>BDH|15375866255504964780</stp>
        <tr r="V27" s="26"/>
      </tp>
      <tp t="e">
        <v>#N/A</v>
        <stp/>
        <stp>BDH|11546886423018661896</stp>
        <tr r="M18" s="23"/>
      </tp>
      <tp t="e">
        <v>#N/A</v>
        <stp/>
        <stp>BDH|14987713882845852537</stp>
        <tr r="T12" s="24"/>
      </tp>
      <tp t="e">
        <v>#N/A</v>
        <stp/>
        <stp>BDH|14761926478144954555</stp>
        <tr r="X23" s="21"/>
      </tp>
      <tp t="e">
        <v>#N/A</v>
        <stp/>
        <stp>BDH|10602276281648964987</stp>
        <tr r="Y23" s="24"/>
      </tp>
      <tp t="e">
        <v>#N/A</v>
        <stp/>
        <stp>BDH|10321155028418912065</stp>
        <tr r="R34" s="6"/>
        <tr r="T9" s="8"/>
      </tp>
      <tp t="e">
        <v>#N/A</v>
        <stp/>
        <stp>BDH|14353625999656147684</stp>
        <tr r="G95" s="18"/>
      </tp>
      <tp t="e">
        <v>#N/A</v>
        <stp/>
        <stp>BDH|15218451180601248344</stp>
        <tr r="M7" s="34"/>
      </tp>
      <tp t="e">
        <v>#N/A</v>
        <stp/>
        <stp>BDH|16160031287234260165</stp>
        <tr r="E58" s="18"/>
      </tp>
      <tp t="e">
        <v>#N/A</v>
        <stp/>
        <stp>BDH|14474471595627648511</stp>
        <tr r="N26" s="6"/>
      </tp>
      <tp t="e">
        <v>#N/A</v>
        <stp/>
        <stp>BDH|16976887264065371672</stp>
        <tr r="T40" s="21"/>
      </tp>
      <tp t="e">
        <v>#N/A</v>
        <stp/>
        <stp>BDH|13557208280451450308</stp>
        <tr r="C130" s="18"/>
      </tp>
      <tp t="e">
        <v>#N/A</v>
        <stp/>
        <stp>BDH|11628610847279514145</stp>
        <tr r="U29" s="5"/>
      </tp>
      <tp t="e">
        <v>#N/A</v>
        <stp/>
        <stp>BDH|13396223732649461070</stp>
        <tr r="Z46" s="18"/>
      </tp>
      <tp t="e">
        <v>#N/A</v>
        <stp/>
        <stp>BDH|15844788114759197158</stp>
        <tr r="W32" s="21"/>
      </tp>
      <tp t="e">
        <v>#N/A</v>
        <stp/>
        <stp>BDH|15441272264059395345</stp>
        <tr r="M49" s="12"/>
      </tp>
      <tp t="e">
        <v>#N/A</v>
        <stp/>
        <stp>BDH|12664896646282035798</stp>
        <tr r="T31" s="25"/>
      </tp>
      <tp t="e">
        <v>#N/A</v>
        <stp/>
        <stp>BDH|10873330723902943813</stp>
        <tr r="M75" s="18"/>
      </tp>
      <tp t="e">
        <v>#N/A</v>
        <stp/>
        <stp>BDH|15267823786518091660</stp>
        <tr r="L49" s="21"/>
      </tp>
      <tp t="e">
        <v>#N/A</v>
        <stp/>
        <stp>BDH|14581874916754240267</stp>
        <tr r="O34" s="10"/>
        <tr r="O32" s="11"/>
        <tr r="Q32" s="13"/>
      </tp>
      <tp t="e">
        <v>#N/A</v>
        <stp/>
        <stp>BDH|16765593780500915079</stp>
        <tr r="T11" s="22"/>
      </tp>
      <tp t="e">
        <v>#N/A</v>
        <stp/>
        <stp>BDH|15002417957686676908</stp>
        <tr r="S53" s="12"/>
      </tp>
      <tp t="e">
        <v>#N/A</v>
        <stp/>
        <stp>BDH|12044843508974551596</stp>
        <tr r="J29" s="29"/>
        <tr r="J7" s="29"/>
      </tp>
      <tp t="e">
        <v>#N/A</v>
        <stp/>
        <stp>BDH|10585723260698558225</stp>
        <tr r="C20" s="29"/>
      </tp>
      <tp t="e">
        <v>#N/A</v>
        <stp/>
        <stp>BDH|17757227182946272051</stp>
        <tr r="I16" s="10"/>
      </tp>
      <tp t="e">
        <v>#N/A</v>
        <stp/>
        <stp>BDH|17834719527720992978</stp>
        <tr r="AA89" s="17"/>
        <tr r="AA7" s="27"/>
      </tp>
      <tp t="e">
        <v>#N/A</v>
        <stp/>
        <stp>BDH|11328118276964748834</stp>
        <tr r="K21" s="25"/>
        <tr r="K14" s="27"/>
      </tp>
      <tp t="e">
        <v>#N/A</v>
        <stp/>
        <stp>BDH|14509607524799453256</stp>
        <tr r="S7" s="11"/>
      </tp>
      <tp t="e">
        <v>#N/A</v>
        <stp/>
        <stp>BDH|16044719247458435629</stp>
        <tr r="U74" s="17"/>
        <tr r="U19" s="3"/>
      </tp>
      <tp t="e">
        <v>#N/A</v>
        <stp/>
        <stp>BDH|15205320194543211767</stp>
        <tr r="F47" s="24"/>
      </tp>
      <tp t="e">
        <v>#N/A</v>
        <stp/>
        <stp>BDH|17122869137455457249</stp>
        <tr r="K72" s="17"/>
      </tp>
      <tp t="e">
        <v>#N/A</v>
        <stp/>
        <stp>BDH|13036597698424901081</stp>
        <tr r="F33" s="13"/>
      </tp>
      <tp t="e">
        <v>#N/A</v>
        <stp/>
        <stp>BDH|14329785690270847131</stp>
        <tr r="Z59" s="21"/>
        <tr r="X57" s="11"/>
      </tp>
      <tp t="e">
        <v>#N/A</v>
        <stp/>
        <stp>BDH|14643620186475607447</stp>
        <tr r="W62" s="12"/>
      </tp>
      <tp t="e">
        <v>#N/A</v>
        <stp/>
        <stp>BDH|18310306476807393060</stp>
        <tr r="K61" s="12"/>
      </tp>
      <tp t="e">
        <v>#N/A</v>
        <stp/>
        <stp>BDH|11867402436994712998</stp>
        <tr r="I8" s="13"/>
      </tp>
      <tp t="e">
        <v>#N/A</v>
        <stp/>
        <stp>BDH|10993387430258397321</stp>
        <tr r="I45" s="12"/>
      </tp>
      <tp t="e">
        <v>#N/A</v>
        <stp/>
        <stp>BDH|13283138657545107971</stp>
        <tr r="Z20" s="26"/>
      </tp>
      <tp t="e">
        <v>#N/A</v>
        <stp/>
        <stp>BDH|12908502899077319208</stp>
        <tr r="U115" s="18"/>
      </tp>
      <tp t="e">
        <v>#N/A</v>
        <stp/>
        <stp>BDH|17778813610585326068</stp>
        <tr r="Q52" s="17"/>
      </tp>
      <tp t="e">
        <v>#N/A</v>
        <stp/>
        <stp>BDH|15560864841937278537</stp>
        <tr r="P18" s="12"/>
      </tp>
      <tp t="e">
        <v>#N/A</v>
        <stp/>
        <stp>BDH|10320175498080646399</stp>
        <tr r="S15" s="11"/>
      </tp>
      <tp t="e">
        <v>#N/A</v>
        <stp/>
        <stp>BDH|12407948617401741031</stp>
        <tr r="Z19" s="26"/>
      </tp>
      <tp t="e">
        <v>#N/A</v>
        <stp/>
        <stp>BDH|17809969838755134344</stp>
        <tr r="W10" s="6"/>
      </tp>
      <tp t="e">
        <v>#N/A</v>
        <stp/>
        <stp>BDH|16639017795811668572</stp>
        <tr r="W128" s="18"/>
      </tp>
      <tp t="e">
        <v>#N/A</v>
        <stp/>
        <stp>BDH|15658117954978547250</stp>
        <tr r="G63" s="24"/>
      </tp>
      <tp t="e">
        <v>#N/A</v>
        <stp/>
        <stp>BDH|13301312011773180913</stp>
        <tr r="I76" s="18"/>
      </tp>
      <tp t="e">
        <v>#N/A</v>
        <stp/>
        <stp>BDH|13877737879099686175</stp>
        <tr r="Y9" s="28"/>
      </tp>
      <tp t="e">
        <v>#N/A</v>
        <stp/>
        <stp>BDH|10272059795327792568</stp>
        <tr r="H18" s="18"/>
      </tp>
      <tp t="e">
        <v>#N/A</v>
        <stp/>
        <stp>BDH|17061212804556264844</stp>
        <tr r="O68" s="24"/>
      </tp>
      <tp t="e">
        <v>#N/A</v>
        <stp/>
        <stp>BDH|14695855326914750113</stp>
        <tr r="L20" s="28"/>
        <tr r="L17" s="17"/>
      </tp>
      <tp t="e">
        <v>#N/A</v>
        <stp/>
        <stp>BDH|15572955610150077637</stp>
        <tr r="U21" s="26"/>
      </tp>
      <tp t="e">
        <v>#N/A</v>
        <stp/>
        <stp>BDH|13135304077668770424</stp>
        <tr r="J7" s="23"/>
      </tp>
      <tp t="e">
        <v>#N/A</v>
        <stp/>
        <stp>BDH|12039059027569886296</stp>
        <tr r="P13" s="12"/>
      </tp>
      <tp t="e">
        <v>#N/A</v>
        <stp/>
        <stp>BDH|16740361691570411770</stp>
        <tr r="L10" s="26"/>
      </tp>
      <tp t="e">
        <v>#N/A</v>
        <stp/>
        <stp>BDH|13016952103283612230</stp>
        <tr r="C37" s="24"/>
      </tp>
      <tp t="e">
        <v>#N/A</v>
        <stp/>
        <stp>BDH|17077394688900428768</stp>
        <tr r="O49" s="4"/>
      </tp>
      <tp t="e">
        <v>#N/A</v>
        <stp/>
        <stp>BDH|15068567730520240875</stp>
        <tr r="C20" s="11"/>
      </tp>
      <tp t="e">
        <v>#N/A</v>
        <stp/>
        <stp>BDH|10974142308173299949</stp>
        <tr r="N20" s="22"/>
      </tp>
      <tp t="e">
        <v>#N/A</v>
        <stp/>
        <stp>BDH|10551298530923912961</stp>
        <tr r="N20" s="30"/>
      </tp>
      <tp t="e">
        <v>#N/A</v>
        <stp/>
        <stp>BDH|12547443442268863187</stp>
        <tr r="O62" s="21"/>
      </tp>
      <tp t="e">
        <v>#N/A</v>
        <stp/>
        <stp>BDH|13051945049661844466</stp>
        <tr r="L14" s="22"/>
      </tp>
      <tp t="e">
        <v>#N/A</v>
        <stp/>
        <stp>BDH|13710723669520855969</stp>
        <tr r="Z14" s="13"/>
      </tp>
      <tp t="e">
        <v>#N/A</v>
        <stp/>
        <stp>BDH|14864069579551244975</stp>
        <tr r="T61" s="11"/>
        <tr r="V15" s="23"/>
      </tp>
      <tp t="e">
        <v>#N/A</v>
        <stp/>
        <stp>BDH|13513840334111122269</stp>
        <tr r="AA58" s="12"/>
      </tp>
      <tp t="e">
        <v>#N/A</v>
        <stp/>
        <stp>BDH|16813304022008991417</stp>
        <tr r="E31" s="34"/>
      </tp>
      <tp t="e">
        <v>#N/A</v>
        <stp/>
        <stp>BDH|10120917679412826739</stp>
        <tr r="D17" s="18"/>
      </tp>
      <tp t="e">
        <v>#N/A</v>
        <stp/>
        <stp>BDH|17031871930490292775</stp>
        <tr r="L17" s="12"/>
      </tp>
      <tp t="e">
        <v>#N/A</v>
        <stp/>
        <stp>BDH|11097569906568194735</stp>
        <tr r="G39" s="17"/>
      </tp>
      <tp t="e">
        <v>#N/A</v>
        <stp/>
        <stp>BDH|15590543946967325869</stp>
        <tr r="I29" s="10"/>
        <tr r="I27" s="11"/>
      </tp>
      <tp t="e">
        <v>#N/A</v>
        <stp/>
        <stp>BDH|11007687247261480995</stp>
        <tr r="T35" s="21"/>
      </tp>
      <tp t="e">
        <v>#N/A</v>
        <stp/>
        <stp>BDH|16618987932245621289</stp>
        <tr r="G87" s="18"/>
        <tr r="G7" s="20"/>
      </tp>
      <tp t="e">
        <v>#N/A</v>
        <stp/>
        <stp>BDH|17321881531917834006</stp>
        <tr r="Z9" s="13"/>
      </tp>
      <tp t="e">
        <v>#N/A</v>
        <stp/>
        <stp>BDH|17049103632159491741</stp>
        <tr r="Y26" s="17"/>
      </tp>
      <tp t="e">
        <v>#N/A</v>
        <stp/>
        <stp>BDH|11500356724412686909</stp>
        <tr r="O17" s="13"/>
      </tp>
      <tp t="e">
        <v>#N/A</v>
        <stp/>
        <stp>BDH|17773102191547248366</stp>
        <tr r="R34" s="12"/>
      </tp>
      <tp t="e">
        <v>#N/A</v>
        <stp/>
        <stp>BDH|10970089133978836086</stp>
        <tr r="V9" s="22"/>
      </tp>
      <tp t="e">
        <v>#N/A</v>
        <stp/>
        <stp>BDH|12567524638057907840</stp>
        <tr r="T65" s="18"/>
      </tp>
      <tp t="e">
        <v>#N/A</v>
        <stp/>
        <stp>BDH|13913861258164375164</stp>
        <tr r="V18" s="17"/>
      </tp>
      <tp t="e">
        <v>#N/A</v>
        <stp/>
        <stp>BDH|16259816754303487318</stp>
        <tr r="G70" s="24"/>
      </tp>
      <tp t="e">
        <v>#N/A</v>
        <stp/>
        <stp>BDH|15610575542878547748</stp>
        <tr r="P46" s="21"/>
      </tp>
      <tp t="e">
        <v>#N/A</v>
        <stp/>
        <stp>BDH|14559883707136913111</stp>
        <tr r="K89" s="18"/>
        <tr r="K9" s="20"/>
      </tp>
      <tp t="e">
        <v>#N/A</v>
        <stp/>
        <stp>BDH|16370209080085183201</stp>
        <tr r="G14" s="13"/>
      </tp>
      <tp t="e">
        <v>#N/A</v>
        <stp/>
        <stp>BDH|10238378485125484565</stp>
        <tr r="Q104" s="18"/>
      </tp>
      <tp t="e">
        <v>#N/A</v>
        <stp/>
        <stp>BDH|17429475626732308847</stp>
        <tr r="F10" s="21"/>
      </tp>
      <tp t="e">
        <v>#N/A</v>
        <stp/>
        <stp>BDH|10100233573649249717</stp>
        <tr r="T21" s="18"/>
      </tp>
      <tp t="e">
        <v>#N/A</v>
        <stp/>
        <stp>BDH|16149103718509316485</stp>
        <tr r="J20" s="22"/>
      </tp>
      <tp t="e">
        <v>#N/A</v>
        <stp/>
        <stp>BDH|14054852854703379101</stp>
        <tr r="K10" s="29"/>
        <tr r="K19" s="29"/>
        <tr r="K25" s="29"/>
        <tr r="J12" s="8"/>
        <tr r="I6" s="2"/>
        <tr r="I6" s="9"/>
        <tr r="I6" s="5"/>
      </tp>
      <tp t="e">
        <v>#N/A</v>
        <stp/>
        <stp>BDH|12153930606654772412</stp>
        <tr r="F21" s="5"/>
      </tp>
      <tp t="e">
        <v>#N/A</v>
        <stp/>
        <stp>BDH|12561125143944497827</stp>
        <tr r="W20" s="22"/>
      </tp>
      <tp t="e">
        <v>#N/A</v>
        <stp/>
        <stp>BDH|10078099367108924526</stp>
        <tr r="Q67" s="17"/>
      </tp>
      <tp t="e">
        <v>#N/A</v>
        <stp/>
        <stp>BDH|18094052904933588011</stp>
        <tr r="I87" s="18"/>
        <tr r="I7" s="20"/>
      </tp>
      <tp t="e">
        <v>#N/A</v>
        <stp/>
        <stp>BDH|14744830965823640222</stp>
        <tr r="H66" s="12"/>
      </tp>
      <tp t="e">
        <v>#N/A</v>
        <stp/>
        <stp>BDH|12245401287446827389</stp>
        <tr r="D14" s="14"/>
      </tp>
      <tp t="e">
        <v>#N/A</v>
        <stp/>
        <stp>BDH|14875078524738655587</stp>
        <tr r="X13" s="10"/>
      </tp>
      <tp t="e">
        <v>#N/A</v>
        <stp/>
        <stp>BDH|13332416350991612815</stp>
        <tr r="G18" s="22"/>
      </tp>
      <tp t="e">
        <v>#N/A</v>
        <stp/>
        <stp>BDH|10923598703377543935</stp>
        <tr r="Z38" s="13"/>
      </tp>
      <tp t="e">
        <v>#N/A</v>
        <stp/>
        <stp>BDH|12656948341661540537</stp>
        <tr r="T21" s="2"/>
      </tp>
      <tp t="e">
        <v>#N/A</v>
        <stp/>
        <stp>BDH|18081628307966359332</stp>
        <tr r="U7" s="10"/>
      </tp>
      <tp t="e">
        <v>#N/A</v>
        <stp/>
        <stp>BDH|14172836202215387265</stp>
        <tr r="U44" s="12"/>
      </tp>
      <tp t="e">
        <v>#N/A</v>
        <stp/>
        <stp>BDH|13742850662317196142</stp>
        <tr r="Z62" s="21"/>
      </tp>
      <tp t="e">
        <v>#N/A</v>
        <stp/>
        <stp>BDH|17891062435246939978</stp>
        <tr r="F36" s="34"/>
      </tp>
      <tp t="e">
        <v>#N/A</v>
        <stp/>
        <stp>BDH|16477044655789532155</stp>
        <tr r="O46" s="12"/>
      </tp>
      <tp t="e">
        <v>#N/A</v>
        <stp/>
        <stp>BDH|12929714688042124445</stp>
        <tr r="Y25" s="25"/>
        <tr r="Y18" s="27"/>
      </tp>
      <tp t="e">
        <v>#N/A</v>
        <stp/>
        <stp>BDH|12532605290834197216</stp>
        <tr r="L37" s="34"/>
      </tp>
      <tp t="e">
        <v>#N/A</v>
        <stp/>
        <stp>BDH|14655779301039592104</stp>
        <tr r="J47" s="12"/>
      </tp>
      <tp t="e">
        <v>#N/A</v>
        <stp/>
        <stp>BDH|17688163212384280857</stp>
        <tr r="L45" s="34"/>
      </tp>
      <tp t="e">
        <v>#N/A</v>
        <stp/>
        <stp>BDH|12268664611447008900</stp>
        <tr r="M101" s="18"/>
      </tp>
      <tp t="e">
        <v>#N/A</v>
        <stp/>
        <stp>BDH|15709020739465841815</stp>
        <tr r="M25" s="2"/>
        <tr r="O61" s="21"/>
      </tp>
      <tp t="e">
        <v>#N/A</v>
        <stp/>
        <stp>BDH|17525349263278256159</stp>
        <tr r="M25" s="12"/>
      </tp>
      <tp t="e">
        <v>#N/A</v>
        <stp/>
        <stp>BDH|15742718933213427948</stp>
        <tr r="D25" s="26"/>
      </tp>
      <tp t="e">
        <v>#N/A</v>
        <stp/>
        <stp>BDH|17982295402938328642</stp>
        <tr r="U20" s="11"/>
      </tp>
      <tp t="e">
        <v>#N/A</v>
        <stp/>
        <stp>BDH|10584020553018349628</stp>
        <tr r="U15" s="18"/>
      </tp>
      <tp t="e">
        <v>#N/A</v>
        <stp/>
        <stp>BDH|16189305684627389137</stp>
        <tr r="X16" s="23"/>
      </tp>
      <tp t="e">
        <v>#N/A</v>
        <stp/>
        <stp>BDH|17894437780960612082</stp>
        <tr r="S10" s="22"/>
      </tp>
      <tp t="e">
        <v>#N/A</v>
        <stp/>
        <stp>BDH|11181923116476834488</stp>
        <tr r="C36" s="12"/>
      </tp>
      <tp t="e">
        <v>#N/A</v>
        <stp/>
        <stp>BDH|14526456235119088116</stp>
        <tr r="M32" s="10"/>
        <tr r="M44" s="10"/>
        <tr r="M30" s="11"/>
        <tr r="M42" s="11"/>
      </tp>
      <tp t="e">
        <v>#N/A</v>
        <stp/>
        <stp>BDH|10597009980490862399</stp>
        <tr r="K9" s="13"/>
      </tp>
      <tp t="e">
        <v>#N/A</v>
        <stp/>
        <stp>BDH|11686519681874074325</stp>
        <tr r="H31" s="18"/>
      </tp>
      <tp t="e">
        <v>#N/A</v>
        <stp/>
        <stp>BDH|15762439961418392428</stp>
        <tr r="F14" s="8"/>
      </tp>
      <tp t="e">
        <v>#N/A</v>
        <stp/>
        <stp>BDH|16996584982773752306</stp>
        <tr r="P38" s="10"/>
        <tr r="P36" s="11"/>
      </tp>
      <tp t="e">
        <v>#N/A</v>
        <stp/>
        <stp>BDH|17015250592941121622</stp>
        <tr r="F17" s="23"/>
      </tp>
      <tp t="e">
        <v>#N/A</v>
        <stp/>
        <stp>BDH|11308709097660534453</stp>
        <tr r="V52" s="4"/>
        <tr r="X8" s="3"/>
        <tr r="V40" s="10"/>
        <tr r="V38" s="11"/>
        <tr r="X30" s="13"/>
      </tp>
      <tp t="e">
        <v>#N/A</v>
        <stp/>
        <stp>BDH|12872338578458268552</stp>
        <tr r="I31" s="34"/>
      </tp>
      <tp t="e">
        <v>#N/A</v>
        <stp/>
        <stp>BDH|10771800734925203553</stp>
        <tr r="P38" s="22"/>
      </tp>
      <tp t="e">
        <v>#N/A</v>
        <stp/>
        <stp>BDH|13368875180841634964</stp>
        <tr r="H131" s="18"/>
      </tp>
      <tp t="e">
        <v>#N/A</v>
        <stp/>
        <stp>BDH|14982957247884776681</stp>
        <tr r="H29" s="4"/>
      </tp>
      <tp t="e">
        <v>#N/A</v>
        <stp/>
        <stp>BDH|10167036177298038411</stp>
        <tr r="K105" s="18"/>
      </tp>
      <tp t="e">
        <v>#N/A</v>
        <stp/>
        <stp>BDH|15977528110858701282</stp>
        <tr r="K39" s="18"/>
      </tp>
      <tp t="e">
        <v>#N/A</v>
        <stp/>
        <stp>BDH|18362724815634182118</stp>
        <tr r="N28" s="10"/>
        <tr r="N26" s="11"/>
      </tp>
      <tp t="e">
        <v>#N/A</v>
        <stp/>
        <stp>BDH|18010261730265503776</stp>
        <tr r="J73" s="17"/>
        <tr r="H9" s="5"/>
        <tr r="H9" s="9"/>
      </tp>
      <tp t="e">
        <v>#N/A</v>
        <stp/>
        <stp>BDH|13696343439720516897</stp>
        <tr r="V13" s="11"/>
      </tp>
      <tp t="e">
        <v>#N/A</v>
        <stp/>
        <stp>BDH|10598189569469188527</stp>
        <tr r="D54" s="17"/>
      </tp>
      <tp t="e">
        <v>#N/A</v>
        <stp/>
        <stp>BDH|15049877674101787030</stp>
        <tr r="Y43" s="4"/>
      </tp>
      <tp t="e">
        <v>#N/A</v>
        <stp/>
        <stp>BDH|14893564181882079088</stp>
        <tr r="AA14" s="14"/>
      </tp>
      <tp t="e">
        <v>#N/A</v>
        <stp/>
        <stp>BDH|16746210741263572858</stp>
        <tr r="M28" s="22"/>
      </tp>
      <tp t="e">
        <v>#N/A</v>
        <stp/>
        <stp>BDH|10814916218970037364</stp>
        <tr r="J9" s="17"/>
      </tp>
      <tp t="e">
        <v>#N/A</v>
        <stp/>
        <stp>BDH|10454302923902400841</stp>
        <tr r="X37" s="17"/>
      </tp>
      <tp t="e">
        <v>#N/A</v>
        <stp/>
        <stp>BDH|18339122985193665958</stp>
        <tr r="F26" s="6"/>
      </tp>
      <tp t="e">
        <v>#N/A</v>
        <stp/>
        <stp>BDH|15131652373887671860</stp>
        <tr r="G22" s="10"/>
      </tp>
      <tp t="e">
        <v>#N/A</v>
        <stp/>
        <stp>BDH|15689887957222980179</stp>
        <tr r="L39" s="10"/>
        <tr r="L37" s="11"/>
      </tp>
      <tp t="e">
        <v>#N/A</v>
        <stp/>
        <stp>BDH|14657718890876046702</stp>
        <tr r="Q41" s="24"/>
      </tp>
      <tp t="e">
        <v>#N/A</v>
        <stp/>
        <stp>BDH|17480373414876937893</stp>
        <tr r="M12" s="10"/>
      </tp>
      <tp t="e">
        <v>#N/A</v>
        <stp/>
        <stp>BDH|10981435463419787092</stp>
        <tr r="K9" s="27"/>
      </tp>
      <tp t="e">
        <v>#N/A</v>
        <stp/>
        <stp>BDH|18384267334761037369</stp>
        <tr r="P68" s="24"/>
      </tp>
      <tp t="e">
        <v>#N/A</v>
        <stp/>
        <stp>BDH|11425814350511046626</stp>
        <tr r="I29" s="21"/>
      </tp>
      <tp t="e">
        <v>#N/A</v>
        <stp/>
        <stp>BDH|16203901441595004542</stp>
        <tr r="V8" s="23"/>
      </tp>
      <tp t="e">
        <v>#N/A</v>
        <stp/>
        <stp>BDH|16108612500888586324</stp>
        <tr r="J21" s="2"/>
      </tp>
      <tp t="e">
        <v>#N/A</v>
        <stp/>
        <stp>BDH|18069494090728994679</stp>
        <tr r="F29" s="34"/>
      </tp>
      <tp t="e">
        <v>#N/A</v>
        <stp/>
        <stp>BDH|15415877530287362277</stp>
        <tr r="Y42" s="24"/>
      </tp>
      <tp t="e">
        <v>#N/A</v>
        <stp/>
        <stp>BDH|17964587995764303402</stp>
        <tr r="V28" s="17"/>
      </tp>
      <tp t="e">
        <v>#N/A</v>
        <stp/>
        <stp>BDH|11553862077516011337</stp>
        <tr r="G131" s="18"/>
      </tp>
      <tp t="e">
        <v>#N/A</v>
        <stp/>
        <stp>BDH|18239173407175358760</stp>
        <tr r="G33" s="6"/>
        <tr r="I6" s="8"/>
      </tp>
      <tp t="e">
        <v>#N/A</v>
        <stp/>
        <stp>BDH|13116903436435196704</stp>
        <tr r="Y90" s="17"/>
        <tr r="Y13" s="28"/>
      </tp>
      <tp t="e">
        <v>#N/A</v>
        <stp/>
        <stp>BDH|10694926476391006446</stp>
        <tr r="S64" s="17"/>
        <tr r="S18" s="3"/>
      </tp>
      <tp t="e">
        <v>#N/A</v>
        <stp/>
        <stp>BDH|14830516803469837348</stp>
        <tr r="T87" s="18"/>
        <tr r="T7" s="20"/>
      </tp>
      <tp t="e">
        <v>#N/A</v>
        <stp/>
        <stp>BDH|13280918760784357368</stp>
        <tr r="D44" s="17"/>
      </tp>
      <tp t="e">
        <v>#N/A</v>
        <stp/>
        <stp>BDH|16550823752264566468</stp>
        <tr r="C24" s="26"/>
      </tp>
      <tp t="e">
        <v>#N/A</v>
        <stp/>
        <stp>BDH|10488625053438096038</stp>
        <tr r="N17" s="9"/>
      </tp>
      <tp t="e">
        <v>#N/A</v>
        <stp/>
        <stp>BDH|13161917454720475469</stp>
        <tr r="K14" s="6"/>
      </tp>
      <tp t="e">
        <v>#N/A</v>
        <stp/>
        <stp>BDH|13382310105318117304</stp>
        <tr r="W8" s="17"/>
      </tp>
      <tp t="e">
        <v>#N/A</v>
        <stp/>
        <stp>BDH|18166110047195434359</stp>
        <tr r="AA44" s="17"/>
      </tp>
      <tp t="e">
        <v>#N/A</v>
        <stp/>
        <stp>BDH|13887109381900861173</stp>
        <tr r="O41" s="17"/>
      </tp>
      <tp t="e">
        <v>#N/A</v>
        <stp/>
        <stp>BDH|17865575599161262129</stp>
        <tr r="N39" s="18"/>
      </tp>
      <tp t="e">
        <v>#N/A</v>
        <stp/>
        <stp>BDH|12818442041318338181</stp>
        <tr r="H120" s="18"/>
      </tp>
      <tp t="e">
        <v>#N/A</v>
        <stp/>
        <stp>BDH|16161612653169700724</stp>
        <tr r="F48" s="17"/>
      </tp>
      <tp t="e">
        <v>#N/A</v>
        <stp/>
        <stp>BDH|15163785532582563880</stp>
        <tr r="P29" s="18"/>
      </tp>
      <tp t="e">
        <v>#N/A</v>
        <stp/>
        <stp>BDH|12834197382184024457</stp>
        <tr r="Y59" s="12"/>
      </tp>
      <tp t="e">
        <v>#N/A</v>
        <stp/>
        <stp>BDH|15359457382972350019</stp>
        <tr r="M51" s="12"/>
      </tp>
      <tp t="e">
        <v>#N/A</v>
        <stp/>
        <stp>BDH|17566820215053479606</stp>
        <tr r="W56" s="12"/>
      </tp>
      <tp t="e">
        <v>#N/A</v>
        <stp/>
        <stp>BDH|11071223163197350946</stp>
        <tr r="L21" s="25"/>
        <tr r="L14" s="27"/>
      </tp>
      <tp t="e">
        <v>#N/A</v>
        <stp/>
        <stp>BDH|18102564667243710311</stp>
        <tr r="G14" s="29"/>
        <tr r="G23" s="29"/>
        <tr r="G34" s="29"/>
      </tp>
      <tp t="e">
        <v>#N/A</v>
        <stp/>
        <stp>BDH|14332271032408222621</stp>
        <tr r="C16" s="11"/>
      </tp>
      <tp t="e">
        <v>#N/A</v>
        <stp/>
        <stp>BDH|18161718215031290412</stp>
        <tr r="O52" s="17"/>
      </tp>
      <tp t="e">
        <v>#N/A</v>
        <stp/>
        <stp>BDH|11769447734264605977</stp>
        <tr r="S64" s="10"/>
      </tp>
      <tp t="e">
        <v>#N/A</v>
        <stp/>
        <stp>BDH|16793958487454441875</stp>
        <tr r="V29" s="4"/>
      </tp>
      <tp t="e">
        <v>#N/A</v>
        <stp/>
        <stp>BDH|13236028218129494058</stp>
        <tr r="W11" s="29"/>
      </tp>
      <tp t="e">
        <v>#N/A</v>
        <stp/>
        <stp>BDH|15432948348166705561</stp>
        <tr r="Q54" s="18"/>
      </tp>
      <tp t="e">
        <v>#N/A</v>
        <stp/>
        <stp>BDH|14609520697826929530</stp>
        <tr r="M38" s="22"/>
      </tp>
      <tp t="e">
        <v>#N/A</v>
        <stp/>
        <stp>BDH|16871294538699799573</stp>
        <tr r="O10" s="29"/>
        <tr r="O19" s="29"/>
        <tr r="O25" s="29"/>
        <tr r="N12" s="8"/>
        <tr r="M6" s="2"/>
        <tr r="M6" s="9"/>
        <tr r="M6" s="5"/>
      </tp>
      <tp t="e">
        <v>#N/A</v>
        <stp/>
        <stp>BDH|10058783424018211679</stp>
        <tr r="Y28" s="26"/>
      </tp>
      <tp t="e">
        <v>#N/A</v>
        <stp/>
        <stp>BDH|17089956058139794938</stp>
        <tr r="F18" s="34"/>
      </tp>
      <tp t="e">
        <v>#N/A</v>
        <stp/>
        <stp>BDH|13543029566549845702</stp>
        <tr r="R34" s="22"/>
      </tp>
      <tp t="e">
        <v>#N/A</v>
        <stp/>
        <stp>BDH|11084795892090669447</stp>
        <tr r="J7" s="24"/>
      </tp>
      <tp t="e">
        <v>#N/A</v>
        <stp/>
        <stp>BDH|17054535679666402875</stp>
        <tr r="I46" s="18"/>
      </tp>
      <tp t="e">
        <v>#N/A</v>
        <stp/>
        <stp>BDH|11858746070518238277</stp>
        <tr r="T14" s="21"/>
      </tp>
      <tp t="e">
        <v>#N/A</v>
        <stp/>
        <stp>BDH|17108226582341949713</stp>
        <tr r="U24" s="29"/>
      </tp>
      <tp t="e">
        <v>#N/A</v>
        <stp/>
        <stp>BDH|14985113592185033238</stp>
        <tr r="G10" s="2"/>
        <tr r="G11" s="5"/>
        <tr r="F37" s="6"/>
        <tr r="I31" s="29"/>
        <tr r="I39" s="29"/>
      </tp>
      <tp t="e">
        <v>#N/A</v>
        <stp/>
        <stp>BDH|13184878116671922003</stp>
        <tr r="M37" s="17"/>
      </tp>
      <tp t="e">
        <v>#N/A</v>
        <stp/>
        <stp>BDH|17023596123008268314</stp>
        <tr r="W9" s="13"/>
      </tp>
      <tp t="e">
        <v>#N/A</v>
        <stp/>
        <stp>BDH|10437646933077881928</stp>
        <tr r="V57" s="17"/>
      </tp>
      <tp t="e">
        <v>#N/A</v>
        <stp/>
        <stp>BDH|17322115506649404494</stp>
        <tr r="Z60" s="17"/>
      </tp>
      <tp t="e">
        <v>#N/A</v>
        <stp/>
        <stp>BDH|11461200098887629639</stp>
        <tr r="P31" s="18"/>
      </tp>
      <tp t="e">
        <v>#N/A</v>
        <stp/>
        <stp>BDH|15378838729894975095</stp>
        <tr r="P35" s="10"/>
        <tr r="P33" s="11"/>
      </tp>
      <tp t="e">
        <v>#N/A</v>
        <stp/>
        <stp>BDH|17709182661178354342</stp>
        <tr r="T33" s="6"/>
        <tr r="V6" s="8"/>
      </tp>
      <tp t="e">
        <v>#N/A</v>
        <stp/>
        <stp>BDH|17810454232909789210</stp>
        <tr r="I67" s="12"/>
      </tp>
      <tp t="e">
        <v>#N/A</v>
        <stp/>
        <stp>BDH|18042003769355703070</stp>
        <tr r="W17" s="14"/>
      </tp>
      <tp t="e">
        <v>#N/A</v>
        <stp/>
        <stp>BDH|10546849768764009110</stp>
        <tr r="J10" s="2"/>
        <tr r="J11" s="5"/>
        <tr r="I37" s="6"/>
        <tr r="L31" s="29"/>
        <tr r="L39" s="29"/>
      </tp>
      <tp t="e">
        <v>#N/A</v>
        <stp/>
        <stp>BDH|12892643799985439399</stp>
        <tr r="F22" s="10"/>
      </tp>
      <tp t="e">
        <v>#N/A</v>
        <stp/>
        <stp>BDH|17315781487967056445</stp>
        <tr r="H29" s="12"/>
      </tp>
      <tp t="e">
        <v>#N/A</v>
        <stp/>
        <stp>BDH|11679918289579614203</stp>
        <tr r="T84" s="18"/>
      </tp>
      <tp t="e">
        <v>#N/A</v>
        <stp/>
        <stp>BDH|13951828069255860326</stp>
        <tr r="K30" s="12"/>
      </tp>
      <tp t="e">
        <v>#N/A</v>
        <stp/>
        <stp>BDH|14928797904168986053</stp>
        <tr r="U69" s="17"/>
      </tp>
      <tp t="e">
        <v>#N/A</v>
        <stp/>
        <stp>BDH|12135029782644805512</stp>
        <tr r="S26" s="6"/>
      </tp>
      <tp t="e">
        <v>#N/A</v>
        <stp/>
        <stp>BDH|17362994736093673528</stp>
        <tr r="G110" s="18"/>
      </tp>
      <tp t="e">
        <v>#N/A</v>
        <stp/>
        <stp>BDH|13621257364859634593</stp>
        <tr r="C8" s="13"/>
      </tp>
      <tp t="e">
        <v>#N/A</v>
        <stp/>
        <stp>BDH|13503169621593395899</stp>
        <tr r="P31" s="12"/>
      </tp>
      <tp t="e">
        <v>#N/A</v>
        <stp/>
        <stp>BDH|10180623373658831202</stp>
        <tr r="H20" s="23"/>
      </tp>
      <tp t="e">
        <v>#N/A</v>
        <stp/>
        <stp>BDH|14403778664588889676</stp>
        <tr r="K12" s="14"/>
      </tp>
      <tp t="e">
        <v>#N/A</v>
        <stp/>
        <stp>BDH|10931075638179867162</stp>
        <tr r="E29" s="21"/>
      </tp>
      <tp t="e">
        <v>#N/A</v>
        <stp/>
        <stp>BDH|16627382098465719297</stp>
        <tr r="L11" s="7"/>
      </tp>
      <tp t="e">
        <v>#N/A</v>
        <stp/>
        <stp>BDH|15769439813018944369</stp>
        <tr r="E64" s="17"/>
        <tr r="E18" s="3"/>
      </tp>
      <tp t="e">
        <v>#N/A</v>
        <stp/>
        <stp>BDH|17069328987943976442</stp>
        <tr r="N11" s="13"/>
      </tp>
      <tp t="e">
        <v>#N/A</v>
        <stp/>
        <stp>BDH|14781127304029098797</stp>
        <tr r="Q108" s="18"/>
      </tp>
      <tp t="e">
        <v>#N/A</v>
        <stp/>
        <stp>BDH|16951593408728081008</stp>
        <tr r="L13" s="24"/>
      </tp>
      <tp t="e">
        <v>#N/A</v>
        <stp/>
        <stp>BDH|14967744197423726255</stp>
        <tr r="V21" s="12"/>
      </tp>
      <tp t="e">
        <v>#N/A</v>
        <stp/>
        <stp>BDH|15011839764933688399</stp>
        <tr r="I29" s="22"/>
      </tp>
      <tp t="e">
        <v>#N/A</v>
        <stp/>
        <stp>BDH|11808276760889588726</stp>
        <tr r="Q31" s="25"/>
      </tp>
      <tp t="e">
        <v>#N/A</v>
        <stp/>
        <stp>BDH|11552380837303362910</stp>
        <tr r="K7" s="23"/>
      </tp>
      <tp t="e">
        <v>#N/A</v>
        <stp/>
        <stp>BDH|14134412631460874815</stp>
        <tr r="N52" s="21"/>
      </tp>
      <tp t="e">
        <v>#N/A</v>
        <stp/>
        <stp>BDH|12953253997754016636</stp>
        <tr r="W68" s="24"/>
      </tp>
      <tp t="e">
        <v>#N/A</v>
        <stp/>
        <stp>BDH|17771959879627583566</stp>
        <tr r="G49" s="18"/>
      </tp>
      <tp t="e">
        <v>#N/A</v>
        <stp/>
        <stp>BDH|13539989004256772754</stp>
        <tr r="I8" s="23"/>
      </tp>
      <tp t="e">
        <v>#N/A</v>
        <stp/>
        <stp>BDH|15981032853348587378</stp>
        <tr r="I22" s="17"/>
      </tp>
      <tp t="e">
        <v>#N/A</v>
        <stp/>
        <stp>BDH|17773550644594494993</stp>
        <tr r="C12" s="8"/>
        <tr r="D10" s="29"/>
        <tr r="D19" s="29"/>
        <tr r="D25" s="29"/>
      </tp>
      <tp t="e">
        <v>#N/A</v>
        <stp/>
        <stp>BDH|13814571098003491786</stp>
        <tr r="O7" s="2"/>
        <tr r="O7" s="5"/>
        <tr r="O7" s="9"/>
        <tr r="Q14" s="3"/>
      </tp>
      <tp t="e">
        <v>#N/A</v>
        <stp/>
        <stp>BDH|11206432513328973708</stp>
        <tr r="G59" s="12"/>
      </tp>
      <tp t="e">
        <v>#N/A</v>
        <stp/>
        <stp>BDH|16691964839501544671</stp>
        <tr r="AA113" s="18"/>
      </tp>
      <tp t="e">
        <v>#N/A</v>
        <stp/>
        <stp>BDH|16315209520299923415</stp>
        <tr r="L21" s="10"/>
      </tp>
      <tp t="e">
        <v>#N/A</v>
        <stp/>
        <stp>BDH|18064268772001614792</stp>
        <tr r="C16" s="13"/>
        <tr r="C23" s="13"/>
      </tp>
      <tp t="e">
        <v>#N/A</v>
        <stp/>
        <stp>BDH|12302291523281667849</stp>
        <tr r="P9" s="17"/>
      </tp>
      <tp t="e">
        <v>#N/A</v>
        <stp/>
        <stp>BDH|10264644800929874450</stp>
        <tr r="W52" s="18"/>
      </tp>
      <tp t="e">
        <v>#N/A</v>
        <stp/>
        <stp>BDH|10443944207600934259</stp>
        <tr r="G42" s="34"/>
      </tp>
      <tp t="e">
        <v>#N/A</v>
        <stp/>
        <stp>BDH|16730874768667692454</stp>
        <tr r="M38" s="34"/>
      </tp>
      <tp t="e">
        <v>#N/A</v>
        <stp/>
        <stp>BDH|11593182494142509079</stp>
        <tr r="U65" s="10"/>
      </tp>
      <tp t="e">
        <v>#N/A</v>
        <stp/>
        <stp>BDH|12277142889455249567</stp>
        <tr r="P17" s="23"/>
      </tp>
      <tp t="e">
        <v>#N/A</v>
        <stp/>
        <stp>BDH|11473109688042377148</stp>
        <tr r="G7" s="10"/>
      </tp>
      <tp t="e">
        <v>#N/A</v>
        <stp/>
        <stp>BDH|13620396181541395269</stp>
        <tr r="C29" s="9"/>
      </tp>
      <tp t="e">
        <v>#N/A</v>
        <stp/>
        <stp>BDH|15201404125861885945</stp>
        <tr r="Q17" s="29"/>
        <tr r="Q37" s="29"/>
      </tp>
      <tp t="e">
        <v>#N/A</v>
        <stp/>
        <stp>BDH|17892849250397130660</stp>
        <tr r="C17" s="29"/>
        <tr r="C37" s="29"/>
      </tp>
      <tp t="e">
        <v>#N/A</v>
        <stp/>
        <stp>BDH|13294498289440035496</stp>
        <tr r="V50" s="12"/>
      </tp>
      <tp t="e">
        <v>#N/A</v>
        <stp/>
        <stp>BDH|18407107178541732407</stp>
        <tr r="F8" s="4"/>
      </tp>
      <tp t="e">
        <v>#N/A</v>
        <stp/>
        <stp>BDH|16770831748271760006</stp>
        <tr r="U32" s="21"/>
      </tp>
      <tp t="e">
        <v>#N/A</v>
        <stp/>
        <stp>BDH|16137877563306640587</stp>
        <tr r="Z9" s="12"/>
      </tp>
      <tp t="e">
        <v>#N/A</v>
        <stp/>
        <stp>BDH|14200299375629749330</stp>
        <tr r="T13" s="11"/>
      </tp>
      <tp t="e">
        <v>#N/A</v>
        <stp/>
        <stp>BDH|18401123152810976776</stp>
        <tr r="N19" s="24"/>
      </tp>
      <tp t="e">
        <v>#N/A</v>
        <stp/>
        <stp>BDH|17105976786215295887</stp>
        <tr r="D17" s="12"/>
      </tp>
      <tp t="e">
        <v>#N/A</v>
        <stp/>
        <stp>BDH|12049097205941276842</stp>
        <tr r="N90" s="17"/>
        <tr r="N13" s="28"/>
      </tp>
      <tp t="e">
        <v>#N/A</v>
        <stp/>
        <stp>BDH|14531009913329566791</stp>
        <tr r="V17" s="4"/>
        <tr r="X10" s="3"/>
        <tr r="V52" s="10"/>
        <tr r="V50" s="11"/>
        <tr r="V17" s="7"/>
        <tr r="X37" s="13"/>
      </tp>
      <tp t="e">
        <v>#N/A</v>
        <stp/>
        <stp>BDH|12724656111536941808</stp>
        <tr r="F49" s="18"/>
      </tp>
      <tp t="e">
        <v>#N/A</v>
        <stp/>
        <stp>BDH|12208392260168189408</stp>
        <tr r="P20" s="11"/>
      </tp>
      <tp t="e">
        <v>#N/A</v>
        <stp/>
        <stp>BDH|18134683447930082142</stp>
        <tr r="K6" s="27"/>
      </tp>
      <tp t="e">
        <v>#N/A</v>
        <stp/>
        <stp>BDH|13478903619047038774</stp>
        <tr r="F58" s="17"/>
      </tp>
      <tp t="e">
        <v>#N/A</v>
        <stp/>
        <stp>BDH|11834990152076061097</stp>
        <tr r="X10" s="6"/>
      </tp>
      <tp t="e">
        <v>#N/A</v>
        <stp/>
        <stp>BDH|17130603380437229597</stp>
        <tr r="R80" s="18"/>
      </tp>
      <tp t="e">
        <v>#N/A</v>
        <stp/>
        <stp>BDH|15846383101128932524</stp>
        <tr r="Q37" s="22"/>
      </tp>
      <tp t="e">
        <v>#N/A</v>
        <stp/>
        <stp>BDH|17622554456265820977</stp>
        <tr r="M34" s="10"/>
        <tr r="M32" s="11"/>
        <tr r="O32" s="13"/>
      </tp>
      <tp t="e">
        <v>#N/A</v>
        <stp/>
        <stp>BDH|16923855409151851472</stp>
        <tr r="E14" s="18"/>
      </tp>
      <tp t="e">
        <v>#N/A</v>
        <stp/>
        <stp>BDH|14966368439977510896</stp>
        <tr r="S50" s="21"/>
      </tp>
      <tp t="e">
        <v>#N/A</v>
        <stp/>
        <stp>BDH|18186044576821163582</stp>
        <tr r="K16" s="12"/>
      </tp>
      <tp t="e">
        <v>#N/A</v>
        <stp/>
        <stp>BDH|11858987759605765345</stp>
        <tr r="E16" s="23"/>
      </tp>
      <tp t="e">
        <v>#N/A</v>
        <stp/>
        <stp>BDH|11978021517398138370</stp>
        <tr r="C32" s="13"/>
      </tp>
      <tp t="e">
        <v>#N/A</v>
        <stp/>
        <stp>BDH|15217703648088729576</stp>
        <tr r="W22" s="10"/>
      </tp>
      <tp t="e">
        <v>#N/A</v>
        <stp/>
        <stp>BDH|16876632764294764925</stp>
        <tr r="U32" s="22"/>
      </tp>
      <tp t="e">
        <v>#N/A</v>
        <stp/>
        <stp>BDH|15552163030804706897</stp>
        <tr r="T48" s="18"/>
      </tp>
      <tp t="e">
        <v>#N/A</v>
        <stp/>
        <stp>BDH|14439802179901367136</stp>
        <tr r="D39" s="18"/>
      </tp>
      <tp t="e">
        <v>#N/A</v>
        <stp/>
        <stp>BDH|16824806504226294330</stp>
        <tr r="J16" s="25"/>
        <tr r="H22" s="11"/>
      </tp>
      <tp t="e">
        <v>#N/A</v>
        <stp/>
        <stp>BDH|12418412388644194112</stp>
        <tr r="Y62" s="17"/>
      </tp>
      <tp t="e">
        <v>#N/A</v>
        <stp/>
        <stp>BDH|17446905111064881007</stp>
        <tr r="L49" s="4"/>
      </tp>
      <tp t="e">
        <v>#N/A</v>
        <stp/>
        <stp>BDH|12467998202204162436</stp>
        <tr r="R127" s="18"/>
      </tp>
      <tp t="e">
        <v>#N/A</v>
        <stp/>
        <stp>BDH|16474321829808386415</stp>
        <tr r="V24" s="4"/>
        <tr r="V59" s="11"/>
      </tp>
      <tp t="e">
        <v>#N/A</v>
        <stp/>
        <stp>BDH|13507256014373845812</stp>
        <tr r="M25" s="22"/>
      </tp>
      <tp t="e">
        <v>#N/A</v>
        <stp/>
        <stp>BDH|10767696161008135330</stp>
        <tr r="R10" s="10"/>
      </tp>
      <tp t="e">
        <v>#N/A</v>
        <stp/>
        <stp>BDH|12841258877235293956</stp>
        <tr r="T102" s="18"/>
      </tp>
      <tp t="e">
        <v>#N/A</v>
        <stp/>
        <stp>BDH|14844942375678763937</stp>
        <tr r="E37" s="22"/>
      </tp>
      <tp t="e">
        <v>#N/A</v>
        <stp/>
        <stp>BDH|10716832529416301737</stp>
        <tr r="I27" s="17"/>
      </tp>
      <tp t="e">
        <v>#N/A</v>
        <stp/>
        <stp>BDH|18305330227797220582</stp>
        <tr r="AA58" s="21"/>
        <tr r="AA30" s="25"/>
        <tr r="Y31" s="4"/>
        <tr r="Y56" s="11"/>
      </tp>
      <tp t="e">
        <v>#N/A</v>
        <stp/>
        <stp>BDH|13960263439289979027</stp>
        <tr r="L20" s="23"/>
      </tp>
      <tp t="e">
        <v>#N/A</v>
        <stp/>
        <stp>BDH|16103741519762540945</stp>
        <tr r="W33" s="10"/>
        <tr r="W31" s="11"/>
        <tr r="Y31" s="13"/>
      </tp>
      <tp t="e">
        <v>#N/A</v>
        <stp/>
        <stp>BDH|15776887506375732336</stp>
        <tr r="F13" s="29"/>
        <tr r="F22" s="29"/>
        <tr r="F33" s="29"/>
      </tp>
      <tp t="e">
        <v>#N/A</v>
        <stp/>
        <stp>BDH|16107668193987943501</stp>
        <tr r="N32" s="12"/>
      </tp>
      <tp t="e">
        <v>#N/A</v>
        <stp/>
        <stp>BDH|11683399437753552918</stp>
        <tr r="L10" s="6"/>
      </tp>
      <tp t="e">
        <v>#N/A</v>
        <stp/>
        <stp>BDH|11921714007709732449</stp>
        <tr r="M10" s="26"/>
      </tp>
      <tp t="e">
        <v>#N/A</v>
        <stp/>
        <stp>BDH|12884787792996992175</stp>
        <tr r="S8" s="2"/>
      </tp>
      <tp t="e">
        <v>#N/A</v>
        <stp/>
        <stp>BDH|14847965264761594135</stp>
        <tr r="W40" s="17"/>
        <tr r="W9" s="25"/>
      </tp>
      <tp t="e">
        <v>#N/A</v>
        <stp/>
        <stp>BDH|12131788394456421154</stp>
        <tr r="O80" s="17"/>
      </tp>
      <tp t="e">
        <v>#N/A</v>
        <stp/>
        <stp>BDH|17987572393862929288</stp>
        <tr r="P20" s="27"/>
      </tp>
      <tp t="e">
        <v>#N/A</v>
        <stp/>
        <stp>BDH|11090885321112258276</stp>
        <tr r="C16" s="25"/>
      </tp>
      <tp t="e">
        <v>#N/A</v>
        <stp/>
        <stp>BDH|11722493432099285425</stp>
        <tr r="C57" s="12"/>
      </tp>
      <tp t="e">
        <v>#N/A</v>
        <stp/>
        <stp>BDH|17250285907877409954</stp>
        <tr r="H23" s="10"/>
      </tp>
      <tp t="e">
        <v>#N/A</v>
        <stp/>
        <stp>BDH|16767612200488310392</stp>
        <tr r="T29" s="10"/>
        <tr r="T27" s="11"/>
      </tp>
      <tp t="e">
        <v>#N/A</v>
        <stp/>
        <stp>BDH|16954798613693603898</stp>
        <tr r="N40" s="12"/>
      </tp>
      <tp t="e">
        <v>#N/A</v>
        <stp/>
        <stp>BDH|17929522307651938896</stp>
        <tr r="C80" s="17"/>
      </tp>
      <tp t="e">
        <v>#N/A</v>
        <stp/>
        <stp>BDH|16105415549024543902</stp>
        <tr r="U77" s="18"/>
      </tp>
      <tp t="e">
        <v>#N/A</v>
        <stp/>
        <stp>BDH|18366896840799024666</stp>
        <tr r="N19" s="10"/>
        <tr r="P16" s="13"/>
        <tr r="P23" s="13"/>
      </tp>
      <tp t="e">
        <v>#N/A</v>
        <stp/>
        <stp>BDH|16564384251303844886</stp>
        <tr r="F23" s="17"/>
      </tp>
      <tp t="e">
        <v>#N/A</v>
        <stp/>
        <stp>BDH|12952248380055275638</stp>
        <tr r="X8" s="23"/>
      </tp>
      <tp t="e">
        <v>#N/A</v>
        <stp/>
        <stp>BDH|14083384495911936484</stp>
        <tr r="W100" s="18"/>
      </tp>
      <tp t="e">
        <v>#N/A</v>
        <stp/>
        <stp>BDH|15449283386092130675</stp>
        <tr r="S14" s="28"/>
      </tp>
      <tp t="e">
        <v>#N/A</v>
        <stp/>
        <stp>BDH|14767436429858817199</stp>
        <tr r="W68" s="10"/>
        <tr r="W66" s="11"/>
      </tp>
      <tp t="e">
        <v>#N/A</v>
        <stp/>
        <stp>BDH|12485609334978967459</stp>
        <tr r="N39" s="34"/>
      </tp>
      <tp t="e">
        <v>#N/A</v>
        <stp/>
        <stp>BDH|15484163732578584491</stp>
        <tr r="H13" s="24"/>
      </tp>
      <tp t="e">
        <v>#N/A</v>
        <stp/>
        <stp>BDH|11048429277459843018</stp>
        <tr r="H11" s="29"/>
      </tp>
      <tp t="e">
        <v>#N/A</v>
        <stp/>
        <stp>BDH|14688648388967042668</stp>
        <tr r="W56" s="17"/>
      </tp>
      <tp t="e">
        <v>#N/A</v>
        <stp/>
        <stp>BDH|13615810941857382394</stp>
        <tr r="F25" s="2"/>
        <tr r="H61" s="21"/>
      </tp>
      <tp t="e">
        <v>#N/A</v>
        <stp/>
        <stp>BDH|16984285178088615038</stp>
        <tr r="L42" s="17"/>
      </tp>
      <tp t="e">
        <v>#N/A</v>
        <stp/>
        <stp>BDH|13565630118606196902</stp>
        <tr r="D10" s="22"/>
      </tp>
      <tp t="e">
        <v>#N/A</v>
        <stp/>
        <stp>BDH|15637629484222873275</stp>
        <tr r="L6" s="19"/>
        <tr r="L34" s="17"/>
        <tr r="L16" s="3"/>
      </tp>
      <tp t="e">
        <v>#N/A</v>
        <stp/>
        <stp>BDH|14277702414139954009</stp>
        <tr r="Y14" s="2"/>
        <tr r="Y11" s="10"/>
      </tp>
      <tp t="e">
        <v>#N/A</v>
        <stp/>
        <stp>BDH|14292233303794819952</stp>
        <tr r="D14" s="17"/>
        <tr r="D17" s="28"/>
      </tp>
      <tp t="e">
        <v>#N/A</v>
        <stp/>
        <stp>BDH|12585200037311904945</stp>
        <tr r="M59" s="10"/>
      </tp>
      <tp t="e">
        <v>#N/A</v>
        <stp/>
        <stp>BDH|18191774266121821370</stp>
        <tr r="V44" s="12"/>
      </tp>
      <tp t="e">
        <v>#N/A</v>
        <stp/>
        <stp>BDH|18122491222262241778</stp>
        <tr r="Q34" s="22"/>
      </tp>
      <tp t="e">
        <v>#N/A</v>
        <stp/>
        <stp>BDH|12718590154328599106</stp>
        <tr r="E8" s="12"/>
      </tp>
      <tp t="e">
        <v>#N/A</v>
        <stp/>
        <stp>BDH|13580592047711623822</stp>
        <tr r="U37" s="18"/>
      </tp>
      <tp t="e">
        <v>#N/A</v>
        <stp/>
        <stp>BDH|10372439059689506334</stp>
        <tr r="C63" s="12"/>
      </tp>
      <tp t="e">
        <v>#N/A</v>
        <stp/>
        <stp>BDH|10824621923318561735</stp>
        <tr r="Y28" s="25"/>
      </tp>
      <tp t="e">
        <v>#N/A</v>
        <stp/>
        <stp>BDH|12931720894946886181</stp>
        <tr r="R17" s="21"/>
      </tp>
      <tp t="e">
        <v>#N/A</v>
        <stp/>
        <stp>BDH|15870937813210629612</stp>
        <tr r="N38" s="24"/>
      </tp>
      <tp t="e">
        <v>#N/A</v>
        <stp/>
        <stp>BDH|17251525678046103862</stp>
        <tr r="F11" s="11"/>
      </tp>
      <tp t="e">
        <v>#N/A</v>
        <stp/>
        <stp>BDH|13319505289132036757</stp>
        <tr r="N18" s="28"/>
        <tr r="N15" s="17"/>
      </tp>
      <tp t="e">
        <v>#N/A</v>
        <stp/>
        <stp>BDH|13971260701188600276</stp>
        <tr r="T12" s="21"/>
      </tp>
      <tp t="e">
        <v>#N/A</v>
        <stp/>
        <stp>BDH|11635185493733098128</stp>
        <tr r="H44" s="12"/>
      </tp>
      <tp t="e">
        <v>#N/A</v>
        <stp/>
        <stp>BDH|15677931682727083889</stp>
        <tr r="S13" s="8"/>
      </tp>
      <tp t="e">
        <v>#N/A</v>
        <stp/>
        <stp>BDH|10579985101585645754</stp>
        <tr r="Q19" s="17"/>
      </tp>
      <tp t="e">
        <v>#N/A</v>
        <stp/>
        <stp>BDH|15533630025552890848</stp>
        <tr r="X23" s="10"/>
      </tp>
      <tp t="e">
        <v>#N/A</v>
        <stp/>
        <stp>BDH|18272157200505050787</stp>
        <tr r="K19" s="25"/>
        <tr r="K12" s="27"/>
      </tp>
      <tp t="e">
        <v>#N/A</v>
        <stp/>
        <stp>BDH|13332346182583842021</stp>
        <tr r="R11" s="17"/>
      </tp>
      <tp t="e">
        <v>#N/A</v>
        <stp/>
        <stp>BDH|13558392108033942826</stp>
        <tr r="W9" s="18"/>
      </tp>
      <tp t="e">
        <v>#N/A</v>
        <stp/>
        <stp>BDH|18435821492801865339</stp>
        <tr r="O44" s="18"/>
      </tp>
      <tp t="e">
        <v>#N/A</v>
        <stp/>
        <stp>BDH|14598485585911086279</stp>
        <tr r="E52" s="17"/>
      </tp>
      <tp t="e">
        <v>#N/A</v>
        <stp/>
        <stp>BDH|17101586332478031245</stp>
        <tr r="S18" s="14"/>
      </tp>
      <tp t="e">
        <v>#N/A</v>
        <stp/>
        <stp>BDH|15965751170217573966</stp>
        <tr r="W25" s="18"/>
      </tp>
      <tp t="e">
        <v>#N/A</v>
        <stp/>
        <stp>BDH|16670268697494993209</stp>
        <tr r="L37" s="21"/>
        <tr r="L24" s="3"/>
      </tp>
      <tp t="e">
        <v>#N/A</v>
        <stp/>
        <stp>BDH|12117521049299201169</stp>
        <tr r="D11" s="11"/>
      </tp>
      <tp t="e">
        <v>#N/A</v>
        <stp/>
        <stp>BDH|10195006289780364355</stp>
        <tr r="C43" s="21"/>
      </tp>
      <tp t="e">
        <v>#N/A</v>
        <stp/>
        <stp>BDH|16526857749552490332</stp>
        <tr r="P41" s="34"/>
      </tp>
      <tp t="e">
        <v>#N/A</v>
        <stp/>
        <stp>BDH|15797917041764167785</stp>
        <tr r="I19" s="22"/>
      </tp>
      <tp t="e">
        <v>#N/A</v>
        <stp/>
        <stp>BDH|11091703588763561631</stp>
        <tr r="S20" s="18"/>
      </tp>
      <tp t="e">
        <v>#N/A</v>
        <stp/>
        <stp>BDH|17134409489711463121</stp>
        <tr r="P23" s="26"/>
      </tp>
      <tp t="e">
        <v>#N/A</v>
        <stp/>
        <stp>BDH|16140744757146496981</stp>
        <tr r="D11" s="18"/>
      </tp>
      <tp t="e">
        <v>#N/A</v>
        <stp/>
        <stp>BDH|12197330989323005152</stp>
        <tr r="M41" s="34"/>
      </tp>
      <tp t="e">
        <v>#N/A</v>
        <stp/>
        <stp>BDH|18297149509197081511</stp>
        <tr r="L58" s="21"/>
        <tr r="L30" s="25"/>
        <tr r="J31" s="4"/>
        <tr r="J56" s="11"/>
      </tp>
      <tp t="e">
        <v>#N/A</v>
        <stp/>
        <stp>BDH|13462583759490263898</stp>
        <tr r="L26" s="17"/>
      </tp>
      <tp t="e">
        <v>#N/A</v>
        <stp/>
        <stp>BDH|13542369738769052150</stp>
        <tr r="V14" s="22"/>
      </tp>
      <tp t="e">
        <v>#N/A</v>
        <stp/>
        <stp>BDH|18440534448217153509</stp>
        <tr r="P52" s="18"/>
      </tp>
      <tp t="e">
        <v>#N/A</v>
        <stp/>
        <stp>BDH|10107736879858308360</stp>
        <tr r="D26" s="12"/>
      </tp>
      <tp t="e">
        <v>#N/A</v>
        <stp/>
        <stp>BDH|15780656999492557302</stp>
        <tr r="L19" s="24"/>
      </tp>
      <tp t="e">
        <v>#N/A</v>
        <stp/>
        <stp>BDH|16267142279169785260</stp>
        <tr r="D24" s="2"/>
      </tp>
      <tp t="e">
        <v>#N/A</v>
        <stp/>
        <stp>BDH|15420699984921502121</stp>
        <tr r="U8" s="12"/>
      </tp>
      <tp t="e">
        <v>#N/A</v>
        <stp/>
        <stp>BDH|17043943237002411495</stp>
        <tr r="O46" s="21"/>
      </tp>
      <tp t="e">
        <v>#N/A</v>
        <stp/>
        <stp>BDH|16444805937212427493</stp>
        <tr r="Q61" s="18"/>
      </tp>
      <tp t="e">
        <v>#N/A</v>
        <stp/>
        <stp>BDH|13423067635989189285</stp>
        <tr r="F40" s="34"/>
      </tp>
      <tp t="e">
        <v>#N/A</v>
        <stp/>
        <stp>BDH|13289310621869876047</stp>
        <tr r="U44" s="21"/>
      </tp>
      <tp t="e">
        <v>#N/A</v>
        <stp/>
        <stp>BDH|14235953900822918409</stp>
        <tr r="C81" s="18"/>
      </tp>
      <tp t="e">
        <v>#N/A</v>
        <stp/>
        <stp>BDH|15192797286428852989</stp>
        <tr r="K36" s="12"/>
      </tp>
      <tp t="e">
        <v>#N/A</v>
        <stp/>
        <stp>BDH|14922321890932094756</stp>
        <tr r="O10" s="17"/>
      </tp>
      <tp t="e">
        <v>#N/A</v>
        <stp/>
        <stp>BDH|14215247206519702497</stp>
        <tr r="Y31" s="17"/>
      </tp>
      <tp t="e">
        <v>#N/A</v>
        <stp/>
        <stp>BDH|13009963316871796269</stp>
        <tr r="L84" s="18"/>
      </tp>
      <tp t="e">
        <v>#N/A</v>
        <stp/>
        <stp>BDH|11580924047056873290</stp>
        <tr r="W35" s="24"/>
      </tp>
      <tp t="e">
        <v>#N/A</v>
        <stp/>
        <stp>BDH|11128838026124760727</stp>
        <tr r="W28" s="25"/>
      </tp>
      <tp t="e">
        <v>#N/A</v>
        <stp/>
        <stp>BDH|15555140579199055299</stp>
        <tr r="G13" s="2"/>
      </tp>
      <tp t="e">
        <v>#N/A</v>
        <stp/>
        <stp>BDH|16832969709781064663</stp>
        <tr r="T26" s="6"/>
      </tp>
      <tp t="e">
        <v>#N/A</v>
        <stp/>
        <stp>BDH|18390289049437589164</stp>
        <tr r="S27" s="6"/>
      </tp>
      <tp t="e">
        <v>#N/A</v>
        <stp/>
        <stp>BDH|13698873332673317312</stp>
        <tr r="W14" s="10"/>
      </tp>
      <tp t="e">
        <v>#N/A</v>
        <stp/>
        <stp>BDH|12160851974541297434</stp>
        <tr r="W43" s="18"/>
      </tp>
      <tp t="e">
        <v>#N/A</v>
        <stp/>
        <stp>BDH|16616705371526486826</stp>
        <tr r="R110" s="18"/>
      </tp>
      <tp t="e">
        <v>#N/A</v>
        <stp/>
        <stp>BDH|13975480868880923913</stp>
        <tr r="K18" s="34"/>
      </tp>
      <tp t="e">
        <v>#N/A</v>
        <stp/>
        <stp>BDH|13210354042815012942</stp>
        <tr r="Y19" s="17"/>
      </tp>
      <tp t="e">
        <v>#N/A</v>
        <stp/>
        <stp>BDH|17086327817484636925</stp>
        <tr r="L26" s="6"/>
      </tp>
      <tp t="e">
        <v>#N/A</v>
        <stp/>
        <stp>BDH|15921963755262863338</stp>
        <tr r="J39" s="10"/>
        <tr r="J37" s="11"/>
      </tp>
      <tp t="e">
        <v>#N/A</v>
        <stp/>
        <stp>BDH|12870199564285764836</stp>
        <tr r="AA106" s="18"/>
      </tp>
      <tp t="e">
        <v>#N/A</v>
        <stp/>
        <stp>BDH|16710736924483019810</stp>
        <tr r="M43" s="18"/>
      </tp>
      <tp t="e">
        <v>#N/A</v>
        <stp/>
        <stp>BDH|11277541327077944990</stp>
        <tr r="Y93" s="18"/>
      </tp>
      <tp t="e">
        <v>#N/A</v>
        <stp/>
        <stp>BDH|16609538468995443887</stp>
        <tr r="U13" s="7"/>
      </tp>
      <tp t="e">
        <v>#N/A</v>
        <stp/>
        <stp>BDH|11119314525119614124</stp>
        <tr r="E122" s="18"/>
      </tp>
      <tp t="e">
        <v>#N/A</v>
        <stp/>
        <stp>BDH|14172124931646726846</stp>
        <tr r="O65" s="18"/>
      </tp>
      <tp t="e">
        <v>#N/A</v>
        <stp/>
        <stp>BDH|11116583156048869165</stp>
        <tr r="H17" s="17"/>
        <tr r="H20" s="28"/>
      </tp>
      <tp t="e">
        <v>#N/A</v>
        <stp/>
        <stp>BDH|16088239325957791901</stp>
        <tr r="V12" s="18"/>
      </tp>
      <tp t="e">
        <v>#N/A</v>
        <stp/>
        <stp>BDH|15441914202695172171</stp>
        <tr r="O44" s="12"/>
      </tp>
      <tp t="e">
        <v>#N/A</v>
        <stp/>
        <stp>BDH|13676986283168968251</stp>
        <tr r="H39" s="12"/>
      </tp>
      <tp t="e">
        <v>#N/A</v>
        <stp/>
        <stp>BDH|14041676093451088258</stp>
        <tr r="I20" s="29"/>
      </tp>
      <tp t="e">
        <v>#N/A</v>
        <stp/>
        <stp>BDH|12863584286575149265</stp>
        <tr r="C40" s="21"/>
      </tp>
      <tp t="e">
        <v>#N/A</v>
        <stp/>
        <stp>BDH|14095622136961013855</stp>
        <tr r="J15" s="11"/>
      </tp>
      <tp t="e">
        <v>#N/A</v>
        <stp/>
        <stp>BDH|16349586936738525092</stp>
        <tr r="I44" s="21"/>
      </tp>
      <tp t="e">
        <v>#N/A</v>
        <stp/>
        <stp>BDH|13341286880739959835</stp>
        <tr r="V19" s="24"/>
      </tp>
      <tp t="e">
        <v>#N/A</v>
        <stp/>
        <stp>BDH|13738261152459037521</stp>
        <tr r="J28" s="5"/>
      </tp>
      <tp t="e">
        <v>#N/A</v>
        <stp/>
        <stp>BDH|13738795477923924806</stp>
        <tr r="Y26" s="7"/>
      </tp>
      <tp t="e">
        <v>#N/A</v>
        <stp/>
        <stp>BDH|14533175390805642141</stp>
        <tr r="Y59" s="18"/>
      </tp>
      <tp t="e">
        <v>#N/A</v>
        <stp/>
        <stp>BDH|11376880885898647181</stp>
        <tr r="S6" s="6"/>
      </tp>
      <tp t="e">
        <v>#N/A</v>
        <stp/>
        <stp>BDH|12441960661760728548</stp>
        <tr r="S48" s="17"/>
      </tp>
      <tp t="e">
        <v>#N/A</v>
        <stp/>
        <stp>BDH|17358943812983010453</stp>
        <tr r="D37" s="18"/>
      </tp>
      <tp t="e">
        <v>#N/A</v>
        <stp/>
        <stp>BDH|15509057498560090486</stp>
        <tr r="C37" s="17"/>
      </tp>
      <tp t="e">
        <v>#N/A</v>
        <stp/>
        <stp>BDH|10590372903923474856</stp>
        <tr r="C92" s="18"/>
      </tp>
      <tp t="e">
        <v>#N/A</v>
        <stp/>
        <stp>BDH|18089460393974127940</stp>
        <tr r="M20" s="26"/>
      </tp>
      <tp t="e">
        <v>#N/A</v>
        <stp/>
        <stp>BDH|15120243335568210426</stp>
        <tr r="L17" s="20"/>
      </tp>
      <tp t="e">
        <v>#N/A</v>
        <stp/>
        <stp>BDH|17339132856613226846</stp>
        <tr r="M36" s="4"/>
      </tp>
      <tp t="e">
        <v>#N/A</v>
        <stp/>
        <stp>BDH|10574010704420370837</stp>
        <tr r="O103" s="18"/>
      </tp>
      <tp t="e">
        <v>#N/A</v>
        <stp/>
        <stp>BDH|14882047951051551888</stp>
        <tr r="P13" s="6"/>
      </tp>
      <tp t="e">
        <v>#N/A</v>
        <stp/>
        <stp>BDH|15489121910074110979</stp>
        <tr r="R98" s="18"/>
      </tp>
      <tp t="e">
        <v>#N/A</v>
        <stp/>
        <stp>BDH|16451622930482556937</stp>
        <tr r="S7" s="2"/>
        <tr r="S7" s="5"/>
        <tr r="S7" s="9"/>
        <tr r="U14" s="3"/>
      </tp>
      <tp t="e">
        <v>#N/A</v>
        <stp/>
        <stp>BDH|13949980481293435944</stp>
        <tr r="H8" s="22"/>
      </tp>
      <tp t="e">
        <v>#N/A</v>
        <stp/>
        <stp>BDH|17326753675976007938</stp>
        <tr r="K14" s="4"/>
      </tp>
      <tp t="e">
        <v>#N/A</v>
        <stp/>
        <stp>BDH|15049371543162152856</stp>
        <tr r="U19" s="17"/>
      </tp>
      <tp t="e">
        <v>#N/A</v>
        <stp/>
        <stp>BDH|16077451483865106779</stp>
        <tr r="Q12" s="10"/>
      </tp>
      <tp t="e">
        <v>#N/A</v>
        <stp/>
        <stp>BDH|10339959760571219648</stp>
        <tr r="R14" s="20"/>
      </tp>
      <tp t="e">
        <v>#N/A</v>
        <stp/>
        <stp>BDH|15971528002551144988</stp>
        <tr r="P98" s="18"/>
      </tp>
      <tp t="e">
        <v>#N/A</v>
        <stp/>
        <stp>BDH|15387955131975563224</stp>
        <tr r="U47" s="17"/>
      </tp>
      <tp t="e">
        <v>#N/A</v>
        <stp/>
        <stp>BDH|12225967885899694271</stp>
        <tr r="W47" s="17"/>
      </tp>
      <tp t="e">
        <v>#N/A</v>
        <stp/>
        <stp>BDH|15798488322289838254</stp>
        <tr r="Y32" s="17"/>
      </tp>
      <tp t="e">
        <v>#N/A</v>
        <stp/>
        <stp>BDH|10004176491213421322</stp>
        <tr r="U59" s="12"/>
      </tp>
      <tp t="e">
        <v>#N/A</v>
        <stp/>
        <stp>BDH|14580108653878051069</stp>
        <tr r="I86" s="17"/>
      </tp>
      <tp t="e">
        <v>#N/A</v>
        <stp/>
        <stp>BDH|16702743884420450108</stp>
        <tr r="W73" s="18"/>
      </tp>
      <tp t="e">
        <v>#N/A</v>
        <stp/>
        <stp>BDH|15088044705378058520</stp>
        <tr r="S59" s="24"/>
      </tp>
      <tp t="e">
        <v>#N/A</v>
        <stp/>
        <stp>BDH|16918927658497690562</stp>
        <tr r="O9" s="21"/>
      </tp>
      <tp t="e">
        <v>#N/A</v>
        <stp/>
        <stp>BDH|15464914063871155346</stp>
        <tr r="Y32" s="22"/>
      </tp>
      <tp t="e">
        <v>#N/A</v>
        <stp/>
        <stp>BDH|17234962525054502079</stp>
        <tr r="AA60" s="17"/>
      </tp>
      <tp t="e">
        <v>#N/A</v>
        <stp/>
        <stp>BDH|17210003425205104858</stp>
        <tr r="V12" s="7"/>
      </tp>
      <tp t="e">
        <v>#N/A</v>
        <stp/>
        <stp>BDH|18040271310113296062</stp>
        <tr r="H37" s="24"/>
      </tp>
      <tp t="e">
        <v>#N/A</v>
        <stp/>
        <stp>BDH|14947288297222353565</stp>
        <tr r="Q42" s="12"/>
      </tp>
      <tp t="e">
        <v>#N/A</v>
        <stp/>
        <stp>BDH|10384485026179834761</stp>
        <tr r="X16" s="30"/>
      </tp>
      <tp t="e">
        <v>#N/A</v>
        <stp/>
        <stp>BDH|12419019437409147004</stp>
        <tr r="U59" s="18"/>
      </tp>
      <tp t="e">
        <v>#N/A</v>
        <stp/>
        <stp>BDH|12006487083256068080</stp>
        <tr r="G21" s="27"/>
      </tp>
      <tp t="e">
        <v>#N/A</v>
        <stp/>
        <stp>BDH|15057720924799717120</stp>
        <tr r="G64" s="12"/>
      </tp>
      <tp t="e">
        <v>#N/A</v>
        <stp/>
        <stp>BDH|12702037390772645117</stp>
        <tr r="R83" s="18"/>
      </tp>
      <tp t="e">
        <v>#N/A</v>
        <stp/>
        <stp>BDH|16005927625116009344</stp>
        <tr r="N56" s="17"/>
      </tp>
      <tp t="e">
        <v>#N/A</v>
        <stp/>
        <stp>BDH|10942635789423652562</stp>
        <tr r="I25" s="3"/>
      </tp>
      <tp t="e">
        <v>#N/A</v>
        <stp/>
        <stp>BDH|15580069854770033844</stp>
        <tr r="K15" s="6"/>
      </tp>
      <tp t="e">
        <v>#N/A</v>
        <stp/>
        <stp>BDH|17780515782891718305</stp>
        <tr r="I19" s="9"/>
      </tp>
      <tp t="e">
        <v>#N/A</v>
        <stp/>
        <stp>BDH|15928235372159310187</stp>
        <tr r="N41" s="21"/>
      </tp>
      <tp t="e">
        <v>#N/A</v>
        <stp/>
        <stp>BDH|10455371363548648555</stp>
        <tr r="R16" s="21"/>
      </tp>
      <tp t="e">
        <v>#N/A</v>
        <stp/>
        <stp>BDH|18379717900081345623</stp>
        <tr r="R88" s="17"/>
      </tp>
      <tp t="e">
        <v>#N/A</v>
        <stp/>
        <stp>BDH|12663974343293641473</stp>
        <tr r="S23" s="25"/>
        <tr r="S16" s="27"/>
      </tp>
      <tp t="e">
        <v>#N/A</v>
        <stp/>
        <stp>BDH|13964885914422628002</stp>
        <tr r="N59" s="24"/>
      </tp>
      <tp t="e">
        <v>#N/A</v>
        <stp/>
        <stp>BDH|14038331946438211340</stp>
        <tr r="C29" s="12"/>
      </tp>
      <tp t="e">
        <v>#N/A</v>
        <stp/>
        <stp>BDH|11253485118605400951</stp>
        <tr r="P77" s="18"/>
      </tp>
      <tp t="e">
        <v>#N/A</v>
        <stp/>
        <stp>BDH|11794118897371262001</stp>
        <tr r="E57" s="18"/>
      </tp>
      <tp t="e">
        <v>#N/A</v>
        <stp/>
        <stp>BDH|15832463270689568785</stp>
        <tr r="P9" s="18"/>
      </tp>
      <tp t="e">
        <v>#N/A</v>
        <stp/>
        <stp>BDH|16880399188095351090</stp>
        <tr r="H10" s="4"/>
        <tr r="G6" s="16"/>
        <tr r="J6" s="3"/>
        <tr r="H6" s="11"/>
      </tp>
      <tp t="e">
        <v>#N/A</v>
        <stp/>
        <stp>BDH|10263899048404074008</stp>
        <tr r="X60" s="10"/>
      </tp>
      <tp t="e">
        <v>#N/A</v>
        <stp/>
        <stp>BDH|16486473897186787506</stp>
        <tr r="X22" s="7"/>
      </tp>
      <tp t="e">
        <v>#N/A</v>
        <stp/>
        <stp>BDH|18062881128248770259</stp>
        <tr r="T54" s="21"/>
      </tp>
      <tp t="e">
        <v>#N/A</v>
        <stp/>
        <stp>BDH|11702755066879667100</stp>
        <tr r="Q8" s="18"/>
      </tp>
      <tp t="e">
        <v>#N/A</v>
        <stp/>
        <stp>BDH|14773625107839324332</stp>
        <tr r="V72" s="17"/>
      </tp>
      <tp t="e">
        <v>#N/A</v>
        <stp/>
        <stp>BDH|17428805092978225665</stp>
        <tr r="H96" s="18"/>
      </tp>
      <tp t="e">
        <v>#N/A</v>
        <stp/>
        <stp>BDH|15960497976989179757</stp>
        <tr r="O36" s="21"/>
      </tp>
      <tp t="e">
        <v>#N/A</v>
        <stp/>
        <stp>BDH|17527169087340781618</stp>
        <tr r="X28" s="26"/>
      </tp>
      <tp t="e">
        <v>#N/A</v>
        <stp/>
        <stp>BDH|17056850061892111373</stp>
        <tr r="U22" s="18"/>
      </tp>
      <tp t="e">
        <v>#N/A</v>
        <stp/>
        <stp>BDH|18426331035961910194</stp>
        <tr r="P10" s="11"/>
      </tp>
      <tp t="e">
        <v>#N/A</v>
        <stp/>
        <stp>BDH|13083967220632620224</stp>
        <tr r="U9" s="17"/>
      </tp>
      <tp t="e">
        <v>#N/A</v>
        <stp/>
        <stp>BDH|15172652186960040306</stp>
        <tr r="H37" s="17"/>
      </tp>
      <tp t="e">
        <v>#N/A</v>
        <stp/>
        <stp>BDH|12607767842391900899</stp>
        <tr r="L9" s="12"/>
      </tp>
      <tp t="e">
        <v>#N/A</v>
        <stp/>
        <stp>BDH|16393630237819255278</stp>
        <tr r="E35" s="24"/>
      </tp>
      <tp t="e">
        <v>#N/A</v>
        <stp/>
        <stp>BDH|12499277985525542513</stp>
        <tr r="Q37" s="18"/>
      </tp>
      <tp t="e">
        <v>#N/A</v>
        <stp/>
        <stp>BDH|13105025340919757665</stp>
        <tr r="H45" s="34"/>
      </tp>
      <tp t="e">
        <v>#N/A</v>
        <stp/>
        <stp>BDH|13511225955674290828</stp>
        <tr r="K38" s="4"/>
        <tr r="K60" s="11"/>
        <tr r="M13" s="23"/>
      </tp>
      <tp t="e">
        <v>#N/A</v>
        <stp/>
        <stp>BDH|11298200429348081191</stp>
        <tr r="M20" s="30"/>
      </tp>
      <tp t="e">
        <v>#N/A</v>
        <stp/>
        <stp>BDH|16028911444326732501</stp>
        <tr r="I15" s="4"/>
      </tp>
      <tp t="e">
        <v>#N/A</v>
        <stp/>
        <stp>BDH|13366855016175625741</stp>
        <tr r="T28" s="4"/>
      </tp>
      <tp t="e">
        <v>#N/A</v>
        <stp/>
        <stp>BDH|13265709981250593444</stp>
        <tr r="R10" s="21"/>
      </tp>
      <tp t="e">
        <v>#N/A</v>
        <stp/>
        <stp>BDH|12353986759821380733</stp>
        <tr r="Y7" s="11"/>
      </tp>
      <tp t="e">
        <v>#N/A</v>
        <stp/>
        <stp>BDH|14044598697052951259</stp>
        <tr r="AA27" s="17"/>
      </tp>
      <tp t="e">
        <v>#N/A</v>
        <stp/>
        <stp>BDH|15349218232718429469</stp>
        <tr r="L10" s="22"/>
      </tp>
      <tp t="e">
        <v>#N/A</v>
        <stp/>
        <stp>BDH|10465813176496962180</stp>
        <tr r="K9" s="18"/>
      </tp>
      <tp t="e">
        <v>#N/A</v>
        <stp/>
        <stp>BDH|18009043461526020073</stp>
        <tr r="L46" s="17"/>
      </tp>
      <tp t="e">
        <v>#N/A</v>
        <stp/>
        <stp>BDH|16603947543565636656</stp>
        <tr r="U15" s="9"/>
      </tp>
      <tp t="e">
        <v>#N/A</v>
        <stp/>
        <stp>BDH|11930864319566614624</stp>
        <tr r="S68" s="18"/>
      </tp>
      <tp t="e">
        <v>#N/A</v>
        <stp/>
        <stp>BDH|17510704450114447937</stp>
        <tr r="J10" s="24"/>
      </tp>
      <tp t="e">
        <v>#N/A</v>
        <stp/>
        <stp>BDH|10029430495616321370</stp>
        <tr r="G33" s="21"/>
      </tp>
      <tp t="e">
        <v>#N/A</v>
        <stp/>
        <stp>BDH|16612970013696354037</stp>
        <tr r="N18" s="34"/>
      </tp>
      <tp t="e">
        <v>#N/A</v>
        <stp/>
        <stp>BDH|11564933522967113578</stp>
        <tr r="AA80" s="17"/>
      </tp>
      <tp t="e">
        <v>#N/A</v>
        <stp/>
        <stp>BDH|13870982581893554912</stp>
        <tr r="V63" s="12"/>
      </tp>
      <tp t="e">
        <v>#N/A</v>
        <stp/>
        <stp>BDH|11182324297013601076</stp>
        <tr r="R16" s="6"/>
      </tp>
      <tp t="e">
        <v>#N/A</v>
        <stp/>
        <stp>BDH|13146438227145305834</stp>
        <tr r="K63" s="10"/>
      </tp>
      <tp t="e">
        <v>#N/A</v>
        <stp/>
        <stp>BDH|17756971907255077329</stp>
        <tr r="R52" s="24"/>
      </tp>
      <tp t="e">
        <v>#N/A</v>
        <stp/>
        <stp>BDH|13981467688325066222</stp>
        <tr r="R23" s="22"/>
      </tp>
      <tp t="e">
        <v>#N/A</v>
        <stp/>
        <stp>BDH|12986854599488340333</stp>
        <tr r="Y16" s="21"/>
      </tp>
      <tp t="e">
        <v>#N/A</v>
        <stp/>
        <stp>BDH|15708875071114689623</stp>
        <tr r="W16" s="29"/>
        <tr r="W36" s="29"/>
      </tp>
      <tp t="e">
        <v>#N/A</v>
        <stp/>
        <stp>BDH|16269935720346668329</stp>
        <tr r="F19" s="18"/>
      </tp>
      <tp t="e">
        <v>#N/A</v>
        <stp/>
        <stp>BDH|12395971822062327304</stp>
        <tr r="G42" s="24"/>
      </tp>
      <tp t="e">
        <v>#N/A</v>
        <stp/>
        <stp>BDH|16837380850608529009</stp>
        <tr r="D49" s="17"/>
        <tr r="D17" s="3"/>
      </tp>
      <tp t="e">
        <v>#N/A</v>
        <stp/>
        <stp>BDH|10002119410670310870</stp>
        <tr r="R95" s="18"/>
      </tp>
      <tp t="e">
        <v>#N/A</v>
        <stp/>
        <stp>BDH|14348483085884221493</stp>
        <tr r="N48" s="21"/>
      </tp>
      <tp t="e">
        <v>#N/A</v>
        <stp/>
        <stp>BDH|13265563382823558565</stp>
        <tr r="I9" s="34"/>
      </tp>
      <tp t="e">
        <v>#N/A</v>
        <stp/>
        <stp>BDH|13170151297924027760</stp>
        <tr r="P27" s="7"/>
      </tp>
      <tp t="e">
        <v>#N/A</v>
        <stp/>
        <stp>BDH|11057402784833142606</stp>
        <tr r="U7" s="14"/>
      </tp>
      <tp t="e">
        <v>#N/A</v>
        <stp/>
        <stp>BDH|15502893797105984977</stp>
        <tr r="P44" s="24"/>
      </tp>
      <tp t="e">
        <v>#N/A</v>
        <stp/>
        <stp>BDH|14449926949915261480</stp>
        <tr r="P24" s="12"/>
      </tp>
      <tp t="e">
        <v>#N/A</v>
        <stp/>
        <stp>BDH|17197276992643036716</stp>
        <tr r="Y34" s="22"/>
      </tp>
      <tp t="e">
        <v>#N/A</v>
        <stp/>
        <stp>BDH|10599206398076158596</stp>
        <tr r="AA39" s="22"/>
      </tp>
      <tp t="e">
        <v>#N/A</v>
        <stp/>
        <stp>BDH|15458156979953803856</stp>
        <tr r="K60" s="21"/>
      </tp>
      <tp t="e">
        <v>#N/A</v>
        <stp/>
        <stp>BDH|10073757270461385930</stp>
        <tr r="P25" s="26"/>
      </tp>
      <tp t="e">
        <v>#N/A</v>
        <stp/>
        <stp>BDH|14782237087951325758</stp>
        <tr r="W7" s="4"/>
      </tp>
      <tp t="e">
        <v>#N/A</v>
        <stp/>
        <stp>BDH|17756287647940598981</stp>
        <tr r="E16" s="29"/>
        <tr r="E36" s="29"/>
      </tp>
      <tp t="e">
        <v>#N/A</v>
        <stp/>
        <stp>BDH|15612368991240016748</stp>
        <tr r="H63" s="24"/>
      </tp>
      <tp t="e">
        <v>#N/A</v>
        <stp/>
        <stp>BDH|13860593195827969089</stp>
        <tr r="J30" s="21"/>
      </tp>
      <tp t="e">
        <v>#N/A</v>
        <stp/>
        <stp>BDH|13156836166551155402</stp>
        <tr r="Y33" s="10"/>
        <tr r="Y31" s="11"/>
        <tr r="AA31" s="13"/>
      </tp>
      <tp t="e">
        <v>#N/A</v>
        <stp/>
        <stp>BDH|14840853339510662775</stp>
        <tr r="K67" s="10"/>
        <tr r="K65" s="11"/>
      </tp>
      <tp t="e">
        <v>#N/A</v>
        <stp/>
        <stp>BDH|17049559684962566012</stp>
        <tr r="I118" s="18"/>
      </tp>
      <tp t="e">
        <v>#N/A</v>
        <stp/>
        <stp>BDH|13858240644554956942</stp>
        <tr r="F56" s="18"/>
      </tp>
      <tp t="e">
        <v>#N/A</v>
        <stp/>
        <stp>BDH|15778216020178102527</stp>
        <tr r="K15" s="18"/>
      </tp>
      <tp t="e">
        <v>#N/A</v>
        <stp/>
        <stp>BDH|12776251451965103878</stp>
        <tr r="X18" s="6"/>
      </tp>
      <tp t="e">
        <v>#N/A</v>
        <stp/>
        <stp>BDH|18174988383380620198</stp>
        <tr r="P36" s="4"/>
      </tp>
      <tp t="e">
        <v>#N/A</v>
        <stp/>
        <stp>BDH|12974935818546686419</stp>
        <tr r="Y21" s="22"/>
      </tp>
      <tp t="e">
        <v>#N/A</v>
        <stp/>
        <stp>BDH|14356460488823986313</stp>
        <tr r="S60" s="17"/>
      </tp>
      <tp t="e">
        <v>#N/A</v>
        <stp/>
        <stp>BDH|16052494088861577318</stp>
        <tr r="X17" s="24"/>
      </tp>
      <tp t="e">
        <v>#N/A</v>
        <stp/>
        <stp>BDH|10520993150344879010</stp>
        <tr r="G99" s="18"/>
      </tp>
      <tp t="e">
        <v>#N/A</v>
        <stp/>
        <stp>BDH|17774020057918094272</stp>
        <tr r="X54" s="24"/>
      </tp>
      <tp t="e">
        <v>#N/A</v>
        <stp/>
        <stp>BDH|18187378817480565217</stp>
        <tr r="E80" s="17"/>
      </tp>
      <tp t="e">
        <v>#N/A</v>
        <stp/>
        <stp>BDH|12390204193751399067</stp>
        <tr r="H20" s="34"/>
      </tp>
      <tp t="e">
        <v>#N/A</v>
        <stp/>
        <stp>BDH|16409057001438022655</stp>
        <tr r="I28" s="17"/>
      </tp>
      <tp t="e">
        <v>#N/A</v>
        <stp/>
        <stp>BDH|13315983870363811664</stp>
        <tr r="Z30" s="12"/>
      </tp>
      <tp t="e">
        <v>#N/A</v>
        <stp/>
        <stp>BDH|16461934917690140644</stp>
        <tr r="F35" s="21"/>
      </tp>
      <tp t="e">
        <v>#N/A</v>
        <stp/>
        <stp>BDH|14753926172587159537</stp>
        <tr r="H51" s="12"/>
      </tp>
      <tp t="e">
        <v>#N/A</v>
        <stp/>
        <stp>BDH|16252617182605686537</stp>
        <tr r="M29" s="24"/>
      </tp>
      <tp t="e">
        <v>#N/A</v>
        <stp/>
        <stp>BDH|16192211893170463535</stp>
        <tr r="Q18" s="5"/>
        <tr r="P31" s="6"/>
      </tp>
      <tp t="e">
        <v>#N/A</v>
        <stp/>
        <stp>BDH|16854247500818942414</stp>
        <tr r="I16" s="30"/>
      </tp>
      <tp t="e">
        <v>#N/A</v>
        <stp/>
        <stp>BDH|18107797958236380475</stp>
        <tr r="N17" s="11"/>
      </tp>
      <tp t="e">
        <v>#N/A</v>
        <stp/>
        <stp>BDH|17948917314285882201</stp>
        <tr r="R19" s="9"/>
      </tp>
      <tp t="e">
        <v>#N/A</v>
        <stp/>
        <stp>BDH|15347609897405236725</stp>
        <tr r="F38" s="24"/>
      </tp>
      <tp t="e">
        <v>#N/A</v>
        <stp/>
        <stp>BDH|14455853349857503791</stp>
        <tr r="N7" s="8"/>
      </tp>
      <tp t="e">
        <v>#N/A</v>
        <stp/>
        <stp>BDH|14664925524127087044</stp>
        <tr r="K62" s="18"/>
      </tp>
      <tp t="e">
        <v>#N/A</v>
        <stp/>
        <stp>BDH|15227116380770743409</stp>
        <tr r="U41" s="17"/>
      </tp>
      <tp t="e">
        <v>#N/A</v>
        <stp/>
        <stp>BDH|15350851934132489423</stp>
        <tr r="C10" s="11"/>
      </tp>
      <tp t="e">
        <v>#N/A</v>
        <stp/>
        <stp>BDH|17183159022665697940</stp>
        <tr r="O22" s="17"/>
      </tp>
      <tp t="e">
        <v>#N/A</v>
        <stp/>
        <stp>BDH|16432816953923124032</stp>
        <tr r="J19" s="9"/>
      </tp>
      <tp t="e">
        <v>#N/A</v>
        <stp/>
        <stp>BDH|13976922059820410720</stp>
        <tr r="I37" s="10"/>
        <tr r="I35" s="11"/>
      </tp>
      <tp t="e">
        <v>#N/A</v>
        <stp/>
        <stp>BDH|13236746770843364817</stp>
        <tr r="V66" s="18"/>
      </tp>
      <tp t="e">
        <v>#N/A</v>
        <stp/>
        <stp>BDH|12296878532163472274</stp>
        <tr r="D69" s="24"/>
      </tp>
      <tp t="e">
        <v>#N/A</v>
        <stp/>
        <stp>BDH|18166835759678954563</stp>
        <tr r="Q30" s="29"/>
        <tr r="Q8" s="29"/>
      </tp>
      <tp t="e">
        <v>#N/A</v>
        <stp/>
        <stp>BDH|17290144592486531158</stp>
        <tr r="Y56" s="17"/>
      </tp>
      <tp t="e">
        <v>#N/A</v>
        <stp/>
        <stp>BDH|18137372031727559761</stp>
        <tr r="T29" s="29"/>
        <tr r="T7" s="29"/>
      </tp>
      <tp t="e">
        <v>#N/A</v>
        <stp/>
        <stp>BDH|12522847870245367063</stp>
        <tr r="T23" s="17"/>
      </tp>
      <tp t="e">
        <v>#N/A</v>
        <stp/>
        <stp>BDH|14786089784191860574</stp>
        <tr r="P23" s="22"/>
      </tp>
      <tp t="e">
        <v>#N/A</v>
        <stp/>
        <stp>BDH|11578664215729400765</stp>
        <tr r="K30" s="29"/>
        <tr r="K8" s="29"/>
      </tp>
      <tp t="e">
        <v>#N/A</v>
        <stp/>
        <stp>BDH|14220244792505342236</stp>
        <tr r="M13" s="14"/>
      </tp>
      <tp t="e">
        <v>#N/A</v>
        <stp/>
        <stp>BDH|18081595245598193991</stp>
        <tr r="F13" s="12"/>
      </tp>
      <tp t="e">
        <v>#N/A</v>
        <stp/>
        <stp>BDH|14513424186131649130</stp>
        <tr r="E17" s="14"/>
      </tp>
      <tp t="e">
        <v>#N/A</v>
        <stp/>
        <stp>BDH|10742726197257303150</stp>
        <tr r="Z117" s="18"/>
      </tp>
      <tp t="e">
        <v>#N/A</v>
        <stp/>
        <stp>BDH|18406320378743811726</stp>
        <tr r="J37" s="34"/>
      </tp>
      <tp t="e">
        <v>#N/A</v>
        <stp/>
        <stp>BDH|17599356328268937659</stp>
        <tr r="Z33" s="17"/>
      </tp>
      <tp t="e">
        <v>#N/A</v>
        <stp/>
        <stp>BDH|15570514094962149358</stp>
        <tr r="F30" s="21"/>
      </tp>
      <tp t="e">
        <v>#N/A</v>
        <stp/>
        <stp>BDH|12738641294474387108</stp>
        <tr r="X115" s="18"/>
      </tp>
      <tp t="e">
        <v>#N/A</v>
        <stp/>
        <stp>BDH|12442422772450655961</stp>
        <tr r="AA38" s="18"/>
      </tp>
      <tp t="e">
        <v>#N/A</v>
        <stp/>
        <stp>BDH|17690409604763368854</stp>
        <tr r="J63" s="17"/>
      </tp>
      <tp t="e">
        <v>#N/A</v>
        <stp/>
        <stp>BDH|10473897577391905676</stp>
        <tr r="U27" s="18"/>
      </tp>
      <tp t="e">
        <v>#N/A</v>
        <stp/>
        <stp>BDH|16354114988825943279</stp>
        <tr r="O48" s="17"/>
      </tp>
      <tp t="e">
        <v>#N/A</v>
        <stp/>
        <stp>BDH|16652333341741481872</stp>
        <tr r="P25" s="4"/>
        <tr r="P61" s="10"/>
      </tp>
      <tp t="e">
        <v>#N/A</v>
        <stp/>
        <stp>BDH|15189698142657882854</stp>
        <tr r="W18" s="5"/>
        <tr r="V31" s="6"/>
      </tp>
      <tp t="e">
        <v>#N/A</v>
        <stp/>
        <stp>BDH|16374438937738401142</stp>
        <tr r="G8" s="22"/>
      </tp>
      <tp t="e">
        <v>#N/A</v>
        <stp/>
        <stp>BDH|10961988608286961773</stp>
        <tr r="X67" s="10"/>
        <tr r="X65" s="11"/>
      </tp>
      <tp t="e">
        <v>#N/A</v>
        <stp/>
        <stp>BDH|15511408990041680149</stp>
        <tr r="U13" s="10"/>
      </tp>
      <tp t="e">
        <v>#N/A</v>
        <stp/>
        <stp>BDH|14998696614429405273</stp>
        <tr r="E34" s="22"/>
      </tp>
      <tp t="e">
        <v>#N/A</v>
        <stp/>
        <stp>BDH|12511012103022494842</stp>
        <tr r="X61" s="11"/>
        <tr r="Z15" s="23"/>
      </tp>
      <tp t="e">
        <v>#N/A</v>
        <stp/>
        <stp>BDH|12033524260981334862</stp>
        <tr r="Y12" s="24"/>
      </tp>
      <tp t="e">
        <v>#N/A</v>
        <stp/>
        <stp>BDH|15303718091394731737</stp>
        <tr r="X29" s="21"/>
      </tp>
      <tp t="e">
        <v>#N/A</v>
        <stp/>
        <stp>BDH|12933804865973853735</stp>
        <tr r="G19" s="6"/>
      </tp>
      <tp t="e">
        <v>#N/A</v>
        <stp/>
        <stp>BDH|14533559346628044516</stp>
        <tr r="V29" s="12"/>
      </tp>
      <tp t="e">
        <v>#N/A</v>
        <stp/>
        <stp>BDH|11602240300028197344</stp>
        <tr r="Q12" s="13"/>
      </tp>
      <tp t="e">
        <v>#N/A</v>
        <stp/>
        <stp>BDH|10357945594971367973</stp>
        <tr r="U8" s="28"/>
      </tp>
      <tp t="e">
        <v>#N/A</v>
        <stp/>
        <stp>BDH|17144253008389950422</stp>
        <tr r="X9" s="24"/>
      </tp>
      <tp t="e">
        <v>#N/A</v>
        <stp/>
        <stp>BDH|11700133071869405668</stp>
        <tr r="L43" s="24"/>
      </tp>
      <tp t="e">
        <v>#N/A</v>
        <stp/>
        <stp>BDH|18250413501063120747</stp>
        <tr r="R41" s="12"/>
      </tp>
      <tp t="e">
        <v>#N/A</v>
        <stp/>
        <stp>BDH|12555757284311646457</stp>
        <tr r="J54" s="12"/>
      </tp>
      <tp t="e">
        <v>#N/A</v>
        <stp/>
        <stp>BDH|15587063407925251815</stp>
        <tr r="C79" s="18"/>
      </tp>
      <tp t="e">
        <v>#N/A</v>
        <stp/>
        <stp>BDH|12792146663374456939</stp>
        <tr r="J74" s="18"/>
      </tp>
      <tp t="e">
        <v>#N/A</v>
        <stp/>
        <stp>BDH|10120444576378230366</stp>
        <tr r="F39" s="17"/>
      </tp>
      <tp t="e">
        <v>#N/A</v>
        <stp/>
        <stp>BDH|11663574096695928096</stp>
        <tr r="Q36" s="21"/>
      </tp>
      <tp t="e">
        <v>#N/A</v>
        <stp/>
        <stp>BDH|11544590238778060732</stp>
        <tr r="D57" s="12"/>
      </tp>
      <tp t="e">
        <v>#N/A</v>
        <stp/>
        <stp>BDH|10064975705464078556</stp>
        <tr r="H9" s="18"/>
      </tp>
      <tp t="e">
        <v>#N/A</v>
        <stp/>
        <stp>BDH|11359150087303787318</stp>
        <tr r="P11" s="13"/>
      </tp>
      <tp t="e">
        <v>#N/A</v>
        <stp/>
        <stp>BDH|11107860864694436303</stp>
        <tr r="L43" s="10"/>
        <tr r="L41" s="11"/>
      </tp>
      <tp t="e">
        <v>#N/A</v>
        <stp/>
        <stp>BDH|16749314471192513855</stp>
        <tr r="K45" s="18"/>
      </tp>
      <tp t="e">
        <v>#N/A</v>
        <stp/>
        <stp>BDH|17151855457175054741</stp>
        <tr r="U72" s="18"/>
      </tp>
      <tp t="e">
        <v>#N/A</v>
        <stp/>
        <stp>BDH|16218642620278972282</stp>
        <tr r="M67" s="12"/>
      </tp>
      <tp t="e">
        <v>#N/A</v>
        <stp/>
        <stp>BDH|16239027956383712862</stp>
        <tr r="P11" s="9"/>
      </tp>
      <tp t="e">
        <v>#N/A</v>
        <stp/>
        <stp>BDH|17143545749227372980</stp>
        <tr r="F16" s="11"/>
      </tp>
      <tp t="e">
        <v>#N/A</v>
        <stp/>
        <stp>BDH|10164102031742056872</stp>
        <tr r="C42" s="4"/>
      </tp>
      <tp t="e">
        <v>#N/A</v>
        <stp/>
        <stp>BDH|12453317696173260361</stp>
        <tr r="W6" s="28"/>
      </tp>
      <tp t="e">
        <v>#N/A</v>
        <stp/>
        <stp>BDH|13252040706868437325</stp>
        <tr r="D35" s="21"/>
      </tp>
      <tp t="e">
        <v>#N/A</v>
        <stp/>
        <stp>BDH|13596036340128510754</stp>
        <tr r="Y13" s="14"/>
      </tp>
      <tp t="e">
        <v>#N/A</v>
        <stp/>
        <stp>BDH|11549261677169099526</stp>
        <tr r="Y8" s="27"/>
      </tp>
      <tp t="e">
        <v>#N/A</v>
        <stp/>
        <stp>BDH|18422616460862405276</stp>
        <tr r="C49" s="21"/>
      </tp>
      <tp t="e">
        <v>#N/A</v>
        <stp/>
        <stp>BDH|10659731041732423968</stp>
        <tr r="S8" s="6"/>
      </tp>
      <tp t="e">
        <v>#N/A</v>
        <stp/>
        <stp>BDH|18037417257784724578</stp>
        <tr r="L16" s="17"/>
        <tr r="L19" s="28"/>
      </tp>
      <tp t="e">
        <v>#N/A</v>
        <stp/>
        <stp>BDH|11354929771716035161</stp>
        <tr r="X65" s="18"/>
      </tp>
      <tp t="e">
        <v>#N/A</v>
        <stp/>
        <stp>BDH|14500909454235776504</stp>
        <tr r="I18" s="14"/>
      </tp>
      <tp t="e">
        <v>#N/A</v>
        <stp/>
        <stp>BDH|11124476686535596037</stp>
        <tr r="N68" s="24"/>
      </tp>
      <tp t="e">
        <v>#N/A</v>
        <stp/>
        <stp>BDH|11621096576569863778</stp>
        <tr r="V14" s="2"/>
        <tr r="V11" s="10"/>
      </tp>
      <tp t="e">
        <v>#N/A</v>
        <stp/>
        <stp>BDH|18431936044864178947</stp>
        <tr r="G126" s="18"/>
      </tp>
      <tp t="e">
        <v>#N/A</v>
        <stp/>
        <stp>BDH|10869192117920944894</stp>
        <tr r="J41" s="21"/>
      </tp>
      <tp t="e">
        <v>#N/A</v>
        <stp/>
        <stp>BDH|13404304780823740355</stp>
        <tr r="F35" s="12"/>
      </tp>
      <tp t="e">
        <v>#N/A</v>
        <stp/>
        <stp>BDH|13764800726171167063</stp>
        <tr r="N71" s="18"/>
      </tp>
      <tp t="e">
        <v>#N/A</v>
        <stp/>
        <stp>BDH|16732210936698239746</stp>
        <tr r="U25" s="24"/>
      </tp>
      <tp t="e">
        <v>#N/A</v>
        <stp/>
        <stp>BDH|16711535756566635822</stp>
        <tr r="Y31" s="10"/>
        <tr r="Y29" s="11"/>
      </tp>
      <tp t="e">
        <v>#N/A</v>
        <stp/>
        <stp>BDH|17694242978783591995</stp>
        <tr r="T29" s="24"/>
      </tp>
      <tp t="e">
        <v>#N/A</v>
        <stp/>
        <stp>BDH|14306865132791758667</stp>
        <tr r="T17" s="18"/>
      </tp>
      <tp t="e">
        <v>#N/A</v>
        <stp/>
        <stp>BDH|10903244394043827071</stp>
        <tr r="M34" s="21"/>
      </tp>
      <tp t="e">
        <v>#N/A</v>
        <stp/>
        <stp>BDH|17651756231753520810</stp>
        <tr r="V19" s="6"/>
      </tp>
      <tp t="e">
        <v>#N/A</v>
        <stp/>
        <stp>BDH|14438400388422242286</stp>
        <tr r="H21" s="22"/>
      </tp>
      <tp t="e">
        <v>#N/A</v>
        <stp/>
        <stp>BDH|10915685942929205379</stp>
        <tr r="H23" s="22"/>
      </tp>
      <tp t="e">
        <v>#N/A</v>
        <stp/>
        <stp>BDH|18263924223258236377</stp>
        <tr r="O18" s="29"/>
        <tr r="O38" s="29"/>
      </tp>
      <tp t="e">
        <v>#N/A</v>
        <stp/>
        <stp>BDH|14299475902598660084</stp>
        <tr r="O35" s="21"/>
      </tp>
      <tp t="e">
        <v>#N/A</v>
        <stp/>
        <stp>BDH|13188116724218407096</stp>
        <tr r="X10" s="10"/>
      </tp>
      <tp t="e">
        <v>#N/A</v>
        <stp/>
        <stp>BDH|16982251233169075665</stp>
        <tr r="Q15" s="20"/>
      </tp>
      <tp t="e">
        <v>#N/A</v>
        <stp/>
        <stp>BDH|10021840423300887263</stp>
        <tr r="C112" s="18"/>
      </tp>
      <tp t="e">
        <v>#N/A</v>
        <stp/>
        <stp>BDH|13299707097021971451</stp>
        <tr r="E82" s="18"/>
      </tp>
      <tp t="e">
        <v>#N/A</v>
        <stp/>
        <stp>BDH|17777817770008985860</stp>
        <tr r="Y30" s="10"/>
        <tr r="Y28" s="11"/>
      </tp>
      <tp t="e">
        <v>#N/A</v>
        <stp/>
        <stp>BDH|15449303183076906079</stp>
        <tr r="F13" s="7"/>
      </tp>
      <tp t="e">
        <v>#N/A</v>
        <stp/>
        <stp>BDH|11839901167125479328</stp>
        <tr r="F67" s="18"/>
      </tp>
      <tp t="e">
        <v>#N/A</v>
        <stp/>
        <stp>BDH|15669593602169402106</stp>
        <tr r="J18" s="6"/>
      </tp>
      <tp t="e">
        <v>#N/A</v>
        <stp/>
        <stp>BDH|11663871137423612190</stp>
        <tr r="K8" s="23"/>
      </tp>
      <tp t="e">
        <v>#N/A</v>
        <stp/>
        <stp>BDH|12844731634279416727</stp>
        <tr r="I63" s="17"/>
      </tp>
      <tp t="e">
        <v>#N/A</v>
        <stp/>
        <stp>BDH|14635150306024447986</stp>
        <tr r="V31" s="18"/>
      </tp>
      <tp t="e">
        <v>#N/A</v>
        <stp/>
        <stp>BDH|15866019760842443943</stp>
        <tr r="N8" s="23"/>
      </tp>
      <tp t="e">
        <v>#N/A</v>
        <stp/>
        <stp>BDH|15770576615868882147</stp>
        <tr r="R26" s="21"/>
      </tp>
      <tp t="e">
        <v>#N/A</v>
        <stp/>
        <stp>BDH|12199656498502690737</stp>
        <tr r="N27" s="6"/>
      </tp>
      <tp t="e">
        <v>#N/A</v>
        <stp/>
        <stp>BDH|11308823696049665181</stp>
        <tr r="E35" s="21"/>
      </tp>
      <tp t="e">
        <v>#N/A</v>
        <stp/>
        <stp>BDH|10838664294863651441</stp>
        <tr r="Q16" s="25"/>
        <tr r="O22" s="11"/>
      </tp>
      <tp t="e">
        <v>#N/A</v>
        <stp/>
        <stp>BDH|17959655284012492342</stp>
        <tr r="M8" s="28"/>
      </tp>
      <tp t="e">
        <v>#N/A</v>
        <stp/>
        <stp>BDH|17349330638258950798</stp>
        <tr r="J55" s="24"/>
      </tp>
      <tp t="e">
        <v>#N/A</v>
        <stp/>
        <stp>BDH|17419743498464481547</stp>
        <tr r="E18" s="11"/>
      </tp>
      <tp t="e">
        <v>#N/A</v>
        <stp/>
        <stp>BDH|17171948700571428790</stp>
        <tr r="V27" s="7"/>
      </tp>
      <tp t="e">
        <v>#N/A</v>
        <stp/>
        <stp>BDH|15048237386672487592</stp>
        <tr r="Y28" s="18"/>
      </tp>
      <tp t="e">
        <v>#N/A</v>
        <stp/>
        <stp>BDH|15114623984940836374</stp>
        <tr r="Q40" s="18"/>
      </tp>
      <tp t="e">
        <v>#N/A</v>
        <stp/>
        <stp>BDH|11759392670625040866</stp>
        <tr r="Q26" s="6"/>
      </tp>
      <tp t="e">
        <v>#N/A</v>
        <stp/>
        <stp>BDH|10811900444591743433</stp>
        <tr r="D98" s="18"/>
      </tp>
      <tp t="e">
        <v>#N/A</v>
        <stp/>
        <stp>BDH|10155366669605529835</stp>
        <tr r="R8" s="23"/>
      </tp>
      <tp t="e">
        <v>#N/A</v>
        <stp/>
        <stp>BDH|10558497017739241413</stp>
        <tr r="D110" s="18"/>
      </tp>
      <tp t="e">
        <v>#N/A</v>
        <stp/>
        <stp>BDH|15316807632537037192</stp>
        <tr r="F8" s="22"/>
      </tp>
      <tp t="e">
        <v>#N/A</v>
        <stp/>
        <stp>BDH|12711005545128340693</stp>
        <tr r="W26" s="29"/>
      </tp>
      <tp t="e">
        <v>#N/A</v>
        <stp/>
        <stp>BDH|10019095153418409562</stp>
        <tr r="O30" s="12"/>
      </tp>
      <tp t="e">
        <v>#N/A</v>
        <stp/>
        <stp>BDH|10010803893109371085</stp>
        <tr r="R12" s="21"/>
      </tp>
      <tp t="e">
        <v>#N/A</v>
        <stp/>
        <stp>BDH|17827276517404543855</stp>
        <tr r="C7" s="21"/>
      </tp>
      <tp t="e">
        <v>#N/A</v>
        <stp/>
        <stp>BDH|13818845318323459183</stp>
        <tr r="W53" s="10"/>
        <tr r="W51" s="11"/>
        <tr r="W18" s="7"/>
        <tr r="Y40" s="13"/>
      </tp>
      <tp t="e">
        <v>#N/A</v>
        <stp/>
        <stp>BDH|10748529391112590695</stp>
        <tr r="K59" s="24"/>
      </tp>
      <tp t="e">
        <v>#N/A</v>
        <stp/>
        <stp>BDH|17067952474625805412</stp>
        <tr r="O20" s="5"/>
        <tr r="O21" s="9"/>
      </tp>
      <tp t="e">
        <v>#N/A</v>
        <stp/>
        <stp>BDH|17852874943107368476</stp>
        <tr r="F18" s="14"/>
      </tp>
      <tp t="e">
        <v>#N/A</v>
        <stp/>
        <stp>BDH|10437922009620767101</stp>
        <tr r="U13" s="24"/>
      </tp>
      <tp t="e">
        <v>#N/A</v>
        <stp/>
        <stp>BDH|13847662375762005836</stp>
        <tr r="AA38" s="17"/>
      </tp>
      <tp t="e">
        <v>#N/A</v>
        <stp/>
        <stp>BDH|15176888122795570269</stp>
        <tr r="U54" s="18"/>
      </tp>
      <tp t="e">
        <v>#N/A</v>
        <stp/>
        <stp>BDH|15815137611789422465</stp>
        <tr r="M104" s="18"/>
      </tp>
      <tp t="e">
        <v>#N/A</v>
        <stp/>
        <stp>BDH|17409860445204645790</stp>
        <tr r="E12" s="13"/>
      </tp>
      <tp t="e">
        <v>#N/A</v>
        <stp/>
        <stp>BDH|13192988640694214233</stp>
        <tr r="Z93" s="18"/>
      </tp>
      <tp t="e">
        <v>#N/A</v>
        <stp/>
        <stp>BDH|18371882974298666714</stp>
        <tr r="Y42" s="17"/>
      </tp>
      <tp t="e">
        <v>#N/A</v>
        <stp/>
        <stp>BDH|14968845638840814761</stp>
        <tr r="Y83" s="17"/>
      </tp>
      <tp t="e">
        <v>#N/A</v>
        <stp/>
        <stp>BDH|12760597384913437451</stp>
        <tr r="M58" s="24"/>
      </tp>
      <tp t="e">
        <v>#N/A</v>
        <stp/>
        <stp>BDH|14511121705534854919</stp>
        <tr r="F93" s="18"/>
      </tp>
      <tp t="e">
        <v>#N/A</v>
        <stp/>
        <stp>BDH|10278681310836500946</stp>
        <tr r="I51" s="17"/>
      </tp>
      <tp t="e">
        <v>#N/A</v>
        <stp/>
        <stp>BDH|17489858019840168621</stp>
        <tr r="E107" s="18"/>
      </tp>
      <tp t="e">
        <v>#N/A</v>
        <stp/>
        <stp>BDH|15064332393926244196</stp>
        <tr r="I41" s="21"/>
      </tp>
      <tp t="e">
        <v>#N/A</v>
        <stp/>
        <stp>BDH|11092990821404722641</stp>
        <tr r="Y31" s="12"/>
      </tp>
      <tp t="e">
        <v>#N/A</v>
        <stp/>
        <stp>BDH|10632150297244845478</stp>
        <tr r="U76" s="18"/>
      </tp>
      <tp t="e">
        <v>#N/A</v>
        <stp/>
        <stp>BDH|18095176124574001787</stp>
        <tr r="W56" s="18"/>
      </tp>
      <tp t="e">
        <v>#N/A</v>
        <stp/>
        <stp>BDH|11594112616610803911</stp>
        <tr r="Y11" s="9"/>
      </tp>
      <tp t="e">
        <v>#N/A</v>
        <stp/>
        <stp>BDH|17179842146537137490</stp>
        <tr r="G6" s="19"/>
        <tr r="G34" s="17"/>
        <tr r="G16" s="3"/>
      </tp>
      <tp t="e">
        <v>#N/A</v>
        <stp/>
        <stp>BDH|13338861821643725285</stp>
        <tr r="L8" s="12"/>
      </tp>
      <tp t="e">
        <v>#N/A</v>
        <stp/>
        <stp>BDH|15298579329439245352</stp>
        <tr r="R15" s="18"/>
      </tp>
      <tp t="e">
        <v>#N/A</v>
        <stp/>
        <stp>BDH|11542065889276232731</stp>
        <tr r="P18" s="30"/>
      </tp>
      <tp t="e">
        <v>#N/A</v>
        <stp/>
        <stp>BDH|15992761786722785056</stp>
        <tr r="AA74" s="17"/>
        <tr r="AA19" s="3"/>
      </tp>
      <tp t="e">
        <v>#N/A</v>
        <stp/>
        <stp>BDH|17770734783637558790</stp>
        <tr r="D20" s="11"/>
      </tp>
      <tp t="e">
        <v>#N/A</v>
        <stp/>
        <stp>BDH|14305660148676034865</stp>
        <tr r="I45" s="18"/>
      </tp>
      <tp t="e">
        <v>#N/A</v>
        <stp/>
        <stp>BDH|12213392611188476052</stp>
        <tr r="G40" s="21"/>
      </tp>
      <tp t="e">
        <v>#N/A</v>
        <stp/>
        <stp>BDH|12845554016056506857</stp>
        <tr r="R56" s="24"/>
      </tp>
      <tp t="e">
        <v>#N/A</v>
        <stp/>
        <stp>BDH|15260320175390976974</stp>
        <tr r="L29" s="29"/>
        <tr r="L7" s="29"/>
      </tp>
      <tp t="e">
        <v>#N/A</v>
        <stp/>
        <stp>BDH|13747999805852045004</stp>
        <tr r="D13" s="14"/>
      </tp>
      <tp t="e">
        <v>#N/A</v>
        <stp/>
        <stp>BDH|17209757791656845750</stp>
        <tr r="C46" s="34"/>
      </tp>
      <tp t="e">
        <v>#N/A</v>
        <stp/>
        <stp>BDH|17224593869654005893</stp>
        <tr r="U20" s="12"/>
      </tp>
      <tp t="e">
        <v>#N/A</v>
        <stp/>
        <stp>BDH|17621297798623828745</stp>
        <tr r="U60" s="17"/>
      </tp>
      <tp t="e">
        <v>#N/A</v>
        <stp/>
        <stp>BDH|14278774196600831202</stp>
        <tr r="G21" s="2"/>
      </tp>
      <tp t="e">
        <v>#N/A</v>
        <stp/>
        <stp>BDH|14714693744667098906</stp>
        <tr r="U60" s="10"/>
      </tp>
      <tp t="e">
        <v>#N/A</v>
        <stp/>
        <stp>BDH|16523348939217011922</stp>
        <tr r="U21" s="18"/>
      </tp>
      <tp t="e">
        <v>#N/A</v>
        <stp/>
        <stp>BDH|13311729245320647884</stp>
        <tr r="J59" s="18"/>
      </tp>
      <tp t="e">
        <v>#N/A</v>
        <stp/>
        <stp>BDH|11217625143413181880</stp>
        <tr r="R105" s="18"/>
      </tp>
      <tp t="e">
        <v>#N/A</v>
        <stp/>
        <stp>BDH|10259926702485086487</stp>
        <tr r="K86" s="17"/>
      </tp>
      <tp t="e">
        <v>#N/A</v>
        <stp/>
        <stp>BDH|14983920749081107096</stp>
        <tr r="F41" s="24"/>
      </tp>
      <tp t="e">
        <v>#N/A</v>
        <stp/>
        <stp>BDH|15734809436517804131</stp>
        <tr r="M8" s="24"/>
      </tp>
      <tp t="e">
        <v>#N/A</v>
        <stp/>
        <stp>BDH|14547335532959962572</stp>
        <tr r="T18" s="29"/>
        <tr r="T38" s="29"/>
      </tp>
      <tp t="e">
        <v>#N/A</v>
        <stp/>
        <stp>BDH|18061825089219942989</stp>
        <tr r="G45" s="17"/>
      </tp>
      <tp t="e">
        <v>#N/A</v>
        <stp/>
        <stp>BDH|12562175805058993348</stp>
        <tr r="K45" s="21"/>
      </tp>
      <tp t="e">
        <v>#N/A</v>
        <stp/>
        <stp>BDH|15193288696451466711</stp>
        <tr r="I83" s="18"/>
      </tp>
      <tp t="e">
        <v>#N/A</v>
        <stp/>
        <stp>BDH|12016418519647577879</stp>
        <tr r="T41" s="24"/>
      </tp>
      <tp t="e">
        <v>#N/A</v>
        <stp/>
        <stp>BDH|11881864758026487285</stp>
        <tr r="L53" s="10"/>
        <tr r="L51" s="11"/>
        <tr r="L18" s="7"/>
        <tr r="N40" s="13"/>
      </tp>
      <tp t="e">
        <v>#N/A</v>
        <stp/>
        <stp>BDH|14293161994117800329</stp>
        <tr r="K15" s="22"/>
      </tp>
      <tp t="e">
        <v>#N/A</v>
        <stp/>
        <stp>BDH|12591211241878855472</stp>
        <tr r="S22" s="10"/>
      </tp>
      <tp t="e">
        <v>#N/A</v>
        <stp/>
        <stp>BDH|18057029163865842337</stp>
        <tr r="T8" s="18"/>
      </tp>
      <tp t="e">
        <v>#N/A</v>
        <stp/>
        <stp>BDH|18035186974067477124</stp>
        <tr r="D26" s="13"/>
      </tp>
      <tp t="e">
        <v>#N/A</v>
        <stp/>
        <stp>BDH|13225409898763215528</stp>
        <tr r="L10" s="11"/>
      </tp>
      <tp t="e">
        <v>#N/A</v>
        <stp/>
        <stp>BDH|11947672121068706523</stp>
        <tr r="Y15" s="5"/>
      </tp>
      <tp t="e">
        <v>#N/A</v>
        <stp/>
        <stp>BDH|15289684706003588831</stp>
        <tr r="V7" s="14"/>
      </tp>
      <tp t="e">
        <v>#N/A</v>
        <stp/>
        <stp>BDH|15861518723462066809</stp>
        <tr r="E51" s="12"/>
      </tp>
      <tp t="e">
        <v>#N/A</v>
        <stp/>
        <stp>BDH|18176764679028144852</stp>
        <tr r="M56" s="18"/>
      </tp>
      <tp t="e">
        <v>#N/A</v>
        <stp/>
        <stp>BDH|12858474533084165972</stp>
        <tr r="I50" s="12"/>
      </tp>
      <tp t="e">
        <v>#N/A</v>
        <stp/>
        <stp>BDH|14187166357548514080</stp>
        <tr r="O64" s="24"/>
      </tp>
      <tp t="e">
        <v>#N/A</v>
        <stp/>
        <stp>BDH|16727947055157866538</stp>
        <tr r="H25" s="17"/>
      </tp>
      <tp t="e">
        <v>#N/A</v>
        <stp/>
        <stp>BDH|10953617643942237842</stp>
        <tr r="H35" s="6"/>
        <tr r="J10" s="8"/>
      </tp>
      <tp t="e">
        <v>#N/A</v>
        <stp/>
        <stp>BDH|16143373927079581696</stp>
        <tr r="V23" s="25"/>
        <tr r="V16" s="27"/>
      </tp>
      <tp t="e">
        <v>#N/A</v>
        <stp/>
        <stp>BDH|18254618954180928331</stp>
        <tr r="J21" s="10"/>
      </tp>
      <tp t="e">
        <v>#N/A</v>
        <stp/>
        <stp>BDH|13800848474360236477</stp>
        <tr r="Q40" s="12"/>
      </tp>
      <tp t="e">
        <v>#N/A</v>
        <stp/>
        <stp>BDH|13864127385923304117</stp>
        <tr r="P48" s="12"/>
      </tp>
      <tp t="e">
        <v>#N/A</v>
        <stp/>
        <stp>BDH|14221636261979569585</stp>
        <tr r="J11" s="24"/>
      </tp>
      <tp t="e">
        <v>#N/A</v>
        <stp/>
        <stp>BDH|16575155039245289966</stp>
        <tr r="H23" s="25"/>
        <tr r="H16" s="27"/>
      </tp>
      <tp t="e">
        <v>#N/A</v>
        <stp/>
        <stp>BDH|17753808714570643682</stp>
        <tr r="V23" s="21"/>
      </tp>
      <tp t="e">
        <v>#N/A</v>
        <stp/>
        <stp>BDH|16166062048888770256</stp>
        <tr r="Y16" s="23"/>
      </tp>
      <tp t="e">
        <v>#N/A</v>
        <stp/>
        <stp>BDH|16960164137979448512</stp>
        <tr r="P62" s="11"/>
        <tr r="R19" s="23"/>
      </tp>
      <tp t="e">
        <v>#N/A</v>
        <stp/>
        <stp>BDH|11969797083682685482</stp>
        <tr r="M13" s="6"/>
      </tp>
      <tp t="e">
        <v>#N/A</v>
        <stp/>
        <stp>BDH|14016832118931549432</stp>
        <tr r="D10" s="10"/>
      </tp>
      <tp t="e">
        <v>#N/A</v>
        <stp/>
        <stp>BDH|13568032804209887272</stp>
        <tr r="N110" s="18"/>
      </tp>
      <tp t="e">
        <v>#N/A</v>
        <stp/>
        <stp>BDH|17216544899544079724</stp>
        <tr r="J63" s="21"/>
        <tr r="H23" s="7"/>
      </tp>
      <tp t="e">
        <v>#N/A</v>
        <stp/>
        <stp>BDH|14211486402011346961</stp>
        <tr r="R18" s="5"/>
        <tr r="Q31" s="6"/>
      </tp>
      <tp t="e">
        <v>#N/A</v>
        <stp/>
        <stp>BDH|17244052984194775391</stp>
        <tr r="I38" s="24"/>
      </tp>
      <tp t="e">
        <v>#N/A</v>
        <stp/>
        <stp>BDH|14855483507748844024</stp>
        <tr r="K14" s="28"/>
      </tp>
      <tp t="e">
        <v>#N/A</v>
        <stp/>
        <stp>BDH|18231816452265448883</stp>
        <tr r="J89" s="18"/>
        <tr r="J9" s="20"/>
      </tp>
      <tp t="e">
        <v>#N/A</v>
        <stp/>
        <stp>BDH|10094992913367486737</stp>
        <tr r="K12" s="22"/>
      </tp>
      <tp t="e">
        <v>#N/A</v>
        <stp/>
        <stp>BDH|12837992437035868531</stp>
        <tr r="L88" s="17"/>
      </tp>
      <tp t="e">
        <v>#N/A</v>
        <stp/>
        <stp>BDH|12905122284590045325</stp>
        <tr r="Q59" s="21"/>
        <tr r="O57" s="11"/>
      </tp>
      <tp t="e">
        <v>#N/A</v>
        <stp/>
        <stp>BDH|13609036731319800110</stp>
        <tr r="I8" s="26"/>
        <tr r="G10" s="9"/>
      </tp>
      <tp t="e">
        <v>#N/A</v>
        <stp/>
        <stp>BDH|11632800303486862704</stp>
        <tr r="K21" s="21"/>
      </tp>
      <tp t="e">
        <v>#N/A</v>
        <stp/>
        <stp>BDH|11877991815440010196</stp>
        <tr r="Q127" s="18"/>
      </tp>
      <tp t="e">
        <v>#N/A</v>
        <stp/>
        <stp>BDH|16747267296163362691</stp>
        <tr r="AA86" s="18"/>
        <tr r="AA6" s="20"/>
      </tp>
      <tp t="e">
        <v>#N/A</v>
        <stp/>
        <stp>BDH|12153601210105873846</stp>
        <tr r="M93" s="18"/>
      </tp>
      <tp t="e">
        <v>#N/A</v>
        <stp/>
        <stp>BDH|14883273285616354053</stp>
        <tr r="S42" s="4"/>
      </tp>
      <tp t="e">
        <v>#N/A</v>
        <stp/>
        <stp>BDH|17182935839581062475</stp>
        <tr r="Y113" s="18"/>
      </tp>
      <tp t="e">
        <v>#N/A</v>
        <stp/>
        <stp>BDH|16832365295294194067</stp>
        <tr r="X60" s="24"/>
      </tp>
      <tp t="e">
        <v>#N/A</v>
        <stp/>
        <stp>BDH|14288778145729499681</stp>
        <tr r="F128" s="18"/>
      </tp>
      <tp t="e">
        <v>#N/A</v>
        <stp/>
        <stp>BDH|18213385973655087154</stp>
        <tr r="J12" s="11"/>
      </tp>
      <tp t="e">
        <v>#N/A</v>
        <stp/>
        <stp>BDH|14152530777298998600</stp>
        <tr r="D26" s="17"/>
      </tp>
      <tp t="e">
        <v>#N/A</v>
        <stp/>
        <stp>BDH|13217142316523410889</stp>
        <tr r="K17" s="5"/>
        <tr r="J25" s="6"/>
      </tp>
      <tp t="e">
        <v>#N/A</v>
        <stp/>
        <stp>BDH|12441840549113188540</stp>
        <tr r="Q27" s="26"/>
      </tp>
      <tp t="e">
        <v>#N/A</v>
        <stp/>
        <stp>BDH|13260773285141417588</stp>
        <tr r="R7" s="23"/>
      </tp>
      <tp t="e">
        <v>#N/A</v>
        <stp/>
        <stp>BDH|14630546466616026982</stp>
        <tr r="S48" s="21"/>
      </tp>
      <tp t="e">
        <v>#N/A</v>
        <stp/>
        <stp>BDH|15178202399096746033</stp>
        <tr r="I32" s="26"/>
      </tp>
      <tp t="e">
        <v>#N/A</v>
        <stp/>
        <stp>BDH|17560898474872572213</stp>
        <tr r="Q21" s="12"/>
      </tp>
      <tp t="e">
        <v>#N/A</v>
        <stp/>
        <stp>BDH|17475444306022287989</stp>
        <tr r="P7" s="10"/>
      </tp>
      <tp t="e">
        <v>#N/A</v>
        <stp/>
        <stp>BDH|16910740242179362407</stp>
        <tr r="W12" s="22"/>
      </tp>
      <tp t="e">
        <v>#N/A</v>
        <stp/>
        <stp>BDH|15676841654309963932</stp>
        <tr r="Z60" s="21"/>
      </tp>
      <tp t="e">
        <v>#N/A</v>
        <stp/>
        <stp>BDH|11148187117271653844</stp>
        <tr r="U34" s="10"/>
        <tr r="U32" s="11"/>
        <tr r="W32" s="13"/>
      </tp>
      <tp t="e">
        <v>#N/A</v>
        <stp/>
        <stp>BDH|10566907409334774575</stp>
        <tr r="Y65" s="24"/>
      </tp>
      <tp t="e">
        <v>#N/A</v>
        <stp/>
        <stp>BDH|15764253218607645907</stp>
        <tr r="W59" s="24"/>
      </tp>
      <tp t="e">
        <v>#N/A</v>
        <stp/>
        <stp>BDH|12820895826049816931</stp>
        <tr r="L12" s="20"/>
      </tp>
      <tp t="e">
        <v>#N/A</v>
        <stp/>
        <stp>BDH|15844306209526987848</stp>
        <tr r="C18" s="20"/>
      </tp>
      <tp t="e">
        <v>#N/A</v>
        <stp/>
        <stp>BDH|11315382626558658075</stp>
        <tr r="T36" s="21"/>
      </tp>
      <tp t="e">
        <v>#N/A</v>
        <stp/>
        <stp>BDH|11444412693437358391</stp>
        <tr r="K13" s="29"/>
        <tr r="K22" s="29"/>
        <tr r="K33" s="29"/>
      </tp>
      <tp t="e">
        <v>#N/A</v>
        <stp/>
        <stp>BDH|15549814738626836083</stp>
        <tr r="J57" s="18"/>
      </tp>
      <tp t="e">
        <v>#N/A</v>
        <stp/>
        <stp>BDH|17743237183593338680</stp>
        <tr r="Y7" s="10"/>
      </tp>
      <tp t="e">
        <v>#N/A</v>
        <stp/>
        <stp>BDH|18014692582587568924</stp>
        <tr r="O19" s="10"/>
        <tr r="Q16" s="13"/>
        <tr r="Q23" s="13"/>
      </tp>
      <tp t="e">
        <v>#N/A</v>
        <stp/>
        <stp>BDH|10111996571393260548</stp>
        <tr r="AA75" s="18"/>
      </tp>
      <tp t="e">
        <v>#N/A</v>
        <stp/>
        <stp>BDH|17180609678268508639</stp>
        <tr r="S16" s="29"/>
        <tr r="S36" s="29"/>
      </tp>
      <tp t="e">
        <v>#N/A</v>
        <stp/>
        <stp>BDH|17055065039875205920</stp>
        <tr r="K11" s="6"/>
      </tp>
      <tp t="e">
        <v>#N/A</v>
        <stp/>
        <stp>BDH|16495319341248322188</stp>
        <tr r="R67" s="10"/>
        <tr r="R65" s="11"/>
      </tp>
      <tp t="e">
        <v>#N/A</v>
        <stp/>
        <stp>BDH|17906824767332184320</stp>
        <tr r="H87" s="18"/>
        <tr r="H7" s="20"/>
      </tp>
      <tp t="e">
        <v>#N/A</v>
        <stp/>
        <stp>BDH|18393363958766063025</stp>
        <tr r="AA45" s="12"/>
      </tp>
      <tp t="e">
        <v>#N/A</v>
        <stp/>
        <stp>BDH|11449863739327716538</stp>
        <tr r="I25" s="12"/>
      </tp>
      <tp t="e">
        <v>#N/A</v>
        <stp/>
        <stp>BDH|13215945013510292384</stp>
        <tr r="X14" s="2"/>
        <tr r="X11" s="10"/>
      </tp>
      <tp t="e">
        <v>#N/A</v>
        <stp/>
        <stp>BDH|13302868509242410177</stp>
        <tr r="E37" s="21"/>
        <tr r="E24" s="3"/>
      </tp>
      <tp t="e">
        <v>#N/A</v>
        <stp/>
        <stp>BDH|11814718259738648399</stp>
        <tr r="P28" s="6"/>
      </tp>
      <tp t="e">
        <v>#N/A</v>
        <stp/>
        <stp>BDH|17952041133548240436</stp>
        <tr r="K28" s="26"/>
      </tp>
      <tp t="e">
        <v>#N/A</v>
        <stp/>
        <stp>BDH|15357811327294857321</stp>
        <tr r="G44" s="21"/>
      </tp>
      <tp t="e">
        <v>#N/A</v>
        <stp/>
        <stp>BDH|13884605577043597956</stp>
        <tr r="X18" s="14"/>
      </tp>
      <tp t="e">
        <v>#N/A</v>
        <stp/>
        <stp>BDH|13895854330420084020</stp>
        <tr r="N50" s="4"/>
      </tp>
      <tp t="e">
        <v>#N/A</v>
        <stp/>
        <stp>BDH|16015638689297528708</stp>
        <tr r="Y33" s="13"/>
      </tp>
      <tp t="e">
        <v>#N/A</v>
        <stp/>
        <stp>BDH|18040309469012095764</stp>
        <tr r="J30" s="29"/>
        <tr r="J8" s="29"/>
      </tp>
      <tp t="e">
        <v>#N/A</v>
        <stp/>
        <stp>BDH|15928422851638649435</stp>
        <tr r="F10" s="12"/>
      </tp>
      <tp t="e">
        <v>#N/A</v>
        <stp/>
        <stp>BDH|18132515821617761091</stp>
        <tr r="T117" s="18"/>
      </tp>
      <tp t="e">
        <v>#N/A</v>
        <stp/>
        <stp>BDH|15213737986176922413</stp>
        <tr r="S7" s="21"/>
      </tp>
      <tp t="e">
        <v>#N/A</v>
        <stp/>
        <stp>BDH|14369965030603224583</stp>
        <tr r="M124" s="18"/>
      </tp>
      <tp t="e">
        <v>#N/A</v>
        <stp/>
        <stp>BDH|10971626881121724726</stp>
        <tr r="AA67" s="18"/>
      </tp>
      <tp t="e">
        <v>#N/A</v>
        <stp/>
        <stp>BDH|11692142388334598405</stp>
        <tr r="R37" s="22"/>
      </tp>
      <tp t="e">
        <v>#N/A</v>
        <stp/>
        <stp>BDH|15440582608068334081</stp>
        <tr r="D117" s="18"/>
      </tp>
      <tp t="e">
        <v>#N/A</v>
        <stp/>
        <stp>BDH|13441965325707900712</stp>
        <tr r="V24" s="22"/>
      </tp>
      <tp t="e">
        <v>#N/A</v>
        <stp/>
        <stp>BDH|13580045889130675302</stp>
        <tr r="K8" s="14"/>
      </tp>
      <tp t="e">
        <v>#N/A</v>
        <stp/>
        <stp>BDH|11625513693592386794</stp>
        <tr r="V19" s="18"/>
      </tp>
      <tp t="e">
        <v>#N/A</v>
        <stp/>
        <stp>BDH|12141517996477071188</stp>
        <tr r="Z90" s="17"/>
        <tr r="Z13" s="28"/>
      </tp>
      <tp t="e">
        <v>#N/A</v>
        <stp/>
        <stp>BDH|11493695755709152376</stp>
        <tr r="F96" s="18"/>
      </tp>
      <tp t="e">
        <v>#N/A</v>
        <stp/>
        <stp>BDH|17695902328411158516</stp>
        <tr r="O29" s="12"/>
      </tp>
      <tp t="e">
        <v>#N/A</v>
        <stp/>
        <stp>BDH|17819864316396292043</stp>
        <tr r="J87" s="17"/>
        <tr r="J27" s="25"/>
      </tp>
      <tp t="e">
        <v>#N/A</v>
        <stp/>
        <stp>BDH|10048877041411812505</stp>
        <tr r="I94" s="18"/>
      </tp>
      <tp t="e">
        <v>#N/A</v>
        <stp/>
        <stp>BDH|17919525770119525404</stp>
        <tr r="Y22" s="17"/>
      </tp>
      <tp t="e">
        <v>#N/A</v>
        <stp/>
        <stp>BDH|18388734157042971009</stp>
        <tr r="V27" s="21"/>
      </tp>
      <tp t="e">
        <v>#N/A</v>
        <stp/>
        <stp>BDH|12222878142552890417</stp>
        <tr r="K15" s="13"/>
      </tp>
      <tp t="e">
        <v>#N/A</v>
        <stp/>
        <stp>BDH|15279618197785381790</stp>
        <tr r="S16" s="26"/>
      </tp>
      <tp t="e">
        <v>#N/A</v>
        <stp/>
        <stp>BDH|11919912406471704171</stp>
        <tr r="L48" s="17"/>
      </tp>
      <tp t="e">
        <v>#N/A</v>
        <stp/>
        <stp>BDH|13531257596512828207</stp>
        <tr r="N45" s="18"/>
      </tp>
      <tp t="e">
        <v>#N/A</v>
        <stp/>
        <stp>BDH|11153159025438759289</stp>
        <tr r="O14" s="17"/>
        <tr r="O17" s="28"/>
      </tp>
      <tp t="e">
        <v>#N/A</v>
        <stp/>
        <stp>BDH|13753982121428361831</stp>
        <tr r="N46" s="4"/>
        <tr r="N25" s="10"/>
        <tr r="P27" s="13"/>
      </tp>
      <tp t="e">
        <v>#N/A</v>
        <stp/>
        <stp>BDH|14401469826532411916</stp>
        <tr r="W58" s="17"/>
      </tp>
      <tp t="e">
        <v>#N/A</v>
        <stp/>
        <stp>BDH|14326623634981200962</stp>
        <tr r="O112" s="18"/>
      </tp>
      <tp t="e">
        <v>#N/A</v>
        <stp/>
        <stp>BDH|14059746645948741674</stp>
        <tr r="I130" s="18"/>
      </tp>
      <tp t="e">
        <v>#N/A</v>
        <stp/>
        <stp>BDH|15266597185902772385</stp>
        <tr r="C7" s="24"/>
      </tp>
      <tp t="e">
        <v>#N/A</v>
        <stp/>
        <stp>BDH|16556848665055243473</stp>
        <tr r="G86" s="18"/>
        <tr r="G6" s="20"/>
      </tp>
      <tp t="e">
        <v>#N/A</v>
        <stp/>
        <stp>BDH|10224932208249803908</stp>
        <tr r="N39" s="17"/>
      </tp>
      <tp t="e">
        <v>#N/A</v>
        <stp/>
        <stp>BDH|13477866403042798071</stp>
        <tr r="N10" s="13"/>
      </tp>
      <tp t="e">
        <v>#N/A</v>
        <stp/>
        <stp>BDH|12937090122030732949</stp>
        <tr r="S18" s="25"/>
        <tr r="S10" s="27"/>
      </tp>
      <tp t="e">
        <v>#N/A</v>
        <stp/>
        <stp>BDH|12399224694544538412</stp>
        <tr r="N24" s="12"/>
      </tp>
      <tp t="e">
        <v>#N/A</v>
        <stp/>
        <stp>BDH|15802491679987180888</stp>
        <tr r="V12" s="13"/>
      </tp>
      <tp t="e">
        <v>#N/A</v>
        <stp/>
        <stp>BDH|18087173150907231249</stp>
        <tr r="N12" s="14"/>
      </tp>
      <tp t="e">
        <v>#N/A</v>
        <stp/>
        <stp>BDH|15748814826997624174</stp>
        <tr r="Y62" s="18"/>
      </tp>
      <tp t="e">
        <v>#N/A</v>
        <stp/>
        <stp>BDH|11276518755590231856</stp>
        <tr r="U19" s="25"/>
        <tr r="U12" s="27"/>
      </tp>
      <tp t="e">
        <v>#N/A</v>
        <stp/>
        <stp>BDH|15440104583751000468</stp>
        <tr r="O61" s="24"/>
      </tp>
      <tp t="e">
        <v>#N/A</v>
        <stp/>
        <stp>BDH|10364157721803252942</stp>
        <tr r="Q25" s="3"/>
      </tp>
      <tp t="e">
        <v>#N/A</v>
        <stp/>
        <stp>BDH|16340652293156107659</stp>
        <tr r="N30" s="26"/>
      </tp>
      <tp t="e">
        <v>#N/A</v>
        <stp/>
        <stp>BDH|11872679300069614781</stp>
        <tr r="S20" s="20"/>
      </tp>
      <tp t="e">
        <v>#N/A</v>
        <stp/>
        <stp>BDH|16485897245070063397</stp>
        <tr r="J19" s="34"/>
      </tp>
      <tp t="e">
        <v>#N/A</v>
        <stp/>
        <stp>BDH|14995974242950820058</stp>
        <tr r="D22" s="17"/>
      </tp>
      <tp t="e">
        <v>#N/A</v>
        <stp/>
        <stp>BDH|16175538195431462220</stp>
        <tr r="I36" s="4"/>
      </tp>
      <tp t="e">
        <v>#N/A</v>
        <stp/>
        <stp>BDH|10740530771962151955</stp>
        <tr r="N47" s="24"/>
      </tp>
      <tp t="e">
        <v>#N/A</v>
        <stp/>
        <stp>BDH|10279481970373884930</stp>
        <tr r="M9" s="23"/>
      </tp>
      <tp t="e">
        <v>#N/A</v>
        <stp/>
        <stp>BDH|15359611914878725302</stp>
        <tr r="I27" s="21"/>
      </tp>
      <tp t="e">
        <v>#N/A</v>
        <stp/>
        <stp>BDH|15595713487237786453</stp>
        <tr r="M18" s="6"/>
      </tp>
      <tp t="e">
        <v>#N/A</v>
        <stp/>
        <stp>BDH|17261238195272081756</stp>
        <tr r="Z17" s="29"/>
        <tr r="Z37" s="29"/>
      </tp>
      <tp t="e">
        <v>#N/A</v>
        <stp/>
        <stp>BDH|17512606314469535052</stp>
        <tr r="M27" s="21"/>
      </tp>
      <tp t="e">
        <v>#N/A</v>
        <stp/>
        <stp>BDH|18342640417635928381</stp>
        <tr r="D130" s="18"/>
      </tp>
      <tp t="e">
        <v>#N/A</v>
        <stp/>
        <stp>BDH|18014604241414328732</stp>
        <tr r="L66" s="10"/>
        <tr r="L64" s="11"/>
        <tr r="L20" s="7"/>
      </tp>
      <tp t="e">
        <v>#N/A</v>
        <stp/>
        <stp>BDH|12136940654473432445</stp>
        <tr r="Y30" s="22"/>
      </tp>
      <tp t="e">
        <v>#N/A</v>
        <stp/>
        <stp>BDH|15695340485100105779</stp>
        <tr r="T50" s="21"/>
      </tp>
      <tp t="e">
        <v>#N/A</v>
        <stp/>
        <stp>BDH|12583910475857058202</stp>
        <tr r="J20" s="20"/>
      </tp>
      <tp t="e">
        <v>#N/A</v>
        <stp/>
        <stp>BDH|17037142494202916485</stp>
        <tr r="L8" s="28"/>
      </tp>
      <tp t="e">
        <v>#N/A</v>
        <stp/>
        <stp>BDH|14400955391974994982</stp>
        <tr r="G129" s="18"/>
      </tp>
      <tp t="e">
        <v>#N/A</v>
        <stp/>
        <stp>BDH|17177169489184999361</stp>
        <tr r="N22" s="4"/>
      </tp>
      <tp t="e">
        <v>#N/A</v>
        <stp/>
        <stp>BDH|17435574594912793010</stp>
        <tr r="AA33" s="22"/>
      </tp>
      <tp t="e">
        <v>#N/A</v>
        <stp/>
        <stp>BDH|10115188992569886822</stp>
        <tr r="K90" s="17"/>
        <tr r="K13" s="28"/>
      </tp>
      <tp t="e">
        <v>#N/A</v>
        <stp/>
        <stp>BDH|10460251073595362902</stp>
        <tr r="I37" s="34"/>
      </tp>
      <tp t="e">
        <v>#N/A</v>
        <stp/>
        <stp>BDH|13137867527280154006</stp>
        <tr r="D24" s="22"/>
      </tp>
      <tp t="e">
        <v>#N/A</v>
        <stp/>
        <stp>BDH|16512437501819493222</stp>
        <tr r="E36" s="10"/>
        <tr r="E34" s="11"/>
      </tp>
      <tp t="e">
        <v>#N/A</v>
        <stp/>
        <stp>BDH|18159085019322343223</stp>
        <tr r="R13" s="24"/>
      </tp>
      <tp t="e">
        <v>#N/A</v>
        <stp/>
        <stp>BDH|11812527245261703890</stp>
        <tr r="Z31" s="25"/>
      </tp>
      <tp t="e">
        <v>#N/A</v>
        <stp/>
        <stp>BDH|11847488001358420456</stp>
        <tr r="C12" s="30"/>
      </tp>
      <tp t="e">
        <v>#N/A</v>
        <stp/>
        <stp>BDH|16611823457944209611</stp>
        <tr r="S87" s="17"/>
        <tr r="S27" s="25"/>
      </tp>
      <tp t="e">
        <v>#N/A</v>
        <stp/>
        <stp>BDH|15115764334481401978</stp>
        <tr r="U40" s="6"/>
      </tp>
      <tp t="e">
        <v>#N/A</v>
        <stp/>
        <stp>BDH|16107328090742167720</stp>
        <tr r="C108" s="18"/>
      </tp>
      <tp t="e">
        <v>#N/A</v>
        <stp/>
        <stp>BDH|15607978044221158040</stp>
        <tr r="V59" s="12"/>
      </tp>
      <tp t="e">
        <v>#N/A</v>
        <stp/>
        <stp>BDH|11665617870088574129</stp>
        <tr r="Z32" s="18"/>
      </tp>
      <tp t="e">
        <v>#N/A</v>
        <stp/>
        <stp>BDH|12410064583356605578</stp>
        <tr r="H17" s="13"/>
      </tp>
      <tp t="e">
        <v>#N/A</v>
        <stp/>
        <stp>BDH|10614270293055187737</stp>
        <tr r="I49" s="4"/>
      </tp>
      <tp t="e">
        <v>#N/A</v>
        <stp/>
        <stp>BDH|12197101204338441211</stp>
        <tr r="L12" s="30"/>
      </tp>
      <tp t="e">
        <v>#N/A</v>
        <stp/>
        <stp>BDH|12554228632279425313</stp>
        <tr r="U12" s="10"/>
      </tp>
      <tp t="e">
        <v>#N/A</v>
        <stp/>
        <stp>BDH|10449727912826050940</stp>
        <tr r="Y79" s="18"/>
      </tp>
      <tp t="e">
        <v>#N/A</v>
        <stp/>
        <stp>BDH|12326179963705187967</stp>
        <tr r="G58" s="24"/>
      </tp>
      <tp t="e">
        <v>#N/A</v>
        <stp/>
        <stp>BDH|10322870029273429090</stp>
        <tr r="K28" s="22"/>
      </tp>
      <tp t="e">
        <v>#N/A</v>
        <stp/>
        <stp>BDH|13041001834078505117</stp>
        <tr r="O27" s="18"/>
      </tp>
      <tp t="e">
        <v>#N/A</v>
        <stp/>
        <stp>BDH|10380454892062299667</stp>
        <tr r="C13" s="2"/>
      </tp>
      <tp t="e">
        <v>#N/A</v>
        <stp/>
        <stp>BDH|13104951935292543245</stp>
        <tr r="N12" s="18"/>
      </tp>
      <tp t="e">
        <v>#N/A</v>
        <stp/>
        <stp>BDH|14150869228376892174</stp>
        <tr r="Y32" s="24"/>
      </tp>
      <tp t="e">
        <v>#N/A</v>
        <stp/>
        <stp>BDH|18385663404801426653</stp>
        <tr r="R131" s="18"/>
      </tp>
      <tp t="e">
        <v>#N/A</v>
        <stp/>
        <stp>BDH|12015154987634668645</stp>
        <tr r="F28" s="26"/>
      </tp>
      <tp t="e">
        <v>#N/A</v>
        <stp/>
        <stp>BDH|16543801431507097349</stp>
        <tr r="L18" s="9"/>
      </tp>
      <tp t="e">
        <v>#N/A</v>
        <stp/>
        <stp>BDH|14428452330749056315</stp>
        <tr r="V40" s="17"/>
        <tr r="V9" s="25"/>
      </tp>
      <tp t="e">
        <v>#N/A</v>
        <stp/>
        <stp>BDH|11849138392697158788</stp>
        <tr r="I38" s="6"/>
      </tp>
      <tp t="e">
        <v>#N/A</v>
        <stp/>
        <stp>BDH|12714223367526662946</stp>
        <tr r="F10" s="13"/>
      </tp>
      <tp t="e">
        <v>#N/A</v>
        <stp/>
        <stp>BDH|17469478796856335563</stp>
        <tr r="E27" s="6"/>
      </tp>
      <tp t="e">
        <v>#N/A</v>
        <stp/>
        <stp>BDH|15690038184435165105</stp>
        <tr r="AA10" s="22"/>
      </tp>
      <tp t="e">
        <v>#N/A</v>
        <stp/>
        <stp>BDH|18150276052386029044</stp>
        <tr r="K39" s="10"/>
        <tr r="K37" s="11"/>
      </tp>
      <tp t="e">
        <v>#N/A</v>
        <stp/>
        <stp>BDH|13725153871495058934</stp>
        <tr r="P54" s="24"/>
      </tp>
      <tp t="e">
        <v>#N/A</v>
        <stp/>
        <stp>BDH|17663481302162469884</stp>
        <tr r="H14" s="17"/>
        <tr r="H17" s="28"/>
      </tp>
      <tp t="e">
        <v>#N/A</v>
        <stp/>
        <stp>BDH|13703573102797740854</stp>
        <tr r="T61" s="18"/>
      </tp>
      <tp t="e">
        <v>#N/A</v>
        <stp/>
        <stp>BDH|15926827438404271312</stp>
        <tr r="T32" s="10"/>
        <tr r="T44" s="10"/>
        <tr r="T30" s="11"/>
        <tr r="T42" s="11"/>
      </tp>
      <tp t="e">
        <v>#N/A</v>
        <stp/>
        <stp>BDH|12399455233359203544</stp>
        <tr r="T94" s="18"/>
      </tp>
      <tp t="e">
        <v>#N/A</v>
        <stp/>
        <stp>BDH|16652456083910141325</stp>
        <tr r="W33" s="21"/>
      </tp>
      <tp t="e">
        <v>#N/A</v>
        <stp/>
        <stp>BDH|11053611903956327827</stp>
        <tr r="X47" s="12"/>
      </tp>
      <tp t="e">
        <v>#N/A</v>
        <stp/>
        <stp>BDH|12295106322548227010</stp>
        <tr r="P10" s="18"/>
      </tp>
      <tp t="e">
        <v>#N/A</v>
        <stp/>
        <stp>BDH|14525243294932125472</stp>
        <tr r="X29" s="17"/>
      </tp>
      <tp t="e">
        <v>#N/A</v>
        <stp/>
        <stp>BDH|16254070437278995481</stp>
        <tr r="S47" s="12"/>
      </tp>
      <tp t="e">
        <v>#N/A</v>
        <stp/>
        <stp>BDH|15092217681405548363</stp>
        <tr r="Q65" s="12"/>
      </tp>
      <tp t="e">
        <v>#N/A</v>
        <stp/>
        <stp>BDH|15256368134904001836</stp>
        <tr r="G16" s="30"/>
      </tp>
      <tp t="e">
        <v>#N/A</v>
        <stp/>
        <stp>BDH|16650745783214684448</stp>
        <tr r="O55" s="12"/>
      </tp>
      <tp t="e">
        <v>#N/A</v>
        <stp/>
        <stp>BDH|17412490911642933964</stp>
        <tr r="V25" s="24"/>
      </tp>
      <tp t="e">
        <v>#N/A</v>
        <stp/>
        <stp>BDH|15739467804678173075</stp>
        <tr r="U55" s="12"/>
      </tp>
      <tp t="e">
        <v>#N/A</v>
        <stp/>
        <stp>BDH|16281313501258593440</stp>
        <tr r="Z61" s="24"/>
      </tp>
      <tp t="e">
        <v>#N/A</v>
        <stp/>
        <stp>BDH|16363022502128637760</stp>
        <tr r="O7" s="4"/>
      </tp>
      <tp t="e">
        <v>#N/A</v>
        <stp/>
        <stp>BDH|15524645692047337431</stp>
        <tr r="C63" s="10"/>
      </tp>
      <tp t="e">
        <v>#N/A</v>
        <stp/>
        <stp>BDH|11254876787579927180</stp>
        <tr r="V6" s="28"/>
      </tp>
      <tp t="e">
        <v>#N/A</v>
        <stp/>
        <stp>BDH|14512519368366929873</stp>
        <tr r="E41" s="24"/>
      </tp>
      <tp t="e">
        <v>#N/A</v>
        <stp/>
        <stp>BDH|18061204820261097020</stp>
        <tr r="G36" s="22"/>
      </tp>
      <tp t="e">
        <v>#N/A</v>
        <stp/>
        <stp>BDH|17250592989476899583</stp>
        <tr r="AA9" s="26"/>
      </tp>
      <tp t="e">
        <v>#N/A</v>
        <stp/>
        <stp>BDH|10087869544491255428</stp>
        <tr r="R49" s="24"/>
      </tp>
      <tp t="e">
        <v>#N/A</v>
        <stp/>
        <stp>BDH|12071225365768653738</stp>
        <tr r="U66" s="18"/>
      </tp>
      <tp t="e">
        <v>#N/A</v>
        <stp/>
        <stp>BDH|17164619963426861892</stp>
        <tr r="M52" s="17"/>
      </tp>
      <tp t="e">
        <v>#N/A</v>
        <stp/>
        <stp>BDH|12698734892326588309</stp>
        <tr r="W95" s="18"/>
      </tp>
      <tp t="e">
        <v>#N/A</v>
        <stp/>
        <stp>BDH|16788851884536739930</stp>
        <tr r="U54" s="17"/>
      </tp>
      <tp t="e">
        <v>#N/A</v>
        <stp/>
        <stp>BDH|12683817534089271936</stp>
        <tr r="R26" s="7"/>
      </tp>
      <tp t="e">
        <v>#N/A</v>
        <stp/>
        <stp>BDH|16763299196557340390</stp>
        <tr r="R125" s="18"/>
      </tp>
      <tp t="e">
        <v>#N/A</v>
        <stp/>
        <stp>BDH|11045349335671157923</stp>
        <tr r="D9" s="8"/>
      </tp>
      <tp t="e">
        <v>#N/A</v>
        <stp/>
        <stp>BDH|13393865614466170522</stp>
        <tr r="H38" s="4"/>
        <tr r="H60" s="11"/>
        <tr r="J13" s="23"/>
      </tp>
      <tp t="e">
        <v>#N/A</v>
        <stp/>
        <stp>BDH|12035820875115424113</stp>
        <tr r="E48" s="18"/>
      </tp>
      <tp t="e">
        <v>#N/A</v>
        <stp/>
        <stp>BDH|11381629964129229151</stp>
        <tr r="S13" s="20"/>
      </tp>
      <tp t="e">
        <v>#N/A</v>
        <stp/>
        <stp>BDH|18406152402330738060</stp>
        <tr r="I45" s="24"/>
      </tp>
      <tp t="e">
        <v>#N/A</v>
        <stp/>
        <stp>BDH|13338431682062512451</stp>
        <tr r="Z55" s="18"/>
      </tp>
      <tp t="e">
        <v>#N/A</v>
        <stp/>
        <stp>BDH|13481646123707085913</stp>
        <tr r="E13" s="22"/>
      </tp>
      <tp t="e">
        <v>#N/A</v>
        <stp/>
        <stp>BDH|17098801071658794946</stp>
        <tr r="O30" s="29"/>
        <tr r="O8" s="29"/>
      </tp>
      <tp t="e">
        <v>#N/A</v>
        <stp/>
        <stp>BDH|16066433881767409443</stp>
        <tr r="K55" s="17"/>
      </tp>
      <tp t="e">
        <v>#N/A</v>
        <stp/>
        <stp>BDH|17155083288765282319</stp>
        <tr r="P28" s="10"/>
        <tr r="P26" s="11"/>
      </tp>
      <tp t="e">
        <v>#N/A</v>
        <stp/>
        <stp>BDH|15434461397774442531</stp>
        <tr r="R109" s="18"/>
      </tp>
      <tp t="e">
        <v>#N/A</v>
        <stp/>
        <stp>BDH|12797938620223118375</stp>
        <tr r="Y67" s="24"/>
      </tp>
      <tp t="e">
        <v>#N/A</v>
        <stp/>
        <stp>BDH|17960444160569645594</stp>
        <tr r="O39" s="18"/>
      </tp>
      <tp t="e">
        <v>#N/A</v>
        <stp/>
        <stp>BDH|14077155216015123806</stp>
        <tr r="Y47" s="12"/>
      </tp>
      <tp t="e">
        <v>#N/A</v>
        <stp/>
        <stp>BDH|15074788550457889926</stp>
        <tr r="D27" s="26"/>
      </tp>
      <tp t="e">
        <v>#N/A</v>
        <stp/>
        <stp>BDH|14971591986352527212</stp>
        <tr r="S20" s="12"/>
      </tp>
      <tp t="e">
        <v>#N/A</v>
        <stp/>
        <stp>BDH|10461865963091277611</stp>
        <tr r="H75" s="17"/>
      </tp>
      <tp t="e">
        <v>#N/A</v>
        <stp/>
        <stp>BDH|17425830735976069309</stp>
        <tr r="T26" s="18"/>
      </tp>
      <tp t="e">
        <v>#N/A</v>
        <stp/>
        <stp>BDH|18216757620880005425</stp>
        <tr r="L61" s="17"/>
      </tp>
      <tp t="e">
        <v>#N/A</v>
        <stp/>
        <stp>BDH|16583004545399710225</stp>
        <tr r="L20" s="6"/>
      </tp>
      <tp t="e">
        <v>#N/A</v>
        <stp/>
        <stp>BDH|11545854365905400343</stp>
        <tr r="R20" s="5"/>
        <tr r="R21" s="9"/>
      </tp>
      <tp t="e">
        <v>#N/A</v>
        <stp/>
        <stp>BDH|15161831335105581277</stp>
        <tr r="P60" s="24"/>
      </tp>
      <tp t="e">
        <v>#N/A</v>
        <stp/>
        <stp>BDH|15042413136838615346</stp>
        <tr r="AA14" s="29"/>
        <tr r="AA23" s="29"/>
        <tr r="AA34" s="29"/>
      </tp>
      <tp t="e">
        <v>#N/A</v>
        <stp/>
        <stp>BDH|13561622381256383206</stp>
        <tr r="Q16" s="2"/>
        <tr r="Q32" s="4"/>
        <tr r="Q58" s="10"/>
        <tr r="S19" s="13"/>
      </tp>
      <tp t="e">
        <v>#N/A</v>
        <stp/>
        <stp>BDH|14857486252614287852</stp>
        <tr r="P41" s="18"/>
      </tp>
      <tp t="e">
        <v>#N/A</v>
        <stp/>
        <stp>BDH|17066839821286608210</stp>
        <tr r="T33" s="13"/>
      </tp>
      <tp t="e">
        <v>#N/A</v>
        <stp/>
        <stp>BDH|15016131498034989075</stp>
        <tr r="H22" s="5"/>
      </tp>
      <tp t="e">
        <v>#N/A</v>
        <stp/>
        <stp>BDH|16053440306832499939</stp>
        <tr r="R25" s="29"/>
        <tr r="P6" s="9"/>
        <tr r="P6" s="5"/>
        <tr r="P6" s="2"/>
        <tr r="Q12" s="8"/>
        <tr r="R19" s="29"/>
        <tr r="R10" s="29"/>
      </tp>
      <tp t="e">
        <v>#N/A</v>
        <stp/>
        <stp>BDH|11242718496426614064</stp>
        <tr r="D59" s="12"/>
      </tp>
      <tp t="e">
        <v>#N/A</v>
        <stp/>
        <stp>BDH|16427129522085513949</stp>
        <tr r="E64" s="10"/>
      </tp>
      <tp t="e">
        <v>#N/A</v>
        <stp/>
        <stp>BDH|11897521069513377859</stp>
        <tr r="J65" s="17"/>
        <tr r="H8" s="5"/>
        <tr r="H8" s="9"/>
      </tp>
      <tp t="e">
        <v>#N/A</v>
        <stp/>
        <stp>BDH|11511823913926845798</stp>
        <tr r="E8" s="21"/>
      </tp>
      <tp t="e">
        <v>#N/A</v>
        <stp/>
        <stp>BDH|18444316932165475463</stp>
        <tr r="L17" s="5"/>
        <tr r="K25" s="6"/>
      </tp>
      <tp t="e">
        <v>#N/A</v>
        <stp/>
        <stp>BDH|10076873554632326657</stp>
        <tr r="AA17" s="23"/>
      </tp>
      <tp t="e">
        <v>#N/A</v>
        <stp/>
        <stp>BDH|10762711494812114568</stp>
        <tr r="P70" s="18"/>
      </tp>
      <tp t="e">
        <v>#N/A</v>
        <stp/>
        <stp>BDH|16429339091177072238</stp>
        <tr r="F129" s="18"/>
      </tp>
      <tp t="e">
        <v>#N/A</v>
        <stp/>
        <stp>BDH|12293026177794052829</stp>
        <tr r="R23" s="24"/>
      </tp>
      <tp t="e">
        <v>#N/A</v>
        <stp/>
        <stp>BDH|17590446203139638306</stp>
        <tr r="C44" s="17"/>
      </tp>
      <tp t="e">
        <v>#N/A</v>
        <stp/>
        <stp>BDH|13467538962578341124</stp>
        <tr r="T35" s="6"/>
        <tr r="V10" s="8"/>
      </tp>
      <tp t="e">
        <v>#N/A</v>
        <stp/>
        <stp>BDH|10592499801898908503</stp>
        <tr r="L20" s="17"/>
      </tp>
      <tp t="e">
        <v>#N/A</v>
        <stp/>
        <stp>BDH|15721856515667405279</stp>
        <tr r="H16" s="22"/>
      </tp>
      <tp t="e">
        <v>#N/A</v>
        <stp/>
        <stp>BDH|15672823237742791500</stp>
        <tr r="Q14" s="13"/>
      </tp>
      <tp t="e">
        <v>#N/A</v>
        <stp/>
        <stp>BDH|17595110384117304072</stp>
        <tr r="D50" s="12"/>
      </tp>
      <tp t="e">
        <v>#N/A</v>
        <stp/>
        <stp>BDH|16058347169953830911</stp>
        <tr r="M68" s="10"/>
        <tr r="M66" s="11"/>
      </tp>
      <tp t="e">
        <v>#N/A</v>
        <stp/>
        <stp>BDH|15280912772310150245</stp>
        <tr r="P20" s="25"/>
        <tr r="P13" s="27"/>
      </tp>
      <tp t="e">
        <v>#N/A</v>
        <stp/>
        <stp>BDH|12116760044468140069</stp>
        <tr r="M29" s="4"/>
      </tp>
      <tp t="e">
        <v>#N/A</v>
        <stp/>
        <stp>BDH|14449996849447899780</stp>
        <tr r="S18" s="26"/>
      </tp>
      <tp t="e">
        <v>#N/A</v>
        <stp/>
        <stp>BDH|13193017925139369126</stp>
        <tr r="S6" s="15"/>
        <tr r="S12" s="2"/>
        <tr r="S11" s="4"/>
        <tr r="S6" s="10"/>
      </tp>
      <tp t="e">
        <v>#N/A</v>
        <stp/>
        <stp>BDH|14988904457743268282</stp>
        <tr r="S26" s="24"/>
      </tp>
      <tp t="e">
        <v>#N/A</v>
        <stp/>
        <stp>BDH|12648122380470399236</stp>
        <tr r="T11" s="6"/>
      </tp>
      <tp t="e">
        <v>#N/A</v>
        <stp/>
        <stp>BDH|11545758310769042742</stp>
        <tr r="U13" s="8"/>
      </tp>
      <tp t="e">
        <v>#N/A</v>
        <stp/>
        <stp>BDH|12662902223019993980</stp>
        <tr r="F11" s="21"/>
      </tp>
      <tp t="e">
        <v>#N/A</v>
        <stp/>
        <stp>BDH|14632931281469406545</stp>
        <tr r="C18" s="26"/>
      </tp>
      <tp t="e">
        <v>#N/A</v>
        <stp/>
        <stp>BDH|10336433201588553502</stp>
        <tr r="X110" s="18"/>
      </tp>
      <tp t="e">
        <v>#N/A</v>
        <stp/>
        <stp>BDH|16850985584419863780</stp>
        <tr r="L18" s="34"/>
      </tp>
      <tp t="e">
        <v>#N/A</v>
        <stp/>
        <stp>BDH|12089340483005180527</stp>
        <tr r="K50" s="4"/>
      </tp>
      <tp t="e">
        <v>#N/A</v>
        <stp/>
        <stp>BDH|10099138075268039726</stp>
        <tr r="L55" s="17"/>
      </tp>
      <tp t="e">
        <v>#N/A</v>
        <stp/>
        <stp>BDH|15930620219749508231</stp>
        <tr r="D41" s="21"/>
      </tp>
      <tp t="e">
        <v>#N/A</v>
        <stp/>
        <stp>BDH|16950930909394069274</stp>
        <tr r="I50" s="21"/>
      </tp>
      <tp t="e">
        <v>#N/A</v>
        <stp/>
        <stp>BDH|14565132019094386988</stp>
        <tr r="I27" s="5"/>
        <tr r="I28" s="9"/>
      </tp>
      <tp t="e">
        <v>#N/A</v>
        <stp/>
        <stp>BDH|10304003170427645917</stp>
        <tr r="W50" s="4"/>
      </tp>
      <tp t="e">
        <v>#N/A</v>
        <stp/>
        <stp>BDH|16334804657253780147</stp>
        <tr r="J35" s="10"/>
        <tr r="J33" s="11"/>
      </tp>
      <tp t="e">
        <v>#N/A</v>
        <stp/>
        <stp>BDH|16775990001707193193</stp>
        <tr r="H25" s="12"/>
      </tp>
      <tp t="e">
        <v>#N/A</v>
        <stp/>
        <stp>BDH|10380260373535033914</stp>
        <tr r="W24" s="18"/>
      </tp>
      <tp t="e">
        <v>#N/A</v>
        <stp/>
        <stp>BDH|17277198540029432286</stp>
        <tr r="E75" s="18"/>
      </tp>
      <tp t="e">
        <v>#N/A</v>
        <stp/>
        <stp>BDH|12851526160151429999</stp>
        <tr r="AA34" s="12"/>
      </tp>
      <tp t="e">
        <v>#N/A</v>
        <stp/>
        <stp>BDH|11354547931737698975</stp>
        <tr r="L91" s="17"/>
      </tp>
      <tp t="e">
        <v>#N/A</v>
        <stp/>
        <stp>BDH|15005168096041469536</stp>
        <tr r="V13" s="14"/>
      </tp>
      <tp t="e">
        <v>#N/A</v>
        <stp/>
        <stp>BDH|14044495428979406220</stp>
        <tr r="K27" s="21"/>
      </tp>
      <tp t="e">
        <v>#N/A</v>
        <stp/>
        <stp>BDH|15870523905820913912</stp>
        <tr r="H111" s="18"/>
      </tp>
      <tp t="e">
        <v>#N/A</v>
        <stp/>
        <stp>BDH|17788021117398128747</stp>
        <tr r="N18" s="18"/>
      </tp>
      <tp t="e">
        <v>#N/A</v>
        <stp/>
        <stp>BDH|17146877750876513545</stp>
        <tr r="W8" s="11"/>
      </tp>
      <tp t="e">
        <v>#N/A</v>
        <stp/>
        <stp>BDH|15018940143973553253</stp>
        <tr r="Q25" s="24"/>
      </tp>
      <tp t="e">
        <v>#N/A</v>
        <stp/>
        <stp>BDH|17502602423322877898</stp>
        <tr r="W27" s="24"/>
      </tp>
      <tp t="e">
        <v>#N/A</v>
        <stp/>
        <stp>BDH|12914758099980045528</stp>
        <tr r="O99" s="18"/>
      </tp>
      <tp t="e">
        <v>#N/A</v>
        <stp/>
        <stp>BDH|13200578154818581234</stp>
        <tr r="R7" s="11"/>
      </tp>
      <tp t="e">
        <v>#N/A</v>
        <stp/>
        <stp>BDH|12544141545177104928</stp>
        <tr r="W7" s="30"/>
      </tp>
      <tp t="e">
        <v>#N/A</v>
        <stp/>
        <stp>BDH|12751943917844484775</stp>
        <tr r="L15" s="4"/>
      </tp>
      <tp t="e">
        <v>#N/A</v>
        <stp/>
        <stp>BDH|17119535076495476975</stp>
        <tr r="M27" s="6"/>
      </tp>
      <tp t="e">
        <v>#N/A</v>
        <stp/>
        <stp>BDH|11078700957348239226</stp>
        <tr r="D17" s="20"/>
      </tp>
      <tp t="e">
        <v>#N/A</v>
        <stp/>
        <stp>BDH|11656432492444018103</stp>
        <tr r="F39" s="34"/>
      </tp>
      <tp t="e">
        <v>#N/A</v>
        <stp/>
        <stp>BDH|13243319723533419838</stp>
        <tr r="Z45" s="12"/>
      </tp>
      <tp t="e">
        <v>#N/A</v>
        <stp/>
        <stp>BDH|13683688318234000913</stp>
        <tr r="P69" s="18"/>
      </tp>
      <tp t="e">
        <v>#N/A</v>
        <stp/>
        <stp>BDH|15151100377492439853</stp>
        <tr r="O7" s="14"/>
      </tp>
      <tp t="e">
        <v>#N/A</v>
        <stp/>
        <stp>BDH|18234859497724349449</stp>
        <tr r="K44" s="21"/>
      </tp>
      <tp t="e">
        <v>#N/A</v>
        <stp/>
        <stp>BDH|14089777257057005878</stp>
        <tr r="AA39" s="13"/>
      </tp>
      <tp t="e">
        <v>#N/A</v>
        <stp/>
        <stp>BDH|18394723632202374778</stp>
        <tr r="E26" s="24"/>
      </tp>
      <tp t="e">
        <v>#N/A</v>
        <stp/>
        <stp>BDH|16640131014917591832</stp>
        <tr r="L18" s="23"/>
      </tp>
      <tp t="e">
        <v>#N/A</v>
        <stp/>
        <stp>BDH|12229144900953306928</stp>
        <tr r="U51" s="17"/>
      </tp>
      <tp t="e">
        <v>#N/A</v>
        <stp/>
        <stp>BDH|15853620549539229764</stp>
        <tr r="D63" s="12"/>
      </tp>
      <tp t="e">
        <v>#N/A</v>
        <stp/>
        <stp>BDH|15721511781505801480</stp>
        <tr r="J14" s="30"/>
      </tp>
      <tp t="e">
        <v>#N/A</v>
        <stp/>
        <stp>BDH|16079147885004637205</stp>
        <tr r="K27" s="26"/>
      </tp>
      <tp t="e">
        <v>#N/A</v>
        <stp/>
        <stp>BDH|16740275280401001473</stp>
        <tr r="Y98" s="18"/>
      </tp>
      <tp t="e">
        <v>#N/A</v>
        <stp/>
        <stp>BDH|13310818464805119105</stp>
        <tr r="V56" s="18"/>
      </tp>
      <tp t="e">
        <v>#N/A</v>
        <stp/>
        <stp>BDH|11381402199504898153</stp>
        <tr r="R30" s="22"/>
      </tp>
      <tp t="e">
        <v>#N/A</v>
        <stp/>
        <stp>BDH|18001347835311599038</stp>
        <tr r="K40" s="29"/>
      </tp>
      <tp t="e">
        <v>#N/A</v>
        <stp/>
        <stp>BDH|17719510702799525261</stp>
        <tr r="Y65" s="17"/>
        <tr r="W8" s="5"/>
        <tr r="W8" s="9"/>
      </tp>
      <tp t="e">
        <v>#N/A</v>
        <stp/>
        <stp>BDH|11450818431761231200</stp>
        <tr r="J7" s="10"/>
      </tp>
      <tp t="e">
        <v>#N/A</v>
        <stp/>
        <stp>BDH|12411930706922476036</stp>
        <tr r="F88" s="18"/>
        <tr r="F8" s="20"/>
      </tp>
      <tp t="e">
        <v>#N/A</v>
        <stp/>
        <stp>BDH|10192834940511635423</stp>
        <tr r="S24" s="12"/>
      </tp>
      <tp t="e">
        <v>#N/A</v>
        <stp/>
        <stp>BDH|13074915665592761759</stp>
        <tr r="X35" s="10"/>
        <tr r="X33" s="11"/>
      </tp>
      <tp t="e">
        <v>#N/A</v>
        <stp/>
        <stp>BDH|12174447988272829538</stp>
        <tr r="W11" s="22"/>
      </tp>
      <tp t="e">
        <v>#N/A</v>
        <stp/>
        <stp>BDH|16846327965839176383</stp>
        <tr r="R24" s="10"/>
      </tp>
      <tp t="e">
        <v>#N/A</v>
        <stp/>
        <stp>BDH|13717373297872373222</stp>
        <tr r="M18" s="24"/>
      </tp>
      <tp t="e">
        <v>#N/A</v>
        <stp/>
        <stp>BDH|15077322787990515760</stp>
        <tr r="F60" s="18"/>
      </tp>
      <tp t="e">
        <v>#N/A</v>
        <stp/>
        <stp>BDH|14371859710564405046</stp>
        <tr r="U15" s="17"/>
        <tr r="U18" s="28"/>
      </tp>
      <tp t="e">
        <v>#N/A</v>
        <stp/>
        <stp>BDH|18190113706648201821</stp>
        <tr r="M67" s="17"/>
      </tp>
      <tp t="e">
        <v>#N/A</v>
        <stp/>
        <stp>BDH|16453065771578196040</stp>
        <tr r="K21" s="5"/>
      </tp>
      <tp t="e">
        <v>#N/A</v>
        <stp/>
        <stp>BDH|17088346782667879283</stp>
        <tr r="O48" s="21"/>
      </tp>
      <tp t="e">
        <v>#N/A</v>
        <stp/>
        <stp>BDH|11153909589618905176</stp>
        <tr r="E69" s="24"/>
      </tp>
      <tp t="e">
        <v>#N/A</v>
        <stp/>
        <stp>BDH|16078866655297799529</stp>
        <tr r="O110" s="18"/>
      </tp>
      <tp t="e">
        <v>#N/A</v>
        <stp/>
        <stp>BDH|13277234792661271071</stp>
        <tr r="L18" s="5"/>
        <tr r="K31" s="6"/>
      </tp>
      <tp t="e">
        <v>#N/A</v>
        <stp/>
        <stp>BDH|12231868332597454749</stp>
        <tr r="S20" s="26"/>
      </tp>
      <tp t="e">
        <v>#N/A</v>
        <stp/>
        <stp>BDH|16790375482476534219</stp>
        <tr r="N8" s="27"/>
      </tp>
      <tp t="e">
        <v>#N/A</v>
        <stp/>
        <stp>BDH|10718025664386674912</stp>
        <tr r="P21" s="4"/>
      </tp>
      <tp t="e">
        <v>#N/A</v>
        <stp/>
        <stp>BDH|15741060927089230726</stp>
        <tr r="S19" s="9"/>
      </tp>
      <tp t="e">
        <v>#N/A</v>
        <stp/>
        <stp>BDH|17141062475118547112</stp>
        <tr r="P120" s="18"/>
      </tp>
      <tp t="e">
        <v>#N/A</v>
        <stp/>
        <stp>BDH|16608381032128887728</stp>
        <tr r="H21" s="10"/>
      </tp>
      <tp t="e">
        <v>#N/A</v>
        <stp/>
        <stp>BDH|11407462211588342563</stp>
        <tr r="J11" s="7"/>
      </tp>
      <tp t="e">
        <v>#N/A</v>
        <stp/>
        <stp>BDH|14641463514629414160</stp>
        <tr r="U45" s="17"/>
      </tp>
      <tp t="e">
        <v>#N/A</v>
        <stp/>
        <stp>BDH|13387558476858490026</stp>
        <tr r="F13" s="24"/>
      </tp>
      <tp t="e">
        <v>#N/A</v>
        <stp/>
        <stp>BDH|18145018805895759447</stp>
        <tr r="M8" s="4"/>
      </tp>
      <tp t="e">
        <v>#N/A</v>
        <stp/>
        <stp>BDH|13109908029453569241</stp>
        <tr r="Q39" s="6"/>
      </tp>
      <tp t="e">
        <v>#N/A</v>
        <stp/>
        <stp>BDH|17186993073482228206</stp>
        <tr r="X21" s="11"/>
      </tp>
      <tp t="e">
        <v>#N/A</v>
        <stp/>
        <stp>BDH|17660618096247148692</stp>
        <tr r="X11" s="29"/>
      </tp>
      <tp t="e">
        <v>#N/A</v>
        <stp/>
        <stp>BDH|10798356951909250689</stp>
        <tr r="J34" s="6"/>
        <tr r="L9" s="8"/>
      </tp>
      <tp t="e">
        <v>#N/A</v>
        <stp/>
        <stp>BDH|11275018963967062999</stp>
        <tr r="W37" s="10"/>
        <tr r="W35" s="11"/>
      </tp>
      <tp t="e">
        <v>#N/A</v>
        <stp/>
        <stp>BDH|14943426385876631710</stp>
        <tr r="U23" s="17"/>
      </tp>
      <tp t="e">
        <v>#N/A</v>
        <stp/>
        <stp>BDH|17144860432980954556</stp>
        <tr r="U52" s="12"/>
      </tp>
      <tp t="e">
        <v>#N/A</v>
        <stp/>
        <stp>BDH|16685599810199649209</stp>
        <tr r="I17" s="18"/>
      </tp>
      <tp t="e">
        <v>#N/A</v>
        <stp/>
        <stp>BDH|16849174493646594103</stp>
        <tr r="D73" s="17"/>
      </tp>
      <tp t="e">
        <v>#N/A</v>
        <stp/>
        <stp>BDH|10629181694790009138</stp>
        <tr r="Z60" s="24"/>
      </tp>
      <tp t="e">
        <v>#N/A</v>
        <stp/>
        <stp>BDH|17357322337488880679</stp>
        <tr r="N11" s="17"/>
      </tp>
      <tp t="e">
        <v>#N/A</v>
        <stp/>
        <stp>BDH|17415334787767118281</stp>
        <tr r="J75" s="17"/>
      </tp>
      <tp t="e">
        <v>#N/A</v>
        <stp/>
        <stp>BDH|17168313099255028107</stp>
        <tr r="E9" s="12"/>
      </tp>
      <tp t="e">
        <v>#N/A</v>
        <stp/>
        <stp>BDH|12643933628346145652</stp>
        <tr r="AA10" s="23"/>
      </tp>
      <tp t="e">
        <v>#N/A</v>
        <stp/>
        <stp>BDH|14961016215959592512</stp>
        <tr r="N39" s="4"/>
        <tr r="N62" s="10"/>
      </tp>
      <tp t="e">
        <v>#N/A</v>
        <stp/>
        <stp>BDH|16373003888286527174</stp>
        <tr r="M115" s="18"/>
      </tp>
      <tp t="e">
        <v>#N/A</v>
        <stp/>
        <stp>BDH|12252899908976800522</stp>
        <tr r="V22" s="18"/>
      </tp>
      <tp t="e">
        <v>#N/A</v>
        <stp/>
        <stp>BDH|18342192375224540337</stp>
        <tr r="D40" s="13"/>
      </tp>
      <tp t="e">
        <v>#N/A</v>
        <stp/>
        <stp>BDH|10925964896089562056</stp>
        <tr r="N58" s="21"/>
        <tr r="N30" s="25"/>
        <tr r="L31" s="4"/>
        <tr r="L56" s="11"/>
      </tp>
      <tp t="e">
        <v>#N/A</v>
        <stp/>
        <stp>BDH|12234987543420343632</stp>
        <tr r="AA11" s="3"/>
        <tr r="Y46" s="10"/>
        <tr r="Y44" s="11"/>
        <tr r="Y8" s="7"/>
      </tp>
      <tp t="e">
        <v>#N/A</v>
        <stp/>
        <stp>BDH|16783909765202306285</stp>
        <tr r="V63" s="11"/>
      </tp>
      <tp t="e">
        <v>#N/A</v>
        <stp/>
        <stp>BDH|16877968109875928370</stp>
        <tr r="D20" s="20"/>
      </tp>
      <tp t="e">
        <v>#N/A</v>
        <stp/>
        <stp>BDH|16227035353029872335</stp>
        <tr r="L42" s="12"/>
      </tp>
      <tp t="e">
        <v>#N/A</v>
        <stp/>
        <stp>BDH|11770965029511439250</stp>
        <tr r="H118" s="18"/>
      </tp>
      <tp t="e">
        <v>#N/A</v>
        <stp/>
        <stp>BDH|10533190842954375849</stp>
        <tr r="D16" s="21"/>
      </tp>
      <tp t="e">
        <v>#N/A</v>
        <stp/>
        <stp>BDH|11865801553330552575</stp>
        <tr r="E8" s="28"/>
      </tp>
      <tp t="e">
        <v>#N/A</v>
        <stp/>
        <stp>BDH|14321923612544880128</stp>
        <tr r="W32" s="18"/>
      </tp>
      <tp t="e">
        <v>#N/A</v>
        <stp/>
        <stp>BDH|13374518487803442487</stp>
        <tr r="Y15" s="21"/>
      </tp>
      <tp t="e">
        <v>#N/A</v>
        <stp/>
        <stp>BDH|17458522288270383357</stp>
        <tr r="Y17" s="20"/>
      </tp>
      <tp t="e">
        <v>#N/A</v>
        <stp/>
        <stp>BDH|15036894622571383703</stp>
        <tr r="D104" s="18"/>
      </tp>
      <tp t="e">
        <v>#N/A</v>
        <stp/>
        <stp>BDH|15064229968721499968</stp>
        <tr r="N85" s="17"/>
      </tp>
      <tp t="e">
        <v>#N/A</v>
        <stp/>
        <stp>BDH|12357464350118881250</stp>
        <tr r="Q20" s="26"/>
      </tp>
      <tp t="e">
        <v>#N/A</v>
        <stp/>
        <stp>BDH|10983013494776374674</stp>
        <tr r="L34" s="18"/>
      </tp>
      <tp t="e">
        <v>#N/A</v>
        <stp/>
        <stp>BDH|14382504239783219804</stp>
        <tr r="AA16" s="22"/>
      </tp>
      <tp t="e">
        <v>#N/A</v>
        <stp/>
        <stp>BDH|12180912708405302733</stp>
        <tr r="I12" s="21"/>
      </tp>
      <tp t="e">
        <v>#N/A</v>
        <stp/>
        <stp>BDH|18196484881188246525</stp>
        <tr r="X9" s="28"/>
      </tp>
      <tp t="e">
        <v>#N/A</v>
        <stp/>
        <stp>BDH|10399652090254826267</stp>
        <tr r="I19" s="26"/>
      </tp>
      <tp t="e">
        <v>#N/A</v>
        <stp/>
        <stp>BDH|16931473684475579672</stp>
        <tr r="L90" s="17"/>
        <tr r="L13" s="28"/>
      </tp>
      <tp t="e">
        <v>#N/A</v>
        <stp/>
        <stp>BDH|10937859959484995046</stp>
        <tr r="Z43" s="17"/>
      </tp>
      <tp t="e">
        <v>#N/A</v>
        <stp/>
        <stp>BDH|17478972856640938240</stp>
        <tr r="L10" s="24"/>
      </tp>
      <tp t="e">
        <v>#N/A</v>
        <stp/>
        <stp>BDH|14345916457746441791</stp>
        <tr r="V16" s="12"/>
      </tp>
      <tp t="e">
        <v>#N/A</v>
        <stp/>
        <stp>BDH|17939577256688112613</stp>
        <tr r="P9" s="21"/>
      </tp>
      <tp t="e">
        <v>#N/A</v>
        <stp/>
        <stp>BDH|11858348685770689372</stp>
        <tr r="R29" s="22"/>
      </tp>
      <tp t="e">
        <v>#N/A</v>
        <stp/>
        <stp>BDH|11692789498706753094</stp>
        <tr r="D14" s="18"/>
      </tp>
      <tp t="e">
        <v>#N/A</v>
        <stp/>
        <stp>BDH|17809883368581270125</stp>
        <tr r="G33" s="22"/>
      </tp>
      <tp t="e">
        <v>#N/A</v>
        <stp/>
        <stp>BDH|12973441173670231878</stp>
        <tr r="Z28" s="12"/>
      </tp>
      <tp t="e">
        <v>#N/A</v>
        <stp/>
        <stp>BDH|16219388524439645733</stp>
        <tr r="R18" s="18"/>
      </tp>
      <tp t="e">
        <v>#N/A</v>
        <stp/>
        <stp>BDH|17840046180903031572</stp>
        <tr r="Y81" s="18"/>
      </tp>
      <tp t="e">
        <v>#N/A</v>
        <stp/>
        <stp>BDH|17847140910938265652</stp>
        <tr r="X37" s="21"/>
        <tr r="X24" s="3"/>
      </tp>
      <tp t="e">
        <v>#N/A</v>
        <stp/>
        <stp>BDH|10507192818579968068</stp>
        <tr r="C34" s="6"/>
        <tr r="E9" s="8"/>
      </tp>
      <tp t="e">
        <v>#N/A</v>
        <stp/>
        <stp>BDH|10611852412375374598</stp>
        <tr r="Y18" s="20"/>
      </tp>
      <tp t="e">
        <v>#N/A</v>
        <stp/>
        <stp>BDH|12035607783792092787</stp>
        <tr r="P17" s="12"/>
      </tp>
      <tp t="e">
        <v>#N/A</v>
        <stp/>
        <stp>BDH|16563774688127593747</stp>
        <tr r="V24" s="2"/>
      </tp>
      <tp t="e">
        <v>#N/A</v>
        <stp/>
        <stp>BDH|16737148413858232793</stp>
        <tr r="J68" s="17"/>
      </tp>
      <tp t="e">
        <v>#N/A</v>
        <stp/>
        <stp>BDH|12250430221448366584</stp>
        <tr r="O25" s="26"/>
      </tp>
      <tp t="e">
        <v>#N/A</v>
        <stp/>
        <stp>BDH|11845116941364779945</stp>
        <tr r="C81" s="17"/>
      </tp>
      <tp t="e">
        <v>#N/A</v>
        <stp/>
        <stp>BDH|13789807579676528308</stp>
        <tr r="J14" s="23"/>
      </tp>
      <tp t="e">
        <v>#N/A</v>
        <stp/>
        <stp>BDH|13102526285621513683</stp>
        <tr r="F25" s="26"/>
      </tp>
      <tp t="e">
        <v>#N/A</v>
        <stp/>
        <stp>BDH|10829137267438558626</stp>
        <tr r="D14" s="29"/>
        <tr r="D23" s="29"/>
        <tr r="D34" s="29"/>
      </tp>
      <tp t="e">
        <v>#N/A</v>
        <stp/>
        <stp>BDH|12732541643843913929</stp>
        <tr r="G30" s="9"/>
      </tp>
      <tp t="e">
        <v>#N/A</v>
        <stp/>
        <stp>BDH|13446576099380021612</stp>
        <tr r="N45" s="34"/>
      </tp>
      <tp t="e">
        <v>#N/A</v>
        <stp/>
        <stp>BDH|18328353309593767135</stp>
        <tr r="D36" s="18"/>
      </tp>
      <tp t="e">
        <v>#N/A</v>
        <stp/>
        <stp>BDH|12274574583494969246</stp>
        <tr r="P24" s="17"/>
      </tp>
      <tp t="e">
        <v>#N/A</v>
        <stp/>
        <stp>BDH|13566054703709940316</stp>
        <tr r="Y18" s="29"/>
        <tr r="Y38" s="29"/>
      </tp>
      <tp t="e">
        <v>#N/A</v>
        <stp/>
        <stp>BDH|13310513328059644471</stp>
        <tr r="D23" s="25"/>
        <tr r="D16" s="27"/>
      </tp>
      <tp t="e">
        <v>#N/A</v>
        <stp/>
        <stp>BDH|14160437057499705593</stp>
        <tr r="K20" s="17"/>
      </tp>
      <tp t="e">
        <v>#N/A</v>
        <stp/>
        <stp>BDH|15049508758525683955</stp>
        <tr r="R84" s="17"/>
      </tp>
      <tp t="e">
        <v>#N/A</v>
        <stp/>
        <stp>BDH|13814136860365714871</stp>
        <tr r="Y16" s="10"/>
      </tp>
      <tp t="e">
        <v>#N/A</v>
        <stp/>
        <stp>BDH|14982124140849660178</stp>
        <tr r="F24" s="10"/>
      </tp>
      <tp t="e">
        <v>#N/A</v>
        <stp/>
        <stp>BDH|14739647688082749168</stp>
        <tr r="X69" s="10"/>
        <tr r="X67" s="11"/>
      </tp>
      <tp t="e">
        <v>#N/A</v>
        <stp/>
        <stp>BDH|14715597171706091950</stp>
        <tr r="F117" s="18"/>
      </tp>
      <tp t="e">
        <v>#N/A</v>
        <stp/>
        <stp>BDH|12231431849462111938</stp>
        <tr r="G43" s="12"/>
      </tp>
      <tp t="e">
        <v>#N/A</v>
        <stp/>
        <stp>BDH|14045055861819675281</stp>
        <tr r="U22" s="24"/>
      </tp>
      <tp t="e">
        <v>#N/A</v>
        <stp/>
        <stp>BDH|16691017400746431995</stp>
        <tr r="L12" s="7"/>
      </tp>
      <tp t="e">
        <v>#N/A</v>
        <stp/>
        <stp>BDH|11953946221343081066</stp>
        <tr r="K20" s="30"/>
      </tp>
      <tp t="e">
        <v>#N/A</v>
        <stp/>
        <stp>BDH|14706572515009954069</stp>
        <tr r="J32" s="10"/>
        <tr r="J44" s="10"/>
        <tr r="J30" s="11"/>
        <tr r="J42" s="11"/>
      </tp>
      <tp t="e">
        <v>#N/A</v>
        <stp/>
        <stp>BDH|10763831558780383455</stp>
        <tr r="V61" s="11"/>
        <tr r="X15" s="23"/>
      </tp>
      <tp t="e">
        <v>#N/A</v>
        <stp/>
        <stp>BDH|17891593023098874100</stp>
        <tr r="P83" s="17"/>
      </tp>
      <tp t="e">
        <v>#N/A</v>
        <stp/>
        <stp>BDH|14177901337273501499</stp>
        <tr r="X84" s="17"/>
      </tp>
      <tp t="e">
        <v>#N/A</v>
        <stp/>
        <stp>BDH|10975281046157928849</stp>
        <tr r="M16" s="22"/>
      </tp>
      <tp t="e">
        <v>#N/A</v>
        <stp/>
        <stp>BDH|16766540504903470994</stp>
        <tr r="Z61" s="17"/>
      </tp>
      <tp t="e">
        <v>#N/A</v>
        <stp/>
        <stp>BDH|14508513289725665511</stp>
        <tr r="Y24" s="12"/>
      </tp>
      <tp t="e">
        <v>#N/A</v>
        <stp/>
        <stp>BDH|11931822546787310344</stp>
        <tr r="E112" s="18"/>
      </tp>
      <tp t="e">
        <v>#N/A</v>
        <stp/>
        <stp>BDH|14004232406837808879</stp>
        <tr r="D49" s="24"/>
      </tp>
      <tp t="e">
        <v>#N/A</v>
        <stp/>
        <stp>BDH|15300160518515632915</stp>
        <tr r="D22" s="18"/>
      </tp>
      <tp t="e">
        <v>#N/A</v>
        <stp/>
        <stp>BDH|14464818905401986430</stp>
        <tr r="J48" s="18"/>
      </tp>
      <tp t="e">
        <v>#N/A</v>
        <stp/>
        <stp>BDH|14618998903400181474</stp>
        <tr r="M22" s="7"/>
      </tp>
      <tp t="e">
        <v>#N/A</v>
        <stp/>
        <stp>BDH|13186967463490999573</stp>
        <tr r="H124" s="18"/>
      </tp>
      <tp t="e">
        <v>#N/A</v>
        <stp/>
        <stp>BDH|15984926744983257272</stp>
        <tr r="V10" s="6"/>
      </tp>
      <tp t="e">
        <v>#N/A</v>
        <stp/>
        <stp>BDH|13091500187933468490</stp>
        <tr r="N15" s="13"/>
      </tp>
      <tp t="e">
        <v>#N/A</v>
        <stp/>
        <stp>BDH|10364596255359159040</stp>
        <tr r="X49" s="17"/>
        <tr r="X17" s="3"/>
      </tp>
      <tp t="e">
        <v>#N/A</v>
        <stp/>
        <stp>BDH|16390964245647299587</stp>
        <tr r="J131" s="18"/>
      </tp>
      <tp t="e">
        <v>#N/A</v>
        <stp/>
        <stp>BDH|11812556570152658816</stp>
        <tr r="H67" s="18"/>
      </tp>
      <tp t="e">
        <v>#N/A</v>
        <stp/>
        <stp>BDH|14411867629411530644</stp>
        <tr r="C31" s="21"/>
      </tp>
      <tp t="e">
        <v>#N/A</v>
        <stp/>
        <stp>BDH|11153816956385421086</stp>
        <tr r="G28" s="5"/>
      </tp>
      <tp t="e">
        <v>#N/A</v>
        <stp/>
        <stp>BDH|16618225665989402287</stp>
        <tr r="J17" s="12"/>
      </tp>
      <tp t="e">
        <v>#N/A</v>
        <stp/>
        <stp>BDH|13662328143168978531</stp>
        <tr r="O23" s="9"/>
      </tp>
      <tp t="e">
        <v>#N/A</v>
        <stp/>
        <stp>BDH|13053848612697237491</stp>
        <tr r="L41" s="17"/>
      </tp>
      <tp t="e">
        <v>#N/A</v>
        <stp/>
        <stp>BDH|16115839815286205083</stp>
        <tr r="I127" s="18"/>
      </tp>
      <tp t="e">
        <v>#N/A</v>
        <stp/>
        <stp>BDH|17278838769682343265</stp>
        <tr r="F40" s="6"/>
      </tp>
      <tp t="e">
        <v>#N/A</v>
        <stp/>
        <stp>BDH|10645831455895831150</stp>
        <tr r="Y72" s="18"/>
      </tp>
      <tp t="e">
        <v>#N/A</v>
        <stp/>
        <stp>BDH|17944380451981539980</stp>
        <tr r="T108" s="18"/>
      </tp>
      <tp t="e">
        <v>#N/A</v>
        <stp/>
        <stp>BDH|12078781761583094947</stp>
        <tr r="G23" s="11"/>
      </tp>
      <tp t="e">
        <v>#N/A</v>
        <stp/>
        <stp>BDH|17261363340728177189</stp>
        <tr r="X25" s="7"/>
      </tp>
      <tp t="e">
        <v>#N/A</v>
        <stp/>
        <stp>BDH|12427023130298990029</stp>
        <tr r="C10" s="4"/>
        <tr r="E6" s="3"/>
        <tr r="C6" s="11"/>
      </tp>
      <tp t="e">
        <v>#N/A</v>
        <stp/>
        <stp>BDH|13408658520856811842</stp>
        <tr r="Z66" s="12"/>
      </tp>
      <tp t="e">
        <v>#N/A</v>
        <stp/>
        <stp>BDH|15527773584384382789</stp>
        <tr r="P29" s="9"/>
      </tp>
      <tp t="e">
        <v>#N/A</v>
        <stp/>
        <stp>BDH|13272918076902049681</stp>
        <tr r="N28" s="25"/>
      </tp>
      <tp t="e">
        <v>#N/A</v>
        <stp/>
        <stp>BDH|12453384086311488139</stp>
        <tr r="Q123" s="18"/>
      </tp>
      <tp t="e">
        <v>#N/A</v>
        <stp/>
        <stp>BDH|17482438975789753481</stp>
        <tr r="W15" s="29"/>
        <tr r="W35" s="29"/>
      </tp>
      <tp t="e">
        <v>#N/A</v>
        <stp/>
        <stp>BDH|14876316606368319611</stp>
        <tr r="V42" s="18"/>
      </tp>
      <tp t="e">
        <v>#N/A</v>
        <stp/>
        <stp>BDH|17609520696767773582</stp>
        <tr r="U9" s="22"/>
      </tp>
      <tp t="e">
        <v>#N/A</v>
        <stp/>
        <stp>BDH|13864720995610013420</stp>
        <tr r="P88" s="18"/>
        <tr r="P8" s="20"/>
      </tp>
      <tp t="e">
        <v>#N/A</v>
        <stp/>
        <stp>BDH|15815531993852106249</stp>
        <tr r="O21" s="21"/>
      </tp>
      <tp t="e">
        <v>#N/A</v>
        <stp/>
        <stp>BDH|16406108423908890429</stp>
        <tr r="N80" s="18"/>
      </tp>
      <tp t="e">
        <v>#N/A</v>
        <stp/>
        <stp>BDH|12053222352794886858</stp>
        <tr r="T10" s="22"/>
      </tp>
      <tp t="e">
        <v>#N/A</v>
        <stp/>
        <stp>BDH|18305365568400185419</stp>
        <tr r="E40" s="34"/>
      </tp>
      <tp t="e">
        <v>#N/A</v>
        <stp/>
        <stp>BDH|11837836057366461357</stp>
        <tr r="L22" s="12"/>
      </tp>
      <tp t="e">
        <v>#N/A</v>
        <stp/>
        <stp>BDH|13714425380292053486</stp>
        <tr r="I69" s="17"/>
      </tp>
      <tp t="e">
        <v>#N/A</v>
        <stp/>
        <stp>BDH|11173829437147939409</stp>
        <tr r="S29" s="17"/>
      </tp>
      <tp t="e">
        <v>#N/A</v>
        <stp/>
        <stp>BDH|15007907502351871476</stp>
        <tr r="L25" s="22"/>
      </tp>
      <tp t="e">
        <v>#N/A</v>
        <stp/>
        <stp>BDH|15505930064750952367</stp>
        <tr r="O12" s="30"/>
      </tp>
      <tp t="e">
        <v>#N/A</v>
        <stp/>
        <stp>BDH|14725419452244189885</stp>
        <tr r="T52" s="17"/>
      </tp>
      <tp t="e">
        <v>#N/A</v>
        <stp/>
        <stp>BDH|10211961662064374283</stp>
        <tr r="O25" s="17"/>
      </tp>
      <tp t="e">
        <v>#N/A</v>
        <stp/>
        <stp>BDH|12934388240119449594</stp>
        <tr r="T43" s="24"/>
      </tp>
      <tp t="e">
        <v>#N/A</v>
        <stp/>
        <stp>BDH|11828838018434755583</stp>
        <tr r="AA28" s="25"/>
      </tp>
      <tp t="e">
        <v>#N/A</v>
        <stp/>
        <stp>BDH|11317989680838399146</stp>
        <tr r="R27" s="7"/>
      </tp>
      <tp t="e">
        <v>#N/A</v>
        <stp/>
        <stp>BDH|11078766631368949429</stp>
        <tr r="I24" s="17"/>
      </tp>
      <tp t="e">
        <v>#N/A</v>
        <stp/>
        <stp>BDH|11474940338987583518</stp>
        <tr r="W23" s="2"/>
        <tr r="Y18" s="21"/>
        <tr r="Y23" s="3"/>
      </tp>
      <tp t="e">
        <v>#N/A</v>
        <stp/>
        <stp>BDH|11872669672060971994</stp>
        <tr r="AA7" s="28"/>
      </tp>
      <tp t="e">
        <v>#N/A</v>
        <stp/>
        <stp>BDH|13279395890752400239</stp>
        <tr r="M9" s="28"/>
      </tp>
      <tp t="e">
        <v>#N/A</v>
        <stp/>
        <stp>BDH|13943845006083616113</stp>
        <tr r="M40" s="21"/>
      </tp>
      <tp t="e">
        <v>#N/A</v>
        <stp/>
        <stp>BDH|12249915897683053881</stp>
        <tr r="S39" s="22"/>
      </tp>
      <tp t="e">
        <v>#N/A</v>
        <stp/>
        <stp>BDH|17906194433529647596</stp>
        <tr r="X20" s="12"/>
      </tp>
      <tp t="e">
        <v>#N/A</v>
        <stp/>
        <stp>BDH|14494869317407837314</stp>
        <tr r="E13" s="18"/>
      </tp>
      <tp t="e">
        <v>#N/A</v>
        <stp/>
        <stp>BDH|18267295804602142120</stp>
        <tr r="Q16" s="22"/>
      </tp>
      <tp t="e">
        <v>#N/A</v>
        <stp/>
        <stp>BDH|12622293711558678042</stp>
        <tr r="R31" s="24"/>
      </tp>
      <tp t="e">
        <v>#N/A</v>
        <stp/>
        <stp>BDH|11902368681290736358</stp>
        <tr r="L82" s="17"/>
      </tp>
      <tp t="e">
        <v>#N/A</v>
        <stp/>
        <stp>BDH|16819361855299752006</stp>
        <tr r="G17" s="10"/>
      </tp>
      <tp t="e">
        <v>#N/A</v>
        <stp/>
        <stp>BDH|10440340306722976834</stp>
        <tr r="C49" s="4"/>
      </tp>
      <tp t="e">
        <v>#N/A</v>
        <stp/>
        <stp>BDH|15581126596760512488</stp>
        <tr r="W51" s="18"/>
      </tp>
      <tp t="e">
        <v>#N/A</v>
        <stp/>
        <stp>BDH|10740896109582295399</stp>
        <tr r="K73" s="17"/>
        <tr r="I9" s="5"/>
        <tr r="I9" s="9"/>
      </tp>
      <tp t="e">
        <v>#N/A</v>
        <stp/>
        <stp>BDH|11856958117897260744</stp>
        <tr r="Q15" s="24"/>
      </tp>
      <tp t="e">
        <v>#N/A</v>
        <stp/>
        <stp>BDH|11134550891553011791</stp>
        <tr r="Z27" s="26"/>
      </tp>
      <tp t="e">
        <v>#N/A</v>
        <stp/>
        <stp>BDH|12623292012030574841</stp>
        <tr r="P64" s="10"/>
      </tp>
      <tp t="e">
        <v>#N/A</v>
        <stp/>
        <stp>BDH|16806085318349772737</stp>
        <tr r="H32" s="18"/>
      </tp>
      <tp t="e">
        <v>#N/A</v>
        <stp/>
        <stp>BDH|18362860708468712166</stp>
        <tr r="O13" s="13"/>
      </tp>
      <tp t="e">
        <v>#N/A</v>
        <stp/>
        <stp>BDH|15421890387539745529</stp>
        <tr r="F91" s="18"/>
      </tp>
      <tp t="e">
        <v>#N/A</v>
        <stp/>
        <stp>BDH|18150267541843054496</stp>
        <tr r="G55" s="24"/>
      </tp>
      <tp t="e">
        <v>#N/A</v>
        <stp/>
        <stp>BDH|11174861349806023215</stp>
        <tr r="M59" s="17"/>
      </tp>
      <tp t="e">
        <v>#N/A</v>
        <stp/>
        <stp>BDH|14620098454330113851</stp>
        <tr r="T16" s="10"/>
      </tp>
      <tp t="e">
        <v>#N/A</v>
        <stp/>
        <stp>BDH|10986202386843593052</stp>
        <tr r="X39" s="18"/>
      </tp>
      <tp t="e">
        <v>#N/A</v>
        <stp/>
        <stp>BDH|15760069736707830803</stp>
        <tr r="Z15" s="20"/>
      </tp>
      <tp t="e">
        <v>#N/A</v>
        <stp/>
        <stp>BDH|17893776067557674813</stp>
        <tr r="Q33" s="18"/>
      </tp>
      <tp t="e">
        <v>#N/A</v>
        <stp/>
        <stp>BDH|15938867282228082422</stp>
        <tr r="N21" s="22"/>
      </tp>
      <tp t="e">
        <v>#N/A</v>
        <stp/>
        <stp>BDH|18331374568584318000</stp>
        <tr r="I28" s="18"/>
      </tp>
      <tp t="e">
        <v>#N/A</v>
        <stp/>
        <stp>BDH|15642630602203074982</stp>
        <tr r="V48" s="18"/>
      </tp>
      <tp t="e">
        <v>#N/A</v>
        <stp/>
        <stp>BDH|16040100295892283586</stp>
        <tr r="E38" s="4"/>
        <tr r="E60" s="11"/>
        <tr r="G13" s="23"/>
      </tp>
      <tp t="e">
        <v>#N/A</v>
        <stp/>
        <stp>BDH|14406284148408301382</stp>
        <tr r="E14" s="30"/>
      </tp>
      <tp t="e">
        <v>#N/A</v>
        <stp/>
        <stp>BDH|10101555157108551193</stp>
        <tr r="Z43" s="21"/>
      </tp>
      <tp t="e">
        <v>#N/A</v>
        <stp/>
        <stp>BDH|18003812190465969571</stp>
        <tr r="K86" s="18"/>
        <tr r="K6" s="20"/>
      </tp>
      <tp t="e">
        <v>#N/A</v>
        <stp/>
        <stp>BDH|14765451229792542915</stp>
        <tr r="F113" s="18"/>
      </tp>
      <tp t="e">
        <v>#N/A</v>
        <stp/>
        <stp>BDH|16150250887122450780</stp>
        <tr r="X128" s="18"/>
      </tp>
      <tp t="e">
        <v>#N/A</v>
        <stp/>
        <stp>BDH|16798909733714976120</stp>
        <tr r="K19" s="24"/>
      </tp>
      <tp t="e">
        <v>#N/A</v>
        <stp/>
        <stp>BDH|14829825028911573689</stp>
        <tr r="S11" s="11"/>
      </tp>
      <tp t="e">
        <v>#N/A</v>
        <stp/>
        <stp>BDH|10575894700236430775</stp>
        <tr r="N86" s="17"/>
      </tp>
      <tp t="e">
        <v>#N/A</v>
        <stp/>
        <stp>BDH|15888991966953845002</stp>
        <tr r="K10" s="23"/>
      </tp>
      <tp t="e">
        <v>#N/A</v>
        <stp/>
        <stp>BDH|11430709094516781081</stp>
        <tr r="U18" s="30"/>
      </tp>
      <tp t="e">
        <v>#N/A</v>
        <stp/>
        <stp>BDH|10201302922240872872</stp>
        <tr r="N14" s="11"/>
      </tp>
      <tp t="e">
        <v>#N/A</v>
        <stp/>
        <stp>BDH|14049118306764869809</stp>
        <tr r="E27" s="17"/>
      </tp>
      <tp t="e">
        <v>#N/A</v>
        <stp/>
        <stp>BDH|13585399515220754812</stp>
        <tr r="Z57" s="24"/>
      </tp>
      <tp t="e">
        <v>#N/A</v>
        <stp/>
        <stp>BDH|18394743069767814798</stp>
        <tr r="C115" s="18"/>
      </tp>
      <tp t="e">
        <v>#N/A</v>
        <stp/>
        <stp>BDH|12186490298763833578</stp>
        <tr r="F8" s="34"/>
      </tp>
      <tp t="e">
        <v>#N/A</v>
        <stp/>
        <stp>BDH|18136368823709301997</stp>
        <tr r="C6" s="8"/>
      </tp>
      <tp t="e">
        <v>#N/A</v>
        <stp/>
        <stp>BDH|13772788135636672825</stp>
        <tr r="Y32" s="25"/>
        <tr r="Y7" s="3"/>
        <tr r="W19" s="11"/>
        <tr r="Y22" s="13"/>
        <tr r="Y7" s="13"/>
      </tp>
      <tp t="e">
        <v>#N/A</v>
        <stp/>
        <stp>BDH|14528714272488107598</stp>
        <tr r="C34" s="34"/>
      </tp>
      <tp t="e">
        <v>#N/A</v>
        <stp/>
        <stp>BDH|17822812577878833981</stp>
        <tr r="N19" s="17"/>
      </tp>
      <tp t="e">
        <v>#N/A</v>
        <stp/>
        <stp>BDH|17978972283837000834</stp>
        <tr r="I39" s="4"/>
        <tr r="I62" s="10"/>
      </tp>
      <tp t="e">
        <v>#N/A</v>
        <stp/>
        <stp>BDH|15099955419593356714</stp>
        <tr r="J11" s="21"/>
      </tp>
      <tp t="e">
        <v>#N/A</v>
        <stp/>
        <stp>BDH|11151265098206692574</stp>
        <tr r="C30" s="24"/>
      </tp>
      <tp t="e">
        <v>#N/A</v>
        <stp/>
        <stp>BDH|14850471398919960905</stp>
        <tr r="O14" s="10"/>
      </tp>
      <tp t="e">
        <v>#N/A</v>
        <stp/>
        <stp>BDH|17934681362008488697</stp>
        <tr r="V30" s="26"/>
      </tp>
      <tp t="e">
        <v>#N/A</v>
        <stp/>
        <stp>BDH|16855809866949502858</stp>
        <tr r="O7" s="21"/>
      </tp>
      <tp t="e">
        <v>#N/A</v>
        <stp/>
        <stp>BDH|10461129138928287323</stp>
        <tr r="P82" s="18"/>
      </tp>
      <tp t="e">
        <v>#N/A</v>
        <stp/>
        <stp>BDH|18409311472651035497</stp>
        <tr r="D90" s="18"/>
      </tp>
      <tp t="e">
        <v>#N/A</v>
        <stp/>
        <stp>BDH|13057863766333648780</stp>
        <tr r="Q63" s="21"/>
        <tr r="O23" s="7"/>
      </tp>
      <tp t="e">
        <v>#N/A</v>
        <stp/>
        <stp>BDH|17257923152491554396</stp>
        <tr r="Y29" s="21"/>
      </tp>
      <tp t="e">
        <v>#N/A</v>
        <stp/>
        <stp>BDH|16748031840493870826</stp>
        <tr r="P35" s="12"/>
      </tp>
      <tp t="e">
        <v>#N/A</v>
        <stp/>
        <stp>BDH|17260718111258587094</stp>
        <tr r="W25" s="3"/>
      </tp>
      <tp t="e">
        <v>#N/A</v>
        <stp/>
        <stp>BDH|13172891077525618075</stp>
        <tr r="W24" s="29"/>
      </tp>
      <tp t="e">
        <v>#N/A</v>
        <stp/>
        <stp>BDH|17867875935307573211</stp>
        <tr r="L90" s="18"/>
      </tp>
      <tp t="e">
        <v>#N/A</v>
        <stp/>
        <stp>BDH|14028964147008661895</stp>
        <tr r="I15" s="21"/>
      </tp>
      <tp t="e">
        <v>#N/A</v>
        <stp/>
        <stp>BDH|17778906339072467642</stp>
        <tr r="M34" s="6"/>
        <tr r="O9" s="8"/>
      </tp>
      <tp t="e">
        <v>#N/A</v>
        <stp/>
        <stp>BDH|11510905583678057182</stp>
        <tr r="Y9" s="2"/>
        <tr r="AA8" s="25"/>
        <tr r="Y10" s="5"/>
      </tp>
      <tp t="e">
        <v>#N/A</v>
        <stp/>
        <stp>BDH|10152279390356933419</stp>
        <tr r="G19" s="22"/>
      </tp>
      <tp t="e">
        <v>#N/A</v>
        <stp/>
        <stp>BDH|12447858126981889018</stp>
        <tr r="M29" s="18"/>
      </tp>
      <tp t="e">
        <v>#N/A</v>
        <stp/>
        <stp>BDH|10818275505248018342</stp>
        <tr r="P8" s="27"/>
      </tp>
      <tp t="e">
        <v>#N/A</v>
        <stp/>
        <stp>BDH|16192564099910033302</stp>
        <tr r="K7" s="24"/>
      </tp>
      <tp t="e">
        <v>#N/A</v>
        <stp/>
        <stp>BDH|16399441867838702595</stp>
        <tr r="N25" s="12"/>
      </tp>
      <tp t="e">
        <v>#N/A</v>
        <stp/>
        <stp>BDH|15899151083721837377</stp>
        <tr r="P13" s="14"/>
      </tp>
      <tp t="e">
        <v>#N/A</v>
        <stp/>
        <stp>BDH|17907802413731265198</stp>
        <tr r="G23" s="2"/>
        <tr r="I18" s="21"/>
        <tr r="I23" s="3"/>
      </tp>
      <tp t="e">
        <v>#N/A</v>
        <stp/>
        <stp>BDH|18422506000972520104</stp>
        <tr r="R44" s="24"/>
      </tp>
      <tp t="e">
        <v>#N/A</v>
        <stp/>
        <stp>BDH|15052139475744382948</stp>
        <tr r="M61" s="12"/>
      </tp>
      <tp t="e">
        <v>#N/A</v>
        <stp/>
        <stp>BDH|17936019088498060912</stp>
        <tr r="W75" s="18"/>
      </tp>
      <tp t="e">
        <v>#N/A</v>
        <stp/>
        <stp>BDH|18269112135681683513</stp>
        <tr r="N17" s="12"/>
      </tp>
      <tp t="e">
        <v>#N/A</v>
        <stp/>
        <stp>BDH|12191361207349955686</stp>
        <tr r="K84" s="18"/>
      </tp>
      <tp t="e">
        <v>#N/A</v>
        <stp/>
        <stp>BDH|12610487114010980921</stp>
        <tr r="R25" s="12"/>
      </tp>
      <tp t="e">
        <v>#N/A</v>
        <stp/>
        <stp>BDH|14442357665307173849</stp>
        <tr r="J30" s="22"/>
      </tp>
      <tp t="e">
        <v>#N/A</v>
        <stp/>
        <stp>BDH|16382415713738326536</stp>
        <tr r="X10" s="4"/>
        <tr r="W6" s="16"/>
        <tr r="Z6" s="3"/>
        <tr r="X6" s="11"/>
      </tp>
      <tp t="e">
        <v>#N/A</v>
        <stp/>
        <stp>BDH|14498179877895214974</stp>
        <tr r="I25" s="2"/>
        <tr r="K61" s="21"/>
      </tp>
      <tp t="e">
        <v>#N/A</v>
        <stp/>
        <stp>BDH|12105554786145252413</stp>
        <tr r="H40" s="12"/>
      </tp>
      <tp t="e">
        <v>#N/A</v>
        <stp/>
        <stp>BDH|11064819117711185763</stp>
        <tr r="W12" s="30"/>
      </tp>
      <tp t="e">
        <v>#N/A</v>
        <stp/>
        <stp>BDH|16273553493747011351</stp>
        <tr r="I61" s="17"/>
      </tp>
      <tp t="e">
        <v>#N/A</v>
        <stp/>
        <stp>BDH|10809522452147064997</stp>
        <tr r="P43" s="24"/>
      </tp>
      <tp t="e">
        <v>#N/A</v>
        <stp/>
        <stp>BDH|11938408389164388720</stp>
        <tr r="J19" s="18"/>
      </tp>
      <tp t="e">
        <v>#N/A</v>
        <stp/>
        <stp>BDH|14669557088422316595</stp>
        <tr r="T38" s="24"/>
      </tp>
      <tp t="e">
        <v>#N/A</v>
        <stp/>
        <stp>BDH|12583237374830357902</stp>
        <tr r="H40" s="21"/>
      </tp>
      <tp t="e">
        <v>#N/A</v>
        <stp/>
        <stp>BDH|10147747490303124352</stp>
        <tr r="J90" s="18"/>
      </tp>
      <tp t="e">
        <v>#N/A</v>
        <stp/>
        <stp>BDH|11065854832256459225</stp>
        <tr r="P20" s="10"/>
      </tp>
      <tp t="e">
        <v>#N/A</v>
        <stp/>
        <stp>BDH|12824330896716850047</stp>
        <tr r="I82" s="18"/>
      </tp>
      <tp t="e">
        <v>#N/A</v>
        <stp/>
        <stp>BDH|12552266031235009836</stp>
        <tr r="AA13" s="29"/>
        <tr r="AA22" s="29"/>
        <tr r="AA33" s="29"/>
      </tp>
      <tp t="e">
        <v>#N/A</v>
        <stp/>
        <stp>BDH|18332125603297028031</stp>
        <tr r="C60" s="21"/>
      </tp>
      <tp t="e">
        <v>#N/A</v>
        <stp/>
        <stp>BDH|18048500255082673424</stp>
        <tr r="Q74" s="17"/>
        <tr r="Q19" s="3"/>
      </tp>
      <tp t="e">
        <v>#N/A</v>
        <stp/>
        <stp>BDH|14715493386505936303</stp>
        <tr r="I67" s="24"/>
      </tp>
      <tp t="e">
        <v>#N/A</v>
        <stp/>
        <stp>BDH|15797639485715002000</stp>
        <tr r="K12" s="30"/>
      </tp>
      <tp t="e">
        <v>#N/A</v>
        <stp/>
        <stp>BDH|18428758673071442778</stp>
        <tr r="R17" s="23"/>
      </tp>
      <tp t="e">
        <v>#N/A</v>
        <stp/>
        <stp>BDH|17059801669165042284</stp>
        <tr r="K68" s="17"/>
      </tp>
      <tp t="e">
        <v>#N/A</v>
        <stp/>
        <stp>BDH|12571165781820287516</stp>
        <tr r="T33" s="17"/>
      </tp>
      <tp t="e">
        <v>#N/A</v>
        <stp/>
        <stp>BDH|11000989978271452045</stp>
        <tr r="R24" s="17"/>
      </tp>
      <tp t="e">
        <v>#N/A</v>
        <stp/>
        <stp>BDH|14034041056918194739</stp>
        <tr r="W24" s="10"/>
      </tp>
      <tp t="e">
        <v>#N/A</v>
        <stp/>
        <stp>BDH|16893136609460042924</stp>
        <tr r="Y25" s="3"/>
      </tp>
      <tp t="e">
        <v>#N/A</v>
        <stp/>
        <stp>BDH|13609204689797699090</stp>
        <tr r="I7" s="30"/>
      </tp>
      <tp t="e">
        <v>#N/A</v>
        <stp/>
        <stp>BDH|13518445939699190391</stp>
        <tr r="X22" s="21"/>
      </tp>
      <tp t="e">
        <v>#N/A</v>
        <stp/>
        <stp>BDH|10417039886095034311</stp>
        <tr r="M23" s="21"/>
      </tp>
      <tp t="e">
        <v>#N/A</v>
        <stp/>
        <stp>BDH|12050128683981241439</stp>
        <tr r="G35" s="24"/>
      </tp>
      <tp t="e">
        <v>#N/A</v>
        <stp/>
        <stp>BDH|17813098991008442842</stp>
        <tr r="S35" s="4"/>
      </tp>
      <tp t="e">
        <v>#N/A</v>
        <stp/>
        <stp>BDH|14954485980980528645</stp>
        <tr r="C12" s="22"/>
      </tp>
      <tp t="e">
        <v>#N/A</v>
        <stp/>
        <stp>BDH|12191943064854288734</stp>
        <tr r="P32" s="10"/>
        <tr r="P44" s="10"/>
        <tr r="P30" s="11"/>
        <tr r="P42" s="11"/>
      </tp>
      <tp t="e">
        <v>#N/A</v>
        <stp/>
        <stp>BDH|16946286761769024509</stp>
        <tr r="X7" s="23"/>
      </tp>
      <tp t="e">
        <v>#N/A</v>
        <stp/>
        <stp>BDH|13480528724589782351</stp>
        <tr r="L30" s="22"/>
      </tp>
      <tp t="e">
        <v>#N/A</v>
        <stp/>
        <stp>BDH|13822642808883438808</stp>
        <tr r="G9" s="2"/>
        <tr r="I8" s="25"/>
        <tr r="G10" s="5"/>
      </tp>
      <tp t="e">
        <v>#N/A</v>
        <stp/>
        <stp>BDH|15867764982612549692</stp>
        <tr r="V17" s="24"/>
      </tp>
      <tp t="e">
        <v>#N/A</v>
        <stp/>
        <stp>BDH|17244747294441530676</stp>
        <tr r="M9" s="11"/>
      </tp>
      <tp t="e">
        <v>#N/A</v>
        <stp/>
        <stp>BDH|12790426140504523809</stp>
        <tr r="T19" s="18"/>
      </tp>
      <tp t="e">
        <v>#N/A</v>
        <stp/>
        <stp>BDH|10041024902137092908</stp>
        <tr r="AA44" s="24"/>
      </tp>
      <tp t="e">
        <v>#N/A</v>
        <stp/>
        <stp>BDH|17092342554846152916</stp>
        <tr r="L24" s="4"/>
        <tr r="L59" s="11"/>
      </tp>
      <tp t="e">
        <v>#N/A</v>
        <stp/>
        <stp>BDH|17089617450123791960</stp>
        <tr r="D26" s="6"/>
      </tp>
      <tp t="e">
        <v>#N/A</v>
        <stp/>
        <stp>BDH|13570231291761354743</stp>
        <tr r="G6" s="28"/>
      </tp>
      <tp t="e">
        <v>#N/A</v>
        <stp/>
        <stp>BDH|13535612275788522442</stp>
        <tr r="I44" s="34"/>
      </tp>
      <tp t="e">
        <v>#N/A</v>
        <stp/>
        <stp>BDH|10311938236885625105</stp>
        <tr r="S26" s="7"/>
      </tp>
      <tp t="e">
        <v>#N/A</v>
        <stp/>
        <stp>BDH|17354065273006150873</stp>
        <tr r="L22" s="10"/>
      </tp>
      <tp t="e">
        <v>#N/A</v>
        <stp/>
        <stp>BDH|16642386289333400037</stp>
        <tr r="F17" s="11"/>
      </tp>
      <tp t="e">
        <v>#N/A</v>
        <stp/>
        <stp>BDH|14682709964443656845</stp>
        <tr r="O8" s="18"/>
      </tp>
      <tp t="e">
        <v>#N/A</v>
        <stp/>
        <stp>BDH|18205175537617558373</stp>
        <tr r="D28" s="17"/>
      </tp>
      <tp t="e">
        <v>#N/A</v>
        <stp/>
        <stp>BDH|14561203052448205555</stp>
        <tr r="T24" s="18"/>
      </tp>
      <tp t="e">
        <v>#N/A</v>
        <stp/>
        <stp>BDH|14272711870512378800</stp>
        <tr r="S9" s="11"/>
      </tp>
      <tp t="e">
        <v>#N/A</v>
        <stp/>
        <stp>BDH|14953497987831677726</stp>
        <tr r="X12" s="17"/>
      </tp>
      <tp t="e">
        <v>#N/A</v>
        <stp/>
        <stp>BDH|15082929240690941688</stp>
        <tr r="G8" s="17"/>
      </tp>
      <tp t="e">
        <v>#N/A</v>
        <stp/>
        <stp>BDH|15143039819999086387</stp>
        <tr r="L20" s="18"/>
      </tp>
      <tp t="e">
        <v>#N/A</v>
        <stp/>
        <stp>BDH|11495649186526592706</stp>
        <tr r="D10" s="2"/>
        <tr r="D11" s="5"/>
        <tr r="C37" s="6"/>
        <tr r="F31" s="29"/>
        <tr r="F39" s="29"/>
      </tp>
      <tp t="e">
        <v>#N/A</v>
        <stp/>
        <stp>BDH|10849810037670988542</stp>
        <tr r="L61" s="12"/>
      </tp>
      <tp t="e">
        <v>#N/A</v>
        <stp/>
        <stp>BDH|14852134366169898466</stp>
        <tr r="R33" s="6"/>
        <tr r="T6" s="8"/>
      </tp>
      <tp t="e">
        <v>#N/A</v>
        <stp/>
        <stp>BDH|15126710692786490352</stp>
        <tr r="O21" s="25"/>
        <tr r="O14" s="27"/>
      </tp>
      <tp t="e">
        <v>#N/A</v>
        <stp/>
        <stp>BDH|13464738787555663753</stp>
        <tr r="L31" s="21"/>
      </tp>
      <tp t="e">
        <v>#N/A</v>
        <stp/>
        <stp>BDH|12589776894643244172</stp>
        <tr r="Y9" s="23"/>
      </tp>
      <tp t="e">
        <v>#N/A</v>
        <stp/>
        <stp>BDH|15112869824101230027</stp>
        <tr r="O14" s="28"/>
      </tp>
      <tp t="e">
        <v>#N/A</v>
        <stp/>
        <stp>BDH|18107610442610038419</stp>
        <tr r="S50" s="12"/>
      </tp>
      <tp t="e">
        <v>#N/A</v>
        <stp/>
        <stp>BDH|17745710958308551381</stp>
        <tr r="K25" s="7"/>
      </tp>
      <tp t="e">
        <v>#N/A</v>
        <stp/>
        <stp>BDH|12706925847818095917</stp>
        <tr r="V66" s="17"/>
      </tp>
      <tp t="e">
        <v>#N/A</v>
        <stp/>
        <stp>BDH|13009253863031512801</stp>
        <tr r="Y48" s="18"/>
      </tp>
      <tp t="e">
        <v>#N/A</v>
        <stp/>
        <stp>BDH|16038916923866783567</stp>
        <tr r="Q55" s="18"/>
      </tp>
      <tp t="e">
        <v>#N/A</v>
        <stp/>
        <stp>BDH|15627070974385509930</stp>
        <tr r="C26" s="24"/>
      </tp>
      <tp t="e">
        <v>#N/A</v>
        <stp/>
        <stp>BDH|14023656988757716393</stp>
        <tr r="N21" s="17"/>
        <tr r="N15" s="3"/>
      </tp>
      <tp t="e">
        <v>#N/A</v>
        <stp/>
        <stp>BDH|16021834349782892619</stp>
        <tr r="G18" s="29"/>
        <tr r="G38" s="29"/>
      </tp>
      <tp t="e">
        <v>#N/A</v>
        <stp/>
        <stp>BDH|13804630515922906848</stp>
        <tr r="U46" s="18"/>
      </tp>
      <tp t="e">
        <v>#N/A</v>
        <stp/>
        <stp>BDH|15408633890103315772</stp>
        <tr r="K37" s="34"/>
      </tp>
      <tp t="e">
        <v>#N/A</v>
        <stp/>
        <stp>BDH|15744315814451703865</stp>
        <tr r="H97" s="18"/>
      </tp>
      <tp t="e">
        <v>#N/A</v>
        <stp/>
        <stp>BDH|16506369505468486315</stp>
        <tr r="Q77" s="18"/>
      </tp>
      <tp t="e">
        <v>#N/A</v>
        <stp/>
        <stp>BDH|16948592425037484829</stp>
        <tr r="L61" s="24"/>
      </tp>
      <tp t="e">
        <v>#N/A</v>
        <stp/>
        <stp>BDH|12591953883885114814</stp>
        <tr r="K23" s="22"/>
      </tp>
      <tp t="e">
        <v>#N/A</v>
        <stp/>
        <stp>BDH|11801803340272942122</stp>
        <tr r="K19" s="9"/>
      </tp>
      <tp t="e">
        <v>#N/A</v>
        <stp/>
        <stp>BDH|15152407965781360844</stp>
        <tr r="Q72" s="17"/>
      </tp>
      <tp t="e">
        <v>#N/A</v>
        <stp/>
        <stp>BDH|13134110511604443966</stp>
        <tr r="X32" s="26"/>
      </tp>
      <tp t="e">
        <v>#N/A</v>
        <stp/>
        <stp>BDH|17175837896601598929</stp>
        <tr r="E30" s="12"/>
      </tp>
      <tp t="e">
        <v>#N/A</v>
        <stp/>
        <stp>BDH|14223138897847149543</stp>
        <tr r="N41" s="34"/>
      </tp>
      <tp t="e">
        <v>#N/A</v>
        <stp/>
        <stp>BDH|14823086285601017366</stp>
        <tr r="G41" s="34"/>
      </tp>
      <tp t="e">
        <v>#N/A</v>
        <stp/>
        <stp>BDH|16860374497494900622</stp>
        <tr r="P18" s="14"/>
      </tp>
      <tp t="e">
        <v>#N/A</v>
        <stp/>
        <stp>BDH|11029744205409141132</stp>
        <tr r="L57" s="18"/>
      </tp>
      <tp t="e">
        <v>#N/A</v>
        <stp/>
        <stp>BDH|12512815519303710692</stp>
        <tr r="P80" s="17"/>
      </tp>
      <tp t="e">
        <v>#N/A</v>
        <stp/>
        <stp>BDH|10420506164855239804</stp>
        <tr r="O23" s="17"/>
      </tp>
      <tp t="e">
        <v>#N/A</v>
        <stp/>
        <stp>BDH|12961276161130496893</stp>
        <tr r="S7" s="23"/>
      </tp>
      <tp t="e">
        <v>#N/A</v>
        <stp/>
        <stp>BDH|14917414906246490884</stp>
        <tr r="Z56" s="17"/>
      </tp>
      <tp t="e">
        <v>#N/A</v>
        <stp/>
        <stp>BDH|16990095293540974184</stp>
        <tr r="J84" s="18"/>
      </tp>
      <tp t="e">
        <v>#N/A</v>
        <stp/>
        <stp>BDH|13745339141029428336</stp>
        <tr r="D16" s="6"/>
      </tp>
      <tp t="e">
        <v>#N/A</v>
        <stp/>
        <stp>BDH|16603051392296427778</stp>
        <tr r="T32" s="25"/>
        <tr r="T7" s="3"/>
        <tr r="R19" s="11"/>
        <tr r="T22" s="13"/>
        <tr r="T7" s="13"/>
      </tp>
      <tp t="e">
        <v>#N/A</v>
        <stp/>
        <stp>BDH|13108516447385641938</stp>
        <tr r="F32" s="17"/>
      </tp>
      <tp t="e">
        <v>#N/A</v>
        <stp/>
        <stp>BDH|14507985309444085766</stp>
        <tr r="J12" s="30"/>
      </tp>
      <tp t="e">
        <v>#N/A</v>
        <stp/>
        <stp>BDH|14462209015411447870</stp>
        <tr r="Z88" s="18"/>
        <tr r="Z8" s="20"/>
      </tp>
      <tp t="e">
        <v>#N/A</v>
        <stp/>
        <stp>BDH|14283113141856490945</stp>
        <tr r="K49" s="4"/>
      </tp>
      <tp t="e">
        <v>#N/A</v>
        <stp/>
        <stp>BDH|11778054493873155523</stp>
        <tr r="J22" s="12"/>
      </tp>
      <tp t="e">
        <v>#N/A</v>
        <stp/>
        <stp>BDH|11592344231738100736</stp>
        <tr r="AA25" s="22"/>
      </tp>
      <tp t="e">
        <v>#N/A</v>
        <stp/>
        <stp>BDH|12362927529180257787</stp>
        <tr r="T18" s="6"/>
      </tp>
      <tp t="e">
        <v>#N/A</v>
        <stp/>
        <stp>BDH|12360189390231873518</stp>
        <tr r="W11" s="17"/>
      </tp>
      <tp t="e">
        <v>#N/A</v>
        <stp/>
        <stp>BDH|17146055225472570960</stp>
        <tr r="O80" s="18"/>
      </tp>
      <tp t="e">
        <v>#N/A</v>
        <stp/>
        <stp>BDH|16983919810222335290</stp>
        <tr r="I12" s="7"/>
      </tp>
      <tp t="e">
        <v>#N/A</v>
        <stp/>
        <stp>BDH|11583570300772886887</stp>
        <tr r="J18" s="10"/>
      </tp>
      <tp t="e">
        <v>#N/A</v>
        <stp/>
        <stp>BDH|16201004755039134447</stp>
        <tr r="F22" s="9"/>
      </tp>
      <tp t="e">
        <v>#N/A</v>
        <stp/>
        <stp>BDH|14730307940054101943</stp>
        <tr r="Z24" s="25"/>
        <tr r="X14" s="5"/>
        <tr r="Z17" s="27"/>
      </tp>
      <tp t="e">
        <v>#N/A</v>
        <stp/>
        <stp>BDH|13476992845856835629</stp>
        <tr r="D10" s="26"/>
      </tp>
      <tp t="e">
        <v>#N/A</v>
        <stp/>
        <stp>BDH|11246787935958891354</stp>
        <tr r="F70" s="18"/>
      </tp>
      <tp t="e">
        <v>#N/A</v>
        <stp/>
        <stp>BDH|17782490735857906907</stp>
        <tr r="P26" s="6"/>
      </tp>
      <tp t="e">
        <v>#N/A</v>
        <stp/>
        <stp>BDH|11399906465971723131</stp>
        <tr r="C51" s="18"/>
      </tp>
      <tp t="e">
        <v>#N/A</v>
        <stp/>
        <stp>BDH|12338644217033253806</stp>
        <tr r="P37" s="17"/>
      </tp>
      <tp t="e">
        <v>#N/A</v>
        <stp/>
        <stp>BDH|15883797690003363672</stp>
        <tr r="D35" s="12"/>
      </tp>
      <tp t="e">
        <v>#N/A</v>
        <stp/>
        <stp>BDH|11718450293165198753</stp>
        <tr r="S25" s="25"/>
        <tr r="S18" s="27"/>
      </tp>
      <tp t="e">
        <v>#N/A</v>
        <stp/>
        <stp>BDH|18286340650081049135</stp>
        <tr r="U36" s="18"/>
      </tp>
      <tp t="e">
        <v>#N/A</v>
        <stp/>
        <stp>BDH|13184087599104578001</stp>
        <tr r="E70" s="10"/>
        <tr r="E68" s="11"/>
      </tp>
      <tp t="e">
        <v>#N/A</v>
        <stp/>
        <stp>BDH|10219012147842078814</stp>
        <tr r="D9" s="11"/>
      </tp>
      <tp t="e">
        <v>#N/A</v>
        <stp/>
        <stp>BDH|18289626224860295230</stp>
        <tr r="W76" s="18"/>
      </tp>
      <tp t="e">
        <v>#N/A</v>
        <stp/>
        <stp>BDH|17691297502303831801</stp>
        <tr r="W20" s="10"/>
      </tp>
      <tp t="e">
        <v>#N/A</v>
        <stp/>
        <stp>BDH|10295236774143145814</stp>
        <tr r="F28" s="17"/>
      </tp>
      <tp t="e">
        <v>#N/A</v>
        <stp/>
        <stp>BDH|11730204634826570835</stp>
        <tr r="O60" s="24"/>
      </tp>
      <tp t="e">
        <v>#N/A</v>
        <stp/>
        <stp>BDH|12480168385863218605</stp>
        <tr r="C28" s="26"/>
      </tp>
      <tp t="e">
        <v>#N/A</v>
        <stp/>
        <stp>BDH|18327114995659150736</stp>
        <tr r="V11" s="17"/>
      </tp>
      <tp t="e">
        <v>#N/A</v>
        <stp/>
        <stp>BDH|11175929255930613355</stp>
        <tr r="F32" s="24"/>
      </tp>
      <tp t="e">
        <v>#N/A</v>
        <stp/>
        <stp>BDH|14209965612107448573</stp>
        <tr r="L20" s="5"/>
        <tr r="L21" s="9"/>
      </tp>
      <tp t="e">
        <v>#N/A</v>
        <stp/>
        <stp>BDH|14345996756146175087</stp>
        <tr r="P26" s="22"/>
      </tp>
      <tp t="e">
        <v>#N/A</v>
        <stp/>
        <stp>BDH|17256955303553142303</stp>
        <tr r="F52" s="4"/>
        <tr r="H8" s="3"/>
        <tr r="F40" s="10"/>
        <tr r="F38" s="11"/>
        <tr r="H30" s="13"/>
      </tp>
      <tp t="e">
        <v>#N/A</v>
        <stp/>
        <stp>BDH|16389389617523023997</stp>
        <tr r="C24" s="22"/>
      </tp>
      <tp t="e">
        <v>#N/A</v>
        <stp/>
        <stp>BDH|14908585932215667900</stp>
        <tr r="D21" s="10"/>
      </tp>
      <tp t="e">
        <v>#N/A</v>
        <stp/>
        <stp>BDH|14780175152098280655</stp>
        <tr r="E46" s="21"/>
      </tp>
      <tp t="e">
        <v>#N/A</v>
        <stp/>
        <stp>BDH|14146316449364847945</stp>
        <tr r="Z29" s="29"/>
        <tr r="Z7" s="29"/>
      </tp>
      <tp t="e">
        <v>#N/A</v>
        <stp/>
        <stp>BDH|14981052785147920559</stp>
        <tr r="G8" s="18"/>
      </tp>
      <tp t="e">
        <v>#N/A</v>
        <stp/>
        <stp>BDH|14288376467317025879</stp>
        <tr r="X96" s="18"/>
      </tp>
      <tp t="e">
        <v>#N/A</v>
        <stp/>
        <stp>BDH|17028766666761377960</stp>
        <tr r="V47" s="24"/>
      </tp>
      <tp t="e">
        <v>#N/A</v>
        <stp/>
        <stp>BDH|14468105785651510210</stp>
        <tr r="U62" s="24"/>
      </tp>
      <tp t="e">
        <v>#N/A</v>
        <stp/>
        <stp>BDH|12172821649997799782</stp>
        <tr r="H15" s="20"/>
      </tp>
      <tp t="e">
        <v>#N/A</v>
        <stp/>
        <stp>BDH|17700414483275543049</stp>
        <tr r="X12" s="10"/>
      </tp>
      <tp t="e">
        <v>#N/A</v>
        <stp/>
        <stp>BDH|16827418736087328882</stp>
        <tr r="D14" s="21"/>
      </tp>
      <tp t="e">
        <v>#N/A</v>
        <stp/>
        <stp>BDH|14502370407920311920</stp>
        <tr r="F123" s="18"/>
      </tp>
      <tp t="e">
        <v>#N/A</v>
        <stp/>
        <stp>BDH|18154198678705507512</stp>
        <tr r="Q58" s="12"/>
      </tp>
      <tp t="e">
        <v>#N/A</v>
        <stp/>
        <stp>BDH|10779995344725986672</stp>
        <tr r="Q64" s="24"/>
      </tp>
      <tp t="e">
        <v>#N/A</v>
        <stp/>
        <stp>BDH|16868044087373766389</stp>
        <tr r="N14" s="10"/>
      </tp>
      <tp t="e">
        <v>#N/A</v>
        <stp/>
        <stp>BDH|16900904952064927068</stp>
        <tr r="R63" s="11"/>
      </tp>
      <tp t="e">
        <v>#N/A</v>
        <stp/>
        <stp>BDH|17071752593897790059</stp>
        <tr r="N13" s="24"/>
      </tp>
      <tp t="e">
        <v>#N/A</v>
        <stp/>
        <stp>BDH|12839805658499297866</stp>
        <tr r="M14" s="8"/>
      </tp>
      <tp t="e">
        <v>#N/A</v>
        <stp/>
        <stp>BDH|18182004449473903154</stp>
        <tr r="H39" s="34"/>
      </tp>
      <tp t="e">
        <v>#N/A</v>
        <stp/>
        <stp>BDH|10735514957726219872</stp>
        <tr r="K85" s="17"/>
      </tp>
      <tp t="e">
        <v>#N/A</v>
        <stp/>
        <stp>BDH|18168434191969588220</stp>
        <tr r="F73" s="18"/>
      </tp>
      <tp t="e">
        <v>#N/A</v>
        <stp/>
        <stp>BDH|11201601697180642076</stp>
        <tr r="W61" s="24"/>
      </tp>
      <tp t="e">
        <v>#N/A</v>
        <stp/>
        <stp>BDH|16666258116913738866</stp>
        <tr r="O56" s="17"/>
      </tp>
      <tp t="e">
        <v>#N/A</v>
        <stp/>
        <stp>BDH|17278432098052964641</stp>
        <tr r="C15" s="10"/>
      </tp>
      <tp t="e">
        <v>#N/A</v>
        <stp/>
        <stp>BDH|12436758005459597254</stp>
        <tr r="V22" s="27"/>
      </tp>
      <tp t="e">
        <v>#N/A</v>
        <stp/>
        <stp>BDH|18051864172728800184</stp>
        <tr r="F11" s="18"/>
      </tp>
      <tp t="e">
        <v>#N/A</v>
        <stp/>
        <stp>BDH|14034738486987158206</stp>
        <tr r="N46" s="18"/>
      </tp>
      <tp t="e">
        <v>#N/A</v>
        <stp/>
        <stp>BDH|11437048040952220961</stp>
        <tr r="R14" s="23"/>
      </tp>
      <tp t="e">
        <v>#N/A</v>
        <stp/>
        <stp>BDH|16872450971548834306</stp>
        <tr r="M30" s="21"/>
      </tp>
      <tp t="e">
        <v>#N/A</v>
        <stp/>
        <stp>BDH|14142189885521169298</stp>
        <tr r="Q25" s="22"/>
      </tp>
      <tp t="e">
        <v>#N/A</v>
        <stp/>
        <stp>BDH|18336231772992275149</stp>
        <tr r="I13" s="2"/>
      </tp>
      <tp t="e">
        <v>#N/A</v>
        <stp/>
        <stp>BDH|13483872147180495147</stp>
        <tr r="V10" s="21"/>
      </tp>
      <tp t="e">
        <v>#N/A</v>
        <stp/>
        <stp>BDH|14318463595133071441</stp>
        <tr r="N17" s="18"/>
      </tp>
      <tp t="e">
        <v>#N/A</v>
        <stp/>
        <stp>BDH|11752612325912289953</stp>
        <tr r="T52" s="12"/>
      </tp>
      <tp t="e">
        <v>#N/A</v>
        <stp/>
        <stp>BDH|17323007485382634340</stp>
        <tr r="Z10" s="28"/>
      </tp>
      <tp t="e">
        <v>#N/A</v>
        <stp/>
        <stp>BDH|14900717769448046352</stp>
        <tr r="E6" s="15"/>
        <tr r="E12" s="2"/>
        <tr r="E11" s="4"/>
        <tr r="E6" s="10"/>
      </tp>
      <tp t="e">
        <v>#N/A</v>
        <stp/>
        <stp>BDH|12256499581111796191</stp>
        <tr r="Z21" s="21"/>
      </tp>
      <tp t="e">
        <v>#N/A</v>
        <stp/>
        <stp>BDH|14776780928309672657</stp>
        <tr r="N11" s="14"/>
      </tp>
      <tp t="e">
        <v>#N/A</v>
        <stp/>
        <stp>BDH|12658900173524860692</stp>
        <tr r="M10" s="17"/>
      </tp>
      <tp t="e">
        <v>#N/A</v>
        <stp/>
        <stp>BDH|11715815626515617024</stp>
        <tr r="O26" s="6"/>
      </tp>
      <tp t="e">
        <v>#N/A</v>
        <stp/>
        <stp>BDH|17877930332407999471</stp>
        <tr r="K14" s="10"/>
      </tp>
      <tp t="e">
        <v>#N/A</v>
        <stp/>
        <stp>BDH|14022046320841014936</stp>
        <tr r="N18" s="29"/>
        <tr r="N38" s="29"/>
      </tp>
      <tp t="e">
        <v>#N/A</v>
        <stp/>
        <stp>BDH|17330710105878959694</stp>
        <tr r="P13" s="18"/>
      </tp>
      <tp t="e">
        <v>#N/A</v>
        <stp/>
        <stp>BDH|16709568442128137150</stp>
        <tr r="G32" s="12"/>
      </tp>
      <tp t="e">
        <v>#N/A</v>
        <stp/>
        <stp>BDH|14955924101975917643</stp>
        <tr r="V21" s="26"/>
      </tp>
      <tp t="e">
        <v>#N/A</v>
        <stp/>
        <stp>BDH|10971813423020557499</stp>
        <tr r="T56" s="17"/>
      </tp>
      <tp t="e">
        <v>#N/A</v>
        <stp/>
        <stp>BDH|11480913554630659306</stp>
        <tr r="N35" s="34"/>
      </tp>
      <tp t="e">
        <v>#N/A</v>
        <stp/>
        <stp>BDH|10147011392775758229</stp>
        <tr r="U79" s="17"/>
        <tr r="U20" s="3"/>
        <tr r="S6" s="7"/>
      </tp>
      <tp t="e">
        <v>#N/A</v>
        <stp/>
        <stp>BDH|11983563994931969259</stp>
        <tr r="S18" s="20"/>
      </tp>
      <tp t="e">
        <v>#N/A</v>
        <stp/>
        <stp>BDH|18417563869342545799</stp>
        <tr r="X19" s="24"/>
      </tp>
      <tp t="e">
        <v>#N/A</v>
        <stp/>
        <stp>BDH|17971697691250261648</stp>
        <tr r="M28" s="17"/>
      </tp>
      <tp t="e">
        <v>#N/A</v>
        <stp/>
        <stp>BDH|11421080198232076435</stp>
        <tr r="AA69" s="18"/>
      </tp>
      <tp t="e">
        <v>#N/A</v>
        <stp/>
        <stp>BDH|18260533010574022660</stp>
        <tr r="X14" s="11"/>
      </tp>
      <tp t="e">
        <v>#N/A</v>
        <stp/>
        <stp>BDH|11240751787329447930</stp>
        <tr r="C11" s="7"/>
      </tp>
      <tp t="e">
        <v>#N/A</v>
        <stp/>
        <stp>BDH|13339224983836791127</stp>
        <tr r="Q19" s="14"/>
      </tp>
      <tp t="e">
        <v>#N/A</v>
        <stp/>
        <stp>BDH|10819411508009471327</stp>
        <tr r="Q52" s="18"/>
      </tp>
      <tp t="e">
        <v>#N/A</v>
        <stp/>
        <stp>BDH|10691201929457186994</stp>
        <tr r="S52" s="4"/>
        <tr r="U8" s="3"/>
        <tr r="S40" s="10"/>
        <tr r="S38" s="11"/>
        <tr r="U30" s="13"/>
      </tp>
      <tp t="e">
        <v>#N/A</v>
        <stp/>
        <stp>BDH|14217068702143705968</stp>
        <tr r="L26" s="22"/>
      </tp>
      <tp t="e">
        <v>#N/A</v>
        <stp/>
        <stp>BDH|17042775646248201243</stp>
        <tr r="U24" s="11"/>
      </tp>
      <tp t="e">
        <v>#N/A</v>
        <stp/>
        <stp>BDH|11730813327820467529</stp>
        <tr r="K42" s="17"/>
      </tp>
      <tp t="e">
        <v>#N/A</v>
        <stp/>
        <stp>BDH|14259674225099370741</stp>
        <tr r="F38" s="34"/>
      </tp>
      <tp t="e">
        <v>#N/A</v>
        <stp/>
        <stp>BDH|16809391995896760449</stp>
        <tr r="Y57" s="12"/>
      </tp>
      <tp t="e">
        <v>#N/A</v>
        <stp/>
        <stp>BDH|10424802065311768110</stp>
        <tr r="V59" s="18"/>
      </tp>
      <tp t="e">
        <v>#N/A</v>
        <stp/>
        <stp>BDH|13909608938980719815</stp>
        <tr r="O65" s="24"/>
      </tp>
      <tp t="e">
        <v>#N/A</v>
        <stp/>
        <stp>BDH|10867248881641354599</stp>
        <tr r="Q25" s="2"/>
        <tr r="S61" s="21"/>
      </tp>
      <tp t="e">
        <v>#N/A</v>
        <stp/>
        <stp>BDH|18032663777993043469</stp>
        <tr r="F26" s="21"/>
      </tp>
      <tp t="e">
        <v>#N/A</v>
        <stp/>
        <stp>BDH|17828024389317394678</stp>
        <tr r="Y125" s="18"/>
      </tp>
      <tp t="e">
        <v>#N/A</v>
        <stp/>
        <stp>BDH|10410029537374336943</stp>
        <tr r="W26" s="7"/>
      </tp>
      <tp t="e">
        <v>#N/A</v>
        <stp/>
        <stp>BDH|10767321192911471552</stp>
        <tr r="S67" s="18"/>
      </tp>
      <tp t="e">
        <v>#N/A</v>
        <stp/>
        <stp>BDH|11773914351510396325</stp>
        <tr r="K34" s="34"/>
      </tp>
      <tp t="e">
        <v>#N/A</v>
        <stp/>
        <stp>BDH|15563371282352181275</stp>
        <tr r="F70" s="17"/>
      </tp>
      <tp t="e">
        <v>#N/A</v>
        <stp/>
        <stp>BDH|10997971141360939300</stp>
        <tr r="L26" s="12"/>
      </tp>
      <tp t="e">
        <v>#N/A</v>
        <stp/>
        <stp>BDH|17712629475208551037</stp>
        <tr r="I34" s="6"/>
        <tr r="K9" s="8"/>
      </tp>
      <tp t="e">
        <v>#N/A</v>
        <stp/>
        <stp>BDH|11954339099102659737</stp>
        <tr r="F32" s="21"/>
      </tp>
      <tp t="e">
        <v>#N/A</v>
        <stp/>
        <stp>BDH|10055118964479167020</stp>
        <tr r="E13" s="29"/>
        <tr r="E33" s="29"/>
        <tr r="E22" s="29"/>
      </tp>
      <tp t="e">
        <v>#N/A</v>
        <stp/>
        <stp>BDH|13569395115837834877</stp>
        <tr r="C17" s="14"/>
      </tp>
      <tp t="e">
        <v>#N/A</v>
        <stp/>
        <stp>BDH|15898102771844651998</stp>
        <tr r="J21" s="22"/>
      </tp>
      <tp t="e">
        <v>#N/A</v>
        <stp/>
        <stp>BDH|11054969385736461813</stp>
        <tr r="M12" s="17"/>
      </tp>
      <tp t="e">
        <v>#N/A</v>
        <stp/>
        <stp>BDH|13422735617963267846</stp>
        <tr r="Y11" s="11"/>
      </tp>
      <tp t="e">
        <v>#N/A</v>
        <stp/>
        <stp>BDH|11196231222556514930</stp>
        <tr r="K45" s="17"/>
      </tp>
      <tp t="e">
        <v>#N/A</v>
        <stp/>
        <stp>BDH|17750338181356022430</stp>
        <tr r="Z100" s="18"/>
      </tp>
      <tp t="e">
        <v>#N/A</v>
        <stp/>
        <stp>BDH|14372917037236349605</stp>
        <tr r="J19" s="14"/>
      </tp>
      <tp t="e">
        <v>#N/A</v>
        <stp/>
        <stp>BDH|15896335793772683380</stp>
        <tr r="N42" s="18"/>
      </tp>
      <tp t="e">
        <v>#N/A</v>
        <stp/>
        <stp>BDH|17108244569695955834</stp>
        <tr r="U30" s="22"/>
      </tp>
      <tp t="e">
        <v>#N/A</v>
        <stp/>
        <stp>BDH|13634392989541624764</stp>
        <tr r="E32" s="10"/>
        <tr r="E44" s="10"/>
        <tr r="E30" s="11"/>
        <tr r="E42" s="11"/>
      </tp>
      <tp t="e">
        <v>#N/A</v>
        <stp/>
        <stp>BDH|15441449669511684892</stp>
        <tr r="E71" s="18"/>
      </tp>
      <tp t="e">
        <v>#N/A</v>
        <stp/>
        <stp>BDH|17246102565026417856</stp>
        <tr r="W14" s="18"/>
      </tp>
      <tp t="e">
        <v>#N/A</v>
        <stp/>
        <stp>BDH|13291851214964634033</stp>
        <tr r="S8" s="18"/>
      </tp>
      <tp t="e">
        <v>#N/A</v>
        <stp/>
        <stp>BDH|18130657315569046874</stp>
        <tr r="N38" s="22"/>
      </tp>
      <tp t="e">
        <v>#N/A</v>
        <stp/>
        <stp>BDH|11278226775728212217</stp>
        <tr r="N50" s="18"/>
      </tp>
      <tp t="e">
        <v>#N/A</v>
        <stp/>
        <stp>BDH|10078363516114256840</stp>
        <tr r="Q27" s="21"/>
      </tp>
      <tp t="e">
        <v>#N/A</v>
        <stp/>
        <stp>BDH|14552399399637154728</stp>
        <tr r="J67" s="17"/>
      </tp>
      <tp t="e">
        <v>#N/A</v>
        <stp/>
        <stp>BDH|14260804034728052907</stp>
        <tr r="Q42" s="4"/>
      </tp>
      <tp t="e">
        <v>#N/A</v>
        <stp/>
        <stp>BDH|11739395925016938843</stp>
        <tr r="C9" s="29"/>
      </tp>
      <tp t="e">
        <v>#N/A</v>
        <stp/>
        <stp>BDH|16355127035673146935</stp>
        <tr r="W18" s="14"/>
      </tp>
      <tp t="e">
        <v>#N/A</v>
        <stp/>
        <stp>BDH|15301120088805108713</stp>
        <tr r="C13" s="14"/>
      </tp>
      <tp t="e">
        <v>#N/A</v>
        <stp/>
        <stp>BDH|15510325824538386293</stp>
        <tr r="G10" s="11"/>
      </tp>
      <tp t="e">
        <v>#N/A</v>
        <stp/>
        <stp>BDH|11584789896197520678</stp>
        <tr r="W24" s="12"/>
      </tp>
      <tp t="e">
        <v>#N/A</v>
        <stp/>
        <stp>BDH|15579990752933008474</stp>
        <tr r="M24" s="10"/>
      </tp>
      <tp t="e">
        <v>#N/A</v>
        <stp/>
        <stp>BDH|17924367212482613929</stp>
        <tr r="H7" s="10"/>
      </tp>
      <tp t="e">
        <v>#N/A</v>
        <stp/>
        <stp>BDH|18287369300824910140</stp>
        <tr r="F24" s="2"/>
      </tp>
      <tp t="e">
        <v>#N/A</v>
        <stp/>
        <stp>BDH|10544975004547993065</stp>
        <tr r="C69" s="10"/>
        <tr r="C67" s="11"/>
      </tp>
      <tp t="e">
        <v>#N/A</v>
        <stp/>
        <stp>BDH|11379459391786618487</stp>
        <tr r="I18" s="5"/>
        <tr r="H31" s="6"/>
      </tp>
      <tp t="e">
        <v>#N/A</v>
        <stp/>
        <stp>BDH|15270918348325542377</stp>
        <tr r="M23" s="26"/>
      </tp>
      <tp t="e">
        <v>#N/A</v>
        <stp/>
        <stp>BDH|12153971538233619519</stp>
        <tr r="F19" s="10"/>
        <tr r="H16" s="13"/>
        <tr r="H23" s="13"/>
      </tp>
      <tp t="e">
        <v>#N/A</v>
        <stp/>
        <stp>BDH|16409920166222140588</stp>
        <tr r="G29" s="5"/>
      </tp>
      <tp t="e">
        <v>#N/A</v>
        <stp/>
        <stp>BDH|12365592691222486260</stp>
        <tr r="O6" s="19"/>
        <tr r="O34" s="17"/>
        <tr r="O16" s="3"/>
      </tp>
      <tp t="e">
        <v>#N/A</v>
        <stp/>
        <stp>BDH|17309442446759810009</stp>
        <tr r="E42" s="34"/>
      </tp>
      <tp t="e">
        <v>#N/A</v>
        <stp/>
        <stp>BDH|14865157300832750931</stp>
        <tr r="Z35" s="24"/>
      </tp>
      <tp t="e">
        <v>#N/A</v>
        <stp/>
        <stp>BDH|16699380433971457909</stp>
        <tr r="N28" s="18"/>
      </tp>
      <tp t="e">
        <v>#N/A</v>
        <stp/>
        <stp>BDH|10848667196545028418</stp>
        <tr r="Z39" s="24"/>
      </tp>
      <tp t="e">
        <v>#N/A</v>
        <stp/>
        <stp>BDH|11549724384279876926</stp>
        <tr r="W25" s="17"/>
      </tp>
      <tp t="e">
        <v>#N/A</v>
        <stp/>
        <stp>BDH|13132088670869583358</stp>
        <tr r="T34" s="10"/>
        <tr r="T32" s="11"/>
        <tr r="V32" s="13"/>
      </tp>
      <tp t="e">
        <v>#N/A</v>
        <stp/>
        <stp>BDH|17611434078772426803</stp>
        <tr r="Y94" s="18"/>
      </tp>
      <tp t="e">
        <v>#N/A</v>
        <stp/>
        <stp>BDH|16200051162058418681</stp>
        <tr r="W12" s="7"/>
      </tp>
      <tp t="e">
        <v>#N/A</v>
        <stp/>
        <stp>BDH|18389126731854114086</stp>
        <tr r="E13" s="7"/>
      </tp>
      <tp t="e">
        <v>#N/A</v>
        <stp/>
        <stp>BDH|18155602831626071596</stp>
        <tr r="F7" s="8"/>
      </tp>
      <tp t="e">
        <v>#N/A</v>
        <stp/>
        <stp>BDH|12850861727476230024</stp>
        <tr r="W9" s="23"/>
      </tp>
      <tp t="e">
        <v>#N/A</v>
        <stp/>
        <stp>BDH|11516488370254286865</stp>
        <tr r="O34" s="6"/>
        <tr r="Q9" s="8"/>
      </tp>
      <tp t="e">
        <v>#N/A</v>
        <stp/>
        <stp>BDH|13506833649414540535</stp>
        <tr r="X32" s="21"/>
      </tp>
      <tp t="e">
        <v>#N/A</v>
        <stp/>
        <stp>BDH|11090997701977625170</stp>
        <tr r="J25" s="3"/>
      </tp>
      <tp t="e">
        <v>#N/A</v>
        <stp/>
        <stp>BDH|14916931380473202811</stp>
        <tr r="W61" s="11"/>
        <tr r="Y15" s="23"/>
      </tp>
      <tp t="e">
        <v>#N/A</v>
        <stp/>
        <stp>BDH|16242996149343817634</stp>
        <tr r="I32" s="17"/>
      </tp>
      <tp t="e">
        <v>#N/A</v>
        <stp/>
        <stp>BDH|14317661769998556216</stp>
        <tr r="Z41" s="17"/>
      </tp>
      <tp t="e">
        <v>#N/A</v>
        <stp/>
        <stp>BDH|14921822137106788730</stp>
        <tr r="V10" s="23"/>
      </tp>
      <tp t="e">
        <v>#N/A</v>
        <stp/>
        <stp>BDH|10323882216400691735</stp>
        <tr r="K23" s="11"/>
      </tp>
      <tp t="e">
        <v>#N/A</v>
        <stp/>
        <stp>BDH|18291735352167343386</stp>
        <tr r="P117" s="18"/>
      </tp>
      <tp t="e">
        <v>#N/A</v>
        <stp/>
        <stp>BDH|13700053786936903356</stp>
        <tr r="I50" s="4"/>
      </tp>
      <tp t="e">
        <v>#N/A</v>
        <stp/>
        <stp>BDH|18444159299208264625</stp>
        <tr r="J10" s="17"/>
      </tp>
      <tp t="e">
        <v>#N/A</v>
        <stp/>
        <stp>BDH|15922832646683741431</stp>
        <tr r="Q42" s="21"/>
      </tp>
      <tp t="e">
        <v>#N/A</v>
        <stp/>
        <stp>BDH|11122893325954323169</stp>
        <tr r="U15" s="5"/>
      </tp>
      <tp t="e">
        <v>#N/A</v>
        <stp/>
        <stp>BDH|17342416288787328214</stp>
        <tr r="M49" s="17"/>
        <tr r="M17" s="3"/>
      </tp>
      <tp t="e">
        <v>#N/A</v>
        <stp/>
        <stp>BDH|12797744490893308186</stp>
        <tr r="Y70" s="18"/>
      </tp>
      <tp t="e">
        <v>#N/A</v>
        <stp/>
        <stp>BDH|10359535453208349687</stp>
        <tr r="V11" s="11"/>
      </tp>
      <tp t="e">
        <v>#N/A</v>
        <stp/>
        <stp>BDH|17814725284466182079</stp>
        <tr r="M29" s="10"/>
        <tr r="M27" s="11"/>
      </tp>
      <tp t="e">
        <v>#N/A</v>
        <stp/>
        <stp>BDH|17275145605799848131</stp>
        <tr r="V22" s="7"/>
      </tp>
      <tp t="e">
        <v>#N/A</v>
        <stp/>
        <stp>BDH|13251017671963250989</stp>
        <tr r="X31" s="17"/>
      </tp>
      <tp t="e">
        <v>#N/A</v>
        <stp/>
        <stp>BDH|16573514959519366166</stp>
        <tr r="P20" s="20"/>
      </tp>
      <tp t="e">
        <v>#N/A</v>
        <stp/>
        <stp>BDH|17031913433182253182</stp>
        <tr r="C36" s="21"/>
      </tp>
      <tp t="e">
        <v>#N/A</v>
        <stp/>
        <stp>BDH|10061566780584883769</stp>
        <tr r="P17" s="10"/>
      </tp>
      <tp t="e">
        <v>#N/A</v>
        <stp/>
        <stp>BDH|17818075694560311004</stp>
        <tr r="S39" s="17"/>
      </tp>
      <tp t="e">
        <v>#N/A</v>
        <stp/>
        <stp>BDH|13401413530739996376</stp>
        <tr r="I17" s="5"/>
        <tr r="H25" s="6"/>
      </tp>
      <tp t="e">
        <v>#N/A</v>
        <stp/>
        <stp>BDH|16030800968893153525</stp>
        <tr r="I10" s="17"/>
      </tp>
      <tp t="e">
        <v>#N/A</v>
        <stp/>
        <stp>BDH|14132185953479285730</stp>
        <tr r="L9" s="34"/>
      </tp>
      <tp t="e">
        <v>#N/A</v>
        <stp/>
        <stp>BDH|10689578046136487980</stp>
        <tr r="U23" s="9"/>
      </tp>
      <tp t="e">
        <v>#N/A</v>
        <stp/>
        <stp>BDH|10793734726308044393</stp>
        <tr r="N82" s="17"/>
      </tp>
      <tp t="e">
        <v>#N/A</v>
        <stp/>
        <stp>BDH|18291386475085059745</stp>
        <tr r="X52" s="17"/>
      </tp>
      <tp t="e">
        <v>#N/A</v>
        <stp/>
        <stp>BDH|16190824421681923307</stp>
        <tr r="W44" s="12"/>
      </tp>
      <tp t="e">
        <v>#N/A</v>
        <stp/>
        <stp>BDH|12260173241441993866</stp>
        <tr r="J13" s="11"/>
      </tp>
      <tp t="e">
        <v>#N/A</v>
        <stp/>
        <stp>BDH|13214561079467590833</stp>
        <tr r="T64" s="10"/>
      </tp>
      <tp t="e">
        <v>#N/A</v>
        <stp/>
        <stp>BDH|15146054718213285957</stp>
        <tr r="I34" s="21"/>
      </tp>
      <tp t="e">
        <v>#N/A</v>
        <stp/>
        <stp>BDH|11009048211337841963</stp>
        <tr r="R18" s="23"/>
      </tp>
      <tp t="e">
        <v>#N/A</v>
        <stp/>
        <stp>BDH|18430208808073747703</stp>
        <tr r="K12" s="24"/>
      </tp>
      <tp t="e">
        <v>#N/A</v>
        <stp/>
        <stp>BDH|11283232963539943208</stp>
        <tr r="D38" s="22"/>
      </tp>
      <tp t="e">
        <v>#N/A</v>
        <stp/>
        <stp>BDH|15987250260018632718</stp>
        <tr r="L54" s="18"/>
      </tp>
      <tp t="e">
        <v>#N/A</v>
        <stp/>
        <stp>BDH|16027993549557271291</stp>
        <tr r="I37" s="21"/>
        <tr r="I24" s="3"/>
      </tp>
      <tp t="e">
        <v>#N/A</v>
        <stp/>
        <stp>BDH|15844534644773220964</stp>
        <tr r="H11" s="14"/>
      </tp>
      <tp t="e">
        <v>#N/A</v>
        <stp/>
        <stp>BDH|14705023149066333840</stp>
        <tr r="E98" s="18"/>
      </tp>
      <tp t="e">
        <v>#N/A</v>
        <stp/>
        <stp>BDH|10978547247809264638</stp>
        <tr r="O22" s="12"/>
      </tp>
      <tp t="e">
        <v>#N/A</v>
        <stp/>
        <stp>BDH|14810596867369957047</stp>
        <tr r="C52" s="24"/>
      </tp>
      <tp t="e">
        <v>#N/A</v>
        <stp/>
        <stp>BDH|17939825760380743777</stp>
        <tr r="R29" s="5"/>
      </tp>
      <tp t="e">
        <v>#N/A</v>
        <stp/>
        <stp>BDH|11176877342626908563</stp>
        <tr r="Q69" s="24"/>
      </tp>
      <tp t="e">
        <v>#N/A</v>
        <stp/>
        <stp>BDH|10649594680941552219</stp>
        <tr r="F77" s="18"/>
      </tp>
      <tp t="e">
        <v>#N/A</v>
        <stp/>
        <stp>BDH|10290629801181302995</stp>
        <tr r="X14" s="6"/>
      </tp>
      <tp t="e">
        <v>#N/A</v>
        <stp/>
        <stp>BDH|17093838726923744098</stp>
        <tr r="W35" s="6"/>
        <tr r="Y10" s="8"/>
      </tp>
      <tp t="e">
        <v>#N/A</v>
        <stp/>
        <stp>BDH|14493647214169708494</stp>
        <tr r="D8" s="23"/>
      </tp>
      <tp t="e">
        <v>#N/A</v>
        <stp/>
        <stp>BDH|11099495187077545413</stp>
        <tr r="D58" s="24"/>
      </tp>
      <tp t="e">
        <v>#N/A</v>
        <stp/>
        <stp>BDH|12832439680745407556</stp>
        <tr r="V94" s="18"/>
      </tp>
      <tp t="e">
        <v>#N/A</v>
        <stp/>
        <stp>BDH|17779193784924060403</stp>
        <tr r="U13" s="2"/>
      </tp>
      <tp t="e">
        <v>#N/A</v>
        <stp/>
        <stp>BDH|12726866995948922577</stp>
        <tr r="Q20" s="12"/>
      </tp>
      <tp t="e">
        <v>#N/A</v>
        <stp/>
        <stp>BDH|15532203694599989925</stp>
        <tr r="E18" s="5"/>
        <tr r="D31" s="6"/>
      </tp>
      <tp t="e">
        <v>#N/A</v>
        <stp/>
        <stp>BDH|18016726328435368638</stp>
        <tr r="Y30" s="24"/>
      </tp>
      <tp t="e">
        <v>#N/A</v>
        <stp/>
        <stp>BDH|10736006190585957249</stp>
        <tr r="Z86" s="17"/>
      </tp>
      <tp t="e">
        <v>#N/A</v>
        <stp/>
        <stp>BDH|12551095996962737779</stp>
        <tr r="V15" s="12"/>
      </tp>
      <tp t="e">
        <v>#N/A</v>
        <stp/>
        <stp>BDH|16520556977523977944</stp>
        <tr r="S127" s="18"/>
      </tp>
      <tp t="e">
        <v>#N/A</v>
        <stp/>
        <stp>BDH|16337152670577979951</stp>
        <tr r="N13" s="14"/>
      </tp>
      <tp t="e">
        <v>#N/A</v>
        <stp/>
        <stp>BDH|12932054574059450263</stp>
        <tr r="O8" s="21"/>
      </tp>
      <tp t="e">
        <v>#N/A</v>
        <stp/>
        <stp>BDH|13383908198059998489</stp>
        <tr r="T97" s="18"/>
      </tp>
      <tp t="e">
        <v>#N/A</v>
        <stp/>
        <stp>BDH|13867844087559808497</stp>
        <tr r="G130" s="18"/>
      </tp>
      <tp t="e">
        <v>#N/A</v>
        <stp/>
        <stp>BDH|13333554294751874007</stp>
        <tr r="Y40" s="12"/>
      </tp>
      <tp t="e">
        <v>#N/A</v>
        <stp/>
        <stp>BDH|17406233181055408685</stp>
        <tr r="P39" s="24"/>
      </tp>
      <tp t="e">
        <v>#N/A</v>
        <stp/>
        <stp>BDH|14652961877327499398</stp>
        <tr r="K33" s="17"/>
      </tp>
      <tp t="e">
        <v>#N/A</v>
        <stp/>
        <stp>BDH|12105613516448948356</stp>
        <tr r="E55" s="24"/>
      </tp>
      <tp t="e">
        <v>#N/A</v>
        <stp/>
        <stp>BDH|16808774510228633630</stp>
        <tr r="L10" s="28"/>
      </tp>
      <tp t="e">
        <v>#N/A</v>
        <stp/>
        <stp>BDH|13712590743738106463</stp>
        <tr r="U100" s="18"/>
      </tp>
      <tp t="e">
        <v>#N/A</v>
        <stp/>
        <stp>BDH|16702880150214695140</stp>
        <tr r="N38" s="13"/>
      </tp>
      <tp t="e">
        <v>#N/A</v>
        <stp/>
        <stp>BDH|12451616357586849979</stp>
        <tr r="W62" s="24"/>
      </tp>
      <tp t="e">
        <v>#N/A</v>
        <stp/>
        <stp>BDH|14750899442446242037</stp>
        <tr r="P26" s="21"/>
      </tp>
      <tp t="e">
        <v>#N/A</v>
        <stp/>
        <stp>BDH|11515513098441248238</stp>
        <tr r="L59" s="18"/>
      </tp>
      <tp t="e">
        <v>#N/A</v>
        <stp/>
        <stp>BDH|17578608650759038381</stp>
        <tr r="P66" s="12"/>
      </tp>
      <tp t="e">
        <v>#N/A</v>
        <stp/>
        <stp>BDH|15396077859786130812</stp>
        <tr r="L62" s="18"/>
      </tp>
      <tp t="e">
        <v>#N/A</v>
        <stp/>
        <stp>BDH|12738487110019235008</stp>
        <tr r="Z56" s="24"/>
      </tp>
      <tp t="e">
        <v>#N/A</v>
        <stp/>
        <stp>BDH|18217907385960215781</stp>
        <tr r="O7" s="30"/>
      </tp>
      <tp t="e">
        <v>#N/A</v>
        <stp/>
        <stp>BDH|15252424553219648389</stp>
        <tr r="L23" s="9"/>
      </tp>
      <tp t="e">
        <v>#N/A</v>
        <stp/>
        <stp>BDH|17500779473521911850</stp>
        <tr r="F75" s="18"/>
      </tp>
      <tp t="e">
        <v>#N/A</v>
        <stp/>
        <stp>BDH|11316650764856865973</stp>
        <tr r="N112" s="18"/>
      </tp>
      <tp t="e">
        <v>#N/A</v>
        <stp/>
        <stp>BDH|17006147600461985907</stp>
        <tr r="J12" s="21"/>
      </tp>
      <tp t="e">
        <v>#N/A</v>
        <stp/>
        <stp>BDH|10180778729618070323</stp>
        <tr r="AA68" s="17"/>
      </tp>
      <tp t="e">
        <v>#N/A</v>
        <stp/>
        <stp>BDH|12478792404509487209</stp>
        <tr r="R20" s="29"/>
      </tp>
      <tp t="e">
        <v>#N/A</v>
        <stp/>
        <stp>BDH|16503930714029723983</stp>
        <tr r="P11" s="11"/>
      </tp>
      <tp t="e">
        <v>#N/A</v>
        <stp/>
        <stp>BDH|18063564472104820010</stp>
        <tr r="G60" s="24"/>
      </tp>
      <tp t="e">
        <v>#N/A</v>
        <stp/>
        <stp>BDH|12795621692202332198</stp>
        <tr r="M19" s="14"/>
      </tp>
      <tp t="e">
        <v>#N/A</v>
        <stp/>
        <stp>BDH|10959738470496112868</stp>
        <tr r="Y63" s="17"/>
      </tp>
      <tp t="e">
        <v>#N/A</v>
        <stp/>
        <stp>BDH|17362260490883106199</stp>
        <tr r="S117" s="18"/>
      </tp>
      <tp t="e">
        <v>#N/A</v>
        <stp/>
        <stp>BDH|14325244222973198993</stp>
        <tr r="R41" s="21"/>
      </tp>
      <tp t="e">
        <v>#N/A</v>
        <stp/>
        <stp>BDH|10367946346487555495</stp>
        <tr r="C28" s="17"/>
      </tp>
      <tp t="e">
        <v>#N/A</v>
        <stp/>
        <stp>BDH|14927685953718934178</stp>
        <tr r="I18" s="10"/>
      </tp>
      <tp t="e">
        <v>#N/A</v>
        <stp/>
        <stp>BDH|11701859464035864424</stp>
        <tr r="X6" s="28"/>
      </tp>
      <tp t="e">
        <v>#N/A</v>
        <stp/>
        <stp>BDH|11922447892596089431</stp>
        <tr r="P91" s="18"/>
      </tp>
      <tp t="e">
        <v>#N/A</v>
        <stp/>
        <stp>BDH|18046283113021208458</stp>
        <tr r="D10" s="8"/>
      </tp>
      <tp t="e">
        <v>#N/A</v>
        <stp/>
        <stp>BDH|14341479967330953864</stp>
        <tr r="Y51" s="12"/>
      </tp>
      <tp t="e">
        <v>#N/A</v>
        <stp/>
        <stp>BDH|14232329340708876545</stp>
        <tr r="M27" s="12"/>
      </tp>
      <tp t="e">
        <v>#N/A</v>
        <stp/>
        <stp>BDH|11130495981465298675</stp>
        <tr r="P23" s="10"/>
      </tp>
      <tp t="e">
        <v>#N/A</v>
        <stp/>
        <stp>BDH|13849210802439045679</stp>
        <tr r="W88" s="17"/>
      </tp>
      <tp t="e">
        <v>#N/A</v>
        <stp/>
        <stp>BDH|17012548043068911024</stp>
        <tr r="O21" s="17"/>
        <tr r="O15" s="3"/>
      </tp>
      <tp t="e">
        <v>#N/A</v>
        <stp/>
        <stp>BDH|14708208488844189424</stp>
        <tr r="G79" s="18"/>
      </tp>
      <tp t="e">
        <v>#N/A</v>
        <stp/>
        <stp>BDH|11465192687490246646</stp>
        <tr r="L38" s="10"/>
        <tr r="L36" s="11"/>
      </tp>
      <tp t="e">
        <v>#N/A</v>
        <stp/>
        <stp>BDH|15973262583781512052</stp>
        <tr r="O21" s="26"/>
      </tp>
      <tp t="e">
        <v>#N/A</v>
        <stp/>
        <stp>BDH|16300723589915188253</stp>
        <tr r="X32" s="22"/>
      </tp>
      <tp t="e">
        <v>#N/A</v>
        <stp/>
        <stp>BDH|15813840850136857084</stp>
        <tr r="T68" s="18"/>
      </tp>
      <tp t="e">
        <v>#N/A</v>
        <stp/>
        <stp>BDH|13875971502706089218</stp>
        <tr r="E58" s="21"/>
        <tr r="E30" s="25"/>
        <tr r="C31" s="4"/>
        <tr r="C56" s="11"/>
      </tp>
      <tp t="e">
        <v>#N/A</v>
        <stp/>
        <stp>BDH|17683659071018962076</stp>
        <tr r="I35" s="21"/>
      </tp>
      <tp t="e">
        <v>#N/A</v>
        <stp/>
        <stp>BDH|10951849345317589517</stp>
        <tr r="E39" s="24"/>
      </tp>
      <tp t="e">
        <v>#N/A</v>
        <stp/>
        <stp>BDH|18235043364814891461</stp>
        <tr r="Y61" s="18"/>
      </tp>
      <tp t="e">
        <v>#N/A</v>
        <stp/>
        <stp>BDH|14432848366156336299</stp>
        <tr r="W20" s="23"/>
      </tp>
      <tp t="e">
        <v>#N/A</v>
        <stp/>
        <stp>BDH|14002667701889857502</stp>
        <tr r="H33" s="13"/>
      </tp>
      <tp t="e">
        <v>#N/A</v>
        <stp/>
        <stp>BDH|16783491272338078335</stp>
        <tr r="K20" s="18"/>
      </tp>
      <tp t="e">
        <v>#N/A</v>
        <stp/>
        <stp>BDH|11620680344869573405</stp>
        <tr r="T21" s="11"/>
      </tp>
      <tp t="e">
        <v>#N/A</v>
        <stp/>
        <stp>BDH|12692471118239206042</stp>
        <tr r="L11" s="21"/>
      </tp>
      <tp t="e">
        <v>#N/A</v>
        <stp/>
        <stp>BDH|12074938104394871104</stp>
        <tr r="C53" s="17"/>
      </tp>
      <tp t="e">
        <v>#N/A</v>
        <stp/>
        <stp>BDH|10217964429494662149</stp>
        <tr r="Q21" s="11"/>
      </tp>
      <tp t="e">
        <v>#N/A</v>
        <stp/>
        <stp>BDH|15643415021119095497</stp>
        <tr r="Q11" s="7"/>
      </tp>
      <tp t="e">
        <v>#N/A</v>
        <stp/>
        <stp>BDH|15657482970890397828</stp>
        <tr r="C48" s="17"/>
      </tp>
      <tp t="e">
        <v>#N/A</v>
        <stp/>
        <stp>BDH|12394264076169810043</stp>
        <tr r="I22" s="18"/>
      </tp>
      <tp t="e">
        <v>#N/A</v>
        <stp/>
        <stp>BDH|10955151971198119039</stp>
        <tr r="M38" s="10"/>
        <tr r="M36" s="11"/>
      </tp>
      <tp t="e">
        <v>#N/A</v>
        <stp/>
        <stp>BDH|15624603861573195890</stp>
        <tr r="M28" s="6"/>
      </tp>
      <tp t="e">
        <v>#N/A</v>
        <stp/>
        <stp>BDH|15526489443162106907</stp>
        <tr r="L16" s="24"/>
      </tp>
      <tp t="e">
        <v>#N/A</v>
        <stp/>
        <stp>BDH|10449034709788537648</stp>
        <tr r="M65" s="12"/>
      </tp>
      <tp t="e">
        <v>#N/A</v>
        <stp/>
        <stp>BDH|13292104682734775081</stp>
        <tr r="H8" s="14"/>
      </tp>
      <tp t="e">
        <v>#N/A</v>
        <stp/>
        <stp>BDH|10896499128498011066</stp>
        <tr r="L13" s="22"/>
      </tp>
      <tp t="e">
        <v>#N/A</v>
        <stp/>
        <stp>BDH|12643769943766916958</stp>
        <tr r="R26" s="29"/>
      </tp>
      <tp t="e">
        <v>#N/A</v>
        <stp/>
        <stp>BDH|15534967506711313390</stp>
        <tr r="V25" s="25"/>
        <tr r="V18" s="27"/>
      </tp>
      <tp t="e">
        <v>#N/A</v>
        <stp/>
        <stp>BDH|15502967321505938541</stp>
        <tr r="Q102" s="18"/>
      </tp>
      <tp t="e">
        <v>#N/A</v>
        <stp/>
        <stp>BDH|15805412283673109444</stp>
        <tr r="J9" s="18"/>
      </tp>
      <tp t="e">
        <v>#N/A</v>
        <stp/>
        <stp>BDH|16794183686886507735</stp>
        <tr r="Y29" s="18"/>
      </tp>
      <tp t="e">
        <v>#N/A</v>
        <stp/>
        <stp>BDH|11156030285682867501</stp>
        <tr r="AA17" s="12"/>
      </tp>
      <tp t="e">
        <v>#N/A</v>
        <stp/>
        <stp>BDH|12246607379568658538</stp>
        <tr r="W131" s="18"/>
      </tp>
      <tp t="e">
        <v>#N/A</v>
        <stp/>
        <stp>BDH|13958901864765508769</stp>
        <tr r="G34" s="21"/>
      </tp>
      <tp t="e">
        <v>#N/A</v>
        <stp/>
        <stp>BDH|17053119499946068769</stp>
        <tr r="AA32" s="21"/>
      </tp>
      <tp t="e">
        <v>#N/A</v>
        <stp/>
        <stp>BDH|18212579512354988609</stp>
        <tr r="J62" s="17"/>
      </tp>
      <tp t="e">
        <v>#N/A</v>
        <stp/>
        <stp>BDH|14458250370937715885</stp>
        <tr r="L22" s="4"/>
      </tp>
      <tp t="e">
        <v>#N/A</v>
        <stp/>
        <stp>BDH|10892764010808986095</stp>
        <tr r="O126" s="18"/>
      </tp>
      <tp t="e">
        <v>#N/A</v>
        <stp/>
        <stp>BDH|13662611888320226339</stp>
        <tr r="T60" s="17"/>
      </tp>
      <tp t="e">
        <v>#N/A</v>
        <stp/>
        <stp>BDH|14873378485083721232</stp>
        <tr r="K39" s="34"/>
      </tp>
      <tp t="e">
        <v>#N/A</v>
        <stp/>
        <stp>BDH|16445450187937817302</stp>
        <tr r="C28" s="22"/>
      </tp>
      <tp t="e">
        <v>#N/A</v>
        <stp/>
        <stp>BDH|13498817522784069392</stp>
        <tr r="F103" s="18"/>
      </tp>
      <tp t="e">
        <v>#N/A</v>
        <stp/>
        <stp>BDH|17474563156369220088</stp>
        <tr r="P24" s="11"/>
      </tp>
      <tp t="e">
        <v>#N/A</v>
        <stp/>
        <stp>BDH|13636996951853603261</stp>
        <tr r="P70" s="24"/>
      </tp>
      <tp t="e">
        <v>#N/A</v>
        <stp/>
        <stp>BDH|17538656238738665407</stp>
        <tr r="E31" s="17"/>
      </tp>
      <tp t="e">
        <v>#N/A</v>
        <stp/>
        <stp>BDH|10030905429793032671</stp>
        <tr r="V24" s="21"/>
      </tp>
      <tp t="e">
        <v>#N/A</v>
        <stp/>
        <stp>BDH|15113452532474842800</stp>
        <tr r="D63" s="10"/>
      </tp>
      <tp t="e">
        <v>#N/A</v>
        <stp/>
        <stp>BDH|14098338093766802664</stp>
        <tr r="M71" s="18"/>
      </tp>
      <tp t="e">
        <v>#N/A</v>
        <stp/>
        <stp>BDH|13299898305532131715</stp>
        <tr r="G13" s="34"/>
      </tp>
      <tp t="e">
        <v>#N/A</v>
        <stp/>
        <stp>BDH|11346197890625207267</stp>
        <tr r="S8" s="23"/>
      </tp>
      <tp t="e">
        <v>#N/A</v>
        <stp/>
        <stp>BDH|15334781110049787428</stp>
        <tr r="C52" s="17"/>
      </tp>
      <tp t="e">
        <v>#N/A</v>
        <stp/>
        <stp>BDH|11816139399130906758</stp>
        <tr r="U10" s="11"/>
      </tp>
      <tp t="e">
        <v>#N/A</v>
        <stp/>
        <stp>BDH|14974905355181457766</stp>
        <tr r="S101" s="18"/>
      </tp>
      <tp t="e">
        <v>#N/A</v>
        <stp/>
        <stp>BDH|18431506429754229517</stp>
        <tr r="F52" s="21"/>
      </tp>
      <tp t="e">
        <v>#N/A</v>
        <stp/>
        <stp>BDH|14708814823853982323</stp>
        <tr r="J20" s="23"/>
      </tp>
      <tp t="e">
        <v>#N/A</v>
        <stp/>
        <stp>BDH|11219827573497426797</stp>
        <tr r="T55" s="18"/>
      </tp>
      <tp t="e">
        <v>#N/A</v>
        <stp/>
        <stp>BDH|14180150998471690340</stp>
        <tr r="U95" s="18"/>
      </tp>
      <tp t="e">
        <v>#N/A</v>
        <stp/>
        <stp>BDH|10537990200773610440</stp>
        <tr r="Q36" s="10"/>
        <tr r="Q34" s="11"/>
      </tp>
      <tp t="e">
        <v>#N/A</v>
        <stp/>
        <stp>BDH|14527931853643822533</stp>
        <tr r="X18" s="30"/>
      </tp>
      <tp t="e">
        <v>#N/A</v>
        <stp/>
        <stp>BDH|14417513166789064128</stp>
        <tr r="U10" s="26"/>
      </tp>
      <tp t="e">
        <v>#N/A</v>
        <stp/>
        <stp>BDH|12142923822621599753</stp>
        <tr r="P29" s="24"/>
      </tp>
      <tp t="e">
        <v>#N/A</v>
        <stp/>
        <stp>BDH|17185655475331132817</stp>
        <tr r="L14" s="13"/>
      </tp>
      <tp t="e">
        <v>#N/A</v>
        <stp/>
        <stp>BDH|14986219901349898001</stp>
        <tr r="Y7" s="28"/>
      </tp>
      <tp t="e">
        <v>#N/A</v>
        <stp/>
        <stp>BDH|15125885808997458542</stp>
        <tr r="S23" s="26"/>
      </tp>
      <tp t="e">
        <v>#N/A</v>
        <stp/>
        <stp>BDH|11852374387250080592</stp>
        <tr r="L22" s="18"/>
      </tp>
      <tp t="e">
        <v>#N/A</v>
        <stp/>
        <stp>BDH|14704599898103425432</stp>
        <tr r="J18" s="2"/>
        <tr r="J53" s="4"/>
        <tr r="J42" s="10"/>
        <tr r="J40" s="11"/>
        <tr r="L34" s="13"/>
      </tp>
      <tp t="e">
        <v>#N/A</v>
        <stp/>
        <stp>BDH|16791834070005554306</stp>
        <tr r="Z91" s="18"/>
      </tp>
      <tp t="e">
        <v>#N/A</v>
        <stp/>
        <stp>BDH|10495098441848962341</stp>
        <tr r="V12" s="14"/>
      </tp>
      <tp t="e">
        <v>#N/A</v>
        <stp/>
        <stp>BDH|17674475083365312103</stp>
        <tr r="V10" s="22"/>
      </tp>
      <tp t="e">
        <v>#N/A</v>
        <stp/>
        <stp>BDH|17428985307362851323</stp>
        <tr r="E90" s="18"/>
      </tp>
      <tp t="e">
        <v>#N/A</v>
        <stp/>
        <stp>BDH|11026097389446086018</stp>
        <tr r="P50" s="12"/>
      </tp>
      <tp t="e">
        <v>#N/A</v>
        <stp/>
        <stp>BDH|13290705171755594973</stp>
        <tr r="E20" s="25"/>
        <tr r="E13" s="27"/>
      </tp>
      <tp t="e">
        <v>#N/A</v>
        <stp/>
        <stp>BDH|13361958806837147202</stp>
        <tr r="W17" s="5"/>
        <tr r="V25" s="6"/>
      </tp>
      <tp t="e">
        <v>#N/A</v>
        <stp/>
        <stp>BDH|12090863619500768499</stp>
        <tr r="I56" s="18"/>
      </tp>
      <tp t="e">
        <v>#N/A</v>
        <stp/>
        <stp>BDH|16760960217521074073</stp>
        <tr r="G78" s="18"/>
      </tp>
      <tp t="e">
        <v>#N/A</v>
        <stp/>
        <stp>BDH|13843587850275501945</stp>
        <tr r="F29" s="4"/>
      </tp>
      <tp t="e">
        <v>#N/A</v>
        <stp/>
        <stp>BDH|17669773171690848893</stp>
        <tr r="Z16" s="21"/>
      </tp>
      <tp t="e">
        <v>#N/A</v>
        <stp/>
        <stp>BDH|11914872796967815801</stp>
        <tr r="C32" s="25"/>
        <tr r="C7" s="3"/>
        <tr r="C22" s="13"/>
        <tr r="C7" s="13"/>
      </tp>
      <tp t="e">
        <v>#N/A</v>
        <stp/>
        <stp>BDH|10396201855989515139</stp>
        <tr r="X14" s="29"/>
        <tr r="X23" s="29"/>
        <tr r="X34" s="29"/>
      </tp>
      <tp t="e">
        <v>#N/A</v>
        <stp/>
        <stp>BDH|16834334348066496876</stp>
        <tr r="P44" s="17"/>
      </tp>
      <tp t="e">
        <v>#N/A</v>
        <stp/>
        <stp>BDH|18397531537254326540</stp>
        <tr r="O36" s="12"/>
      </tp>
      <tp t="e">
        <v>#N/A</v>
        <stp/>
        <stp>BDH|18438415595183219928</stp>
        <tr r="L18" s="18"/>
      </tp>
      <tp t="e">
        <v>#N/A</v>
        <stp/>
        <stp>BDH|13897258392824976360</stp>
        <tr r="X27" s="7"/>
      </tp>
      <tp t="e">
        <v>#N/A</v>
        <stp/>
        <stp>BDH|14279124679879928404</stp>
        <tr r="M24" s="17"/>
      </tp>
      <tp t="e">
        <v>#N/A</v>
        <stp/>
        <stp>BDH|11515293222888907676</stp>
        <tr r="K36" s="21"/>
      </tp>
      <tp t="e">
        <v>#N/A</v>
        <stp/>
        <stp>BDH|12417357176460395947</stp>
        <tr r="Q80" s="17"/>
      </tp>
      <tp t="e">
        <v>#N/A</v>
        <stp/>
        <stp>BDH|10401337517518138513</stp>
        <tr r="N40" s="6"/>
      </tp>
      <tp t="e">
        <v>#N/A</v>
        <stp/>
        <stp>BDH|16854880732540441266</stp>
        <tr r="D74" s="17"/>
        <tr r="D19" s="3"/>
      </tp>
      <tp t="e">
        <v>#N/A</v>
        <stp/>
        <stp>BDH|12108899058012800288</stp>
        <tr r="Q113" s="18"/>
      </tp>
      <tp t="e">
        <v>#N/A</v>
        <stp/>
        <stp>BDH|16560613991224517206</stp>
        <tr r="Y30" s="29"/>
        <tr r="Y8" s="29"/>
      </tp>
      <tp t="e">
        <v>#N/A</v>
        <stp/>
        <stp>BDH|10799904483997209963</stp>
        <tr r="V36" s="4"/>
      </tp>
      <tp t="e">
        <v>#N/A</v>
        <stp/>
        <stp>BDH|16242844770113271541</stp>
        <tr r="X44" s="24"/>
      </tp>
      <tp t="e">
        <v>#N/A</v>
        <stp/>
        <stp>BDH|16259971714336614770</stp>
        <tr r="E15" s="21"/>
      </tp>
      <tp t="e">
        <v>#N/A</v>
        <stp/>
        <stp>BDH|15078800821377746765</stp>
        <tr r="L57" s="12"/>
      </tp>
      <tp t="e">
        <v>#N/A</v>
        <stp/>
        <stp>BDH|10908790551564217930</stp>
        <tr r="I22" s="5"/>
      </tp>
      <tp t="e">
        <v>#N/A</v>
        <stp/>
        <stp>BDH|18027883783077979022</stp>
        <tr r="J33" s="17"/>
      </tp>
      <tp t="e">
        <v>#N/A</v>
        <stp/>
        <stp>BDH|11360625781396708674</stp>
        <tr r="T69" s="10"/>
        <tr r="T67" s="11"/>
      </tp>
      <tp t="e">
        <v>#N/A</v>
        <stp/>
        <stp>BDH|14415466683510444752</stp>
        <tr r="G58" s="11"/>
      </tp>
      <tp t="e">
        <v>#N/A</v>
        <stp/>
        <stp>BDH|16844167583492890265</stp>
        <tr r="E30" s="24"/>
      </tp>
      <tp t="e">
        <v>#N/A</v>
        <stp/>
        <stp>BDH|10556905018500882766</stp>
        <tr r="I35" s="4"/>
      </tp>
      <tp t="e">
        <v>#N/A</v>
        <stp/>
        <stp>BDH|15965849650006713195</stp>
        <tr r="U43" s="10"/>
        <tr r="U41" s="11"/>
      </tp>
      <tp t="e">
        <v>#N/A</v>
        <stp/>
        <stp>BDH|10418764085866271660</stp>
        <tr r="V22" s="5"/>
      </tp>
      <tp t="e">
        <v>#N/A</v>
        <stp/>
        <stp>BDH|10108155239859651482</stp>
        <tr r="R23" s="17"/>
      </tp>
      <tp t="e">
        <v>#N/A</v>
        <stp/>
        <stp>BDH|12192113227709429705</stp>
        <tr r="J53" s="10"/>
        <tr r="J51" s="11"/>
        <tr r="J18" s="7"/>
        <tr r="L40" s="13"/>
      </tp>
      <tp t="e">
        <v>#N/A</v>
        <stp/>
        <stp>BDH|18225995289981729766</stp>
        <tr r="H95" s="18"/>
      </tp>
      <tp t="e">
        <v>#N/A</v>
        <stp/>
        <stp>BDH|16639196857639900429</stp>
        <tr r="Z22" s="21"/>
      </tp>
      <tp t="e">
        <v>#N/A</v>
        <stp/>
        <stp>BDH|12806107178393686855</stp>
        <tr r="L20" s="12"/>
      </tp>
      <tp t="e">
        <v>#N/A</v>
        <stp/>
        <stp>BDH|11097039644082392870</stp>
        <tr r="T28" s="18"/>
      </tp>
      <tp t="e">
        <v>#N/A</v>
        <stp/>
        <stp>BDH|12736804831610585600</stp>
        <tr r="W67" s="24"/>
      </tp>
      <tp t="e">
        <v>#N/A</v>
        <stp/>
        <stp>BDH|12676959852244073523</stp>
        <tr r="K32" s="21"/>
      </tp>
      <tp t="e">
        <v>#N/A</v>
        <stp/>
        <stp>BDH|17285557624336968992</stp>
        <tr r="H8" s="23"/>
      </tp>
      <tp t="e">
        <v>#N/A</v>
        <stp/>
        <stp>BDH|15670292090957445687</stp>
        <tr r="H47" s="21"/>
      </tp>
      <tp t="e">
        <v>#N/A</v>
        <stp/>
        <stp>BDH|18283755730696136556</stp>
        <tr r="O13" s="9"/>
      </tp>
      <tp t="e">
        <v>#N/A</v>
        <stp/>
        <stp>BDH|12289228517499121758</stp>
        <tr r="V67" s="12"/>
      </tp>
      <tp t="e">
        <v>#N/A</v>
        <stp/>
        <stp>BDH|13717003642921630906</stp>
        <tr r="I28" s="10"/>
        <tr r="I26" s="11"/>
      </tp>
      <tp t="e">
        <v>#N/A</v>
        <stp/>
        <stp>BDH|16173657647832258920</stp>
        <tr r="Y69" s="17"/>
      </tp>
      <tp t="e">
        <v>#N/A</v>
        <stp/>
        <stp>BDH|16130503372299924293</stp>
        <tr r="X63" s="10"/>
      </tp>
      <tp t="e">
        <v>#N/A</v>
        <stp/>
        <stp>BDH|10078955743421404314</stp>
        <tr r="M102" s="18"/>
      </tp>
      <tp t="e">
        <v>#N/A</v>
        <stp/>
        <stp>BDH|15549271829408065285</stp>
        <tr r="I35" s="6"/>
        <tr r="K10" s="8"/>
      </tp>
      <tp t="e">
        <v>#N/A</v>
        <stp/>
        <stp>BDH|17268407684355625131</stp>
        <tr r="Z7" s="21"/>
      </tp>
      <tp t="e">
        <v>#N/A</v>
        <stp/>
        <stp>BDH|18094459977736610276</stp>
        <tr r="C29" s="5"/>
      </tp>
      <tp t="e">
        <v>#N/A</v>
        <stp/>
        <stp>BDH|11686488772415844870</stp>
        <tr r="I52" s="17"/>
      </tp>
      <tp t="e">
        <v>#N/A</v>
        <stp/>
        <stp>BDH|11878433062699947536</stp>
        <tr r="X17" s="9"/>
      </tp>
      <tp t="e">
        <v>#N/A</v>
        <stp/>
        <stp>BDH|15864806148465123326</stp>
        <tr r="D65" s="24"/>
      </tp>
      <tp t="e">
        <v>#N/A</v>
        <stp/>
        <stp>BDH|13318887056935615489</stp>
        <tr r="N10" s="4"/>
        <tr r="M6" s="16"/>
        <tr r="P6" s="3"/>
        <tr r="N6" s="11"/>
      </tp>
      <tp t="e">
        <v>#N/A</v>
        <stp/>
        <stp>BDH|17113975241484513117</stp>
        <tr r="V25" s="18"/>
      </tp>
      <tp t="e">
        <v>#N/A</v>
        <stp/>
        <stp>BDH|17079598910859310590</stp>
        <tr r="E33" s="13"/>
      </tp>
      <tp t="e">
        <v>#N/A</v>
        <stp/>
        <stp>BDH|16763973360207373106</stp>
        <tr r="H116" s="18"/>
      </tp>
      <tp t="e">
        <v>#N/A</v>
        <stp/>
        <stp>BDH|10155894935750973475</stp>
        <tr r="U56" s="17"/>
      </tp>
      <tp t="e">
        <v>#N/A</v>
        <stp/>
        <stp>BDH|16090387613172937918</stp>
        <tr r="Q8" s="12"/>
      </tp>
      <tp t="e">
        <v>#N/A</v>
        <stp/>
        <stp>BDH|18075274547604713540</stp>
        <tr r="C55" s="18"/>
      </tp>
      <tp t="e">
        <v>#N/A</v>
        <stp/>
        <stp>BDH|10512639694717647760</stp>
        <tr r="Z23" s="17"/>
      </tp>
      <tp t="e">
        <v>#N/A</v>
        <stp/>
        <stp>BDH|16907676493490609698</stp>
        <tr r="M19" s="25"/>
        <tr r="M12" s="27"/>
      </tp>
      <tp t="e">
        <v>#N/A</v>
        <stp/>
        <stp>BDH|12183767908633543984</stp>
        <tr r="W65" s="24"/>
      </tp>
      <tp t="e">
        <v>#N/A</v>
        <stp/>
        <stp>BDH|12398873507690070512</stp>
        <tr r="X81" s="18"/>
      </tp>
      <tp t="e">
        <v>#N/A</v>
        <stp/>
        <stp>BDH|15100514272248391036</stp>
        <tr r="Y66" s="12"/>
      </tp>
      <tp t="e">
        <v>#N/A</v>
        <stp/>
        <stp>BDH|17577803879766793192</stp>
        <tr r="Y13" s="2"/>
      </tp>
      <tp t="e">
        <v>#N/A</v>
        <stp/>
        <stp>BDH|11095491029049131133</stp>
        <tr r="Y41" s="12"/>
      </tp>
      <tp t="e">
        <v>#N/A</v>
        <stp/>
        <stp>BDH|15688091433138626184</stp>
        <tr r="O40" s="18"/>
      </tp>
      <tp t="e">
        <v>#N/A</v>
        <stp/>
        <stp>BDH|10796464894532206056</stp>
        <tr r="D39" s="6"/>
      </tp>
      <tp t="e">
        <v>#N/A</v>
        <stp/>
        <stp>BDH|14497237275327979997</stp>
        <tr r="M49" s="24"/>
      </tp>
      <tp t="e">
        <v>#N/A</v>
        <stp/>
        <stp>BDH|14936626363253395893</stp>
        <tr r="X14" s="21"/>
      </tp>
      <tp t="e">
        <v>#N/A</v>
        <stp/>
        <stp>BDH|12334882532530993620</stp>
        <tr r="O32" s="26"/>
      </tp>
      <tp t="e">
        <v>#N/A</v>
        <stp/>
        <stp>BDH|12176522227288613205</stp>
        <tr r="M46" s="18"/>
      </tp>
      <tp t="e">
        <v>#N/A</v>
        <stp/>
        <stp>BDH|17391164702488790123</stp>
        <tr r="I12" s="17"/>
      </tp>
      <tp t="e">
        <v>#N/A</v>
        <stp/>
        <stp>BDH|14686509941639330366</stp>
        <tr r="L63" s="24"/>
      </tp>
      <tp t="e">
        <v>#N/A</v>
        <stp/>
        <stp>BDH|11105941723913039649</stp>
        <tr r="T20" s="25"/>
        <tr r="T13" s="27"/>
      </tp>
      <tp t="e">
        <v>#N/A</v>
        <stp/>
        <stp>BDH|10678435754026148824</stp>
        <tr r="Q24" s="11"/>
      </tp>
      <tp t="e">
        <v>#N/A</v>
        <stp/>
        <stp>BDH|12262586671979886613</stp>
        <tr r="R15" s="11"/>
      </tp>
      <tp t="e">
        <v>#N/A</v>
        <stp/>
        <stp>BDH|18116751117122659375</stp>
        <tr r="Z83" s="17"/>
      </tp>
      <tp t="e">
        <v>#N/A</v>
        <stp/>
        <stp>BDH|15427706705285671850</stp>
        <tr r="L9" s="24"/>
      </tp>
      <tp t="e">
        <v>#N/A</v>
        <stp/>
        <stp>BDH|18285371313844239163</stp>
        <tr r="D9" s="6"/>
      </tp>
      <tp t="e">
        <v>#N/A</v>
        <stp/>
        <stp>BDH|15404824842033518534</stp>
        <tr r="Y102" s="18"/>
      </tp>
      <tp t="e">
        <v>#N/A</v>
        <stp/>
        <stp>BDH|17007907973424742267</stp>
        <tr r="Q47" s="17"/>
      </tp>
      <tp t="e">
        <v>#N/A</v>
        <stp/>
        <stp>BDH|11741705716070448875</stp>
        <tr r="L59" s="24"/>
      </tp>
      <tp t="e">
        <v>#N/A</v>
        <stp/>
        <stp>BDH|12339923893458351531</stp>
        <tr r="J21" s="6"/>
      </tp>
      <tp t="e">
        <v>#N/A</v>
        <stp/>
        <stp>BDH|11398403817869040266</stp>
        <tr r="F16" s="21"/>
      </tp>
      <tp t="e">
        <v>#N/A</v>
        <stp/>
        <stp>BDH|13116989868901666251</stp>
        <tr r="W43" s="4"/>
      </tp>
      <tp t="e">
        <v>#N/A</v>
        <stp/>
        <stp>BDH|12093315784827203152</stp>
        <tr r="V11" s="29"/>
      </tp>
      <tp t="e">
        <v>#N/A</v>
        <stp/>
        <stp>BDH|16751891108701417004</stp>
        <tr r="V8" s="12"/>
      </tp>
      <tp t="e">
        <v>#N/A</v>
        <stp/>
        <stp>BDH|17580622869849295190</stp>
        <tr r="V87" s="18"/>
        <tr r="V7" s="20"/>
      </tp>
      <tp t="e">
        <v>#N/A</v>
        <stp/>
        <stp>BDH|16084063883045890489</stp>
        <tr r="U40" s="18"/>
      </tp>
      <tp t="e">
        <v>#N/A</v>
        <stp/>
        <stp>BDH|16018008214798503045</stp>
        <tr r="M13" s="2"/>
      </tp>
      <tp t="e">
        <v>#N/A</v>
        <stp/>
        <stp>BDH|18337973885592365479</stp>
        <tr r="Q68" s="24"/>
      </tp>
      <tp t="e">
        <v>#N/A</v>
        <stp/>
        <stp>BDH|17487006523788682248</stp>
        <tr r="T28" s="17"/>
      </tp>
      <tp t="e">
        <v>#N/A</v>
        <stp/>
        <stp>BDH|18052403750817664131</stp>
        <tr r="Y57" s="17"/>
      </tp>
      <tp t="e">
        <v>#N/A</v>
        <stp/>
        <stp>BDH|13523206880073486544</stp>
        <tr r="Z8" s="21"/>
      </tp>
      <tp t="e">
        <v>#N/A</v>
        <stp/>
        <stp>BDH|10690238797545223159</stp>
        <tr r="E118" s="18"/>
      </tp>
      <tp t="e">
        <v>#N/A</v>
        <stp/>
        <stp>BDH|14681632073509540365</stp>
        <tr r="U49" s="10"/>
        <tr r="U47" s="11"/>
        <tr r="U16" s="7"/>
      </tp>
      <tp t="e">
        <v>#N/A</v>
        <stp/>
        <stp>BDH|13466537864989023667</stp>
        <tr r="P8" s="22"/>
      </tp>
      <tp t="e">
        <v>#N/A</v>
        <stp/>
        <stp>BDH|18158145481316085817</stp>
        <tr r="I45" s="34"/>
      </tp>
      <tp t="e">
        <v>#N/A</v>
        <stp/>
        <stp>BDH|11922163122748090583</stp>
        <tr r="AA13" s="18"/>
      </tp>
      <tp t="e">
        <v>#N/A</v>
        <stp/>
        <stp>BDH|14554880128212323339</stp>
        <tr r="Z29" s="22"/>
      </tp>
      <tp t="e">
        <v>#N/A</v>
        <stp/>
        <stp>BDH|12457906356978655913</stp>
        <tr r="T7" s="14"/>
      </tp>
      <tp t="e">
        <v>#N/A</v>
        <stp/>
        <stp>BDH|10182726309891726987</stp>
        <tr r="C24" s="18"/>
      </tp>
      <tp t="e">
        <v>#N/A</v>
        <stp/>
        <stp>BDH|13789933147761570038</stp>
        <tr r="U16" s="2"/>
        <tr r="U32" s="4"/>
        <tr r="U58" s="10"/>
        <tr r="W19" s="13"/>
      </tp>
      <tp t="e">
        <v>#N/A</v>
        <stp/>
        <stp>BDH|13123987409243309664</stp>
        <tr r="AA42" s="17"/>
      </tp>
      <tp t="e">
        <v>#N/A</v>
        <stp/>
        <stp>BDH|10657445297752975093</stp>
        <tr r="X25" s="2"/>
        <tr r="Z61" s="21"/>
      </tp>
      <tp t="e">
        <v>#N/A</v>
        <stp/>
        <stp>BDH|12460929774007779409</stp>
        <tr r="E20" s="24"/>
      </tp>
      <tp t="e">
        <v>#N/A</v>
        <stp/>
        <stp>BDH|17533867946461136512</stp>
        <tr r="K7" s="8"/>
      </tp>
      <tp t="e">
        <v>#N/A</v>
        <stp/>
        <stp>BDH|18126748500206804689</stp>
        <tr r="U25" s="18"/>
      </tp>
      <tp t="e">
        <v>#N/A</v>
        <stp/>
        <stp>BDH|17870184687621354011</stp>
        <tr r="J79" s="17"/>
        <tr r="J20" s="3"/>
        <tr r="H6" s="7"/>
      </tp>
      <tp t="e">
        <v>#N/A</v>
        <stp/>
        <stp>BDH|18275010646563061004</stp>
        <tr r="D33" s="17"/>
      </tp>
      <tp t="e">
        <v>#N/A</v>
        <stp/>
        <stp>BDH|17772333765605063844</stp>
        <tr r="J43" s="4"/>
      </tp>
      <tp t="e">
        <v>#N/A</v>
        <stp/>
        <stp>BDH|17679424759260849905</stp>
        <tr r="Z67" s="24"/>
      </tp>
      <tp t="e">
        <v>#N/A</v>
        <stp/>
        <stp>BDH|10830164924309654596</stp>
        <tr r="E44" s="34"/>
      </tp>
      <tp t="e">
        <v>#N/A</v>
        <stp/>
        <stp>BDH|17168869405184608419</stp>
        <tr r="T70" s="18"/>
      </tp>
      <tp t="e">
        <v>#N/A</v>
        <stp/>
        <stp>BDH|15913712491612568696</stp>
        <tr r="W10" s="11"/>
      </tp>
      <tp t="e">
        <v>#N/A</v>
        <stp/>
        <stp>BDH|17263118746109435449</stp>
        <tr r="V38" s="6"/>
      </tp>
      <tp t="e">
        <v>#N/A</v>
        <stp/>
        <stp>BDH|15011593995730970606</stp>
        <tr r="P43" s="21"/>
      </tp>
      <tp t="e">
        <v>#N/A</v>
        <stp/>
        <stp>BDH|16444509394232420719</stp>
        <tr r="X9" s="23"/>
      </tp>
      <tp t="e">
        <v>#N/A</v>
        <stp/>
        <stp>BDH|15253571695223751527</stp>
        <tr r="L18" s="24"/>
      </tp>
      <tp t="e">
        <v>#N/A</v>
        <stp/>
        <stp>BDH|14172955752715677256</stp>
        <tr r="Z45" s="18"/>
      </tp>
      <tp t="e">
        <v>#N/A</v>
        <stp/>
        <stp>BDH|11570236256359688021</stp>
        <tr r="N27" s="17"/>
      </tp>
      <tp t="e">
        <v>#N/A</v>
        <stp/>
        <stp>BDH|13081355852818547269</stp>
        <tr r="C91" s="18"/>
      </tp>
      <tp t="e">
        <v>#N/A</v>
        <stp/>
        <stp>BDH|14811336760326656899</stp>
        <tr r="D15" s="6"/>
      </tp>
      <tp t="e">
        <v>#N/A</v>
        <stp/>
        <stp>BDH|16667912825564581636</stp>
        <tr r="K25" s="22"/>
      </tp>
      <tp t="e">
        <v>#N/A</v>
        <stp/>
        <stp>BDH|10325837051975218772</stp>
        <tr r="I15" s="10"/>
      </tp>
      <tp t="e">
        <v>#N/A</v>
        <stp/>
        <stp>BDH|11535642222223186964</stp>
        <tr r="C14" s="30"/>
      </tp>
      <tp t="e">
        <v>#N/A</v>
        <stp/>
        <stp>BDH|17287184389694461530</stp>
        <tr r="H14" s="8"/>
      </tp>
      <tp t="e">
        <v>#N/A</v>
        <stp/>
        <stp>BDH|11058881552933754094</stp>
        <tr r="Z17" s="21"/>
      </tp>
      <tp t="e">
        <v>#N/A</v>
        <stp/>
        <stp>BDH|16202393661189829563</stp>
        <tr r="Y15" s="12"/>
      </tp>
      <tp t="e">
        <v>#N/A</v>
        <stp/>
        <stp>BDH|16651484001339802431</stp>
        <tr r="H12" s="7"/>
      </tp>
      <tp t="e">
        <v>#N/A</v>
        <stp/>
        <stp>BDH|14869814329707127655</stp>
        <tr r="J61" s="12"/>
      </tp>
      <tp t="e">
        <v>#N/A</v>
        <stp/>
        <stp>BDH|18137166767669665927</stp>
        <tr r="G36" s="21"/>
      </tp>
      <tp t="e">
        <v>#N/A</v>
        <stp/>
        <stp>BDH|17960289291756185552</stp>
        <tr r="C35" s="34"/>
      </tp>
      <tp t="e">
        <v>#N/A</v>
        <stp/>
        <stp>BDH|13003519532809529322</stp>
        <tr r="O39" s="22"/>
      </tp>
      <tp t="e">
        <v>#N/A</v>
        <stp/>
        <stp>BDH|18365630211296208675</stp>
        <tr r="C40" s="34"/>
      </tp>
      <tp t="e">
        <v>#N/A</v>
        <stp/>
        <stp>BDH|13226444390437255606</stp>
        <tr r="Q24" s="2"/>
      </tp>
      <tp t="e">
        <v>#N/A</v>
        <stp/>
        <stp>BDH|16606685494106720097</stp>
        <tr r="V39" s="17"/>
      </tp>
      <tp t="e">
        <v>#N/A</v>
        <stp/>
        <stp>BDH|15281979020758579941</stp>
        <tr r="T55" s="24"/>
      </tp>
      <tp t="e">
        <v>#N/A</v>
        <stp/>
        <stp>BDH|12503774746377240924</stp>
        <tr r="L17" s="29"/>
        <tr r="L37" s="29"/>
      </tp>
      <tp t="e">
        <v>#N/A</v>
        <stp/>
        <stp>BDH|16979662819756626847</stp>
        <tr r="H53" s="17"/>
      </tp>
      <tp t="e">
        <v>#N/A</v>
        <stp/>
        <stp>BDH|12512966833826194150</stp>
        <tr r="Y104" s="18"/>
      </tp>
      <tp t="e">
        <v>#N/A</v>
        <stp/>
        <stp>BDH|15446113713778165230</stp>
        <tr r="J25" s="21"/>
      </tp>
      <tp t="e">
        <v>#N/A</v>
        <stp/>
        <stp>BDH|15817645008054230822</stp>
        <tr r="X26" s="12"/>
      </tp>
      <tp t="e">
        <v>#N/A</v>
        <stp/>
        <stp>BDH|16824246014148903251</stp>
        <tr r="W8" s="22"/>
      </tp>
      <tp t="e">
        <v>#N/A</v>
        <stp/>
        <stp>BDH|15546248371396110964</stp>
        <tr r="W35" s="12"/>
      </tp>
      <tp t="e">
        <v>#N/A</v>
        <stp/>
        <stp>BDH|16197697980716813172</stp>
        <tr r="G53" s="10"/>
        <tr r="G51" s="11"/>
        <tr r="G18" s="7"/>
        <tr r="I40" s="13"/>
      </tp>
      <tp t="e">
        <v>#N/A</v>
        <stp/>
        <stp>BDH|16224659346023789819</stp>
        <tr r="E58" s="12"/>
      </tp>
      <tp t="e">
        <v>#N/A</v>
        <stp/>
        <stp>BDH|14786637397225079140</stp>
        <tr r="X23" s="17"/>
      </tp>
      <tp t="e">
        <v>#N/A</v>
        <stp/>
        <stp>BDH|17672417400369315538</stp>
        <tr r="E108" s="18"/>
      </tp>
      <tp t="e">
        <v>#N/A</v>
        <stp/>
        <stp>BDH|14573974895648492345</stp>
        <tr r="F9" s="27"/>
      </tp>
      <tp t="e">
        <v>#N/A</v>
        <stp/>
        <stp>BDH|10586950125394675045</stp>
        <tr r="W21" s="4"/>
      </tp>
      <tp t="e">
        <v>#N/A</v>
        <stp/>
        <stp>BDH|17697317085041626235</stp>
        <tr r="P52" s="24"/>
      </tp>
      <tp t="e">
        <v>#N/A</v>
        <stp/>
        <stp>BDH|17037929835653476143</stp>
        <tr r="O51" s="18"/>
      </tp>
      <tp t="e">
        <v>#N/A</v>
        <stp/>
        <stp>BDH|13305326330884255843</stp>
        <tr r="H55" s="24"/>
      </tp>
      <tp t="e">
        <v>#N/A</v>
        <stp/>
        <stp>BDH|18423999630285835825</stp>
        <tr r="T31" s="10"/>
        <tr r="T29" s="11"/>
      </tp>
      <tp t="e">
        <v>#N/A</v>
        <stp/>
        <stp>BDH|11299522081820357358</stp>
        <tr r="X21" s="2"/>
      </tp>
      <tp t="e">
        <v>#N/A</v>
        <stp/>
        <stp>BDH|14114022547586483970</stp>
        <tr r="Q61" s="12"/>
      </tp>
      <tp t="e">
        <v>#N/A</v>
        <stp/>
        <stp>BDH|16798440624998289725</stp>
        <tr r="N24" s="26"/>
        <tr r="L14" s="9"/>
      </tp>
      <tp t="e">
        <v>#N/A</v>
        <stp/>
        <stp>BDH|13020817807857659375</stp>
        <tr r="X28" s="4"/>
      </tp>
      <tp t="e">
        <v>#N/A</v>
        <stp/>
        <stp>BDH|18365764051802403777</stp>
        <tr r="L11" s="24"/>
      </tp>
      <tp t="e">
        <v>#N/A</v>
        <stp/>
        <stp>BDH|14051344407338072049</stp>
        <tr r="V13" s="13"/>
      </tp>
      <tp t="e">
        <v>#N/A</v>
        <stp/>
        <stp>BDH|16125736208896577888</stp>
        <tr r="D8" s="24"/>
      </tp>
      <tp t="e">
        <v>#N/A</v>
        <stp/>
        <stp>BDH|16676252284075578651</stp>
        <tr r="D14" s="3"/>
      </tp>
      <tp t="e">
        <v>#N/A</v>
        <stp/>
        <stp>BDH|17520247735239154021</stp>
        <tr r="O17" s="14"/>
      </tp>
      <tp t="e">
        <v>#N/A</v>
        <stp/>
        <stp>BDH|10006539159518894756</stp>
        <tr r="J66" s="18"/>
      </tp>
      <tp t="e">
        <v>#N/A</v>
        <stp/>
        <stp>BDH|10336733241535055963</stp>
        <tr r="Q10" s="24"/>
      </tp>
      <tp t="e">
        <v>#N/A</v>
        <stp/>
        <stp>BDH|17557854464426614056</stp>
        <tr r="M69" s="10"/>
        <tr r="M67" s="11"/>
      </tp>
      <tp t="e">
        <v>#N/A</v>
        <stp/>
        <stp>BDH|10959281026536067906</stp>
        <tr r="H49" s="24"/>
      </tp>
      <tp t="e">
        <v>#N/A</v>
        <stp/>
        <stp>BDH|14892146229980541875</stp>
        <tr r="V59" s="24"/>
      </tp>
      <tp t="e">
        <v>#N/A</v>
        <stp/>
        <stp>BDH|14571274203279619006</stp>
        <tr r="M39" s="10"/>
        <tr r="M37" s="11"/>
      </tp>
      <tp t="e">
        <v>#N/A</v>
        <stp/>
        <stp>BDH|17300632262408689038</stp>
        <tr r="Q65" s="17"/>
        <tr r="O8" s="5"/>
        <tr r="O8" s="9"/>
      </tp>
      <tp t="e">
        <v>#N/A</v>
        <stp/>
        <stp>BDH|17778668594883511470</stp>
        <tr r="K38" s="10"/>
        <tr r="K36" s="11"/>
      </tp>
      <tp t="e">
        <v>#N/A</v>
        <stp/>
        <stp>BDH|10617910683466769846</stp>
        <tr r="G89" s="18"/>
        <tr r="G9" s="20"/>
      </tp>
      <tp t="e">
        <v>#N/A</v>
        <stp/>
        <stp>BDH|15332803512974559739</stp>
        <tr r="S46" s="24"/>
      </tp>
      <tp t="e">
        <v>#N/A</v>
        <stp/>
        <stp>BDH|11128931014325732366</stp>
        <tr r="V12" s="20"/>
      </tp>
      <tp t="e">
        <v>#N/A</v>
        <stp/>
        <stp>BDH|17662943402133600211</stp>
        <tr r="F67" s="12"/>
      </tp>
      <tp t="e">
        <v>#N/A</v>
        <stp/>
        <stp>BDH|17308476194041319442</stp>
        <tr r="U26" s="12"/>
      </tp>
      <tp t="e">
        <v>#N/A</v>
        <stp/>
        <stp>BDH|13006607593043251067</stp>
        <tr r="P41" s="24"/>
      </tp>
      <tp t="e">
        <v>#N/A</v>
        <stp/>
        <stp>BDH|10278147013146431966</stp>
        <tr r="K17" s="13"/>
      </tp>
      <tp t="e">
        <v>#N/A</v>
        <stp/>
        <stp>BDH|10291104757522589974</stp>
        <tr r="D83" s="18"/>
      </tp>
      <tp t="e">
        <v>#N/A</v>
        <stp/>
        <stp>BDH|14801465794126553085</stp>
        <tr r="W42" s="12"/>
      </tp>
      <tp t="e">
        <v>#N/A</v>
        <stp/>
        <stp>BDH|14210276530679570372</stp>
        <tr r="Q62" s="12"/>
      </tp>
      <tp t="e">
        <v>#N/A</v>
        <stp/>
        <stp>BDH|11134814978501984071</stp>
        <tr r="T7" s="17"/>
      </tp>
      <tp t="e">
        <v>#N/A</v>
        <stp/>
        <stp>BDH|15049331565468092703</stp>
        <tr r="R26" s="22"/>
      </tp>
      <tp t="e">
        <v>#N/A</v>
        <stp/>
        <stp>BDH|13876716741657646889</stp>
        <tr r="P10" s="13"/>
      </tp>
      <tp t="e">
        <v>#N/A</v>
        <stp/>
        <stp>BDH|18220968594487235044</stp>
        <tr r="T26" s="24"/>
      </tp>
      <tp t="e">
        <v>#N/A</v>
        <stp/>
        <stp>BDH|14001951433756093706</stp>
        <tr r="V30" s="17"/>
      </tp>
      <tp t="e">
        <v>#N/A</v>
        <stp/>
        <stp>BDH|16723797072101850828</stp>
        <tr r="U36" s="12"/>
      </tp>
      <tp t="e">
        <v>#N/A</v>
        <stp/>
        <stp>BDH|10328564374954265951</stp>
        <tr r="I7" s="14"/>
      </tp>
      <tp t="e">
        <v>#N/A</v>
        <stp/>
        <stp>BDH|17770539681295426071</stp>
        <tr r="D81" s="18"/>
      </tp>
      <tp t="e">
        <v>#N/A</v>
        <stp/>
        <stp>BDH|15472609471449710245</stp>
        <tr r="F19" s="6"/>
      </tp>
      <tp t="e">
        <v>#N/A</v>
        <stp/>
        <stp>BDH|18021943465611399943</stp>
        <tr r="J15" s="4"/>
      </tp>
      <tp t="e">
        <v>#N/A</v>
        <stp/>
        <stp>BDH|12551099504175698889</stp>
        <tr r="X63" s="17"/>
      </tp>
      <tp t="e">
        <v>#N/A</v>
        <stp/>
        <stp>BDH|14347023279529786597</stp>
        <tr r="F124" s="18"/>
      </tp>
      <tp t="e">
        <v>#N/A</v>
        <stp/>
        <stp>BDH|13375757080302878188</stp>
        <tr r="F29" s="12"/>
      </tp>
      <tp t="e">
        <v>#N/A</v>
        <stp/>
        <stp>BDH|16302204123630157974</stp>
        <tr r="S15" s="10"/>
      </tp>
      <tp t="e">
        <v>#N/A</v>
        <stp/>
        <stp>BDH|12374050820039070601</stp>
        <tr r="C56" s="24"/>
      </tp>
      <tp t="e">
        <v>#N/A</v>
        <stp/>
        <stp>BDH|18181991997077881011</stp>
        <tr r="AA64" s="17"/>
        <tr r="AA18" s="3"/>
      </tp>
      <tp t="e">
        <v>#N/A</v>
        <stp/>
        <stp>BDH|10870591802979297376</stp>
        <tr r="R38" s="13"/>
      </tp>
      <tp t="e">
        <v>#N/A</v>
        <stp/>
        <stp>BDH|18235500022134111473</stp>
        <tr r="I20" s="27"/>
      </tp>
      <tp t="e">
        <v>#N/A</v>
        <stp/>
        <stp>BDH|11333714674667000901</stp>
        <tr r="C6" s="28"/>
      </tp>
      <tp t="e">
        <v>#N/A</v>
        <stp/>
        <stp>BDH|10669812510760567642</stp>
        <tr r="V96" s="18"/>
      </tp>
      <tp t="e">
        <v>#N/A</v>
        <stp/>
        <stp>BDH|13964443766766817854</stp>
        <tr r="Z95" s="18"/>
      </tp>
      <tp t="e">
        <v>#N/A</v>
        <stp/>
        <stp>BDH|15710437392222076505</stp>
        <tr r="E38" s="18"/>
      </tp>
      <tp t="e">
        <v>#N/A</v>
        <stp/>
        <stp>BDH|15065451389195821321</stp>
        <tr r="D79" s="18"/>
      </tp>
      <tp t="e">
        <v>#N/A</v>
        <stp/>
        <stp>BDH|13919390835554560867</stp>
        <tr r="I25" s="7"/>
      </tp>
      <tp t="e">
        <v>#N/A</v>
        <stp/>
        <stp>BDH|10795635380761396017</stp>
        <tr r="P46" s="24"/>
      </tp>
      <tp t="e">
        <v>#N/A</v>
        <stp/>
        <stp>BDH|18391730418803188203</stp>
        <tr r="J12" s="22"/>
      </tp>
      <tp t="e">
        <v>#N/A</v>
        <stp/>
        <stp>BDH|10609912588958473624</stp>
        <tr r="R17" s="14"/>
      </tp>
      <tp t="e">
        <v>#N/A</v>
        <stp/>
        <stp>BDH|17136317617308795296</stp>
        <tr r="AA29" s="18"/>
      </tp>
      <tp t="e">
        <v>#N/A</v>
        <stp/>
        <stp>BDH|17461946146526790384</stp>
        <tr r="D19" s="34"/>
      </tp>
      <tp t="e">
        <v>#N/A</v>
        <stp/>
        <stp>BDH|10954635890619112929</stp>
        <tr r="H28" s="18"/>
      </tp>
      <tp t="e">
        <v>#N/A</v>
        <stp/>
        <stp>BDH|10948763084916347614</stp>
        <tr r="AA39" s="18"/>
      </tp>
      <tp t="e">
        <v>#N/A</v>
        <stp/>
        <stp>BDH|17531488862242634804</stp>
        <tr r="Z22" s="12"/>
      </tp>
      <tp t="e">
        <v>#N/A</v>
        <stp/>
        <stp>BDH|10820851971954754421</stp>
        <tr r="W29" s="18"/>
      </tp>
      <tp t="e">
        <v>#N/A</v>
        <stp/>
        <stp>BDH|14110141238421013848</stp>
        <tr r="Z27" s="12"/>
      </tp>
      <tp t="e">
        <v>#N/A</v>
        <stp/>
        <stp>BDH|13662742798891651355</stp>
        <tr r="D14" s="6"/>
      </tp>
      <tp t="e">
        <v>#N/A</v>
        <stp/>
        <stp>BDH|17882904700203137201</stp>
        <tr r="U8" s="17"/>
      </tp>
      <tp t="e">
        <v>#N/A</v>
        <stp/>
        <stp>BDH|12637999932065410208</stp>
        <tr r="AA58" s="24"/>
      </tp>
      <tp t="e">
        <v>#N/A</v>
        <stp/>
        <stp>BDH|12897981902915215193</stp>
        <tr r="L21" s="2"/>
      </tp>
      <tp t="e">
        <v>#N/A</v>
        <stp/>
        <stp>BDH|15009350815780105885</stp>
        <tr r="U12" s="17"/>
      </tp>
      <tp t="e">
        <v>#N/A</v>
        <stp/>
        <stp>BDH|12326096175068246242</stp>
        <tr r="L24" s="17"/>
      </tp>
      <tp t="e">
        <v>#N/A</v>
        <stp/>
        <stp>BDH|14859820816454733620</stp>
        <tr r="N36" s="21"/>
      </tp>
      <tp t="e">
        <v>#N/A</v>
        <stp/>
        <stp>BDH|14358470882366608197</stp>
        <tr r="D26" s="21"/>
      </tp>
      <tp t="e">
        <v>#N/A</v>
        <stp/>
        <stp>BDH|12104206799343059510</stp>
        <tr r="H39" s="24"/>
      </tp>
      <tp t="e">
        <v>#N/A</v>
        <stp/>
        <stp>BDH|12071505669166765875</stp>
        <tr r="M70" s="24"/>
      </tp>
      <tp t="e">
        <v>#N/A</v>
        <stp/>
        <stp>BDH|16163241769724141943</stp>
        <tr r="N108" s="18"/>
      </tp>
      <tp t="e">
        <v>#N/A</v>
        <stp/>
        <stp>BDH|14257630706008939570</stp>
        <tr r="AA25" s="18"/>
      </tp>
      <tp t="e">
        <v>#N/A</v>
        <stp/>
        <stp>BDH|17437237694466961530</stp>
        <tr r="D18" s="23"/>
      </tp>
      <tp t="e">
        <v>#N/A</v>
        <stp/>
        <stp>BDH|12705591880054714404</stp>
        <tr r="L50" s="18"/>
      </tp>
      <tp t="e">
        <v>#N/A</v>
        <stp/>
        <stp>BDH|14133851543745829263</stp>
        <tr r="C84" s="18"/>
      </tp>
      <tp t="e">
        <v>#N/A</v>
        <stp/>
        <stp>BDH|14571207462149734696</stp>
        <tr r="F17" s="17"/>
        <tr r="F20" s="28"/>
      </tp>
      <tp t="e">
        <v>#N/A</v>
        <stp/>
        <stp>BDH|13726956958258086825</stp>
        <tr r="R20" s="26"/>
      </tp>
      <tp t="e">
        <v>#N/A</v>
        <stp/>
        <stp>BDH|16717189736362066916</stp>
        <tr r="Y13" s="21"/>
      </tp>
      <tp t="e">
        <v>#N/A</v>
        <stp/>
        <stp>BDH|11937908228335008092</stp>
        <tr r="W53" s="12"/>
      </tp>
      <tp t="e">
        <v>#N/A</v>
        <stp/>
        <stp>BDH|13737936651874840453</stp>
        <tr r="N10" s="24"/>
      </tp>
      <tp t="e">
        <v>#N/A</v>
        <stp/>
        <stp>BDH|14439071494906741486</stp>
        <tr r="E12" s="7"/>
      </tp>
      <tp t="e">
        <v>#N/A</v>
        <stp/>
        <stp>BDH|18298190368122386288</stp>
        <tr r="O42" s="34"/>
      </tp>
      <tp t="e">
        <v>#N/A</v>
        <stp/>
        <stp>BDH|12499978508797693357</stp>
        <tr r="H84" s="18"/>
      </tp>
      <tp t="e">
        <v>#N/A</v>
        <stp/>
        <stp>BDH|12547002959080684826</stp>
        <tr r="W15" s="18"/>
      </tp>
      <tp t="e">
        <v>#N/A</v>
        <stp/>
        <stp>BDH|10949071678980802862</stp>
        <tr r="H21" s="5"/>
      </tp>
      <tp t="e">
        <v>#N/A</v>
        <stp/>
        <stp>BDH|14840591339805435843</stp>
        <tr r="N16" s="17"/>
        <tr r="N19" s="28"/>
      </tp>
      <tp t="e">
        <v>#N/A</v>
        <stp/>
        <stp>BDH|15958798978588833287</stp>
        <tr r="H13" s="20"/>
      </tp>
      <tp t="e">
        <v>#N/A</v>
        <stp/>
        <stp>BDH|17366486687006119252</stp>
        <tr r="V58" s="24"/>
      </tp>
      <tp t="e">
        <v>#N/A</v>
        <stp/>
        <stp>BDH|10268571799647248466</stp>
        <tr r="I54" s="24"/>
      </tp>
      <tp t="e">
        <v>#N/A</v>
        <stp/>
        <stp>BDH|13865865655602711347</stp>
        <tr r="J40" s="18"/>
      </tp>
      <tp t="e">
        <v>#N/A</v>
        <stp/>
        <stp>BDH|12950802028465868217</stp>
        <tr r="M72" s="17"/>
      </tp>
      <tp t="e">
        <v>#N/A</v>
        <stp/>
        <stp>BDH|16488190324329687372</stp>
        <tr r="X12" s="24"/>
      </tp>
      <tp t="e">
        <v>#N/A</v>
        <stp/>
        <stp>BDH|13209234067390705897</stp>
        <tr r="D20" s="22"/>
      </tp>
      <tp t="e">
        <v>#N/A</v>
        <stp/>
        <stp>BDH|13889268282091301770</stp>
        <tr r="O35" s="4"/>
      </tp>
      <tp t="e">
        <v>#N/A</v>
        <stp/>
        <stp>BDH|16436914806893264399</stp>
        <tr r="Y21" s="27"/>
      </tp>
      <tp t="e">
        <v>#N/A</v>
        <stp/>
        <stp>BDH|17309934552173309795</stp>
        <tr r="X29" s="9"/>
      </tp>
      <tp t="e">
        <v>#N/A</v>
        <stp/>
        <stp>BDH|14074801483729948222</stp>
        <tr r="AA10" s="12"/>
      </tp>
      <tp t="e">
        <v>#N/A</v>
        <stp/>
        <stp>BDH|11437673234669680299</stp>
        <tr r="O17" s="11"/>
      </tp>
      <tp t="e">
        <v>#N/A</v>
        <stp/>
        <stp>BDH|14700475469148469154</stp>
        <tr r="G37" s="21"/>
        <tr r="G24" s="3"/>
      </tp>
      <tp t="e">
        <v>#N/A</v>
        <stp/>
        <stp>BDH|10265739069599388734</stp>
        <tr r="R10" s="4"/>
        <tr r="Q6" s="16"/>
        <tr r="T6" s="3"/>
        <tr r="R6" s="11"/>
      </tp>
      <tp t="e">
        <v>#N/A</v>
        <stp/>
        <stp>BDH|13189250169460683831</stp>
        <tr r="F13" s="9"/>
      </tp>
      <tp t="e">
        <v>#N/A</v>
        <stp/>
        <stp>BDH|14614816668502411736</stp>
        <tr r="F25" s="21"/>
      </tp>
      <tp t="e">
        <v>#N/A</v>
        <stp/>
        <stp>BDH|10946725677129630626</stp>
        <tr r="L114" s="18"/>
      </tp>
      <tp t="e">
        <v>#N/A</v>
        <stp/>
        <stp>BDH|12683530722223872979</stp>
        <tr r="G24" s="2"/>
      </tp>
      <tp t="e">
        <v>#N/A</v>
        <stp/>
        <stp>BDH|14721904953391493688</stp>
        <tr r="N65" s="12"/>
      </tp>
      <tp t="e">
        <v>#N/A</v>
        <stp/>
        <stp>BDH|10487801009415167270</stp>
        <tr r="O30" s="17"/>
      </tp>
      <tp t="e">
        <v>#N/A</v>
        <stp/>
        <stp>BDH|17484674527448635490</stp>
        <tr r="C17" s="21"/>
      </tp>
      <tp t="e">
        <v>#N/A</v>
        <stp/>
        <stp>BDH|11941770619739599190</stp>
        <tr r="V22" s="12"/>
      </tp>
      <tp t="e">
        <v>#N/A</v>
        <stp/>
        <stp>BDH|17559964619565388526</stp>
        <tr r="J104" s="18"/>
      </tp>
      <tp t="e">
        <v>#N/A</v>
        <stp/>
        <stp>BDH|18285046503615673286</stp>
        <tr r="N29" s="9"/>
      </tp>
      <tp t="e">
        <v>#N/A</v>
        <stp/>
        <stp>BDH|10394875085618244786</stp>
        <tr r="K56" s="12"/>
      </tp>
      <tp t="e">
        <v>#N/A</v>
        <stp/>
        <stp>BDH|18124796773574604369</stp>
        <tr r="AA82" s="17"/>
      </tp>
      <tp t="e">
        <v>#N/A</v>
        <stp/>
        <stp>BDH|10342819728415519047</stp>
        <tr r="T11" s="24"/>
      </tp>
      <tp t="e">
        <v>#N/A</v>
        <stp/>
        <stp>BDH|15167201683942913200</stp>
        <tr r="P42" s="4"/>
      </tp>
      <tp t="e">
        <v>#N/A</v>
        <stp/>
        <stp>BDH|15712667058891228803</stp>
        <tr r="H20" s="2"/>
        <tr r="H18" s="4"/>
        <tr r="H54" s="10"/>
        <tr r="H52" s="11"/>
        <tr r="H19" s="7"/>
        <tr r="J41" s="13"/>
      </tp>
      <tp t="e">
        <v>#N/A</v>
        <stp/>
        <stp>BDH|14521915344801934722</stp>
        <tr r="K38" s="6"/>
      </tp>
      <tp t="e">
        <v>#N/A</v>
        <stp/>
        <stp>BDH|16931478437626338813</stp>
        <tr r="F16" s="2"/>
        <tr r="F32" s="4"/>
        <tr r="F58" s="10"/>
        <tr r="H19" s="13"/>
      </tp>
      <tp t="e">
        <v>#N/A</v>
        <stp/>
        <stp>BDH|16782385162644343852</stp>
        <tr r="O17" s="4"/>
        <tr r="Q10" s="3"/>
        <tr r="O52" s="10"/>
        <tr r="O50" s="11"/>
        <tr r="O17" s="7"/>
        <tr r="Q37" s="13"/>
      </tp>
      <tp t="e">
        <v>#N/A</v>
        <stp/>
        <stp>BDH|13986163397110216416</stp>
        <tr r="W24" s="11"/>
      </tp>
      <tp t="e">
        <v>#N/A</v>
        <stp/>
        <stp>BDH|17889343094392729046</stp>
        <tr r="S130" s="18"/>
      </tp>
      <tp t="e">
        <v>#N/A</v>
        <stp/>
        <stp>BDH|15981704891435459171</stp>
        <tr r="V11" s="9"/>
      </tp>
      <tp t="e">
        <v>#N/A</v>
        <stp/>
        <stp>BDH|15674573470401911932</stp>
        <tr r="T16" s="30"/>
      </tp>
      <tp t="e">
        <v>#N/A</v>
        <stp/>
        <stp>BDH|13856670257069113626</stp>
        <tr r="E13" s="24"/>
      </tp>
      <tp t="e">
        <v>#N/A</v>
        <stp/>
        <stp>BDH|17042585730139381708</stp>
        <tr r="O20" s="25"/>
        <tr r="O13" s="27"/>
      </tp>
      <tp t="e">
        <v>#N/A</v>
        <stp/>
        <stp>BDH|14599275522162298994</stp>
        <tr r="R101" s="18"/>
      </tp>
      <tp t="e">
        <v>#N/A</v>
        <stp/>
        <stp>BDH|13518031510229939444</stp>
        <tr r="G8" s="24"/>
      </tp>
      <tp t="e">
        <v>#N/A</v>
        <stp/>
        <stp>BDH|15780833382773586981</stp>
        <tr r="R23" s="11"/>
      </tp>
      <tp t="e">
        <v>#N/A</v>
        <stp/>
        <stp>BDH|11473182291274145268</stp>
        <tr r="L15" s="20"/>
      </tp>
      <tp t="e">
        <v>#N/A</v>
        <stp/>
        <stp>BDH|13782890172770171372</stp>
        <tr r="R42" s="24"/>
      </tp>
      <tp t="e">
        <v>#N/A</v>
        <stp/>
        <stp>BDH|10877884707370880752</stp>
        <tr r="F40" s="21"/>
      </tp>
      <tp t="e">
        <v>#N/A</v>
        <stp/>
        <stp>BDH|10856442959199962768</stp>
        <tr r="Y12" s="20"/>
      </tp>
      <tp t="e">
        <v>#N/A</v>
        <stp/>
        <stp>BDH|18159021779893063305</stp>
        <tr r="I82" s="17"/>
      </tp>
      <tp t="e">
        <v>#N/A</v>
        <stp/>
        <stp>BDH|16476263559759997785</stp>
        <tr r="U25" s="26"/>
      </tp>
      <tp t="e">
        <v>#N/A</v>
        <stp/>
        <stp>BDH|12398637464189989479</stp>
        <tr r="Z28" s="25"/>
      </tp>
      <tp t="e">
        <v>#N/A</v>
        <stp/>
        <stp>BDH|18156233129354888393</stp>
        <tr r="K22" s="5"/>
      </tp>
      <tp t="e">
        <v>#N/A</v>
        <stp/>
        <stp>BDH|16099723395247439096</stp>
        <tr r="M14" s="18"/>
      </tp>
      <tp t="e">
        <v>#N/A</v>
        <stp/>
        <stp>BDH|16190993512732386338</stp>
        <tr r="S58" s="21"/>
        <tr r="S30" s="25"/>
        <tr r="Q31" s="4"/>
        <tr r="Q56" s="11"/>
      </tp>
      <tp t="e">
        <v>#N/A</v>
        <stp/>
        <stp>BDH|12915688694433772187</stp>
        <tr r="R15" s="6"/>
      </tp>
      <tp t="e">
        <v>#N/A</v>
        <stp/>
        <stp>BDH|13131040199695508039</stp>
        <tr r="W82" s="18"/>
      </tp>
      <tp t="e">
        <v>#N/A</v>
        <stp/>
        <stp>BDH|18241212055940959059</stp>
        <tr r="N10" s="6"/>
      </tp>
      <tp t="e">
        <v>#N/A</v>
        <stp/>
        <stp>BDH|10520993135373171627</stp>
        <tr r="S75" s="18"/>
      </tp>
      <tp t="e">
        <v>#N/A</v>
        <stp/>
        <stp>BDH|12834672696922784041</stp>
        <tr r="R69" s="17"/>
      </tp>
      <tp t="e">
        <v>#N/A</v>
        <stp/>
        <stp>BDH|15857154336168980089</stp>
        <tr r="H13" s="9"/>
      </tp>
      <tp t="e">
        <v>#N/A</v>
        <stp/>
        <stp>BDH|16519721899160217760</stp>
        <tr r="W22" s="24"/>
      </tp>
      <tp t="e">
        <v>#N/A</v>
        <stp/>
        <stp>BDH|11866125595541043754</stp>
        <tr r="Z10" s="26"/>
      </tp>
      <tp t="e">
        <v>#N/A</v>
        <stp/>
        <stp>BDH|18151684731596743455</stp>
        <tr r="W11" s="21"/>
      </tp>
      <tp t="e">
        <v>#N/A</v>
        <stp/>
        <stp>BDH|12187581522478711268</stp>
        <tr r="F49" s="4"/>
      </tp>
      <tp t="e">
        <v>#N/A</v>
        <stp/>
        <stp>BDH|16866518082567277338</stp>
        <tr r="Y20" s="27"/>
      </tp>
      <tp t="e">
        <v>#N/A</v>
        <stp/>
        <stp>BDH|14467009358177306925</stp>
        <tr r="H18" s="17"/>
      </tp>
      <tp t="e">
        <v>#N/A</v>
        <stp/>
        <stp>BDH|14459396326853444925</stp>
        <tr r="D103" s="18"/>
      </tp>
      <tp t="e">
        <v>#N/A</v>
        <stp/>
        <stp>BDH|16311761068651569959</stp>
        <tr r="AA43" s="24"/>
      </tp>
      <tp t="e">
        <v>#N/A</v>
        <stp/>
        <stp>BDH|12003259408929796670</stp>
        <tr r="W26" s="6"/>
      </tp>
      <tp t="e">
        <v>#N/A</v>
        <stp/>
        <stp>BDH|10495851619083105540</stp>
        <tr r="K55" s="24"/>
      </tp>
      <tp t="e">
        <v>#N/A</v>
        <stp/>
        <stp>BDH|10128830547936867505</stp>
        <tr r="H26" s="12"/>
      </tp>
      <tp t="e">
        <v>#N/A</v>
        <stp/>
        <stp>BDH|14217741648161100929</stp>
        <tr r="G122" s="18"/>
      </tp>
      <tp t="e">
        <v>#N/A</v>
        <stp/>
        <stp>BDH|10181490302978213358</stp>
        <tr r="D113" s="18"/>
      </tp>
      <tp t="e">
        <v>#N/A</v>
        <stp/>
        <stp>BDH|11862709284626934782</stp>
        <tr r="W22" s="5"/>
      </tp>
      <tp t="e">
        <v>#N/A</v>
        <stp/>
        <stp>BDH|15373853468845373103</stp>
        <tr r="K110" s="18"/>
      </tp>
      <tp t="e">
        <v>#N/A</v>
        <stp/>
        <stp>BDH|11592134229449306411</stp>
        <tr r="C29" s="24"/>
      </tp>
      <tp t="e">
        <v>#N/A</v>
        <stp/>
        <stp>BDH|13465587288770884111</stp>
        <tr r="C70" s="24"/>
      </tp>
      <tp t="e">
        <v>#N/A</v>
        <stp/>
        <stp>BDH|16325860137572610098</stp>
        <tr r="C24" s="2"/>
      </tp>
      <tp t="e">
        <v>#N/A</v>
        <stp/>
        <stp>BDH|17602801668253083535</stp>
        <tr r="Y49" s="18"/>
      </tp>
      <tp t="e">
        <v>#N/A</v>
        <stp/>
        <stp>BDH|13430090798730100599</stp>
        <tr r="D56" s="12"/>
      </tp>
      <tp t="e">
        <v>#N/A</v>
        <stp/>
        <stp>BDH|15896970049936374184</stp>
        <tr r="AA55" s="18"/>
      </tp>
      <tp t="e">
        <v>#N/A</v>
        <stp/>
        <stp>BDH|15470094440148458645</stp>
        <tr r="I33" s="21"/>
      </tp>
      <tp t="e">
        <v>#N/A</v>
        <stp/>
        <stp>BDH|10613683690462456271</stp>
        <tr r="J19" s="25"/>
        <tr r="J12" s="27"/>
      </tp>
      <tp t="e">
        <v>#N/A</v>
        <stp/>
        <stp>BDH|11230949228530080535</stp>
        <tr r="S12" s="20"/>
      </tp>
      <tp t="e">
        <v>#N/A</v>
        <stp/>
        <stp>BDH|18265977428598942491</stp>
        <tr r="Z41" s="12"/>
      </tp>
      <tp t="e">
        <v>#N/A</v>
        <stp/>
        <stp>BDH|13714866162320612284</stp>
        <tr r="Z18" s="17"/>
      </tp>
      <tp t="e">
        <v>#N/A</v>
        <stp/>
        <stp>BDH|12331864902284211185</stp>
        <tr r="M13" s="7"/>
      </tp>
      <tp t="e">
        <v>#N/A</v>
        <stp/>
        <stp>BDH|16693931825935431792</stp>
        <tr r="E23" s="22"/>
      </tp>
      <tp t="e">
        <v>#N/A</v>
        <stp/>
        <stp>BDH|17222124990169412991</stp>
        <tr r="J46" s="21"/>
      </tp>
      <tp t="e">
        <v>#N/A</v>
        <stp/>
        <stp>BDH|17409432044479847165</stp>
        <tr r="N38" s="18"/>
      </tp>
      <tp t="e">
        <v>#N/A</v>
        <stp/>
        <stp>BDH|14184685243468168168</stp>
        <tr r="X49" s="24"/>
      </tp>
      <tp t="e">
        <v>#N/A</v>
        <stp/>
        <stp>BDH|16910375693606842581</stp>
        <tr r="X63" s="12"/>
      </tp>
      <tp t="e">
        <v>#N/A</v>
        <stp/>
        <stp>BDH|14908961848064837225</stp>
        <tr r="F68" s="18"/>
      </tp>
      <tp t="e">
        <v>#N/A</v>
        <stp/>
        <stp>BDH|17284259892504826700</stp>
        <tr r="R10" s="17"/>
      </tp>
      <tp t="e">
        <v>#N/A</v>
        <stp/>
        <stp>BDH|14431693404258724536</stp>
        <tr r="J62" s="11"/>
        <tr r="L19" s="23"/>
      </tp>
      <tp t="e">
        <v>#N/A</v>
        <stp/>
        <stp>BDH|13494297098392103598</stp>
        <tr r="J32" s="24"/>
      </tp>
      <tp t="e">
        <v>#N/A</v>
        <stp/>
        <stp>BDH|14541093380252127102</stp>
        <tr r="M12" s="24"/>
      </tp>
      <tp t="e">
        <v>#N/A</v>
        <stp/>
        <stp>BDH|17021253482747911532</stp>
        <tr r="V20" s="27"/>
      </tp>
      <tp t="e">
        <v>#N/A</v>
        <stp/>
        <stp>BDH|12929013082436139363</stp>
        <tr r="L60" s="18"/>
      </tp>
      <tp t="e">
        <v>#N/A</v>
        <stp/>
        <stp>BDH|12054574027323408989</stp>
        <tr r="C16" s="28"/>
        <tr r="C13" s="17"/>
      </tp>
      <tp t="e">
        <v>#N/A</v>
        <stp/>
        <stp>BDH|14693925152456342195</stp>
        <tr r="E117" s="18"/>
      </tp>
      <tp t="e">
        <v>#N/A</v>
        <stp/>
        <stp>BDH|14711526175711501899</stp>
        <tr r="N10" s="11"/>
      </tp>
      <tp t="e">
        <v>#N/A</v>
        <stp/>
        <stp>BDH|10398890384216210905</stp>
        <tr r="L17" s="13"/>
      </tp>
      <tp t="e">
        <v>#N/A</v>
        <stp/>
        <stp>BDH|13577870546808932813</stp>
        <tr r="X107" s="18"/>
      </tp>
      <tp t="e">
        <v>#N/A</v>
        <stp/>
        <stp>BDH|15689608803858918407</stp>
        <tr r="E120" s="18"/>
      </tp>
      <tp t="e">
        <v>#N/A</v>
        <stp/>
        <stp>BDH|12021877893854868809</stp>
        <tr r="E10" s="11"/>
      </tp>
      <tp t="e">
        <v>#N/A</v>
        <stp/>
        <stp>BDH|17171594612069647505</stp>
        <tr r="Q64" s="12"/>
      </tp>
      <tp t="e">
        <v>#N/A</v>
        <stp/>
        <stp>BDH|15905919635206994682</stp>
        <tr r="K37" s="17"/>
      </tp>
      <tp t="e">
        <v>#N/A</v>
        <stp/>
        <stp>BDH|13906072157610036957</stp>
        <tr r="X28" s="6"/>
      </tp>
      <tp t="e">
        <v>#N/A</v>
        <stp/>
        <stp>BDH|10921875662071217021</stp>
        <tr r="I18" s="34"/>
      </tp>
      <tp t="e">
        <v>#N/A</v>
        <stp/>
        <stp>BDH|11146771202270905910</stp>
        <tr r="W60" s="24"/>
      </tp>
      <tp t="e">
        <v>#N/A</v>
        <stp/>
        <stp>BDH|11557019620685981917</stp>
        <tr r="C31" s="10"/>
        <tr r="C29" s="11"/>
      </tp>
      <tp t="e">
        <v>#N/A</v>
        <stp/>
        <stp>BDH|13002482672107538834</stp>
        <tr r="C13" s="24"/>
      </tp>
      <tp t="e">
        <v>#N/A</v>
        <stp/>
        <stp>BDH|16553849108273024258</stp>
        <tr r="K64" s="24"/>
      </tp>
      <tp t="e">
        <v>#N/A</v>
        <stp/>
        <stp>BDH|10097768241089000588</stp>
        <tr r="L22" s="21"/>
      </tp>
      <tp t="e">
        <v>#N/A</v>
        <stp/>
        <stp>BDH|13224896657984702544</stp>
        <tr r="AA59" s="24"/>
      </tp>
      <tp t="e">
        <v>#N/A</v>
        <stp/>
        <stp>BDH|10820338067392513861</stp>
        <tr r="AA121" s="18"/>
      </tp>
      <tp t="e">
        <v>#N/A</v>
        <stp/>
        <stp>BDH|11112712126663956809</stp>
        <tr r="K49" s="12"/>
      </tp>
      <tp t="e">
        <v>#N/A</v>
        <stp/>
        <stp>BDH|12458282792990904686</stp>
        <tr r="V16" s="6"/>
      </tp>
      <tp t="e">
        <v>#N/A</v>
        <stp/>
        <stp>BDH|14751579958212261957</stp>
        <tr r="W21" s="6"/>
      </tp>
      <tp t="e">
        <v>#N/A</v>
        <stp/>
        <stp>BDH|15284327189931614008</stp>
        <tr r="T13" s="22"/>
      </tp>
      <tp t="e">
        <v>#N/A</v>
        <stp/>
        <stp>BDH|13558009617648513585</stp>
        <tr r="K32" s="18"/>
      </tp>
      <tp t="e">
        <v>#N/A</v>
        <stp/>
        <stp>BDH|18395380752658400921</stp>
        <tr r="F27" s="7"/>
      </tp>
      <tp t="e">
        <v>#N/A</v>
        <stp/>
        <stp>BDH|14937543901859147721</stp>
        <tr r="U21" s="10"/>
      </tp>
      <tp t="e">
        <v>#N/A</v>
        <stp/>
        <stp>BDH|10844234877932064833</stp>
        <tr r="O15" s="11"/>
      </tp>
      <tp t="e">
        <v>#N/A</v>
        <stp/>
        <stp>BDH|17519192861976337915</stp>
        <tr r="V16" s="17"/>
        <tr r="V19" s="28"/>
      </tp>
      <tp t="e">
        <v>#N/A</v>
        <stp/>
        <stp>BDH|16973862518321004184</stp>
        <tr r="H29" s="9"/>
      </tp>
      <tp t="e">
        <v>#N/A</v>
        <stp/>
        <stp>BDH|12515623179774977883</stp>
        <tr r="Y27" s="26"/>
      </tp>
      <tp t="e">
        <v>#N/A</v>
        <stp/>
        <stp>BDH|14826894833693844355</stp>
        <tr r="N127" s="18"/>
      </tp>
      <tp t="e">
        <v>#N/A</v>
        <stp/>
        <stp>BDH|11543966849310555304</stp>
        <tr r="F46" s="18"/>
      </tp>
      <tp t="e">
        <v>#N/A</v>
        <stp/>
        <stp>BDH|17362981092120538835</stp>
        <tr r="F35" s="24"/>
      </tp>
      <tp t="e">
        <v>#N/A</v>
        <stp/>
        <stp>BDH|11672947900126904146</stp>
        <tr r="K9" s="23"/>
      </tp>
      <tp t="e">
        <v>#N/A</v>
        <stp/>
        <stp>BDH|16908446484045781019</stp>
        <tr r="R20" s="30"/>
      </tp>
      <tp t="e">
        <v>#N/A</v>
        <stp/>
        <stp>BDH|16486134028829267325</stp>
        <tr r="X24" s="10"/>
      </tp>
      <tp t="e">
        <v>#N/A</v>
        <stp/>
        <stp>BDH|12879568231658473348</stp>
        <tr r="W21" s="24"/>
      </tp>
      <tp t="e">
        <v>#N/A</v>
        <stp/>
        <stp>BDH|14198560600046185897</stp>
        <tr r="L30" s="29"/>
        <tr r="L8" s="29"/>
      </tp>
      <tp t="e">
        <v>#N/A</v>
        <stp/>
        <stp>BDH|17120582412198337474</stp>
        <tr r="E45" s="12"/>
      </tp>
      <tp t="e">
        <v>#N/A</v>
        <stp/>
        <stp>BDH|17802030152115008867</stp>
        <tr r="I15" s="9"/>
      </tp>
      <tp t="e">
        <v>#N/A</v>
        <stp/>
        <stp>BDH|12075314353343811857</stp>
        <tr r="X22" s="9"/>
      </tp>
      <tp t="e">
        <v>#N/A</v>
        <stp/>
        <stp>BDH|10787844955586984404</stp>
        <tr r="S63" s="21"/>
        <tr r="Q23" s="7"/>
      </tp>
      <tp t="e">
        <v>#N/A</v>
        <stp/>
        <stp>BDH|16002043094842864278</stp>
        <tr r="E25" s="25"/>
        <tr r="E18" s="27"/>
      </tp>
      <tp t="e">
        <v>#N/A</v>
        <stp/>
        <stp>BDH|10294834579895573526</stp>
        <tr r="S14" s="12"/>
      </tp>
      <tp t="e">
        <v>#N/A</v>
        <stp/>
        <stp>BDH|17958232816859131228</stp>
        <tr r="T27" s="12"/>
      </tp>
      <tp t="e">
        <v>#N/A</v>
        <stp/>
        <stp>BDH|13313452989366995682</stp>
        <tr r="Z28" s="18"/>
      </tp>
      <tp t="e">
        <v>#N/A</v>
        <stp/>
        <stp>BDH|13906777180646124518</stp>
        <tr r="Q62" s="18"/>
      </tp>
      <tp t="e">
        <v>#N/A</v>
        <stp/>
        <stp>BDH|12167174949989196109</stp>
        <tr r="U37" s="17"/>
      </tp>
      <tp t="e">
        <v>#N/A</v>
        <stp/>
        <stp>BDH|18089650810725377582</stp>
        <tr r="G18" s="17"/>
      </tp>
      <tp t="e">
        <v>#N/A</v>
        <stp/>
        <stp>BDH|11385814278620364176</stp>
        <tr r="G60" s="21"/>
      </tp>
      <tp t="e">
        <v>#N/A</v>
        <stp/>
        <stp>BDH|12570474672909726792</stp>
        <tr r="H14" s="4"/>
      </tp>
      <tp t="e">
        <v>#N/A</v>
        <stp/>
        <stp>BDH|11659234173289858209</stp>
        <tr r="R55" s="17"/>
      </tp>
      <tp t="e">
        <v>#N/A</v>
        <stp/>
        <stp>BDH|12860780197725066698</stp>
        <tr r="AA13" s="22"/>
      </tp>
      <tp t="e">
        <v>#N/A</v>
        <stp/>
        <stp>BDH|13832314974651382907</stp>
        <tr r="Q15" s="12"/>
      </tp>
      <tp t="e">
        <v>#N/A</v>
        <stp/>
        <stp>BDH|10368138792751560691</stp>
        <tr r="AA43" s="21"/>
      </tp>
      <tp t="e">
        <v>#N/A</v>
        <stp/>
        <stp>BDH|16722438646148847142</stp>
        <tr r="N70" s="24"/>
      </tp>
      <tp t="e">
        <v>#N/A</v>
        <stp/>
        <stp>BDH|18134080601896105177</stp>
        <tr r="O26" s="12"/>
      </tp>
      <tp t="e">
        <v>#N/A</v>
        <stp/>
        <stp>BDH|15231210459558424508</stp>
        <tr r="G29" s="12"/>
      </tp>
      <tp t="e">
        <v>#N/A</v>
        <stp/>
        <stp>BDH|14950253357478566408</stp>
        <tr r="Q9" s="24"/>
      </tp>
      <tp t="e">
        <v>#N/A</v>
        <stp/>
        <stp>BDH|12364306310748804755</stp>
        <tr r="D55" s="17"/>
      </tp>
      <tp t="e">
        <v>#N/A</v>
        <stp/>
        <stp>BDH|17169869643614307099</stp>
        <tr r="G15" s="22"/>
      </tp>
      <tp t="e">
        <v>#N/A</v>
        <stp/>
        <stp>BDH|11708913877702918265</stp>
        <tr r="V57" s="18"/>
      </tp>
      <tp t="e">
        <v>#N/A</v>
        <stp/>
        <stp>BDH|14979403377478876087</stp>
        <tr r="K81" s="18"/>
      </tp>
      <tp t="e">
        <v>#N/A</v>
        <stp/>
        <stp>BDH|13990961538084119289</stp>
        <tr r="H24" s="12"/>
      </tp>
      <tp t="e">
        <v>#N/A</v>
        <stp/>
        <stp>BDH|16205943613234886539</stp>
        <tr r="C26" s="7"/>
      </tp>
      <tp t="e">
        <v>#N/A</v>
        <stp/>
        <stp>BDH|12311382518286835955</stp>
        <tr r="Y95" s="18"/>
      </tp>
      <tp t="e">
        <v>#N/A</v>
        <stp/>
        <stp>BDH|10502265171353936952</stp>
        <tr r="W86" s="17"/>
      </tp>
      <tp t="e">
        <v>#N/A</v>
        <stp/>
        <stp>BDH|13372187452428654016</stp>
        <tr r="P20" s="18"/>
      </tp>
      <tp t="e">
        <v>#N/A</v>
        <stp/>
        <stp>BDH|16193056348699669448</stp>
        <tr r="E8" s="4"/>
      </tp>
      <tp t="e">
        <v>#N/A</v>
        <stp/>
        <stp>BDH|10643827357665554787</stp>
        <tr r="C23" s="17"/>
      </tp>
      <tp t="e">
        <v>#N/A</v>
        <stp/>
        <stp>BDH|12526886617373387779</stp>
        <tr r="X45" s="4"/>
        <tr r="X27" s="10"/>
        <tr r="X25" s="11"/>
        <tr r="Z26" s="13"/>
      </tp>
      <tp t="e">
        <v>#N/A</v>
        <stp/>
        <stp>BDH|12828423184373766271</stp>
        <tr r="F70" s="10"/>
        <tr r="F68" s="11"/>
      </tp>
      <tp t="e">
        <v>#N/A</v>
        <stp/>
        <stp>BDH|10934130194274550351</stp>
        <tr r="V9" s="21"/>
      </tp>
      <tp t="e">
        <v>#N/A</v>
        <stp/>
        <stp>BDH|16872918353167438209</stp>
        <tr r="W20" s="18"/>
      </tp>
      <tp t="e">
        <v>#N/A</v>
        <stp/>
        <stp>BDH|15938106488261950266</stp>
        <tr r="Y24" s="4"/>
        <tr r="Y59" s="11"/>
      </tp>
      <tp t="e">
        <v>#N/A</v>
        <stp/>
        <stp>BDH|11733502161418145595</stp>
        <tr r="I59" s="21"/>
        <tr r="G57" s="11"/>
      </tp>
      <tp t="e">
        <v>#N/A</v>
        <stp/>
        <stp>BDH|10381212849343324990</stp>
        <tr r="K7" s="11"/>
      </tp>
      <tp t="e">
        <v>#N/A</v>
        <stp/>
        <stp>BDH|11364048899690900463</stp>
        <tr r="J23" s="25"/>
        <tr r="J16" s="27"/>
      </tp>
      <tp t="e">
        <v>#N/A</v>
        <stp/>
        <stp>BDH|18180817442179344103</stp>
        <tr r="X26" s="29"/>
      </tp>
      <tp t="e">
        <v>#N/A</v>
        <stp/>
        <stp>BDH|17654357731058280313</stp>
        <tr r="O51" s="17"/>
      </tp>
      <tp t="e">
        <v>#N/A</v>
        <stp/>
        <stp>BDH|18394448101051796101</stp>
        <tr r="I48" s="21"/>
      </tp>
      <tp t="e">
        <v>#N/A</v>
        <stp/>
        <stp>BDH|15695717592203038447</stp>
        <tr r="I18" s="29"/>
        <tr r="I38" s="29"/>
      </tp>
      <tp t="e">
        <v>#N/A</v>
        <stp/>
        <stp>BDH|15392307693002223134</stp>
        <tr r="P13" s="8"/>
      </tp>
      <tp t="e">
        <v>#N/A</v>
        <stp/>
        <stp>BDH|15949698992281089739</stp>
        <tr r="Y64" s="17"/>
        <tr r="Y18" s="3"/>
      </tp>
      <tp t="e">
        <v>#N/A</v>
        <stp/>
        <stp>BDH|18144569797528821095</stp>
        <tr r="F32" s="12"/>
      </tp>
      <tp t="e">
        <v>#N/A</v>
        <stp/>
        <stp>BDH|15157860516886245627</stp>
        <tr r="F23" s="22"/>
      </tp>
      <tp t="e">
        <v>#N/A</v>
        <stp/>
        <stp>BDH|17560410050073129949</stp>
        <tr r="V45" s="12"/>
      </tp>
      <tp t="e">
        <v>#N/A</v>
        <stp/>
        <stp>BDH|18305550505575607448</stp>
        <tr r="J27" s="5"/>
        <tr r="J28" s="9"/>
      </tp>
      <tp t="e">
        <v>#N/A</v>
        <stp/>
        <stp>BDH|13523571345407585933</stp>
        <tr r="T20" s="30"/>
      </tp>
      <tp t="e">
        <v>#N/A</v>
        <stp/>
        <stp>BDH|11502607734759523151</stp>
        <tr r="O39" s="4"/>
        <tr r="O62" s="10"/>
      </tp>
      <tp t="e">
        <v>#N/A</v>
        <stp/>
        <stp>BDH|15897015895811939146</stp>
        <tr r="R25" s="2"/>
        <tr r="T61" s="21"/>
      </tp>
      <tp t="e">
        <v>#N/A</v>
        <stp/>
        <stp>BDH|15184479652039061157</stp>
        <tr r="E17" s="23"/>
      </tp>
      <tp t="e">
        <v>#N/A</v>
        <stp/>
        <stp>BDH|15581833871911165773</stp>
        <tr r="W38" s="22"/>
      </tp>
      <tp t="e">
        <v>#N/A</v>
        <stp/>
        <stp>BDH|13909996585458745631</stp>
        <tr r="S12" s="3"/>
        <tr r="Q51" s="10"/>
        <tr r="Q49" s="11"/>
        <tr r="Q7" s="7"/>
      </tp>
      <tp t="e">
        <v>#N/A</v>
        <stp/>
        <stp>BDH|16107201650048358532</stp>
        <tr r="P10" s="34"/>
      </tp>
      <tp t="e">
        <v>#N/A</v>
        <stp/>
        <stp>BDH|15173640474710645862</stp>
        <tr r="J8" s="28"/>
      </tp>
      <tp t="e">
        <v>#N/A</v>
        <stp/>
        <stp>BDH|17400254957708237455</stp>
        <tr r="D46" s="18"/>
      </tp>
      <tp t="e">
        <v>#N/A</v>
        <stp/>
        <stp>BDH|15201889873566904019</stp>
        <tr r="H29" s="18"/>
      </tp>
      <tp t="e">
        <v>#N/A</v>
        <stp/>
        <stp>BDH|16259886441186963031</stp>
        <tr r="T9" s="17"/>
      </tp>
      <tp t="e">
        <v>#N/A</v>
        <stp/>
        <stp>BDH|10986428352308008587</stp>
        <tr r="N9" s="24"/>
      </tp>
      <tp t="e">
        <v>#N/A</v>
        <stp/>
        <stp>BDH|14242372686993791052</stp>
        <tr r="Q52" s="4"/>
        <tr r="S8" s="3"/>
        <tr r="Q40" s="10"/>
        <tr r="Q38" s="11"/>
        <tr r="S30" s="13"/>
      </tp>
      <tp t="e">
        <v>#N/A</v>
        <stp/>
        <stp>BDH|13974934454881991266</stp>
        <tr r="F62" s="24"/>
      </tp>
      <tp t="e">
        <v>#N/A</v>
        <stp/>
        <stp>BDH|17124434882635186213</stp>
        <tr r="P68" s="10"/>
        <tr r="P66" s="11"/>
      </tp>
      <tp t="e">
        <v>#N/A</v>
        <stp/>
        <stp>BDH|14349072384413090300</stp>
        <tr r="G19" s="17"/>
      </tp>
      <tp t="e">
        <v>#N/A</v>
        <stp/>
        <stp>BDH|12333895455784994762</stp>
        <tr r="K21" s="17"/>
        <tr r="K15" s="3"/>
      </tp>
      <tp t="e">
        <v>#N/A</v>
        <stp/>
        <stp>BDH|12632352491567474369</stp>
        <tr r="H59" s="10"/>
      </tp>
      <tp t="e">
        <v>#N/A</v>
        <stp/>
        <stp>BDH|11071146787817112320</stp>
        <tr r="I38" s="4"/>
        <tr r="I60" s="11"/>
        <tr r="K13" s="23"/>
      </tp>
      <tp t="e">
        <v>#N/A</v>
        <stp/>
        <stp>BDH|14051907224020584312</stp>
        <tr r="D83" s="17"/>
      </tp>
      <tp t="e">
        <v>#N/A</v>
        <stp/>
        <stp>BDH|16484706160048553315</stp>
        <tr r="M15" s="21"/>
      </tp>
      <tp t="e">
        <v>#N/A</v>
        <stp/>
        <stp>BDH|14688398913912538897</stp>
        <tr r="U11" s="29"/>
      </tp>
      <tp t="e">
        <v>#N/A</v>
        <stp/>
        <stp>BDH|16687525376500573872</stp>
        <tr r="S49" s="17"/>
        <tr r="S17" s="3"/>
      </tp>
      <tp t="e">
        <v>#N/A</v>
        <stp/>
        <stp>BDH|12364818354033422021</stp>
        <tr r="F17" s="12"/>
      </tp>
      <tp t="e">
        <v>#N/A</v>
        <stp/>
        <stp>BDH|14509041956219575428</stp>
        <tr r="F8" s="6"/>
      </tp>
      <tp t="e">
        <v>#N/A</v>
        <stp/>
        <stp>BDH|17221037628888881116</stp>
        <tr r="Z30" s="24"/>
      </tp>
      <tp t="e">
        <v>#N/A</v>
        <stp/>
        <stp>BDH|13689644896780613029</stp>
        <tr r="U23" s="10"/>
      </tp>
      <tp t="e">
        <v>#N/A</v>
        <stp/>
        <stp>BDH|11420955692539364407</stp>
        <tr r="E119" s="18"/>
      </tp>
      <tp t="e">
        <v>#N/A</v>
        <stp/>
        <stp>BDH|17496979222214299439</stp>
        <tr r="M11" s="12"/>
      </tp>
      <tp t="e">
        <v>#N/A</v>
        <stp/>
        <stp>BDH|13693885014080981636</stp>
        <tr r="Z18" s="26"/>
      </tp>
      <tp t="e">
        <v>#N/A</v>
        <stp/>
        <stp>BDH|16972823170322921727</stp>
        <tr r="R64" s="17"/>
        <tr r="R18" s="3"/>
      </tp>
      <tp t="e">
        <v>#N/A</v>
        <stp/>
        <stp>BDH|10466613285611176316</stp>
        <tr r="U13" s="17"/>
        <tr r="U16" s="28"/>
      </tp>
      <tp t="e">
        <v>#N/A</v>
        <stp/>
        <stp>BDH|17862906659505217236</stp>
        <tr r="D34" s="21"/>
      </tp>
      <tp t="e">
        <v>#N/A</v>
        <stp/>
        <stp>BDH|17953430043339129285</stp>
        <tr r="Y68" s="17"/>
      </tp>
      <tp t="e">
        <v>#N/A</v>
        <stp/>
        <stp>BDH|12469032843588273267</stp>
        <tr r="Q33" s="21"/>
      </tp>
      <tp t="e">
        <v>#N/A</v>
        <stp/>
        <stp>BDH|15962358118148673329</stp>
        <tr r="H20" s="6"/>
      </tp>
      <tp t="e">
        <v>#N/A</v>
        <stp/>
        <stp>BDH|11677832290459536503</stp>
        <tr r="T36" s="22"/>
      </tp>
      <tp t="e">
        <v>#N/A</v>
        <stp/>
        <stp>BDH|11580609825291048807</stp>
        <tr r="E24" s="21"/>
      </tp>
      <tp t="e">
        <v>#N/A</v>
        <stp/>
        <stp>BDH|17168162910123724807</stp>
        <tr r="X87" s="18"/>
        <tr r="X7" s="20"/>
      </tp>
      <tp t="e">
        <v>#N/A</v>
        <stp/>
        <stp>BDH|10032636945787473925</stp>
        <tr r="J16" s="17"/>
        <tr r="J19" s="28"/>
      </tp>
      <tp t="e">
        <v>#N/A</v>
        <stp/>
        <stp>BDH|16855202989705473550</stp>
        <tr r="L14" s="11"/>
      </tp>
      <tp t="e">
        <v>#N/A</v>
        <stp/>
        <stp>BDH|10325327184554000357</stp>
        <tr r="U31" s="12"/>
      </tp>
      <tp t="e">
        <v>#N/A</v>
        <stp/>
        <stp>BDH|11546371622539433545</stp>
        <tr r="H46" s="17"/>
      </tp>
      <tp t="e">
        <v>#N/A</v>
        <stp/>
        <stp>BDH|17119807948403032497</stp>
        <tr r="P91" s="17"/>
      </tp>
      <tp t="e">
        <v>#N/A</v>
        <stp/>
        <stp>BDH|13759011506029569657</stp>
        <tr r="N61" s="24"/>
      </tp>
      <tp t="e">
        <v>#N/A</v>
        <stp/>
        <stp>BDH|15265184178959291607</stp>
        <tr r="M9" s="3"/>
        <tr r="K47" s="10"/>
        <tr r="K45" s="11"/>
        <tr r="K14" s="7"/>
      </tp>
      <tp t="e">
        <v>#N/A</v>
        <stp/>
        <stp>BDH|13430886875010960007</stp>
        <tr r="Y15" s="22"/>
      </tp>
      <tp t="e">
        <v>#N/A</v>
        <stp/>
        <stp>BDH|12686378650191951980</stp>
        <tr r="D85" s="17"/>
      </tp>
      <tp t="e">
        <v>#N/A</v>
        <stp/>
        <stp>BDH|18162615473211661453</stp>
        <tr r="O58" s="11"/>
      </tp>
      <tp t="e">
        <v>#N/A</v>
        <stp/>
        <stp>BDH|14452895815049231899</stp>
        <tr r="J83" s="17"/>
      </tp>
      <tp t="e">
        <v>#N/A</v>
        <stp/>
        <stp>BDH|17062831779294176088</stp>
        <tr r="T124" s="18"/>
      </tp>
      <tp t="e">
        <v>#N/A</v>
        <stp/>
        <stp>BDH|15571811034573011138</stp>
        <tr r="K56" s="24"/>
      </tp>
      <tp t="e">
        <v>#N/A</v>
        <stp/>
        <stp>BDH|17135988289138113222</stp>
        <tr r="X54" s="21"/>
      </tp>
      <tp t="e">
        <v>#N/A</v>
        <stp/>
        <stp>BDH|10475342511836520876</stp>
        <tr r="Z80" s="17"/>
      </tp>
      <tp t="e">
        <v>#N/A</v>
        <stp/>
        <stp>BDH|16402340671538392613</stp>
        <tr r="Q28" s="25"/>
      </tp>
      <tp t="e">
        <v>#N/A</v>
        <stp/>
        <stp>BDH|15184605584072304552</stp>
        <tr r="S46" s="21"/>
      </tp>
      <tp t="e">
        <v>#N/A</v>
        <stp/>
        <stp>BDH|13423917988746890866</stp>
        <tr r="O12" s="7"/>
      </tp>
      <tp t="e">
        <v>#N/A</v>
        <stp/>
        <stp>BDH|17042408942479429257</stp>
        <tr r="H61" s="17"/>
      </tp>
      <tp t="e">
        <v>#N/A</v>
        <stp/>
        <stp>BDH|15915889581458045135</stp>
        <tr r="Y65" s="18"/>
      </tp>
      <tp t="e">
        <v>#N/A</v>
        <stp/>
        <stp>BDH|15442630927059038434</stp>
        <tr r="G71" s="17"/>
      </tp>
      <tp t="e">
        <v>#N/A</v>
        <stp/>
        <stp>BDH|10265901053450631043</stp>
        <tr r="V29" s="9"/>
      </tp>
      <tp t="e">
        <v>#N/A</v>
        <stp/>
        <stp>BDH|14302978003892206362</stp>
        <tr r="K32" s="10"/>
        <tr r="K44" s="10"/>
        <tr r="K30" s="11"/>
        <tr r="K42" s="11"/>
      </tp>
      <tp t="e">
        <v>#N/A</v>
        <stp/>
        <stp>BDH|11921807418044605047</stp>
        <tr r="I29" s="12"/>
      </tp>
      <tp t="e">
        <v>#N/A</v>
        <stp/>
        <stp>BDH|12882880289998239680</stp>
        <tr r="V31" s="21"/>
      </tp>
      <tp t="e">
        <v>#N/A</v>
        <stp/>
        <stp>BDH|15417438181642742729</stp>
        <tr r="K15" s="20"/>
      </tp>
      <tp t="e">
        <v>#N/A</v>
        <stp/>
        <stp>BDH|10659782794102808017</stp>
        <tr r="I7" s="28"/>
      </tp>
      <tp t="e">
        <v>#N/A</v>
        <stp/>
        <stp>BDH|12722464172229907495</stp>
        <tr r="J50" s="18"/>
      </tp>
      <tp t="e">
        <v>#N/A</v>
        <stp/>
        <stp>BDH|12488748476527327967</stp>
        <tr r="I16" s="14"/>
      </tp>
      <tp t="e">
        <v>#N/A</v>
        <stp/>
        <stp>BDH|11988598197099188858</stp>
        <tr r="O28" s="6"/>
      </tp>
      <tp t="e">
        <v>#N/A</v>
        <stp/>
        <stp>BDH|14132726840759004202</stp>
        <tr r="R34" s="21"/>
      </tp>
      <tp t="e">
        <v>#N/A</v>
        <stp/>
        <stp>BDH|17108544830245134870</stp>
        <tr r="F63" s="21"/>
        <tr r="D23" s="7"/>
      </tp>
      <tp t="e">
        <v>#N/A</v>
        <stp/>
        <stp>BDH|10351117096775655115</stp>
        <tr r="M11" s="21"/>
      </tp>
      <tp t="e">
        <v>#N/A</v>
        <stp/>
        <stp>BDH|13058380683226873204</stp>
        <tr r="K18" s="6"/>
      </tp>
      <tp t="e">
        <v>#N/A</v>
        <stp/>
        <stp>BDH|17203248595971348131</stp>
        <tr r="R52" s="12"/>
      </tp>
      <tp t="e">
        <v>#N/A</v>
        <stp/>
        <stp>BDH|15245615468431874806</stp>
        <tr r="AA94" s="18"/>
      </tp>
      <tp t="e">
        <v>#N/A</v>
        <stp/>
        <stp>BDH|13417927434057516243</stp>
        <tr r="P61" s="18"/>
      </tp>
      <tp t="e">
        <v>#N/A</v>
        <stp/>
        <stp>BDH|11189662141666600927</stp>
        <tr r="AA16" s="26"/>
      </tp>
      <tp t="e">
        <v>#N/A</v>
        <stp/>
        <stp>BDH|13766888233670919472</stp>
        <tr r="Y49" s="24"/>
      </tp>
      <tp t="e">
        <v>#N/A</v>
        <stp/>
        <stp>BDH|12394027135805252848</stp>
        <tr r="X15" s="5"/>
      </tp>
      <tp t="e">
        <v>#N/A</v>
        <stp/>
        <stp>BDH|10090456863439047745</stp>
        <tr r="W43" s="10"/>
        <tr r="W41" s="11"/>
      </tp>
      <tp t="e">
        <v>#N/A</v>
        <stp/>
        <stp>BDH|15955899903973974288</stp>
        <tr r="S41" s="17"/>
      </tp>
      <tp t="e">
        <v>#N/A</v>
        <stp/>
        <stp>BDH|10835297114309687615</stp>
        <tr r="U7" s="21"/>
      </tp>
      <tp t="e">
        <v>#N/A</v>
        <stp/>
        <stp>BDH|18234268737722222737</stp>
        <tr r="E35" s="6"/>
        <tr r="G10" s="8"/>
      </tp>
      <tp t="e">
        <v>#N/A</v>
        <stp/>
        <stp>BDH|15746600217836134837</stp>
        <tr r="R21" s="3"/>
      </tp>
      <tp t="e">
        <v>#N/A</v>
        <stp/>
        <stp>BDH|11108907571954552775</stp>
        <tr r="U11" s="9"/>
      </tp>
      <tp t="e">
        <v>#N/A</v>
        <stp/>
        <stp>BDH|11492152080424624050</stp>
        <tr r="Y28" s="4"/>
      </tp>
      <tp t="e">
        <v>#N/A</v>
        <stp/>
        <stp>BDH|16940987106010196347</stp>
        <tr r="K15" s="24"/>
      </tp>
      <tp t="e">
        <v>#N/A</v>
        <stp/>
        <stp>BDH|16425412893274776339</stp>
        <tr r="AA16" s="17"/>
        <tr r="AA19" s="28"/>
      </tp>
      <tp t="e">
        <v>#N/A</v>
        <stp/>
        <stp>BDH|15809033988736286730</stp>
        <tr r="W59" s="17"/>
      </tp>
      <tp t="e">
        <v>#N/A</v>
        <stp/>
        <stp>BDH|15670673754323423939</stp>
        <tr r="V52" s="24"/>
      </tp>
      <tp t="e">
        <v>#N/A</v>
        <stp/>
        <stp>BDH|13591587012978554381</stp>
        <tr r="L89" s="18"/>
        <tr r="L9" s="20"/>
      </tp>
      <tp t="e">
        <v>#N/A</v>
        <stp/>
        <stp>BDH|13631681984015830403</stp>
        <tr r="L7" s="23"/>
      </tp>
      <tp t="e">
        <v>#N/A</v>
        <stp/>
        <stp>BDH|16996196885653123069</stp>
        <tr r="X76" s="18"/>
      </tp>
      <tp t="e">
        <v>#N/A</v>
        <stp/>
        <stp>BDH|16497832861596241268</stp>
        <tr r="T56" s="18"/>
      </tp>
      <tp t="e">
        <v>#N/A</v>
        <stp/>
        <stp>BDH|17993923549446088007</stp>
        <tr r="I68" s="17"/>
      </tp>
      <tp t="e">
        <v>#N/A</v>
        <stp/>
        <stp>BDH|11750513025389071312</stp>
        <tr r="Q17" s="14"/>
      </tp>
      <tp t="e">
        <v>#N/A</v>
        <stp/>
        <stp>BDH|10741463488039215996</stp>
        <tr r="J58" s="17"/>
      </tp>
      <tp t="e">
        <v>#N/A</v>
        <stp/>
        <stp>BDH|17393334380678346819</stp>
        <tr r="H20" s="30"/>
      </tp>
      <tp t="e">
        <v>#N/A</v>
        <stp/>
        <stp>BDH|16440227495640111101</stp>
        <tr r="X29" s="10"/>
        <tr r="X27" s="11"/>
      </tp>
      <tp t="e">
        <v>#N/A</v>
        <stp/>
        <stp>BDH|17928826478794432054</stp>
        <tr r="H62" s="18"/>
      </tp>
      <tp t="e">
        <v>#N/A</v>
        <stp/>
        <stp>BDH|11323248912459172712</stp>
        <tr r="N31" s="24"/>
      </tp>
      <tp t="e">
        <v>#N/A</v>
        <stp/>
        <stp>BDH|12095066676599534002</stp>
        <tr r="R37" s="21"/>
        <tr r="R24" s="3"/>
      </tp>
      <tp t="e">
        <v>#N/A</v>
        <stp/>
        <stp>BDH|12667536981850405353</stp>
        <tr r="X85" s="18"/>
      </tp>
      <tp t="e">
        <v>#N/A</v>
        <stp/>
        <stp>BDH|10450842240973720327</stp>
        <tr r="L23" s="24"/>
      </tp>
      <tp t="e">
        <v>#N/A</v>
        <stp/>
        <stp>BDH|18104133035035710359</stp>
        <tr r="C17" s="10"/>
      </tp>
      <tp t="e">
        <v>#N/A</v>
        <stp/>
        <stp>BDH|13804529508202769807</stp>
        <tr r="M16" s="10"/>
      </tp>
      <tp t="e">
        <v>#N/A</v>
        <stp/>
        <stp>BDH|14444181090136089695</stp>
        <tr r="U67" s="18"/>
      </tp>
      <tp t="e">
        <v>#N/A</v>
        <stp/>
        <stp>BDH|18198690811693431085</stp>
        <tr r="P34" s="6"/>
        <tr r="R9" s="8"/>
      </tp>
      <tp t="e">
        <v>#N/A</v>
        <stp/>
        <stp>BDH|18398094854461261096</stp>
        <tr r="C46" s="12"/>
      </tp>
      <tp t="e">
        <v>#N/A</v>
        <stp/>
        <stp>BDH|14674618590056349113</stp>
        <tr r="S29" s="18"/>
      </tp>
      <tp t="e">
        <v>#N/A</v>
        <stp/>
        <stp>BDH|17665239683385333407</stp>
        <tr r="I33" s="6"/>
        <tr r="K6" s="8"/>
      </tp>
      <tp t="e">
        <v>#N/A</v>
        <stp/>
        <stp>BDH|10718503998839827920</stp>
        <tr r="I39" s="17"/>
      </tp>
      <tp t="e">
        <v>#N/A</v>
        <stp/>
        <stp>BDH|12770787392216134699</stp>
        <tr r="I8" s="21"/>
      </tp>
      <tp t="e">
        <v>#N/A</v>
        <stp/>
        <stp>BDH|18187792638851287172</stp>
        <tr r="AA15" s="22"/>
      </tp>
      <tp t="e">
        <v>#N/A</v>
        <stp/>
        <stp>BDH|18269663687809164374</stp>
        <tr r="I12" s="24"/>
      </tp>
      <tp t="e">
        <v>#N/A</v>
        <stp/>
        <stp>BDH|15912254024749542088</stp>
        <tr r="W15" s="22"/>
      </tp>
      <tp t="e">
        <v>#N/A</v>
        <stp/>
        <stp>BDH|17336260489602885310</stp>
        <tr r="L24" s="25"/>
        <tr r="J14" s="5"/>
        <tr r="L17" s="27"/>
      </tp>
      <tp t="e">
        <v>#N/A</v>
        <stp/>
        <stp>BDH|10665202468298321088</stp>
        <tr r="E7" s="34"/>
      </tp>
      <tp t="e">
        <v>#N/A</v>
        <stp/>
        <stp>BDH|13481812295058302666</stp>
        <tr r="Q17" s="20"/>
      </tp>
      <tp t="e">
        <v>#N/A</v>
        <stp/>
        <stp>BDH|10609543382350612132</stp>
        <tr r="D24" s="12"/>
      </tp>
      <tp t="e">
        <v>#N/A</v>
        <stp/>
        <stp>BDH|12433892061464042492</stp>
        <tr r="Q98" s="18"/>
      </tp>
      <tp t="e">
        <v>#N/A</v>
        <stp/>
        <stp>BDH|12570369127427680873</stp>
        <tr r="J34" s="34"/>
      </tp>
      <tp t="e">
        <v>#N/A</v>
        <stp/>
        <stp>BDH|12489268880284445031</stp>
        <tr r="J39" s="18"/>
      </tp>
      <tp t="e">
        <v>#N/A</v>
        <stp/>
        <stp>BDH|16481214500998272025</stp>
        <tr r="P11" s="18"/>
      </tp>
      <tp t="e">
        <v>#N/A</v>
        <stp/>
        <stp>BDH|15942687285700703763</stp>
        <tr r="S24" s="24"/>
      </tp>
      <tp t="e">
        <v>#N/A</v>
        <stp/>
        <stp>BDH|12116511955148808687</stp>
        <tr r="V38" s="22"/>
      </tp>
      <tp t="e">
        <v>#N/A</v>
        <stp/>
        <stp>BDH|12000824605480017624</stp>
        <tr r="K11" s="7"/>
      </tp>
      <tp t="e">
        <v>#N/A</v>
        <stp/>
        <stp>BDH|16590899437474712590</stp>
        <tr r="F107" s="18"/>
      </tp>
      <tp t="e">
        <v>#N/A</v>
        <stp/>
        <stp>BDH|16509052255906380937</stp>
        <tr r="U23" s="26"/>
      </tp>
      <tp t="e">
        <v>#N/A</v>
        <stp/>
        <stp>BDH|16130068995790366350</stp>
        <tr r="W16" s="12"/>
      </tp>
      <tp t="e">
        <v>#N/A</v>
        <stp/>
        <stp>BDH|11432616982025385605</stp>
        <tr r="AA20" s="17"/>
      </tp>
      <tp t="e">
        <v>#N/A</v>
        <stp/>
        <stp>BDH|16358931028898539991</stp>
        <tr r="R12" s="3"/>
        <tr r="P51" s="10"/>
        <tr r="P49" s="11"/>
        <tr r="P7" s="7"/>
      </tp>
      <tp t="e">
        <v>#N/A</v>
        <stp/>
        <stp>BDH|16014898498683303861</stp>
        <tr r="R67" s="12"/>
      </tp>
      <tp t="e">
        <v>#N/A</v>
        <stp/>
        <stp>BDH|16042368227768472312</stp>
        <tr r="U13" s="18"/>
      </tp>
      <tp t="e">
        <v>#N/A</v>
        <stp/>
        <stp>BDH|15613554239479974678</stp>
        <tr r="AA26" s="24"/>
      </tp>
      <tp t="e">
        <v>#N/A</v>
        <stp/>
        <stp>BDH|17211776175938126350</stp>
        <tr r="K57" s="18"/>
      </tp>
      <tp t="e">
        <v>#N/A</v>
        <stp/>
        <stp>BDH|12266871153807582474</stp>
        <tr r="E51" s="17"/>
      </tp>
      <tp t="e">
        <v>#N/A</v>
        <stp/>
        <stp>BDH|16024667953059579041</stp>
        <tr r="C39" s="10"/>
        <tr r="C37" s="11"/>
      </tp>
      <tp t="e">
        <v>#N/A</v>
        <stp/>
        <stp>BDH|11816557484121439196</stp>
        <tr r="G116" s="18"/>
      </tp>
      <tp t="e">
        <v>#N/A</v>
        <stp/>
        <stp>BDH|18013145633632095439</stp>
        <tr r="C15" s="6"/>
      </tp>
      <tp t="e">
        <v>#N/A</v>
        <stp/>
        <stp>BDH|13538825547711765237</stp>
        <tr r="K14" s="21"/>
      </tp>
      <tp t="e">
        <v>#N/A</v>
        <stp/>
        <stp>BDH|16151765200424422976</stp>
        <tr r="AA61" s="17"/>
      </tp>
      <tp t="e">
        <v>#N/A</v>
        <stp/>
        <stp>BDH|15131741491234654365</stp>
        <tr r="M11" s="13"/>
      </tp>
      <tp t="e">
        <v>#N/A</v>
        <stp/>
        <stp>BDH|18273655306461374361</stp>
        <tr r="G12" s="21"/>
      </tp>
      <tp t="e">
        <v>#N/A</v>
        <stp/>
        <stp>BDH|11310969040884124405</stp>
        <tr r="J20" s="5"/>
        <tr r="J21" s="9"/>
      </tp>
      <tp t="e">
        <v>#N/A</v>
        <stp/>
        <stp>BDH|14155337973278600437</stp>
        <tr r="J92" s="18"/>
      </tp>
      <tp t="e">
        <v>#N/A</v>
        <stp/>
        <stp>BDH|16306088389790289240</stp>
        <tr r="F59" s="10"/>
      </tp>
      <tp t="e">
        <v>#N/A</v>
        <stp/>
        <stp>BDH|12737663187228271803</stp>
        <tr r="W13" s="17"/>
        <tr r="W16" s="28"/>
      </tp>
      <tp t="e">
        <v>#N/A</v>
        <stp/>
        <stp>BDH|15641553775743576871</stp>
        <tr r="N69" s="24"/>
      </tp>
      <tp t="e">
        <v>#N/A</v>
        <stp/>
        <stp>BDH|11697809908242804727</stp>
        <tr r="F34" s="10"/>
        <tr r="F32" s="11"/>
        <tr r="H32" s="13"/>
      </tp>
      <tp t="e">
        <v>#N/A</v>
        <stp/>
        <stp>BDH|13492040438419489580</stp>
        <tr r="X60" s="17"/>
      </tp>
      <tp t="e">
        <v>#N/A</v>
        <stp/>
        <stp>BDH|12100829476272689376</stp>
        <tr r="V31" s="17"/>
      </tp>
      <tp t="e">
        <v>#N/A</v>
        <stp/>
        <stp>BDH|18443860660262230840</stp>
        <tr r="O87" s="17"/>
        <tr r="O27" s="25"/>
      </tp>
      <tp t="e">
        <v>#N/A</v>
        <stp/>
        <stp>BDH|13568644993957764719</stp>
        <tr r="G16" s="17"/>
        <tr r="G19" s="28"/>
      </tp>
      <tp t="e">
        <v>#N/A</v>
        <stp/>
        <stp>BDH|15525490040798260199</stp>
        <tr r="K77" s="18"/>
      </tp>
      <tp t="e">
        <v>#N/A</v>
        <stp/>
        <stp>BDH|16703920411401074339</stp>
        <tr r="Z18" s="13"/>
      </tp>
      <tp t="e">
        <v>#N/A</v>
        <stp/>
        <stp>BDH|14033951213622084215</stp>
        <tr r="S12" s="14"/>
      </tp>
      <tp t="e">
        <v>#N/A</v>
        <stp/>
        <stp>BDH|17049514072960143955</stp>
        <tr r="M17" s="11"/>
      </tp>
      <tp t="e">
        <v>#N/A</v>
        <stp/>
        <stp>BDH|13804751848995018927</stp>
        <tr r="K19" s="14"/>
      </tp>
      <tp t="e">
        <v>#N/A</v>
        <stp/>
        <stp>BDH|18350307607495334208</stp>
        <tr r="O66" s="17"/>
      </tp>
      <tp t="e">
        <v>#N/A</v>
        <stp/>
        <stp>BDH|15925554792475912000</stp>
        <tr r="G35" s="21"/>
      </tp>
      <tp t="e">
        <v>#N/A</v>
        <stp/>
        <stp>BDH|17473813724696622702</stp>
        <tr r="C25" s="12"/>
      </tp>
      <tp t="e">
        <v>#N/A</v>
        <stp/>
        <stp>BDH|13602104801358546652</stp>
        <tr r="M37" s="21"/>
        <tr r="M24" s="3"/>
      </tp>
      <tp t="e">
        <v>#N/A</v>
        <stp/>
        <stp>BDH|12056274900045110911</stp>
        <tr r="V7" s="21"/>
      </tp>
      <tp t="e">
        <v>#N/A</v>
        <stp/>
        <stp>BDH|12514304480727225201</stp>
        <tr r="F22" s="27"/>
      </tp>
      <tp t="e">
        <v>#N/A</v>
        <stp/>
        <stp>BDH|10768242795352376520</stp>
        <tr r="E61" s="24"/>
      </tp>
      <tp t="e">
        <v>#N/A</v>
        <stp/>
        <stp>BDH|11474230706987377859</stp>
        <tr r="AA15" s="20"/>
      </tp>
      <tp t="e">
        <v>#N/A</v>
        <stp/>
        <stp>BDH|16282914951827331167</stp>
        <tr r="S86" s="18"/>
        <tr r="S6" s="20"/>
      </tp>
      <tp t="e">
        <v>#N/A</v>
        <stp/>
        <stp>BDH|13059915500215412324</stp>
        <tr r="N121" s="18"/>
      </tp>
      <tp t="e">
        <v>#N/A</v>
        <stp/>
        <stp>BDH|16749465722145725935</stp>
        <tr r="G27" s="6"/>
      </tp>
      <tp t="e">
        <v>#N/A</v>
        <stp/>
        <stp>BDH|16185952041897329016</stp>
        <tr r="R57" s="17"/>
      </tp>
      <tp t="e">
        <v>#N/A</v>
        <stp/>
        <stp>BDH|12520362873068709206</stp>
        <tr r="P96" s="18"/>
      </tp>
      <tp t="e">
        <v>#N/A</v>
        <stp/>
        <stp>BDH|12525681598771736051</stp>
        <tr r="T15" s="18"/>
      </tp>
      <tp t="e">
        <v>#N/A</v>
        <stp/>
        <stp>BDH|13452052801147700803</stp>
        <tr r="C10" s="17"/>
      </tp>
      <tp t="e">
        <v>#N/A</v>
        <stp/>
        <stp>BDH|11519546034409152233</stp>
        <tr r="G18" s="12"/>
      </tp>
      <tp t="e">
        <v>#N/A</v>
        <stp/>
        <stp>BDH|16484224330912980988</stp>
        <tr r="V35" s="6"/>
        <tr r="X10" s="8"/>
      </tp>
      <tp t="e">
        <v>#N/A</v>
        <stp/>
        <stp>BDH|14191564037677616901</stp>
        <tr r="W64" s="12"/>
      </tp>
      <tp t="e">
        <v>#N/A</v>
        <stp/>
        <stp>BDH|15541591435418804778</stp>
        <tr r="Z10" s="13"/>
      </tp>
      <tp t="e">
        <v>#N/A</v>
        <stp/>
        <stp>BDH|12201742984457168658</stp>
        <tr r="V15" s="6"/>
      </tp>
      <tp t="e">
        <v>#N/A</v>
        <stp/>
        <stp>BDH|14860649629538376405</stp>
        <tr r="J41" s="34"/>
      </tp>
      <tp t="e">
        <v>#N/A</v>
        <stp/>
        <stp>BDH|14364980028676391566</stp>
        <tr r="N22" s="12"/>
      </tp>
      <tp t="e">
        <v>#N/A</v>
        <stp/>
        <stp>BDH|17792523355103746811</stp>
        <tr r="W57" s="24"/>
      </tp>
      <tp t="e">
        <v>#N/A</v>
        <stp/>
        <stp>BDH|17499826901655344623</stp>
        <tr r="Q31" s="10"/>
        <tr r="Q29" s="11"/>
      </tp>
      <tp t="e">
        <v>#N/A</v>
        <stp/>
        <stp>BDH|10931539814098104097</stp>
        <tr r="R123" s="18"/>
      </tp>
      <tp t="e">
        <v>#N/A</v>
        <stp/>
        <stp>BDH|17777802947100488721</stp>
        <tr r="J39" s="22"/>
      </tp>
      <tp t="e">
        <v>#N/A</v>
        <stp/>
        <stp>BDH|15528925474467486017</stp>
        <tr r="V57" s="12"/>
      </tp>
      <tp t="e">
        <v>#N/A</v>
        <stp/>
        <stp>BDH|16407648611565529823</stp>
        <tr r="O44" s="34"/>
      </tp>
      <tp t="e">
        <v>#N/A</v>
        <stp/>
        <stp>BDH|13216575393845053605</stp>
        <tr r="Z10" s="17"/>
      </tp>
      <tp t="e">
        <v>#N/A</v>
        <stp/>
        <stp>BDH|18241100032361708714</stp>
        <tr r="Z21" s="26"/>
      </tp>
      <tp t="e">
        <v>#N/A</v>
        <stp/>
        <stp>BDH|17471135895754514717</stp>
        <tr r="V9" s="24"/>
      </tp>
      <tp t="e">
        <v>#N/A</v>
        <stp/>
        <stp>BDH|12037423425020366825</stp>
        <tr r="T22" s="9"/>
      </tp>
      <tp t="e">
        <v>#N/A</v>
        <stp/>
        <stp>BDH|15696163533992268977</stp>
        <tr r="U24" s="26"/>
        <tr r="S14" s="9"/>
      </tp>
      <tp t="e">
        <v>#N/A</v>
        <stp/>
        <stp>BDH|16482871271882626722</stp>
        <tr r="P57" s="17"/>
      </tp>
      <tp t="e">
        <v>#N/A</v>
        <stp/>
        <stp>BDH|12819963908275682269</stp>
        <tr r="G13" s="5"/>
      </tp>
      <tp t="e">
        <v>#N/A</v>
        <stp/>
        <stp>BDH|10154054223346700863</stp>
        <tr r="R50" s="12"/>
      </tp>
      <tp t="e">
        <v>#N/A</v>
        <stp/>
        <stp>BDH|17357473832625342934</stp>
        <tr r="Q71" s="18"/>
      </tp>
      <tp t="e">
        <v>#N/A</v>
        <stp/>
        <stp>BDH|14213269245167306949</stp>
        <tr r="Y22" s="9"/>
      </tp>
      <tp t="e">
        <v>#N/A</v>
        <stp/>
        <stp>BDH|12177961282896099930</stp>
        <tr r="N25" s="24"/>
      </tp>
      <tp t="e">
        <v>#N/A</v>
        <stp/>
        <stp>BDH|18203652303731015323</stp>
        <tr r="W17" s="28"/>
        <tr r="W14" s="17"/>
      </tp>
      <tp t="e">
        <v>#N/A</v>
        <stp/>
        <stp>BDH|11305845400225511041</stp>
        <tr r="F7" s="2"/>
        <tr r="F7" s="5"/>
        <tr r="F7" s="9"/>
        <tr r="H14" s="3"/>
      </tp>
      <tp t="e">
        <v>#N/A</v>
        <stp/>
        <stp>BDH|11306394113448843772</stp>
        <tr r="M46" s="24"/>
      </tp>
      <tp t="e">
        <v>#N/A</v>
        <stp/>
        <stp>BDH|12374224246738935083</stp>
        <tr r="N15" s="4"/>
      </tp>
      <tp t="e">
        <v>#N/A</v>
        <stp/>
        <stp>BDH|13097849900081076623</stp>
        <tr r="F7" s="28"/>
      </tp>
      <tp t="e">
        <v>#N/A</v>
        <stp/>
        <stp>BDH|16385860252421771690</stp>
        <tr r="P59" s="12"/>
      </tp>
      <tp t="e">
        <v>#N/A</v>
        <stp/>
        <stp>BDH|16960649009144474893</stp>
        <tr r="J10" s="13"/>
      </tp>
      <tp t="e">
        <v>#N/A</v>
        <stp/>
        <stp>BDH|10864236360800469861</stp>
        <tr r="P47" s="17"/>
      </tp>
      <tp t="e">
        <v>#N/A</v>
        <stp/>
        <stp>BDH|12422768064087874872</stp>
        <tr r="Q119" s="18"/>
      </tp>
      <tp t="e">
        <v>#N/A</v>
        <stp/>
        <stp>BDH|12624573236889706197</stp>
        <tr r="D29" s="18"/>
      </tp>
      <tp t="e">
        <v>#N/A</v>
        <stp/>
        <stp>BDH|17794874018630223237</stp>
        <tr r="C9" s="26"/>
      </tp>
      <tp t="e">
        <v>#N/A</v>
        <stp/>
        <stp>BDH|14840553361199630238</stp>
        <tr r="X68" s="18"/>
      </tp>
      <tp t="e">
        <v>#N/A</v>
        <stp/>
        <stp>BDH|17411266539978473264</stp>
        <tr r="K28" s="6"/>
      </tp>
      <tp t="e">
        <v>#N/A</v>
        <stp/>
        <stp>BDH|17342848946701949613</stp>
        <tr r="I17" s="13"/>
      </tp>
      <tp t="e">
        <v>#N/A</v>
        <stp/>
        <stp>BDH|10484047870669885212</stp>
        <tr r="H26" s="24"/>
      </tp>
      <tp t="e">
        <v>#N/A</v>
        <stp/>
        <stp>BDH|11848720032110406956</stp>
        <tr r="C19" s="13"/>
      </tp>
      <tp t="e">
        <v>#N/A</v>
        <stp/>
        <stp>BDH|13874727822983432959</stp>
        <tr r="Y23" s="17"/>
      </tp>
      <tp t="e">
        <v>#N/A</v>
        <stp/>
        <stp>BDH|12921902754995237768</stp>
        <tr r="V29" s="29"/>
        <tr r="V7" s="29"/>
      </tp>
      <tp t="e">
        <v>#N/A</v>
        <stp/>
        <stp>BDH|10072512589510211133</stp>
        <tr r="I93" s="18"/>
      </tp>
      <tp t="e">
        <v>#N/A</v>
        <stp/>
        <stp>BDH|12967134702277518840</stp>
        <tr r="E7" s="4"/>
      </tp>
      <tp t="e">
        <v>#N/A</v>
        <stp/>
        <stp>BDH|10396188757408465012</stp>
        <tr r="J16" s="14"/>
      </tp>
      <tp t="e">
        <v>#N/A</v>
        <stp/>
        <stp>BDH|12036424296930483397</stp>
        <tr r="X7" s="8"/>
      </tp>
      <tp t="e">
        <v>#N/A</v>
        <stp/>
        <stp>BDH|16743480356263659865</stp>
        <tr r="H45" s="18"/>
      </tp>
      <tp t="e">
        <v>#N/A</v>
        <stp/>
        <stp>BDH|13305603182871892004</stp>
        <tr r="T41" s="21"/>
      </tp>
      <tp t="e">
        <v>#N/A</v>
        <stp/>
        <stp>BDH|12456556889501139200</stp>
        <tr r="E64" s="18"/>
      </tp>
      <tp t="e">
        <v>#N/A</v>
        <stp/>
        <stp>BDH|13489541294650489392</stp>
        <tr r="Q68" s="18"/>
      </tp>
      <tp t="e">
        <v>#N/A</v>
        <stp/>
        <stp>BDH|17034483660960146908</stp>
        <tr r="N26" s="24"/>
      </tp>
      <tp t="e">
        <v>#N/A</v>
        <stp/>
        <stp>BDH|18281489737370569310</stp>
        <tr r="O23" s="24"/>
      </tp>
      <tp t="e">
        <v>#N/A</v>
        <stp/>
        <stp>BDH|14624366479809496541</stp>
        <tr r="AA24" s="24"/>
      </tp>
      <tp t="e">
        <v>#N/A</v>
        <stp/>
        <stp>BDH|15617688535055051928</stp>
        <tr r="Z14" s="21"/>
      </tp>
      <tp t="e">
        <v>#N/A</v>
        <stp/>
        <stp>BDH|13826710399866102790</stp>
        <tr r="V42" s="17"/>
      </tp>
      <tp t="e">
        <v>#N/A</v>
        <stp/>
        <stp>BDH|10697103599343756706</stp>
        <tr r="D7" s="21"/>
      </tp>
      <tp t="e">
        <v>#N/A</v>
        <stp/>
        <stp>BDH|15354269398095273773</stp>
        <tr r="T50" s="18"/>
      </tp>
      <tp t="e">
        <v>#N/A</v>
        <stp/>
        <stp>BDH|17107421583542181593</stp>
        <tr r="Y112" s="18"/>
      </tp>
      <tp t="e">
        <v>#N/A</v>
        <stp/>
        <stp>BDH|14981941155333922797</stp>
        <tr r="E14" s="23"/>
      </tp>
      <tp t="e">
        <v>#N/A</v>
        <stp/>
        <stp>BDH|10919738068928389596</stp>
        <tr r="S18" s="17"/>
      </tp>
      <tp t="e">
        <v>#N/A</v>
        <stp/>
        <stp>BDH|15010578565869954338</stp>
        <tr r="X6" s="2"/>
        <tr r="X6" s="5"/>
        <tr r="X6" s="9"/>
        <tr r="Y12" s="8"/>
        <tr r="Z10" s="29"/>
        <tr r="Z19" s="29"/>
        <tr r="Z25" s="29"/>
      </tp>
      <tp t="e">
        <v>#N/A</v>
        <stp/>
        <stp>BDH|15696642582747068089</stp>
        <tr r="E10" s="22"/>
      </tp>
      <tp t="e">
        <v>#N/A</v>
        <stp/>
        <stp>BDH|11188078853310811851</stp>
        <tr r="Y12" s="13"/>
      </tp>
      <tp t="e">
        <v>#N/A</v>
        <stp/>
        <stp>BDH|13914165787764795279</stp>
        <tr r="N58" s="11"/>
      </tp>
      <tp t="e">
        <v>#N/A</v>
        <stp/>
        <stp>BDH|11872626000009121230</stp>
        <tr r="Z14" s="12"/>
      </tp>
      <tp t="e">
        <v>#N/A</v>
        <stp/>
        <stp>BDH|13517085088336863153</stp>
        <tr r="J117" s="18"/>
      </tp>
      <tp t="e">
        <v>#N/A</v>
        <stp/>
        <stp>BDH|10720919299845146965</stp>
        <tr r="Z56" s="12"/>
      </tp>
      <tp t="e">
        <v>#N/A</v>
        <stp/>
        <stp>BDH|15848852518561437191</stp>
        <tr r="U9" s="23"/>
      </tp>
      <tp t="e">
        <v>#N/A</v>
        <stp/>
        <stp>BDH|14217194644274551923</stp>
        <tr r="T7" s="21"/>
      </tp>
      <tp t="e">
        <v>#N/A</v>
        <stp/>
        <stp>BDH|11292139089645754172</stp>
        <tr r="L44" s="24"/>
      </tp>
      <tp t="e">
        <v>#N/A</v>
        <stp/>
        <stp>BDH|13173380223619622742</stp>
        <tr r="E11" s="6"/>
      </tp>
      <tp t="e">
        <v>#N/A</v>
        <stp/>
        <stp>BDH|13389982047955069740</stp>
        <tr r="N11" s="21"/>
      </tp>
      <tp t="e">
        <v>#N/A</v>
        <stp/>
        <stp>BDH|13809165040542769813</stp>
        <tr r="U34" s="21"/>
      </tp>
      <tp t="e">
        <v>#N/A</v>
        <stp/>
        <stp>BDH|17612208045718840501</stp>
        <tr r="Y46" s="12"/>
      </tp>
      <tp t="e">
        <v>#N/A</v>
        <stp/>
        <stp>BDH|16793883315031486258</stp>
        <tr r="M36" s="22"/>
      </tp>
      <tp t="e">
        <v>#N/A</v>
        <stp/>
        <stp>BDH|15948827600465377438</stp>
        <tr r="Q22" s="7"/>
      </tp>
      <tp t="e">
        <v>#N/A</v>
        <stp/>
        <stp>BDH|17007349666898884616</stp>
        <tr r="W25" s="22"/>
      </tp>
      <tp t="e">
        <v>#N/A</v>
        <stp/>
        <stp>BDH|12363719998067434753</stp>
        <tr r="X29" s="22"/>
      </tp>
      <tp t="e">
        <v>#N/A</v>
        <stp/>
        <stp>BDH|14011134318839532151</stp>
        <tr r="D129" s="18"/>
      </tp>
      <tp t="e">
        <v>#N/A</v>
        <stp/>
        <stp>BDH|15614918040351543591</stp>
        <tr r="P55" s="24"/>
      </tp>
      <tp t="e">
        <v>#N/A</v>
        <stp/>
        <stp>BDH|16318774847208185191</stp>
        <tr r="X20" s="5"/>
        <tr r="X21" s="9"/>
      </tp>
      <tp t="e">
        <v>#N/A</v>
        <stp/>
        <stp>BDH|13457825463051757098</stp>
        <tr r="U7" s="2"/>
        <tr r="U7" s="5"/>
        <tr r="U7" s="9"/>
        <tr r="W14" s="3"/>
      </tp>
      <tp t="e">
        <v>#N/A</v>
        <stp/>
        <stp>BDH|15146188781133528363</stp>
        <tr r="X8" s="28"/>
      </tp>
      <tp t="e">
        <v>#N/A</v>
        <stp/>
        <stp>BDH|13911562363608682411</stp>
        <tr r="V60" s="10"/>
      </tp>
      <tp t="e">
        <v>#N/A</v>
        <stp/>
        <stp>BDH|12187152392253833557</stp>
        <tr r="N22" s="24"/>
      </tp>
      <tp t="e">
        <v>#N/A</v>
        <stp/>
        <stp>BDH|17782640616304908879</stp>
        <tr r="R31" s="17"/>
      </tp>
      <tp t="e">
        <v>#N/A</v>
        <stp/>
        <stp>BDH|11282605377745723999</stp>
        <tr r="D14" s="8"/>
      </tp>
      <tp t="e">
        <v>#N/A</v>
        <stp/>
        <stp>BDH|10838327827108002562</stp>
        <tr r="Y18" s="30"/>
      </tp>
      <tp t="e">
        <v>#N/A</v>
        <stp/>
        <stp>BDH|10932329823929264413</stp>
        <tr r="W111" s="18"/>
      </tp>
      <tp t="e">
        <v>#N/A</v>
        <stp/>
        <stp>BDH|11037483790490131021</stp>
        <tr r="I66" s="18"/>
      </tp>
      <tp t="e">
        <v>#N/A</v>
        <stp/>
        <stp>BDH|16944443787377261134</stp>
        <tr r="Y23" s="10"/>
      </tp>
      <tp t="e">
        <v>#N/A</v>
        <stp/>
        <stp>BDH|15704031183746928750</stp>
        <tr r="D93" s="18"/>
      </tp>
      <tp t="e">
        <v>#N/A</v>
        <stp/>
        <stp>BDH|11188678073488658485</stp>
        <tr r="X59" s="18"/>
      </tp>
      <tp t="e">
        <v>#N/A</v>
        <stp/>
        <stp>BDH|17565974308444869694</stp>
        <tr r="E25" s="4"/>
        <tr r="E61" s="10"/>
      </tp>
      <tp t="e">
        <v>#N/A</v>
        <stp/>
        <stp>BDH|11581617369039483423</stp>
        <tr r="P19" s="20"/>
      </tp>
      <tp t="e">
        <v>#N/A</v>
        <stp/>
        <stp>BDH|13841841505526729149</stp>
        <tr r="Q75" s="17"/>
      </tp>
      <tp t="e">
        <v>#N/A</v>
        <stp/>
        <stp>BDH|15271474368129410238</stp>
        <tr r="C8" s="11"/>
      </tp>
      <tp t="e">
        <v>#N/A</v>
        <stp/>
        <stp>BDH|12255189090424734271</stp>
        <tr r="O22" s="10"/>
      </tp>
      <tp t="e">
        <v>#N/A</v>
        <stp/>
        <stp>BDH|12246750786537290692</stp>
        <tr r="Z21" s="22"/>
      </tp>
      <tp t="e">
        <v>#N/A</v>
        <stp/>
        <stp>BDH|10982649510982501921</stp>
        <tr r="J116" s="18"/>
      </tp>
      <tp t="e">
        <v>#N/A</v>
        <stp/>
        <stp>BDH|11234921345406876678</stp>
        <tr r="P126" s="18"/>
      </tp>
      <tp t="e">
        <v>#N/A</v>
        <stp/>
        <stp>BDH|11833265393427320148</stp>
        <tr r="D54" s="21"/>
      </tp>
      <tp t="e">
        <v>#N/A</v>
        <stp/>
        <stp>BDH|12069321624386430988</stp>
        <tr r="F106" s="18"/>
      </tp>
      <tp t="e">
        <v>#N/A</v>
        <stp/>
        <stp>BDH|11404880160372593135</stp>
        <tr r="H18" s="10"/>
      </tp>
      <tp t="e">
        <v>#N/A</v>
        <stp/>
        <stp>BDH|12619057200419081794</stp>
        <tr r="J10" s="30"/>
      </tp>
      <tp t="e">
        <v>#N/A</v>
        <stp/>
        <stp>BDH|12818921014761732739</stp>
        <tr r="X28" s="21"/>
      </tp>
      <tp t="e">
        <v>#N/A</v>
        <stp/>
        <stp>BDH|16364895832932461360</stp>
        <tr r="Z29" s="24"/>
      </tp>
      <tp t="e">
        <v>#N/A</v>
        <stp/>
        <stp>BDH|10358761309668296347</stp>
        <tr r="E15" s="5"/>
      </tp>
      <tp t="e">
        <v>#N/A</v>
        <stp/>
        <stp>BDH|18084480739076907524</stp>
        <tr r="AA17" s="20"/>
      </tp>
      <tp t="e">
        <v>#N/A</v>
        <stp/>
        <stp>BDH|11935044611745569935</stp>
        <tr r="G20" s="34"/>
      </tp>
      <tp t="e">
        <v>#N/A</v>
        <stp/>
        <stp>BDH|10716127681753812662</stp>
        <tr r="W39" s="12"/>
      </tp>
      <tp t="e">
        <v>#N/A</v>
        <stp/>
        <stp>BDH|16080008251856888931</stp>
        <tr r="T47" s="12"/>
      </tp>
      <tp t="e">
        <v>#N/A</v>
        <stp/>
        <stp>BDH|13847447389780749381</stp>
        <tr r="H108" s="18"/>
      </tp>
      <tp t="e">
        <v>#N/A</v>
        <stp/>
        <stp>BDH|11809868000376797332</stp>
        <tr r="G18" s="18"/>
      </tp>
      <tp t="e">
        <v>#N/A</v>
        <stp/>
        <stp>BDH|12927463850499464613</stp>
        <tr r="Z64" s="12"/>
      </tp>
      <tp t="e">
        <v>#N/A</v>
        <stp/>
        <stp>BDH|15371628661908905136</stp>
        <tr r="S45" s="21"/>
      </tp>
      <tp t="e">
        <v>#N/A</v>
        <stp/>
        <stp>BDH|10710500193993776398</stp>
        <tr r="R47" s="17"/>
      </tp>
      <tp t="e">
        <v>#N/A</v>
        <stp/>
        <stp>BDH|16797114039329784121</stp>
        <tr r="W21" s="3"/>
      </tp>
      <tp t="e">
        <v>#N/A</v>
        <stp/>
        <stp>BDH|12751785367129318615</stp>
        <tr r="F14" s="28"/>
      </tp>
      <tp t="e">
        <v>#N/A</v>
        <stp/>
        <stp>BDH|17767970430294900531</stp>
        <tr r="F80" s="18"/>
      </tp>
      <tp t="e">
        <v>#N/A</v>
        <stp/>
        <stp>BDH|15868224993573638150</stp>
        <tr r="E22" s="27"/>
      </tp>
      <tp t="e">
        <v>#N/A</v>
        <stp/>
        <stp>BDH|14164514699497140358</stp>
        <tr r="H14" s="12"/>
      </tp>
      <tp t="e">
        <v>#N/A</v>
        <stp/>
        <stp>BDH|18354985046208205128</stp>
        <tr r="U84" s="18"/>
      </tp>
      <tp t="e">
        <v>#N/A</v>
        <stp/>
        <stp>BDH|17696295791337220717</stp>
        <tr r="L31" s="12"/>
      </tp>
      <tp t="e">
        <v>#N/A</v>
        <stp/>
        <stp>BDH|12696793681632209314</stp>
        <tr r="Q67" s="10"/>
        <tr r="Q65" s="11"/>
      </tp>
      <tp t="e">
        <v>#N/A</v>
        <stp/>
        <stp>BDH|12434001059763134819</stp>
        <tr r="P20" s="5"/>
        <tr r="P21" s="9"/>
      </tp>
      <tp t="e">
        <v>#N/A</v>
        <stp/>
        <stp>BDH|14990965514589237944</stp>
        <tr r="E13" s="17"/>
        <tr r="E16" s="28"/>
      </tp>
      <tp t="e">
        <v>#N/A</v>
        <stp/>
        <stp>BDH|12195356120998099791</stp>
        <tr r="C11" s="22"/>
      </tp>
      <tp t="e">
        <v>#N/A</v>
        <stp/>
        <stp>BDH|17981208584875447442</stp>
        <tr r="J29" s="9"/>
      </tp>
      <tp t="e">
        <v>#N/A</v>
        <stp/>
        <stp>BDH|17220882324244288517</stp>
        <tr r="K20" s="34"/>
      </tp>
      <tp t="e">
        <v>#N/A</v>
        <stp/>
        <stp>BDH|12744547202283844848</stp>
        <tr r="M29" s="29"/>
        <tr r="M7" s="29"/>
      </tp>
      <tp t="e">
        <v>#N/A</v>
        <stp/>
        <stp>BDH|10271316453402823855</stp>
        <tr r="X109" s="18"/>
      </tp>
      <tp t="e">
        <v>#N/A</v>
        <stp/>
        <stp>BDH|16655874925484126487</stp>
        <tr r="L34" s="10"/>
        <tr r="L32" s="11"/>
        <tr r="N32" s="13"/>
      </tp>
      <tp t="e">
        <v>#N/A</v>
        <stp/>
        <stp>BDH|17590269284181925034</stp>
        <tr r="D38" s="4"/>
        <tr r="D60" s="11"/>
        <tr r="F13" s="23"/>
      </tp>
      <tp t="e">
        <v>#N/A</v>
        <stp/>
        <stp>BDH|14960013344029438550</stp>
        <tr r="AA6" s="27"/>
      </tp>
      <tp t="e">
        <v>#N/A</v>
        <stp/>
        <stp>BDH|10048645988890643278</stp>
        <tr r="O17" s="29"/>
        <tr r="O37" s="29"/>
      </tp>
      <tp t="e">
        <v>#N/A</v>
        <stp/>
        <stp>BDH|11246923670970990343</stp>
        <tr r="T12" s="30"/>
      </tp>
      <tp t="e">
        <v>#N/A</v>
        <stp/>
        <stp>BDH|14072544761412176994</stp>
        <tr r="L71" s="17"/>
      </tp>
      <tp t="e">
        <v>#N/A</v>
        <stp/>
        <stp>BDH|15336584092556104349</stp>
        <tr r="M7" s="17"/>
      </tp>
      <tp t="e">
        <v>#N/A</v>
        <stp/>
        <stp>BDH|12342031185063865519</stp>
        <tr r="F18" s="26"/>
      </tp>
      <tp t="e">
        <v>#N/A</v>
        <stp/>
        <stp>BDH|10187997285989861499</stp>
        <tr r="S15" s="29"/>
        <tr r="S35" s="29"/>
      </tp>
      <tp t="e">
        <v>#N/A</v>
        <stp/>
        <stp>BDH|12773053892503984450</stp>
        <tr r="G16" s="6"/>
      </tp>
      <tp t="e">
        <v>#N/A</v>
        <stp/>
        <stp>BDH|14040778782336807116</stp>
        <tr r="S90" s="17"/>
        <tr r="S13" s="28"/>
      </tp>
      <tp t="e">
        <v>#N/A</v>
        <stp/>
        <stp>BDH|18263711795068995236</stp>
        <tr r="K33" s="18"/>
      </tp>
      <tp t="e">
        <v>#N/A</v>
        <stp/>
        <stp>BDH|10958556655848110445</stp>
        <tr r="D13" s="9"/>
      </tp>
      <tp t="e">
        <v>#N/A</v>
        <stp/>
        <stp>BDH|17188098047768504769</stp>
        <tr r="Q15" s="18"/>
      </tp>
      <tp t="e">
        <v>#N/A</v>
        <stp/>
        <stp>BDH|12469180676929174175</stp>
        <tr r="Q18" s="23"/>
      </tp>
      <tp t="e">
        <v>#N/A</v>
        <stp/>
        <stp>BDH|14516805879726284126</stp>
        <tr r="N113" s="18"/>
      </tp>
      <tp t="e">
        <v>#N/A</v>
        <stp/>
        <stp>BDH|16717952283948430394</stp>
        <tr r="Q62" s="11"/>
        <tr r="S19" s="23"/>
      </tp>
      <tp t="e">
        <v>#N/A</v>
        <stp/>
        <stp>BDH|11619636839969169114</stp>
        <tr r="H77" s="18"/>
      </tp>
      <tp t="e">
        <v>#N/A</v>
        <stp/>
        <stp>BDH|13126682011858471003</stp>
        <tr r="P19" s="9"/>
      </tp>
      <tp t="e">
        <v>#N/A</v>
        <stp/>
        <stp>BDH|15388101594267816639</stp>
        <tr r="H31" s="25"/>
      </tp>
      <tp t="e">
        <v>#N/A</v>
        <stp/>
        <stp>BDH|12060402898473669025</stp>
        <tr r="H37" s="18"/>
      </tp>
      <tp t="e">
        <v>#N/A</v>
        <stp/>
        <stp>BDH|13686287846751333879</stp>
        <tr r="M30" s="34"/>
      </tp>
      <tp t="e">
        <v>#N/A</v>
        <stp/>
        <stp>BDH|15061347629728178001</stp>
        <tr r="E25" s="12"/>
      </tp>
      <tp t="e">
        <v>#N/A</v>
        <stp/>
        <stp>BDH|15267790324329308505</stp>
        <tr r="Q21" s="18"/>
      </tp>
      <tp t="e">
        <v>#N/A</v>
        <stp/>
        <stp>BDH|16717224913749926036</stp>
        <tr r="M19" s="20"/>
      </tp>
      <tp t="e">
        <v>#N/A</v>
        <stp/>
        <stp>BDH|17446982721631146102</stp>
        <tr r="S21" s="25"/>
        <tr r="S14" s="27"/>
      </tp>
      <tp t="e">
        <v>#N/A</v>
        <stp/>
        <stp>BDH|14095302320249592095</stp>
        <tr r="F40" s="12"/>
      </tp>
      <tp t="e">
        <v>#N/A</v>
        <stp/>
        <stp>BDH|11982003030518630638</stp>
        <tr r="K54" s="18"/>
      </tp>
      <tp t="e">
        <v>#N/A</v>
        <stp/>
        <stp>BDH|17701805420345944426</stp>
        <tr r="H54" s="21"/>
      </tp>
      <tp t="e">
        <v>#N/A</v>
        <stp/>
        <stp>BDH|12425830892436355998</stp>
        <tr r="R43" s="21"/>
      </tp>
      <tp t="e">
        <v>#N/A</v>
        <stp/>
        <stp>BDH|10605857484099846509</stp>
        <tr r="Q47" s="12"/>
      </tp>
      <tp t="e">
        <v>#N/A</v>
        <stp/>
        <stp>BDH|18311030028976628010</stp>
        <tr r="D39" s="24"/>
      </tp>
      <tp t="e">
        <v>#N/A</v>
        <stp/>
        <stp>BDH|14533596891882025625</stp>
        <tr r="C7" s="4"/>
      </tp>
      <tp t="e">
        <v>#N/A</v>
        <stp/>
        <stp>BDH|17688936299693343805</stp>
        <tr r="Y18" s="26"/>
      </tp>
      <tp t="e">
        <v>#N/A</v>
        <stp/>
        <stp>BDH|17821210383033431218</stp>
        <tr r="E9" s="28"/>
      </tp>
      <tp t="e">
        <v>#N/A</v>
        <stp/>
        <stp>BDH|10037411582391418188</stp>
        <tr r="E18" s="26"/>
      </tp>
      <tp t="e">
        <v>#N/A</v>
        <stp/>
        <stp>BDH|12786613651674850907</stp>
        <tr r="Q88" s="18"/>
        <tr r="Q8" s="20"/>
      </tp>
      <tp t="e">
        <v>#N/A</v>
        <stp/>
        <stp>BDH|17095360770338847711</stp>
        <tr r="N61" s="11"/>
        <tr r="P15" s="23"/>
      </tp>
      <tp t="e">
        <v>#N/A</v>
        <stp/>
        <stp>BDH|15794508188337788377</stp>
        <tr r="J109" s="18"/>
      </tp>
      <tp t="e">
        <v>#N/A</v>
        <stp/>
        <stp>BDH|12501540539139642118</stp>
        <tr r="O92" s="18"/>
      </tp>
      <tp t="e">
        <v>#N/A</v>
        <stp/>
        <stp>BDH|16858457365841798900</stp>
        <tr r="M17" s="21"/>
      </tp>
      <tp t="e">
        <v>#N/A</v>
        <stp/>
        <stp>BDH|14911503654748100036</stp>
        <tr r="E27" s="12"/>
      </tp>
      <tp t="e">
        <v>#N/A</v>
        <stp/>
        <stp>BDH|18047646019184028723</stp>
        <tr r="H24" s="2"/>
      </tp>
      <tp t="e">
        <v>#N/A</v>
        <stp/>
        <stp>BDH|11067682725961687847</stp>
        <tr r="F121" s="18"/>
      </tp>
      <tp t="e">
        <v>#N/A</v>
        <stp/>
        <stp>BDH|11877938783349743509</stp>
        <tr r="Q27" s="12"/>
      </tp>
      <tp t="e">
        <v>#N/A</v>
        <stp/>
        <stp>BDH|16899335839242575888</stp>
        <tr r="U38" s="17"/>
      </tp>
      <tp t="e">
        <v>#N/A</v>
        <stp/>
        <stp>BDH|14480576388266198355</stp>
        <tr r="L68" s="24"/>
      </tp>
      <tp t="e">
        <v>#N/A</v>
        <stp/>
        <stp>BDH|17400455755173374983</stp>
        <tr r="X26" s="24"/>
      </tp>
      <tp t="e">
        <v>#N/A</v>
        <stp/>
        <stp>BDH|17771609780672097781</stp>
        <tr r="X62" s="11"/>
        <tr r="Z19" s="23"/>
      </tp>
      <tp t="e">
        <v>#N/A</v>
        <stp/>
        <stp>BDH|18321988086874750157</stp>
        <tr r="I10" s="26"/>
      </tp>
      <tp t="e">
        <v>#N/A</v>
        <stp/>
        <stp>BDH|10241506208740347961</stp>
        <tr r="K49" s="17"/>
        <tr r="K17" s="3"/>
      </tp>
      <tp t="e">
        <v>#N/A</v>
        <stp/>
        <stp>BDH|13599701959868315501</stp>
        <tr r="N40" s="17"/>
        <tr r="N9" s="25"/>
      </tp>
      <tp t="e">
        <v>#N/A</v>
        <stp/>
        <stp>BDH|16087836429859005951</stp>
        <tr r="Z24" s="17"/>
      </tp>
      <tp t="e">
        <v>#N/A</v>
        <stp/>
        <stp>BDH|18005562453284856023</stp>
        <tr r="H10" s="30"/>
      </tp>
      <tp t="e">
        <v>#N/A</v>
        <stp/>
        <stp>BDH|14174636098937783026</stp>
        <tr r="E23" s="17"/>
      </tp>
      <tp t="e">
        <v>#N/A</v>
        <stp/>
        <stp>BDH|15419085981759521877</stp>
        <tr r="C64" s="24"/>
      </tp>
      <tp t="e">
        <v>#N/A</v>
        <stp/>
        <stp>BDH|13452272276072904831</stp>
        <tr r="F20" s="5"/>
        <tr r="F21" s="9"/>
      </tp>
      <tp t="e">
        <v>#N/A</v>
        <stp/>
        <stp>BDH|13603847001227594087</stp>
        <tr r="H12" s="11"/>
      </tp>
      <tp t="e">
        <v>#N/A</v>
        <stp/>
        <stp>BDH|14001493220069703708</stp>
        <tr r="J32" s="21"/>
      </tp>
      <tp t="e">
        <v>#N/A</v>
        <stp/>
        <stp>BDH|13533088234508362443</stp>
        <tr r="E32" s="22"/>
      </tp>
      <tp t="e">
        <v>#N/A</v>
        <stp/>
        <stp>BDH|18064776407727980474</stp>
        <tr r="R59" s="10"/>
      </tp>
      <tp t="e">
        <v>#N/A</v>
        <stp/>
        <stp>BDH|12081806818974699307</stp>
        <tr r="R112" s="18"/>
      </tp>
      <tp t="e">
        <v>#N/A</v>
        <stp/>
        <stp>BDH|16941008742977741929</stp>
        <tr r="W16" s="22"/>
      </tp>
      <tp t="e">
        <v>#N/A</v>
        <stp/>
        <stp>BDH|11896897775000338293</stp>
        <tr r="W29" s="10"/>
        <tr r="W27" s="11"/>
      </tp>
      <tp t="e">
        <v>#N/A</v>
        <stp/>
        <stp>BDH|16345316199886671630</stp>
        <tr r="R22" s="27"/>
      </tp>
      <tp t="e">
        <v>#N/A</v>
        <stp/>
        <stp>BDH|16162538582123830461</stp>
        <tr r="K16" s="11"/>
      </tp>
      <tp t="e">
        <v>#N/A</v>
        <stp/>
        <stp>BDH|16616998233142386213</stp>
        <tr r="P42" s="34"/>
      </tp>
      <tp t="e">
        <v>#N/A</v>
        <stp/>
        <stp>BDH|11281218864578112186</stp>
        <tr r="Q57" s="17"/>
      </tp>
      <tp t="e">
        <v>#N/A</v>
        <stp/>
        <stp>BDH|13929900059706763591</stp>
        <tr r="V25" s="2"/>
        <tr r="X61" s="21"/>
      </tp>
      <tp t="e">
        <v>#N/A</v>
        <stp/>
        <stp>BDH|12481749398696019664</stp>
        <tr r="L21" s="18"/>
      </tp>
      <tp t="e">
        <v>#N/A</v>
        <stp/>
        <stp>BDH|16825526869629853056</stp>
        <tr r="J9" s="29"/>
      </tp>
      <tp t="e">
        <v>#N/A</v>
        <stp/>
        <stp>BDH|11347431985234912527</stp>
        <tr r="X57" s="24"/>
      </tp>
      <tp t="e">
        <v>#N/A</v>
        <stp/>
        <stp>BDH|15863031706289359001</stp>
        <tr r="Y38" s="17"/>
      </tp>
      <tp t="e">
        <v>#N/A</v>
        <stp/>
        <stp>BDH|10073773069114605964</stp>
        <tr r="G56" s="12"/>
      </tp>
      <tp t="e">
        <v>#N/A</v>
        <stp/>
        <stp>BDH|13909523372268213550</stp>
        <tr r="V124" s="18"/>
      </tp>
      <tp t="e">
        <v>#N/A</v>
        <stp/>
        <stp>BDH|15921852355104471036</stp>
        <tr r="T40" s="24"/>
      </tp>
      <tp t="e">
        <v>#N/A</v>
        <stp/>
        <stp>BDH|15021246154886684883</stp>
        <tr r="V68" s="24"/>
      </tp>
      <tp t="e">
        <v>#N/A</v>
        <stp/>
        <stp>BDH|16891715276328105208</stp>
        <tr r="N15" s="29"/>
        <tr r="N35" s="29"/>
      </tp>
      <tp t="e">
        <v>#N/A</v>
        <stp/>
        <stp>BDH|18404757624248322980</stp>
        <tr r="V118" s="18"/>
      </tp>
      <tp t="e">
        <v>#N/A</v>
        <stp/>
        <stp>BDH|11518837328181202620</stp>
        <tr r="T66" s="12"/>
      </tp>
      <tp t="e">
        <v>#N/A</v>
        <stp/>
        <stp>BDH|10182738884393869003</stp>
        <tr r="AA21" s="24"/>
      </tp>
      <tp t="e">
        <v>#N/A</v>
        <stp/>
        <stp>BDH|13113678485209847859</stp>
        <tr r="W54" s="12"/>
      </tp>
      <tp t="e">
        <v>#N/A</v>
        <stp/>
        <stp>BDH|16753495444249070340</stp>
        <tr r="I38" s="13"/>
      </tp>
      <tp t="e">
        <v>#N/A</v>
        <stp/>
        <stp>BDH|12580910620464475010</stp>
        <tr r="N10" s="17"/>
      </tp>
      <tp t="e">
        <v>#N/A</v>
        <stp/>
        <stp>BDH|17555708097426171225</stp>
        <tr r="E10" s="13"/>
      </tp>
      <tp t="e">
        <v>#N/A</v>
        <stp/>
        <stp>BDH|15840861372417420099</stp>
        <tr r="S53" s="17"/>
      </tp>
      <tp t="e">
        <v>#N/A</v>
        <stp/>
        <stp>BDH|15955909225084547781</stp>
        <tr r="R24" s="25"/>
        <tr r="P14" s="5"/>
        <tr r="R17" s="27"/>
      </tp>
      <tp t="e">
        <v>#N/A</v>
        <stp/>
        <stp>BDH|13812722880725393484</stp>
        <tr r="G14" s="20"/>
      </tp>
      <tp t="e">
        <v>#N/A</v>
        <stp/>
        <stp>BDH|12986425399554300601</stp>
        <tr r="W45" s="17"/>
      </tp>
      <tp t="e">
        <v>#N/A</v>
        <stp/>
        <stp>BDH|11788928560087489400</stp>
        <tr r="H15" s="9"/>
      </tp>
      <tp t="e">
        <v>#N/A</v>
        <stp/>
        <stp>BDH|12858444678549593505</stp>
        <tr r="D14" s="11"/>
      </tp>
      <tp t="e">
        <v>#N/A</v>
        <stp/>
        <stp>BDH|17759279993459643843</stp>
        <tr r="S28" s="21"/>
      </tp>
      <tp t="e">
        <v>#N/A</v>
        <stp/>
        <stp>BDH|18385647336404470441</stp>
        <tr r="Q131" s="18"/>
      </tp>
      <tp t="e">
        <v>#N/A</v>
        <stp/>
        <stp>BDH|14064446143188751118</stp>
        <tr r="G8" s="34"/>
      </tp>
      <tp t="e">
        <v>#N/A</v>
        <stp/>
        <stp>BDH|14215809840033750641</stp>
        <tr r="V48" s="17"/>
      </tp>
      <tp t="e">
        <v>#N/A</v>
        <stp/>
        <stp>BDH|16683969332592487370</stp>
        <tr r="Z57" s="17"/>
      </tp>
      <tp t="e">
        <v>#N/A</v>
        <stp/>
        <stp>BDH|13769379131779886783</stp>
        <tr r="N37" s="21"/>
        <tr r="N24" s="3"/>
      </tp>
      <tp t="e">
        <v>#N/A</v>
        <stp/>
        <stp>BDH|12385835770268845898</stp>
        <tr r="F24" s="4"/>
        <tr r="F59" s="11"/>
      </tp>
      <tp t="e">
        <v>#N/A</v>
        <stp/>
        <stp>BDH|14242415252290006802</stp>
        <tr r="Z71" s="17"/>
      </tp>
      <tp t="e">
        <v>#N/A</v>
        <stp/>
        <stp>BDH|11207044297950993595</stp>
        <tr r="S15" s="13"/>
      </tp>
      <tp t="e">
        <v>#N/A</v>
        <stp/>
        <stp>BDH|10803381674538406114</stp>
        <tr r="M15" s="4"/>
      </tp>
      <tp t="e">
        <v>#N/A</v>
        <stp/>
        <stp>BDH|11724132607008212501</stp>
        <tr r="H34" s="10"/>
        <tr r="H32" s="11"/>
        <tr r="J32" s="13"/>
      </tp>
      <tp t="e">
        <v>#N/A</v>
        <stp/>
        <stp>BDH|17053430214128470724</stp>
        <tr r="K30" s="34"/>
      </tp>
      <tp t="e">
        <v>#N/A</v>
        <stp/>
        <stp>BDH|16826825862382074794</stp>
        <tr r="L18" s="2"/>
        <tr r="L53" s="4"/>
        <tr r="L42" s="10"/>
        <tr r="L40" s="11"/>
        <tr r="N34" s="13"/>
      </tp>
      <tp t="e">
        <v>#N/A</v>
        <stp/>
        <stp>BDH|14357479582926111362</stp>
        <tr r="E81" s="17"/>
      </tp>
      <tp t="e">
        <v>#N/A</v>
        <stp/>
        <stp>BDH|13342352780291525423</stp>
        <tr r="N59" s="21"/>
        <tr r="L57" s="11"/>
      </tp>
      <tp t="e">
        <v>#N/A</v>
        <stp/>
        <stp>BDH|11436163372272128805</stp>
        <tr r="F29" s="10"/>
        <tr r="F27" s="11"/>
      </tp>
      <tp t="e">
        <v>#N/A</v>
        <stp/>
        <stp>BDH|11737914644521704047</stp>
        <tr r="R15" s="5"/>
      </tp>
      <tp t="e">
        <v>#N/A</v>
        <stp/>
        <stp>BDH|17741150253267026901</stp>
        <tr r="G102" s="18"/>
      </tp>
      <tp t="e">
        <v>#N/A</v>
        <stp/>
        <stp>BDH|17835809975215945058</stp>
        <tr r="L45" s="18"/>
      </tp>
      <tp t="e">
        <v>#N/A</v>
        <stp/>
        <stp>BDH|18027179445811540163</stp>
        <tr r="C11" s="21"/>
      </tp>
      <tp t="e">
        <v>#N/A</v>
        <stp/>
        <stp>BDH|12097964047735108700</stp>
        <tr r="V19" s="9"/>
      </tp>
      <tp t="e">
        <v>#N/A</v>
        <stp/>
        <stp>BDH|18023700304553159158</stp>
        <tr r="Z11" s="21"/>
      </tp>
      <tp t="e">
        <v>#N/A</v>
        <stp/>
        <stp>BDH|10112051170072494803</stp>
        <tr r="E70" s="17"/>
      </tp>
      <tp t="e">
        <v>#N/A</v>
        <stp/>
        <stp>BDH|12044990979808105915</stp>
        <tr r="T127" s="18"/>
      </tp>
      <tp t="e">
        <v>#N/A</v>
        <stp/>
        <stp>BDH|16478420136998254423</stp>
        <tr r="AA119" s="18"/>
      </tp>
      <tp t="e">
        <v>#N/A</v>
        <stp/>
        <stp>BDH|11696042865178505225</stp>
        <tr r="O13" s="20"/>
      </tp>
      <tp t="e">
        <v>#N/A</v>
        <stp/>
        <stp>BDH|15814179619448422021</stp>
        <tr r="T17" s="11"/>
      </tp>
      <tp t="e">
        <v>#N/A</v>
        <stp/>
        <stp>BDH|16679426414588828688</stp>
        <tr r="G33" s="10"/>
        <tr r="G31" s="11"/>
        <tr r="I31" s="13"/>
      </tp>
      <tp t="e">
        <v>#N/A</v>
        <stp/>
        <stp>BDH|18191174615515012037</stp>
        <tr r="C18" s="12"/>
      </tp>
      <tp t="e">
        <v>#N/A</v>
        <stp/>
        <stp>BDH|13390780752228122487</stp>
        <tr r="I17" s="20"/>
      </tp>
      <tp t="e">
        <v>#N/A</v>
        <stp/>
        <stp>BDH|17651443500746794855</stp>
        <tr r="R47" s="24"/>
      </tp>
      <tp t="e">
        <v>#N/A</v>
        <stp/>
        <stp>BDH|12038888403471800633</stp>
        <tr r="S45" s="12"/>
      </tp>
      <tp t="e">
        <v>#N/A</v>
        <stp/>
        <stp>BDH|10599417296710082022</stp>
        <tr r="X18" s="17"/>
      </tp>
      <tp t="e">
        <v>#N/A</v>
        <stp/>
        <stp>BDH|12752130035724178906</stp>
        <tr r="V33" s="22"/>
      </tp>
      <tp t="e">
        <v>#N/A</v>
        <stp/>
        <stp>BDH|11110705084791782228</stp>
        <tr r="S8" s="17"/>
      </tp>
      <tp t="e">
        <v>#N/A</v>
        <stp/>
        <stp>BDH|15877381974404380878</stp>
        <tr r="M50" s="18"/>
      </tp>
      <tp t="e">
        <v>#N/A</v>
        <stp/>
        <stp>BDH|11549380499970599616</stp>
        <tr r="N21" s="25"/>
        <tr r="N14" s="27"/>
      </tp>
      <tp t="e">
        <v>#N/A</v>
        <stp/>
        <stp>BDH|18026442044532959791</stp>
        <tr r="T27" s="6"/>
      </tp>
      <tp t="e">
        <v>#N/A</v>
        <stp/>
        <stp>BDH|14696314648928979662</stp>
        <tr r="J46" s="34"/>
      </tp>
      <tp t="e">
        <v>#N/A</v>
        <stp/>
        <stp>BDH|12020076082056028156</stp>
        <tr r="N49" s="21"/>
      </tp>
      <tp t="e">
        <v>#N/A</v>
        <stp/>
        <stp>BDH|16134049955656684863</stp>
        <tr r="I42" s="24"/>
      </tp>
      <tp t="e">
        <v>#N/A</v>
        <stp/>
        <stp>BDH|17159682150200103982</stp>
        <tr r="R76" s="18"/>
      </tp>
      <tp t="e">
        <v>#N/A</v>
        <stp/>
        <stp>BDH|16401363103439318120</stp>
        <tr r="M53" s="12"/>
      </tp>
      <tp t="e">
        <v>#N/A</v>
        <stp/>
        <stp>BDH|13163742248185437893</stp>
        <tr r="K73" s="18"/>
      </tp>
      <tp t="e">
        <v>#N/A</v>
        <stp/>
        <stp>BDH|14543863162445152203</stp>
        <tr r="U38" s="13"/>
      </tp>
      <tp t="e">
        <v>#N/A</v>
        <stp/>
        <stp>BDH|14577251754078721631</stp>
        <tr r="K6" s="6"/>
      </tp>
      <tp t="e">
        <v>#N/A</v>
        <stp/>
        <stp>BDH|10751088195992372697</stp>
        <tr r="F53" s="18"/>
      </tp>
      <tp t="e">
        <v>#N/A</v>
        <stp/>
        <stp>BDH|16281377799423773287</stp>
        <tr r="P40" s="21"/>
      </tp>
      <tp t="e">
        <v>#N/A</v>
        <stp/>
        <stp>BDH|14121808449524246190</stp>
        <tr r="G13" s="20"/>
      </tp>
      <tp t="e">
        <v>#N/A</v>
        <stp/>
        <stp>BDH|17169029290556954595</stp>
        <tr r="R64" s="24"/>
      </tp>
      <tp t="e">
        <v>#N/A</v>
        <stp/>
        <stp>BDH|14879747909917071964</stp>
        <tr r="N73" s="17"/>
        <tr r="L9" s="5"/>
        <tr r="L9" s="9"/>
      </tp>
      <tp t="e">
        <v>#N/A</v>
        <stp/>
        <stp>BDH|12079316032727886887</stp>
        <tr r="J37" s="22"/>
      </tp>
      <tp t="e">
        <v>#N/A</v>
        <stp/>
        <stp>BDH|10791374936825246879</stp>
        <tr r="O18" s="12"/>
      </tp>
      <tp t="e">
        <v>#N/A</v>
        <stp/>
        <stp>BDH|13835561027060339999</stp>
        <tr r="F15" s="12"/>
      </tp>
      <tp t="e">
        <v>#N/A</v>
        <stp/>
        <stp>BDH|15217983785711897844</stp>
        <tr r="Y26" s="22"/>
      </tp>
      <tp t="e">
        <v>#N/A</v>
        <stp/>
        <stp>BDH|15403305074559488577</stp>
        <tr r="D58" s="17"/>
      </tp>
      <tp t="e">
        <v>#N/A</v>
        <stp/>
        <stp>BDH|14600176410071204808</stp>
        <tr r="V56" s="24"/>
      </tp>
      <tp t="e">
        <v>#N/A</v>
        <stp/>
        <stp>BDH|16980916029320388018</stp>
        <tr r="M62" s="11"/>
        <tr r="O19" s="23"/>
      </tp>
      <tp t="e">
        <v>#N/A</v>
        <stp/>
        <stp>BDH|17859739189090685579</stp>
        <tr r="Q33" s="17"/>
      </tp>
      <tp t="e">
        <v>#N/A</v>
        <stp/>
        <stp>BDH|16243127000299051338</stp>
        <tr r="G22" s="9"/>
      </tp>
      <tp t="e">
        <v>#N/A</v>
        <stp/>
        <stp>BDH|18340831017209782533</stp>
        <tr r="Z12" s="14"/>
      </tp>
      <tp t="e">
        <v>#N/A</v>
        <stp/>
        <stp>BDH|17477397632998825248</stp>
        <tr r="W15" s="12"/>
      </tp>
      <tp t="e">
        <v>#N/A</v>
        <stp/>
        <stp>BDH|10130978066270392202</stp>
        <tr r="M11" s="18"/>
      </tp>
      <tp t="e">
        <v>#N/A</v>
        <stp/>
        <stp>BDH|14800150789684059471</stp>
        <tr r="F31" s="21"/>
      </tp>
      <tp t="e">
        <v>#N/A</v>
        <stp/>
        <stp>BDH|11347811251037504657</stp>
        <tr r="L8" s="10"/>
      </tp>
      <tp t="e">
        <v>#N/A</v>
        <stp/>
        <stp>BDH|13832733739193313927</stp>
        <tr r="Y30" s="12"/>
      </tp>
      <tp t="e">
        <v>#N/A</v>
        <stp/>
        <stp>BDH|15277340570045181948</stp>
        <tr r="G9" s="22"/>
      </tp>
      <tp t="e">
        <v>#N/A</v>
        <stp/>
        <stp>BDH|14477366310142460951</stp>
        <tr r="P32" s="22"/>
      </tp>
      <tp t="e">
        <v>#N/A</v>
        <stp/>
        <stp>BDH|16945791789747232387</stp>
        <tr r="Q14" s="8"/>
      </tp>
      <tp t="e">
        <v>#N/A</v>
        <stp/>
        <stp>BDH|12332883308562621561</stp>
        <tr r="D30" s="26"/>
      </tp>
      <tp t="e">
        <v>#N/A</v>
        <stp/>
        <stp>BDH|14205801295550459804</stp>
        <tr r="L15" s="6"/>
      </tp>
      <tp t="e">
        <v>#N/A</v>
        <stp/>
        <stp>BDH|14561905976773882488</stp>
        <tr r="C22" s="17"/>
      </tp>
      <tp t="e">
        <v>#N/A</v>
        <stp/>
        <stp>BDH|13400291089235070170</stp>
        <tr r="Y69" s="24"/>
      </tp>
      <tp t="e">
        <v>#N/A</v>
        <stp/>
        <stp>BDH|16745362437099253269</stp>
        <tr r="O22" s="27"/>
      </tp>
      <tp t="e">
        <v>#N/A</v>
        <stp/>
        <stp>BDH|10173262606529392603</stp>
        <tr r="J102" s="18"/>
      </tp>
      <tp t="e">
        <v>#N/A</v>
        <stp/>
        <stp>BDH|15815909082099048085</stp>
        <tr r="M23" s="22"/>
      </tp>
      <tp t="e">
        <v>#N/A</v>
        <stp/>
        <stp>BDH|14283894039465882789</stp>
        <tr r="E31" s="25"/>
      </tp>
      <tp t="e">
        <v>#N/A</v>
        <stp/>
        <stp>BDH|18102690438883130333</stp>
        <tr r="K61" s="18"/>
      </tp>
      <tp t="e">
        <v>#N/A</v>
        <stp/>
        <stp>BDH|10267686157879718781</stp>
        <tr r="M17" s="12"/>
      </tp>
      <tp t="e">
        <v>#N/A</v>
        <stp/>
        <stp>BDH|17488363615711566902</stp>
        <tr r="N51" s="12"/>
      </tp>
      <tp t="e">
        <v>#N/A</v>
        <stp/>
        <stp>BDH|15233793398171698776</stp>
        <tr r="R8" s="24"/>
      </tp>
      <tp t="e">
        <v>#N/A</v>
        <stp/>
        <stp>BDH|11100277395981885698</stp>
        <tr r="X18" s="25"/>
        <tr r="X10" s="27"/>
      </tp>
      <tp t="e">
        <v>#N/A</v>
        <stp/>
        <stp>BDH|17335929524712503323</stp>
        <tr r="U132" s="18"/>
      </tp>
      <tp t="e">
        <v>#N/A</v>
        <stp/>
        <stp>BDH|12875755683195875549</stp>
        <tr r="K21" s="27"/>
      </tp>
      <tp t="e">
        <v>#N/A</v>
        <stp/>
        <stp>BDH|13685598581882807145</stp>
        <tr r="U9" s="2"/>
        <tr r="W8" s="25"/>
        <tr r="U10" s="5"/>
      </tp>
      <tp t="e">
        <v>#N/A</v>
        <stp/>
        <stp>BDH|18340671673213394763</stp>
        <tr r="V9" s="18"/>
      </tp>
      <tp t="e">
        <v>#N/A</v>
        <stp/>
        <stp>BDH|16182422343859188239</stp>
        <tr r="S25" s="24"/>
      </tp>
      <tp t="e">
        <v>#N/A</v>
        <stp/>
        <stp>BDH|14136213327180604932</stp>
        <tr r="U20" s="23"/>
      </tp>
      <tp t="e">
        <v>#N/A</v>
        <stp/>
        <stp>BDH|10635747693022575160</stp>
        <tr r="P43" s="4"/>
      </tp>
      <tp t="e">
        <v>#N/A</v>
        <stp/>
        <stp>BDH|18301183483324872825</stp>
        <tr r="M81" s="18"/>
      </tp>
      <tp t="e">
        <v>#N/A</v>
        <stp/>
        <stp>BDH|18382601156207087171</stp>
        <tr r="U20" s="29"/>
      </tp>
      <tp t="e">
        <v>#N/A</v>
        <stp/>
        <stp>BDH|18361886387442744792</stp>
        <tr r="S18" s="30"/>
      </tp>
      <tp t="e">
        <v>#N/A</v>
        <stp/>
        <stp>BDH|15268777884180240714</stp>
        <tr r="F67" s="17"/>
      </tp>
      <tp t="e">
        <v>#N/A</v>
        <stp/>
        <stp>BDH|18122376906667335111</stp>
        <tr r="R74" s="17"/>
        <tr r="R19" s="3"/>
      </tp>
      <tp t="e">
        <v>#N/A</v>
        <stp/>
        <stp>BDH|18014464843620319542</stp>
        <tr r="D80" s="17"/>
      </tp>
      <tp t="e">
        <v>#N/A</v>
        <stp/>
        <stp>BDH|16797348692364325500</stp>
        <tr r="W57" s="17"/>
      </tp>
      <tp t="e">
        <v>#N/A</v>
        <stp/>
        <stp>BDH|18039028318150856408</stp>
        <tr r="E22" s="10"/>
      </tp>
      <tp t="e">
        <v>#N/A</v>
        <stp/>
        <stp>BDH|16567939304635779778</stp>
        <tr r="S12" s="22"/>
      </tp>
      <tp t="e">
        <v>#N/A</v>
        <stp/>
        <stp>BDH|13462383636426970810</stp>
        <tr r="R19" s="18"/>
      </tp>
      <tp t="e">
        <v>#N/A</v>
        <stp/>
        <stp>BDH|15130215839329970027</stp>
        <tr r="T12" s="10"/>
      </tp>
      <tp t="e">
        <v>#N/A</v>
        <stp/>
        <stp>BDH|16522838256250699645</stp>
        <tr r="V34" s="21"/>
      </tp>
      <tp t="e">
        <v>#N/A</v>
        <stp/>
        <stp>BDH|16622061583757881498</stp>
        <tr r="H80" s="17"/>
      </tp>
      <tp t="e">
        <v>#N/A</v>
        <stp/>
        <stp>BDH|18179112119143880647</stp>
        <tr r="F7" s="24"/>
      </tp>
      <tp t="e">
        <v>#N/A</v>
        <stp/>
        <stp>BDH|16726920942540752659</stp>
        <tr r="T16" s="26"/>
      </tp>
      <tp t="e">
        <v>#N/A</v>
        <stp/>
        <stp>BDH|17348026179085892850</stp>
        <tr r="U45" s="18"/>
      </tp>
      <tp t="e">
        <v>#N/A</v>
        <stp/>
        <stp>BDH|14522871067746778179</stp>
        <tr r="P16" s="30"/>
      </tp>
      <tp t="e">
        <v>#N/A</v>
        <stp/>
        <stp>BDH|17112411420919459516</stp>
        <tr r="AA23" s="17"/>
      </tp>
      <tp t="e">
        <v>#N/A</v>
        <stp/>
        <stp>BDH|11727463609351993941</stp>
        <tr r="L62" s="17"/>
      </tp>
      <tp t="e">
        <v>#N/A</v>
        <stp/>
        <stp>BDH|12294737747434274812</stp>
        <tr r="I108" s="18"/>
      </tp>
      <tp t="e">
        <v>#N/A</v>
        <stp/>
        <stp>BDH|18024272933355449158</stp>
        <tr r="D32" s="12"/>
      </tp>
      <tp t="e">
        <v>#N/A</v>
        <stp/>
        <stp>BDH|14226552685425320149</stp>
        <tr r="D8" s="28"/>
      </tp>
      <tp t="e">
        <v>#N/A</v>
        <stp/>
        <stp>BDH|11291293490597951076</stp>
        <tr r="J22" s="5"/>
      </tp>
      <tp t="e">
        <v>#N/A</v>
        <stp/>
        <stp>BDH|17609044268529697594</stp>
        <tr r="T29" s="5"/>
      </tp>
      <tp t="e">
        <v>#N/A</v>
        <stp/>
        <stp>BDH|12563830563299740873</stp>
        <tr r="S32" s="12"/>
      </tp>
      <tp t="e">
        <v>#N/A</v>
        <stp/>
        <stp>BDH|17222733914254429842</stp>
        <tr r="W84" s="18"/>
      </tp>
      <tp t="e">
        <v>#N/A</v>
        <stp/>
        <stp>BDH|12545245868123973855</stp>
        <tr r="M19" s="34"/>
      </tp>
      <tp t="e">
        <v>#N/A</v>
        <stp/>
        <stp>BDH|18230032575341037313</stp>
        <tr r="M21" s="22"/>
      </tp>
      <tp t="e">
        <v>#N/A</v>
        <stp/>
        <stp>BDH|11645922772252556063</stp>
        <tr r="U21" s="2"/>
      </tp>
      <tp t="e">
        <v>#N/A</v>
        <stp/>
        <stp>BDH|16610377387954186426</stp>
        <tr r="L29" s="17"/>
      </tp>
      <tp t="e">
        <v>#N/A</v>
        <stp/>
        <stp>BDH|16189747566258553238</stp>
        <tr r="Z7" s="24"/>
      </tp>
      <tp t="e">
        <v>#N/A</v>
        <stp/>
        <stp>BDH|11056945560145990688</stp>
        <tr r="I18" s="2"/>
        <tr r="I53" s="4"/>
        <tr r="I42" s="10"/>
        <tr r="I40" s="11"/>
        <tr r="K34" s="13"/>
      </tp>
      <tp t="e">
        <v>#N/A</v>
        <stp/>
        <stp>BDH|13761327352339006122</stp>
        <tr r="AA67" s="17"/>
      </tp>
      <tp t="e">
        <v>#N/A</v>
        <stp/>
        <stp>BDH|15467105721003002804</stp>
        <tr r="J63" s="11"/>
      </tp>
      <tp t="e">
        <v>#N/A</v>
        <stp/>
        <stp>BDH|18048515941282627635</stp>
        <tr r="P17" s="13"/>
      </tp>
      <tp t="e">
        <v>#N/A</v>
        <stp/>
        <stp>BDH|12967989574337244633</stp>
        <tr r="I15" s="17"/>
        <tr r="I18" s="28"/>
      </tp>
      <tp t="e">
        <v>#N/A</v>
        <stp/>
        <stp>BDH|13761752687957414657</stp>
        <tr r="K12" s="3"/>
        <tr r="I51" s="10"/>
        <tr r="I49" s="11"/>
        <tr r="I7" s="7"/>
      </tp>
      <tp t="e">
        <v>#N/A</v>
        <stp/>
        <stp>BDH|11928008898677016256</stp>
        <tr r="P40" s="6"/>
      </tp>
      <tp t="e">
        <v>#N/A</v>
        <stp/>
        <stp>BDH|10625908733776347122</stp>
        <tr r="S29" s="29"/>
        <tr r="S7" s="29"/>
      </tp>
      <tp t="e">
        <v>#N/A</v>
        <stp/>
        <stp>BDH|14320023794654080415</stp>
        <tr r="N23" s="9"/>
      </tp>
      <tp t="e">
        <v>#N/A</v>
        <stp/>
        <stp>BDH|16803969378270148537</stp>
        <tr r="H10" s="28"/>
      </tp>
      <tp t="e">
        <v>#N/A</v>
        <stp/>
        <stp>BDH|15120502996987137322</stp>
        <tr r="U82" s="17"/>
      </tp>
      <tp t="e">
        <v>#N/A</v>
        <stp/>
        <stp>BDH|13132143858018077299</stp>
        <tr r="K58" s="21"/>
        <tr r="K30" s="25"/>
        <tr r="I31" s="4"/>
        <tr r="I56" s="11"/>
      </tp>
      <tp t="e">
        <v>#N/A</v>
        <stp/>
        <stp>BDH|11530683397902608184</stp>
        <tr r="H64" s="12"/>
      </tp>
      <tp t="e">
        <v>#N/A</v>
        <stp/>
        <stp>BDH|16441911122935444575</stp>
        <tr r="I30" s="10"/>
        <tr r="I28" s="11"/>
      </tp>
      <tp t="e">
        <v>#N/A</v>
        <stp/>
        <stp>BDH|15932564253479164198</stp>
        <tr r="I65" s="24"/>
      </tp>
      <tp t="e">
        <v>#N/A</v>
        <stp/>
        <stp>BDH|11144352500319004609</stp>
        <tr r="Q121" s="18"/>
      </tp>
      <tp t="e">
        <v>#N/A</v>
        <stp/>
        <stp>BDH|12840932054026843531</stp>
        <tr r="I26" s="10"/>
      </tp>
      <tp t="e">
        <v>#N/A</v>
        <stp/>
        <stp>BDH|15667557563663614824</stp>
        <tr r="T14" s="20"/>
      </tp>
      <tp t="e">
        <v>#N/A</v>
        <stp/>
        <stp>BDH|11227010323397532913</stp>
        <tr r="U31" s="25"/>
      </tp>
      <tp t="e">
        <v>#N/A</v>
        <stp/>
        <stp>BDH|11184838317623869690</stp>
        <tr r="K75" s="17"/>
      </tp>
      <tp t="e">
        <v>#N/A</v>
        <stp/>
        <stp>BDH|15127616740592598818</stp>
        <tr r="M26" s="21"/>
      </tp>
      <tp t="e">
        <v>#N/A</v>
        <stp/>
        <stp>BDH|13403931124135492039</stp>
        <tr r="R51" s="12"/>
      </tp>
      <tp t="e">
        <v>#N/A</v>
        <stp/>
        <stp>BDH|12240876460794202532</stp>
        <tr r="Y35" s="22"/>
      </tp>
      <tp t="e">
        <v>#N/A</v>
        <stp/>
        <stp>BDH|17917080132461523820</stp>
        <tr r="P12" s="22"/>
      </tp>
      <tp t="e">
        <v>#N/A</v>
        <stp/>
        <stp>BDH|18418244593097008970</stp>
        <tr r="T32" s="26"/>
      </tp>
      <tp t="e">
        <v>#N/A</v>
        <stp/>
        <stp>BDH|16476770184413054732</stp>
        <tr r="M97" s="18"/>
      </tp>
      <tp t="e">
        <v>#N/A</v>
        <stp/>
        <stp>BDH|11780434968418317682</stp>
        <tr r="H31" s="10"/>
        <tr r="H29" s="11"/>
      </tp>
      <tp t="e">
        <v>#N/A</v>
        <stp/>
        <stp>BDH|18194882585214349186</stp>
        <tr r="L39" s="17"/>
      </tp>
      <tp t="e">
        <v>#N/A</v>
        <stp/>
        <stp>BDH|15569704044998070367</stp>
        <tr r="D99" s="18"/>
      </tp>
      <tp t="e">
        <v>#N/A</v>
        <stp/>
        <stp>BDH|11152479092255663452</stp>
        <tr r="U21" s="27"/>
      </tp>
      <tp t="e">
        <v>#N/A</v>
        <stp/>
        <stp>BDH|13884992359242763084</stp>
        <tr r="P59" s="24"/>
      </tp>
      <tp t="e">
        <v>#N/A</v>
        <stp/>
        <stp>BDH|11266062337289169659</stp>
        <tr r="X48" s="12"/>
      </tp>
      <tp t="e">
        <v>#N/A</v>
        <stp/>
        <stp>BDH|17392673974273628813</stp>
        <tr r="S102" s="18"/>
      </tp>
      <tp t="e">
        <v>#N/A</v>
        <stp/>
        <stp>BDH|15089069340359836599</stp>
        <tr r="S20" s="6"/>
      </tp>
      <tp t="e">
        <v>#N/A</v>
        <stp/>
        <stp>BDH|10472193098796031328</stp>
        <tr r="X125" s="18"/>
      </tp>
      <tp t="e">
        <v>#N/A</v>
        <stp/>
        <stp>BDH|17015565972919302102</stp>
        <tr r="T62" s="17"/>
      </tp>
      <tp t="e">
        <v>#N/A</v>
        <stp/>
        <stp>BDH|12627093789252598544</stp>
        <tr r="V30" s="22"/>
      </tp>
      <tp t="e">
        <v>#N/A</v>
        <stp/>
        <stp>BDH|11692345693634167272</stp>
        <tr r="H18" s="25"/>
        <tr r="H10" s="27"/>
      </tp>
      <tp t="e">
        <v>#N/A</v>
        <stp/>
        <stp>BDH|10817989130427237051</stp>
        <tr r="S24" s="26"/>
        <tr r="Q14" s="9"/>
      </tp>
      <tp t="e">
        <v>#N/A</v>
        <stp/>
        <stp>BDH|13072247916418115548</stp>
        <tr r="K23" s="21"/>
      </tp>
      <tp t="e">
        <v>#N/A</v>
        <stp/>
        <stp>BDH|12314528782277301576</stp>
        <tr r="O25" s="3"/>
      </tp>
      <tp t="e">
        <v>#N/A</v>
        <stp/>
        <stp>BDH|12813227133049697782</stp>
        <tr r="T10" s="17"/>
      </tp>
      <tp t="e">
        <v>#N/A</v>
        <stp/>
        <stp>BDH|13287316823487106867</stp>
        <tr r="I30" s="22"/>
      </tp>
      <tp t="e">
        <v>#N/A</v>
        <stp/>
        <stp>BDH|12356623215379469170</stp>
        <tr r="R89" s="18"/>
        <tr r="R9" s="20"/>
      </tp>
      <tp t="e">
        <v>#N/A</v>
        <stp/>
        <stp>BDH|15210899269861224771</stp>
        <tr r="H40" s="17"/>
        <tr r="H9" s="25"/>
      </tp>
      <tp t="e">
        <v>#N/A</v>
        <stp/>
        <stp>BDH|14804991223477568502</stp>
        <tr r="E68" s="17"/>
      </tp>
      <tp t="e">
        <v>#N/A</v>
        <stp/>
        <stp>BDH|10363771406748424213</stp>
        <tr r="N119" s="18"/>
      </tp>
      <tp t="e">
        <v>#N/A</v>
        <stp/>
        <stp>BDH|14379835923495695628</stp>
        <tr r="S11" s="24"/>
      </tp>
      <tp t="e">
        <v>#N/A</v>
        <stp/>
        <stp>BDH|11146890668936386442</stp>
        <tr r="G9" s="17"/>
      </tp>
      <tp t="e">
        <v>#N/A</v>
        <stp/>
        <stp>BDH|13601280303418260485</stp>
        <tr r="J120" s="18"/>
      </tp>
      <tp t="e">
        <v>#N/A</v>
        <stp/>
        <stp>BDH|11430442861186568830</stp>
        <tr r="W40" s="12"/>
      </tp>
      <tp t="e">
        <v>#N/A</v>
        <stp/>
        <stp>BDH|10191055130088687651</stp>
        <tr r="P26" s="17"/>
      </tp>
      <tp t="e">
        <v>#N/A</v>
        <stp/>
        <stp>BDH|14841098137202124809</stp>
        <tr r="L10" s="4"/>
        <tr r="K6" s="16"/>
        <tr r="N6" s="3"/>
        <tr r="L6" s="11"/>
      </tp>
      <tp t="e">
        <v>#N/A</v>
        <stp/>
        <stp>BDH|14628226506142367967</stp>
        <tr r="Y36" s="22"/>
      </tp>
      <tp t="e">
        <v>#N/A</v>
        <stp/>
        <stp>BDH|11008509812668392062</stp>
        <tr r="E71" s="17"/>
      </tp>
      <tp t="e">
        <v>#N/A</v>
        <stp/>
        <stp>BDH|11672462581166651605</stp>
        <tr r="F12" s="21"/>
      </tp>
      <tp t="e">
        <v>#N/A</v>
        <stp/>
        <stp>BDH|17685807067385301147</stp>
        <tr r="L108" s="18"/>
      </tp>
      <tp t="e">
        <v>#N/A</v>
        <stp/>
        <stp>BDH|10589712517123626832</stp>
        <tr r="V55" s="17"/>
      </tp>
      <tp t="e">
        <v>#N/A</v>
        <stp/>
        <stp>BDH|14549900666834156242</stp>
        <tr r="M18" s="20"/>
      </tp>
      <tp t="e">
        <v>#N/A</v>
        <stp/>
        <stp>BDH|17377287391078599992</stp>
        <tr r="K21" s="22"/>
      </tp>
      <tp t="e">
        <v>#N/A</v>
        <stp/>
        <stp>BDH|11518250591894519322</stp>
        <tr r="O75" s="17"/>
      </tp>
      <tp t="e">
        <v>#N/A</v>
        <stp/>
        <stp>BDH|11088314608648805773</stp>
        <tr r="Z68" s="17"/>
      </tp>
      <tp t="e">
        <v>#N/A</v>
        <stp/>
        <stp>BDH|11759879969601772385</stp>
        <tr r="T49" s="24"/>
      </tp>
      <tp t="e">
        <v>#N/A</v>
        <stp/>
        <stp>BDH|16773239419338309082</stp>
        <tr r="X15" s="12"/>
      </tp>
      <tp t="e">
        <v>#N/A</v>
        <stp/>
        <stp>BDH|12243754345748584410</stp>
        <tr r="N98" s="18"/>
      </tp>
      <tp t="e">
        <v>#N/A</v>
        <stp/>
        <stp>BDH|10048547150834636946</stp>
        <tr r="U28" s="5"/>
      </tp>
      <tp t="e">
        <v>#N/A</v>
        <stp/>
        <stp>BDH|18432099083135119894</stp>
        <tr r="R12" s="13"/>
      </tp>
      <tp t="e">
        <v>#N/A</v>
        <stp/>
        <stp>BDH|10825308636575829800</stp>
        <tr r="I9" s="24"/>
      </tp>
      <tp t="e">
        <v>#N/A</v>
        <stp/>
        <stp>BDH|18396673188622201981</stp>
        <tr r="W28" s="10"/>
        <tr r="W26" s="11"/>
      </tp>
      <tp t="e">
        <v>#N/A</v>
        <stp/>
        <stp>BDH|15884764651052106881</stp>
        <tr r="N16" s="26"/>
      </tp>
      <tp t="e">
        <v>#N/A</v>
        <stp/>
        <stp>BDH|14538670651468288272</stp>
        <tr r="W17" s="13"/>
      </tp>
      <tp t="e">
        <v>#N/A</v>
        <stp/>
        <stp>BDH|14784996778101360634</stp>
        <tr r="Z58" s="24"/>
      </tp>
      <tp t="e">
        <v>#N/A</v>
        <stp/>
        <stp>BDH|10845343527598804450</stp>
        <tr r="E13" s="12"/>
      </tp>
      <tp t="e">
        <v>#N/A</v>
        <stp/>
        <stp>BDH|11925110095751354582</stp>
        <tr r="U64" s="18"/>
      </tp>
      <tp t="e">
        <v>#N/A</v>
        <stp/>
        <stp>BDH|10022143750908794150</stp>
        <tr r="L31" s="26"/>
      </tp>
      <tp t="e">
        <v>#N/A</v>
        <stp/>
        <stp>BDH|14758276066019429440</stp>
        <tr r="T8" s="24"/>
      </tp>
      <tp t="e">
        <v>#N/A</v>
        <stp/>
        <stp>BDH|17445756985170022526</stp>
        <tr r="U26" s="18"/>
      </tp>
      <tp t="e">
        <v>#N/A</v>
        <stp/>
        <stp>BDH|10723895369550466353</stp>
        <tr r="N9" s="27"/>
      </tp>
      <tp t="e">
        <v>#N/A</v>
        <stp/>
        <stp>BDH|14764072996771602165</stp>
        <tr r="C21" s="5"/>
      </tp>
      <tp t="e">
        <v>#N/A</v>
        <stp/>
        <stp>BDH|17348836077205255030</stp>
        <tr r="U22" s="21"/>
      </tp>
      <tp t="e">
        <v>#N/A</v>
        <stp/>
        <stp>BDH|17666443787870785640</stp>
        <tr r="S61" s="18"/>
      </tp>
      <tp t="e">
        <v>#N/A</v>
        <stp/>
        <stp>BDH|16414813053196150012</stp>
        <tr r="C25" s="18"/>
      </tp>
      <tp t="e">
        <v>#N/A</v>
        <stp/>
        <stp>BDH|13240317474279774362</stp>
        <tr r="Z27" s="17"/>
      </tp>
      <tp t="e">
        <v>#N/A</v>
        <stp/>
        <stp>BDH|16407560227289483581</stp>
        <tr r="R20" s="25"/>
        <tr r="R13" s="27"/>
      </tp>
      <tp t="e">
        <v>#N/A</v>
        <stp/>
        <stp>BDH|14344916072392022599</stp>
        <tr r="P8" s="23"/>
      </tp>
      <tp t="e">
        <v>#N/A</v>
        <stp/>
        <stp>BDH|18230339948416857481</stp>
        <tr r="C14" s="3"/>
      </tp>
      <tp t="e">
        <v>#N/A</v>
        <stp/>
        <stp>BDH|15968709686394262340</stp>
        <tr r="G63" s="21"/>
        <tr r="E23" s="7"/>
      </tp>
      <tp t="e">
        <v>#N/A</v>
        <stp/>
        <stp>BDH|15862246793025026668</stp>
        <tr r="L63" s="21"/>
        <tr r="J23" s="7"/>
      </tp>
      <tp t="e">
        <v>#N/A</v>
        <stp/>
        <stp>BDH|13388983780327334812</stp>
        <tr r="L37" s="10"/>
        <tr r="L35" s="11"/>
      </tp>
      <tp t="e">
        <v>#N/A</v>
        <stp/>
        <stp>BDH|18077900987596828268</stp>
        <tr r="E62" s="12"/>
      </tp>
      <tp t="e">
        <v>#N/A</v>
        <stp/>
        <stp>BDH|10706256438895542962</stp>
        <tr r="K95" s="18"/>
      </tp>
      <tp t="e">
        <v>#N/A</v>
        <stp/>
        <stp>BDH|15419165389055445468</stp>
        <tr r="M7" s="4"/>
      </tp>
      <tp t="e">
        <v>#N/A</v>
        <stp/>
        <stp>BDH|13546751878829239736</stp>
        <tr r="U23" s="21"/>
      </tp>
      <tp t="e">
        <v>#N/A</v>
        <stp/>
        <stp>BDH|15032000840984013893</stp>
        <tr r="S73" s="17"/>
        <tr r="Q9" s="5"/>
        <tr r="Q9" s="9"/>
      </tp>
      <tp t="e">
        <v>#N/A</v>
        <stp/>
        <stp>BDH|12468383186775453178</stp>
        <tr r="O11" s="18"/>
      </tp>
      <tp t="e">
        <v>#N/A</v>
        <stp/>
        <stp>BDH|12602001181192762599</stp>
        <tr r="R8" s="10"/>
      </tp>
      <tp t="e">
        <v>#N/A</v>
        <stp/>
        <stp>BDH|17269181985630197377</stp>
        <tr r="U16" s="29"/>
        <tr r="U36" s="29"/>
      </tp>
      <tp t="e">
        <v>#N/A</v>
        <stp/>
        <stp>BDH|13653874530181897407</stp>
        <tr r="X29" s="18"/>
      </tp>
      <tp t="e">
        <v>#N/A</v>
        <stp/>
        <stp>BDH|10379481905600699914</stp>
        <tr r="D56" s="18"/>
      </tp>
      <tp t="e">
        <v>#N/A</v>
        <stp/>
        <stp>BDH|15687926742457760280</stp>
        <tr r="W16" s="10"/>
      </tp>
      <tp t="e">
        <v>#N/A</v>
        <stp/>
        <stp>BDH|12808935214261411625</stp>
        <tr r="N6" s="19"/>
        <tr r="N34" s="17"/>
        <tr r="N16" s="3"/>
      </tp>
      <tp t="e">
        <v>#N/A</v>
        <stp/>
        <stp>BDH|13624491846206515852</stp>
        <tr r="C6" s="3"/>
      </tp>
      <tp t="e">
        <v>#N/A</v>
        <stp/>
        <stp>BDH|12217001129589324415</stp>
        <tr r="W16" s="30"/>
      </tp>
      <tp t="e">
        <v>#N/A</v>
        <stp/>
        <stp>BDH|12760574118692452953</stp>
        <tr r="S17" s="13"/>
      </tp>
      <tp t="e">
        <v>#N/A</v>
        <stp/>
        <stp>BDH|15833286678525899898</stp>
        <tr r="F16" s="26"/>
      </tp>
      <tp t="e">
        <v>#N/A</v>
        <stp/>
        <stp>BDH|13728831913512974570</stp>
        <tr r="M10" s="6"/>
      </tp>
      <tp t="e">
        <v>#N/A</v>
        <stp/>
        <stp>BDH|16867161291560231340</stp>
        <tr r="N29" s="12"/>
      </tp>
      <tp t="e">
        <v>#N/A</v>
        <stp/>
        <stp>BDH|12581917888876705827</stp>
        <tr r="J30" s="17"/>
      </tp>
      <tp t="e">
        <v>#N/A</v>
        <stp/>
        <stp>BDH|14512322684332353095</stp>
        <tr r="Y63" s="11"/>
      </tp>
      <tp t="e">
        <v>#N/A</v>
        <stp/>
        <stp>BDH|12200880670319328906</stp>
        <tr r="L8" s="22"/>
      </tp>
      <tp t="e">
        <v>#N/A</v>
        <stp/>
        <stp>BDH|16927601920578582759</stp>
        <tr r="T37" s="21"/>
        <tr r="T24" s="3"/>
      </tp>
      <tp t="e">
        <v>#N/A</v>
        <stp/>
        <stp>BDH|17380449886886170099</stp>
        <tr r="X16" s="29"/>
        <tr r="X36" s="29"/>
      </tp>
      <tp t="e">
        <v>#N/A</v>
        <stp/>
        <stp>BDH|16902974247796321037</stp>
        <tr r="P35" s="21"/>
      </tp>
      <tp t="e">
        <v>#N/A</v>
        <stp/>
        <stp>BDH|16790169188294234624</stp>
        <tr r="G35" s="12"/>
      </tp>
      <tp t="e">
        <v>#N/A</v>
        <stp/>
        <stp>BDH|10402944233841981631</stp>
        <tr r="E33" s="21"/>
      </tp>
      <tp t="e">
        <v>#N/A</v>
        <stp/>
        <stp>BDH|12891851370181358179</stp>
        <tr r="G29" s="22"/>
      </tp>
      <tp t="e">
        <v>#N/A</v>
        <stp/>
        <stp>BDH|12778484330731484928</stp>
        <tr r="E49" s="18"/>
      </tp>
      <tp t="e">
        <v>#N/A</v>
        <stp/>
        <stp>BDH|17973536580913740448</stp>
        <tr r="N33" s="22"/>
      </tp>
      <tp t="e">
        <v>#N/A</v>
        <stp/>
        <stp>BDH|14330399852578139708</stp>
        <tr r="W25" s="26"/>
      </tp>
      <tp t="e">
        <v>#N/A</v>
        <stp/>
        <stp>BDH|15800880224137871552</stp>
        <tr r="E43" s="24"/>
      </tp>
      <tp t="e">
        <v>#N/A</v>
        <stp/>
        <stp>BDH|12215539829799669162</stp>
        <tr r="J40" s="21"/>
      </tp>
      <tp t="e">
        <v>#N/A</v>
        <stp/>
        <stp>BDH|12448585598802840147</stp>
        <tr r="D13" s="22"/>
      </tp>
      <tp t="e">
        <v>#N/A</v>
        <stp/>
        <stp>BDH|17573579262699116093</stp>
        <tr r="D81" s="17"/>
      </tp>
      <tp t="e">
        <v>#N/A</v>
        <stp/>
        <stp>BDH|10981285439394053802</stp>
        <tr r="X131" s="18"/>
      </tp>
      <tp t="e">
        <v>#N/A</v>
        <stp/>
        <stp>BDH|16781174657397614897</stp>
        <tr r="M14" s="4"/>
      </tp>
      <tp t="e">
        <v>#N/A</v>
        <stp/>
        <stp>BDH|15168428798407545266</stp>
        <tr r="K93" s="18"/>
      </tp>
      <tp t="e">
        <v>#N/A</v>
        <stp/>
        <stp>BDH|16967779217818297536</stp>
        <tr r="T8" s="27"/>
      </tp>
      <tp t="e">
        <v>#N/A</v>
        <stp/>
        <stp>BDH|13288434098757724466</stp>
        <tr r="V8" s="27"/>
      </tp>
      <tp t="e">
        <v>#N/A</v>
        <stp/>
        <stp>BDH|15639804144617278389</stp>
        <tr r="H34" s="18"/>
      </tp>
      <tp t="e">
        <v>#N/A</v>
        <stp/>
        <stp>BDH|12476857557082746099</stp>
        <tr r="Q31" s="21"/>
      </tp>
      <tp t="e">
        <v>#N/A</v>
        <stp/>
        <stp>BDH|16101989432331446073</stp>
        <tr r="N41" s="17"/>
      </tp>
      <tp t="e">
        <v>#N/A</v>
        <stp/>
        <stp>BDH|18361648881542990971</stp>
        <tr r="T107" s="18"/>
      </tp>
      <tp t="e">
        <v>#N/A</v>
        <stp/>
        <stp>BDH|15718294834421255807</stp>
        <tr r="D11" s="3"/>
      </tp>
      <tp t="e">
        <v>#N/A</v>
        <stp/>
        <stp>BDH|13197524788953673050</stp>
        <tr r="I15" s="6"/>
      </tp>
      <tp t="e">
        <v>#N/A</v>
        <stp/>
        <stp>BDH|11588707378059091550</stp>
        <tr r="C18" s="10"/>
      </tp>
      <tp t="e">
        <v>#N/A</v>
        <stp/>
        <stp>BDH|10794262400909910605</stp>
        <tr r="T31" s="12"/>
      </tp>
      <tp t="e">
        <v>#N/A</v>
        <stp/>
        <stp>BDH|10303537282027370796</stp>
        <tr r="Q24" s="21"/>
      </tp>
      <tp t="e">
        <v>#N/A</v>
        <stp/>
        <stp>BDH|11935925231634077223</stp>
        <tr r="C122" s="18"/>
      </tp>
      <tp t="e">
        <v>#N/A</v>
        <stp/>
        <stp>BDH|12469569118509112200</stp>
        <tr r="AA66" s="18"/>
      </tp>
      <tp t="e">
        <v>#N/A</v>
        <stp/>
        <stp>BDH|13860619220579546375</stp>
        <tr r="M68" s="18"/>
      </tp>
      <tp t="e">
        <v>#N/A</v>
        <stp/>
        <stp>BDH|12881704305518405023</stp>
        <tr r="AA9" s="28"/>
      </tp>
      <tp t="e">
        <v>#N/A</v>
        <stp/>
        <stp>BDH|12368421763999145483</stp>
        <tr r="O29" s="10"/>
        <tr r="O27" s="11"/>
      </tp>
      <tp t="e">
        <v>#N/A</v>
        <stp/>
        <stp>BDH|16598995213232778131</stp>
        <tr r="D69" s="18"/>
      </tp>
      <tp t="e">
        <v>#N/A</v>
        <stp/>
        <stp>BDH|13581585706853927899</stp>
        <tr r="V70" s="17"/>
      </tp>
      <tp t="e">
        <v>#N/A</v>
        <stp/>
        <stp>BDH|18123477565406962119</stp>
        <tr r="P25" s="12"/>
      </tp>
      <tp t="e">
        <v>#N/A</v>
        <stp/>
        <stp>BDH|17387236700220272895</stp>
        <tr r="D10" s="23"/>
      </tp>
      <tp t="e">
        <v>#N/A</v>
        <stp/>
        <stp>BDH|15453702340988854376</stp>
        <tr r="L12" s="24"/>
      </tp>
      <tp t="e">
        <v>#N/A</v>
        <stp/>
        <stp>BDH|14708838239682518032</stp>
        <tr r="Q40" s="17"/>
        <tr r="Q9" s="25"/>
      </tp>
      <tp t="e">
        <v>#N/A</v>
        <stp/>
        <stp>BDH|14281213588574047706</stp>
        <tr r="Y8" s="24"/>
      </tp>
      <tp t="e">
        <v>#N/A</v>
        <stp/>
        <stp>BDH|14055724381342022481</stp>
        <tr r="O46" s="18"/>
      </tp>
      <tp t="e">
        <v>#N/A</v>
        <stp/>
        <stp>BDH|14829530329607122986</stp>
        <tr r="T16" s="2"/>
        <tr r="T32" s="4"/>
        <tr r="T58" s="10"/>
        <tr r="V19" s="13"/>
      </tp>
      <tp t="e">
        <v>#N/A</v>
        <stp/>
        <stp>BDH|15172405501269386588</stp>
        <tr r="I52" s="12"/>
      </tp>
      <tp t="e">
        <v>#N/A</v>
        <stp/>
        <stp>BDH|18015248577948045884</stp>
        <tr r="E39" s="10"/>
        <tr r="E37" s="11"/>
      </tp>
      <tp t="e">
        <v>#N/A</v>
        <stp/>
        <stp>BDH|16630130023440420892</stp>
        <tr r="H56" s="24"/>
      </tp>
      <tp t="e">
        <v>#N/A</v>
        <stp/>
        <stp>BDH|15506954930376315480</stp>
        <tr r="Q8" s="17"/>
      </tp>
      <tp t="e">
        <v>#N/A</v>
        <stp/>
        <stp>BDH|14088459050201923977</stp>
        <tr r="Q70" s="17"/>
      </tp>
      <tp t="e">
        <v>#N/A</v>
        <stp/>
        <stp>BDH|16122944455697800035</stp>
        <tr r="V37" s="22"/>
      </tp>
      <tp t="e">
        <v>#N/A</v>
        <stp/>
        <stp>BDH|10306625485344921761</stp>
        <tr r="AA20" s="24"/>
      </tp>
      <tp t="e">
        <v>#N/A</v>
        <stp/>
        <stp>BDH|13887980721046989334</stp>
        <tr r="X53" s="18"/>
      </tp>
      <tp t="e">
        <v>#N/A</v>
        <stp/>
        <stp>BDH|13860169993040637608</stp>
        <tr r="R40" s="21"/>
      </tp>
      <tp t="e">
        <v>#N/A</v>
        <stp/>
        <stp>BDH|16477768194082900754</stp>
        <tr r="S8" s="13"/>
      </tp>
      <tp t="e">
        <v>#N/A</v>
        <stp/>
        <stp>BDH|15799750689292217530</stp>
        <tr r="C21" s="18"/>
      </tp>
      <tp t="e">
        <v>#N/A</v>
        <stp/>
        <stp>BDH|10492733929119257167</stp>
        <tr r="M8" s="6"/>
      </tp>
      <tp t="e">
        <v>#N/A</v>
        <stp/>
        <stp>BDH|14659938746234874010</stp>
        <tr r="E14" s="8"/>
      </tp>
      <tp t="e">
        <v>#N/A</v>
        <stp/>
        <stp>BDH|11537281486867260134</stp>
        <tr r="D11" s="9"/>
      </tp>
      <tp t="e">
        <v>#N/A</v>
        <stp/>
        <stp>BDH|17098814162060113483</stp>
        <tr r="E12" s="10"/>
      </tp>
      <tp t="e">
        <v>#N/A</v>
        <stp/>
        <stp>BDH|17958268495198001903</stp>
        <tr r="J60" s="17"/>
      </tp>
      <tp t="e">
        <v>#N/A</v>
        <stp/>
        <stp>BDH|13528023066370994825</stp>
        <tr r="H79" s="17"/>
        <tr r="H20" s="3"/>
        <tr r="F6" s="7"/>
      </tp>
      <tp t="e">
        <v>#N/A</v>
        <stp/>
        <stp>BDH|10816655191126408428</stp>
        <tr r="E61" s="18"/>
      </tp>
      <tp t="e">
        <v>#N/A</v>
        <stp/>
        <stp>BDH|13364770248115036869</stp>
        <tr r="K8" s="17"/>
      </tp>
      <tp t="e">
        <v>#N/A</v>
        <stp/>
        <stp>BDH|15719036623868559286</stp>
        <tr r="Z13" s="18"/>
      </tp>
      <tp t="e">
        <v>#N/A</v>
        <stp/>
        <stp>BDH|12998533367358129468</stp>
        <tr r="V84" s="18"/>
      </tp>
      <tp t="e">
        <v>#N/A</v>
        <stp/>
        <stp>BDH|13628787085627099619</stp>
        <tr r="F51" s="18"/>
      </tp>
      <tp t="e">
        <v>#N/A</v>
        <stp/>
        <stp>BDH|11176823524974465299</stp>
        <tr r="N13" s="13"/>
      </tp>
      <tp t="e">
        <v>#N/A</v>
        <stp/>
        <stp>BDH|12569787842254364867</stp>
        <tr r="T17" s="5"/>
        <tr r="S25" s="6"/>
      </tp>
      <tp t="e">
        <v>#N/A</v>
        <stp/>
        <stp>BDH|18344397547683053171</stp>
        <tr r="Q9" s="23"/>
      </tp>
      <tp t="e">
        <v>#N/A</v>
        <stp/>
        <stp>BDH|10527966058076935786</stp>
        <tr r="U15" s="22"/>
      </tp>
      <tp t="e">
        <v>#N/A</v>
        <stp/>
        <stp>BDH|18316330865876996660</stp>
        <tr r="L18" s="17"/>
      </tp>
      <tp t="e">
        <v>#N/A</v>
        <stp/>
        <stp>BDH|14999188400180261896</stp>
        <tr r="N51" s="18"/>
      </tp>
      <tp t="e">
        <v>#N/A</v>
        <stp/>
        <stp>BDH|18392678311353704182</stp>
        <tr r="V10" s="28"/>
      </tp>
      <tp t="e">
        <v>#N/A</v>
        <stp/>
        <stp>BDH|10059848909997607212</stp>
        <tr r="S29" s="5"/>
      </tp>
      <tp t="e">
        <v>#N/A</v>
        <stp/>
        <stp>BDH|12334894451711966380</stp>
        <tr r="S23" s="10"/>
      </tp>
      <tp t="e">
        <v>#N/A</v>
        <stp/>
        <stp>BDH|11908842475480332313</stp>
        <tr r="C11" s="18"/>
      </tp>
      <tp t="e">
        <v>#N/A</v>
        <stp/>
        <stp>BDH|17368884189779068386</stp>
        <tr r="V20" s="2"/>
        <tr r="V18" s="4"/>
        <tr r="V54" s="10"/>
        <tr r="V52" s="11"/>
        <tr r="V19" s="7"/>
        <tr r="X41" s="13"/>
      </tp>
      <tp t="e">
        <v>#N/A</v>
        <stp/>
        <stp>BDH|13012820359366844593</stp>
        <tr r="K63" s="21"/>
        <tr r="I23" s="7"/>
      </tp>
      <tp t="e">
        <v>#N/A</v>
        <stp/>
        <stp>BDH|15205060400780720891</stp>
        <tr r="H8" s="4"/>
      </tp>
      <tp t="e">
        <v>#N/A</v>
        <stp/>
        <stp>BDH|13185529894851580385</stp>
        <tr r="P22" s="18"/>
      </tp>
      <tp t="e">
        <v>#N/A</v>
        <stp/>
        <stp>BDH|14369699587122405545</stp>
        <tr r="P14" s="10"/>
      </tp>
      <tp t="e">
        <v>#N/A</v>
        <stp/>
        <stp>BDH|15421597138437934918</stp>
        <tr r="F101" s="18"/>
      </tp>
      <tp t="e">
        <v>#N/A</v>
        <stp/>
        <stp>BDH|16066134084201912339</stp>
        <tr r="P59" s="17"/>
      </tp>
      <tp t="e">
        <v>#N/A</v>
        <stp/>
        <stp>BDH|12353407638419690100</stp>
        <tr r="E94" s="18"/>
      </tp>
      <tp t="e">
        <v>#N/A</v>
        <stp/>
        <stp>BDH|13432959729432239773</stp>
        <tr r="N70" s="10"/>
        <tr r="N68" s="11"/>
      </tp>
      <tp t="e">
        <v>#N/A</v>
        <stp/>
        <stp>BDH|16281917751963985460</stp>
        <tr r="Z11" s="12"/>
      </tp>
      <tp t="e">
        <v>#N/A</v>
        <stp/>
        <stp>BDH|10868541137413062868</stp>
        <tr r="J31" s="10"/>
        <tr r="J29" s="11"/>
      </tp>
      <tp t="e">
        <v>#N/A</v>
        <stp/>
        <stp>BDH|15729900079103073539</stp>
        <tr r="P47" s="12"/>
      </tp>
      <tp t="e">
        <v>#N/A</v>
        <stp/>
        <stp>BDH|15251775929764999983</stp>
        <tr r="AA44" s="21"/>
      </tp>
      <tp t="e">
        <v>#N/A</v>
        <stp/>
        <stp>BDH|17762509508798653741</stp>
        <tr r="K36" s="18"/>
      </tp>
      <tp t="e">
        <v>#N/A</v>
        <stp/>
        <stp>BDH|13959954212920000634</stp>
        <tr r="Y27" s="24"/>
      </tp>
      <tp t="e">
        <v>#N/A</v>
        <stp/>
        <stp>BDH|16716279699698243866</stp>
        <tr r="U75" s="18"/>
      </tp>
      <tp t="e">
        <v>#N/A</v>
        <stp/>
        <stp>BDH|13796353565272925936</stp>
        <tr r="Y74" s="18"/>
      </tp>
      <tp t="e">
        <v>#N/A</v>
        <stp/>
        <stp>BDH|15097205046899860731</stp>
        <tr r="V24" s="18"/>
      </tp>
      <tp t="e">
        <v>#N/A</v>
        <stp/>
        <stp>BDH|10998732409929974376</stp>
        <tr r="D52" s="17"/>
      </tp>
      <tp t="e">
        <v>#N/A</v>
        <stp/>
        <stp>BDH|13100752387270963174</stp>
        <tr r="O53" s="18"/>
      </tp>
      <tp t="e">
        <v>#N/A</v>
        <stp/>
        <stp>BDH|15340161445805894856</stp>
        <tr r="L39" s="13"/>
      </tp>
      <tp t="e">
        <v>#N/A</v>
        <stp/>
        <stp>BDH|10252530493198728986</stp>
        <tr r="H53" s="12"/>
      </tp>
      <tp t="e">
        <v>#N/A</v>
        <stp/>
        <stp>BDH|18102801675102917806</stp>
        <tr r="H7" s="8"/>
      </tp>
      <tp t="e">
        <v>#N/A</v>
        <stp/>
        <stp>BDH|15508312618439168306</stp>
        <tr r="U99" s="18"/>
      </tp>
      <tp t="e">
        <v>#N/A</v>
        <stp/>
        <stp>BDH|10059157099152507746</stp>
        <tr r="E9" s="34"/>
      </tp>
      <tp t="e">
        <v>#N/A</v>
        <stp/>
        <stp>BDH|16167354798454120500</stp>
        <tr r="U18" s="12"/>
      </tp>
      <tp t="e">
        <v>#N/A</v>
        <stp/>
        <stp>BDH|13041898127211537569</stp>
        <tr r="M29" s="21"/>
      </tp>
      <tp t="e">
        <v>#N/A</v>
        <stp/>
        <stp>BDH|12650016632819083598</stp>
        <tr r="T23" s="2"/>
        <tr r="V18" s="21"/>
        <tr r="V23" s="3"/>
      </tp>
      <tp t="e">
        <v>#N/A</v>
        <stp/>
        <stp>BDH|13569661229708596233</stp>
        <tr r="S7" s="30"/>
      </tp>
      <tp t="e">
        <v>#N/A</v>
        <stp/>
        <stp>BDH|13082288827886105821</stp>
        <tr r="I7" s="11"/>
      </tp>
      <tp t="e">
        <v>#N/A</v>
        <stp/>
        <stp>BDH|16914600164938162306</stp>
        <tr r="AA41" s="12"/>
      </tp>
      <tp t="e">
        <v>#N/A</v>
        <stp/>
        <stp>BDH|13587150444553801805</stp>
        <tr r="W39" s="4"/>
        <tr r="W62" s="10"/>
      </tp>
      <tp t="e">
        <v>#N/A</v>
        <stp/>
        <stp>BDH|11244771914812448894</stp>
        <tr r="Y24" s="21"/>
      </tp>
      <tp t="e">
        <v>#N/A</v>
        <stp/>
        <stp>BDH|11385101071572671886</stp>
        <tr r="S8" s="27"/>
      </tp>
      <tp t="e">
        <v>#N/A</v>
        <stp/>
        <stp>BDH|12576305984754494090</stp>
        <tr r="F31" s="10"/>
        <tr r="F29" s="11"/>
      </tp>
      <tp t="e">
        <v>#N/A</v>
        <stp/>
        <stp>BDH|18379601612554964649</stp>
        <tr r="W12" s="17"/>
      </tp>
      <tp t="e">
        <v>#N/A</v>
        <stp/>
        <stp>BDH|17748538399365725361</stp>
        <tr r="S17" s="11"/>
      </tp>
      <tp t="e">
        <v>#N/A</v>
        <stp/>
        <stp>BDH|15901595131527884954</stp>
        <tr r="I29" s="29"/>
        <tr r="I7" s="29"/>
      </tp>
      <tp t="e">
        <v>#N/A</v>
        <stp/>
        <stp>BDH|13116478138190535978</stp>
        <tr r="R50" s="4"/>
      </tp>
      <tp t="e">
        <v>#N/A</v>
        <stp/>
        <stp>BDH|14971957979660974702</stp>
        <tr r="F36" s="18"/>
      </tp>
      <tp t="e">
        <v>#N/A</v>
        <stp/>
        <stp>BDH|12227794970599085679</stp>
        <tr r="Q49" s="17"/>
        <tr r="Q17" s="3"/>
      </tp>
      <tp t="e">
        <v>#N/A</v>
        <stp/>
        <stp>BDH|14937126166297729964</stp>
        <tr r="F35" s="34"/>
      </tp>
      <tp t="e">
        <v>#N/A</v>
        <stp/>
        <stp>BDH|15814590656758217097</stp>
        <tr r="K66" s="12"/>
      </tp>
      <tp t="e">
        <v>#N/A</v>
        <stp/>
        <stp>BDH|13226627976246218986</stp>
        <tr r="D107" s="18"/>
      </tp>
      <tp t="e">
        <v>#N/A</v>
        <stp/>
        <stp>BDH|17722859427304189487</stp>
        <tr r="I19" s="24"/>
      </tp>
      <tp t="e">
        <v>#N/A</v>
        <stp/>
        <stp>BDH|18116745638729509845</stp>
        <tr r="I88" s="18"/>
        <tr r="I8" s="20"/>
      </tp>
      <tp t="e">
        <v>#N/A</v>
        <stp/>
        <stp>BDH|13161926977246859601</stp>
        <tr r="V62" s="12"/>
      </tp>
      <tp t="e">
        <v>#N/A</v>
        <stp/>
        <stp>BDH|10274069799942145605</stp>
        <tr r="D36" s="21"/>
      </tp>
      <tp t="e">
        <v>#N/A</v>
        <stp/>
        <stp>BDH|13219722773728803671</stp>
        <tr r="AA31" s="21"/>
      </tp>
      <tp t="e">
        <v>#N/A</v>
        <stp/>
        <stp>BDH|14306097412600133857</stp>
        <tr r="Q89" s="17"/>
        <tr r="Q7" s="27"/>
      </tp>
      <tp t="e">
        <v>#N/A</v>
        <stp/>
        <stp>BDH|13836350181422341737</stp>
        <tr r="G70" s="17"/>
      </tp>
      <tp t="e">
        <v>#N/A</v>
        <stp/>
        <stp>BDH|14686976550773950648</stp>
        <tr r="E72" s="18"/>
      </tp>
      <tp t="e">
        <v>#N/A</v>
        <stp/>
        <stp>BDH|11239459720962885800</stp>
        <tr r="J91" s="18"/>
      </tp>
      <tp t="e">
        <v>#N/A</v>
        <stp/>
        <stp>BDH|13557478038508729121</stp>
        <tr r="AA26" s="18"/>
      </tp>
      <tp t="e">
        <v>#N/A</v>
        <stp/>
        <stp>BDH|11602114936648908679</stp>
        <tr r="F9" s="22"/>
      </tp>
      <tp t="e">
        <v>#N/A</v>
        <stp/>
        <stp>BDH|12332516681052543098</stp>
        <tr r="K75" s="18"/>
      </tp>
      <tp t="e">
        <v>#N/A</v>
        <stp/>
        <stp>BDH|13857383959878517037</stp>
        <tr r="Q42" s="24"/>
      </tp>
      <tp t="e">
        <v>#N/A</v>
        <stp/>
        <stp>BDH|13237229878232789908</stp>
        <tr r="S29" s="10"/>
        <tr r="S27" s="11"/>
      </tp>
      <tp t="e">
        <v>#N/A</v>
        <stp/>
        <stp>BDH|16227588185590378637</stp>
        <tr r="J50" s="17"/>
        <tr r="J10" s="25"/>
      </tp>
      <tp t="e">
        <v>#N/A</v>
        <stp/>
        <stp>BDH|17934502952542094843</stp>
        <tr r="O34" s="12"/>
      </tp>
      <tp t="e">
        <v>#N/A</v>
        <stp/>
        <stp>BDH|10612692855137687934</stp>
        <tr r="Y14" s="22"/>
      </tp>
      <tp t="e">
        <v>#N/A</v>
        <stp/>
        <stp>BDH|14306119355765192899</stp>
        <tr r="V38" s="13"/>
      </tp>
      <tp t="e">
        <v>#N/A</v>
        <stp/>
        <stp>BDH|10919417994297017739</stp>
        <tr r="M44" s="12"/>
      </tp>
      <tp t="e">
        <v>#N/A</v>
        <stp/>
        <stp>BDH|17695315288961190010</stp>
        <tr r="T110" s="18"/>
      </tp>
      <tp t="e">
        <v>#N/A</v>
        <stp/>
        <stp>BDH|18089354349626693451</stp>
        <tr r="V45" s="24"/>
      </tp>
      <tp t="e">
        <v>#N/A</v>
        <stp/>
        <stp>BDH|10497141496917101283</stp>
        <tr r="L12" s="17"/>
      </tp>
      <tp t="e">
        <v>#N/A</v>
        <stp/>
        <stp>BDH|13631746073179945772</stp>
        <tr r="C39" s="22"/>
      </tp>
      <tp t="e">
        <v>#N/A</v>
        <stp/>
        <stp>BDH|15737496171389472240</stp>
        <tr r="U32" s="17"/>
      </tp>
      <tp t="e">
        <v>#N/A</v>
        <stp/>
        <stp>BDH|14892475333366264818</stp>
        <tr r="Q43" s="12"/>
      </tp>
      <tp t="e">
        <v>#N/A</v>
        <stp/>
        <stp>BDH|16469993603086502445</stp>
        <tr r="T63" s="10"/>
      </tp>
      <tp t="e">
        <v>#N/A</v>
        <stp/>
        <stp>BDH|18172241514583727596</stp>
        <tr r="K47" s="12"/>
      </tp>
      <tp t="e">
        <v>#N/A</v>
        <stp/>
        <stp>BDH|16435719689014196024</stp>
        <tr r="I11" s="24"/>
      </tp>
      <tp t="e">
        <v>#N/A</v>
        <stp/>
        <stp>BDH|12272004269308017146</stp>
        <tr r="C60" s="24"/>
      </tp>
      <tp t="e">
        <v>#N/A</v>
        <stp/>
        <stp>BDH|17418168646489836638</stp>
        <tr r="P79" s="18"/>
      </tp>
      <tp t="e">
        <v>#N/A</v>
        <stp/>
        <stp>BDH|13767501434740507895</stp>
        <tr r="AA62" s="12"/>
      </tp>
      <tp t="e">
        <v>#N/A</v>
        <stp/>
        <stp>BDH|17365628825986208893</stp>
        <tr r="Y16" s="30"/>
      </tp>
      <tp t="e">
        <v>#N/A</v>
        <stp/>
        <stp>BDH|10468281211688593663</stp>
        <tr r="S122" s="18"/>
      </tp>
      <tp t="e">
        <v>#N/A</v>
        <stp/>
        <stp>BDH|10283693621069453005</stp>
        <tr r="M27" s="17"/>
      </tp>
      <tp t="e">
        <v>#N/A</v>
        <stp/>
        <stp>BDH|13950738994048924895</stp>
        <tr r="C119" s="18"/>
      </tp>
      <tp t="e">
        <v>#N/A</v>
        <stp/>
        <stp>BDH|14284005594197862703</stp>
        <tr r="L54" s="17"/>
      </tp>
      <tp t="e">
        <v>#N/A</v>
        <stp/>
        <stp>BDH|16662298078038898618</stp>
        <tr r="S38" s="13"/>
      </tp>
      <tp t="e">
        <v>#N/A</v>
        <stp/>
        <stp>BDH|14889945573517736064</stp>
        <tr r="V42" s="24"/>
      </tp>
      <tp t="e">
        <v>#N/A</v>
        <stp/>
        <stp>BDH|16893861657167267152</stp>
        <tr r="Y42" s="4"/>
      </tp>
      <tp t="e">
        <v>#N/A</v>
        <stp/>
        <stp>BDH|12523877579686074657</stp>
        <tr r="V57" s="24"/>
      </tp>
      <tp t="e">
        <v>#N/A</v>
        <stp/>
        <stp>BDH|13943457488631333395</stp>
        <tr r="C20" s="18"/>
      </tp>
      <tp t="e">
        <v>#N/A</v>
        <stp/>
        <stp>BDH|14806640096535316376</stp>
        <tr r="G7" s="24"/>
      </tp>
      <tp t="e">
        <v>#N/A</v>
        <stp/>
        <stp>BDH|12528547991196976572</stp>
        <tr r="F27" s="21"/>
      </tp>
      <tp t="e">
        <v>#N/A</v>
        <stp/>
        <stp>BDH|13667654409930528819</stp>
        <tr r="T6" s="6"/>
      </tp>
      <tp t="e">
        <v>#N/A</v>
        <stp/>
        <stp>BDH|16268184707459433372</stp>
        <tr r="C16" s="10"/>
      </tp>
      <tp t="e">
        <v>#N/A</v>
        <stp/>
        <stp>BDH|18324682743612438522</stp>
        <tr r="D45" s="24"/>
      </tp>
      <tp t="e">
        <v>#N/A</v>
        <stp/>
        <stp>BDH|16812654733238905690</stp>
        <tr r="E46" s="4"/>
        <tr r="E25" s="10"/>
        <tr r="G27" s="13"/>
      </tp>
      <tp t="e">
        <v>#N/A</v>
        <stp/>
        <stp>BDH|10968100337159969697</stp>
        <tr r="Y16" s="11"/>
      </tp>
      <tp t="e">
        <v>#N/A</v>
        <stp/>
        <stp>BDH|10833960228631030780</stp>
        <tr r="W7" s="23"/>
      </tp>
      <tp t="e">
        <v>#N/A</v>
        <stp/>
        <stp>BDH|12951624957924046829</stp>
        <tr r="H33" s="17"/>
      </tp>
      <tp t="e">
        <v>#N/A</v>
        <stp/>
        <stp>BDH|13905605180681414137</stp>
        <tr r="L51" s="12"/>
      </tp>
      <tp t="e">
        <v>#N/A</v>
        <stp/>
        <stp>BDH|10575120895714937156</stp>
        <tr r="D39" s="12"/>
      </tp>
      <tp t="e">
        <v>#N/A</v>
        <stp/>
        <stp>BDH|11504020192137222296</stp>
        <tr r="Q36" s="22"/>
      </tp>
      <tp t="e">
        <v>#N/A</v>
        <stp/>
        <stp>BDH|15341116560478504793</stp>
        <tr r="T9" s="12"/>
      </tp>
      <tp t="e">
        <v>#N/A</v>
        <stp/>
        <stp>BDH|16556920155577910055</stp>
        <tr r="M58" s="17"/>
      </tp>
      <tp t="e">
        <v>#N/A</v>
        <stp/>
        <stp>BDH|13691006306983145209</stp>
        <tr r="X19" s="6"/>
      </tp>
      <tp t="e">
        <v>#N/A</v>
        <stp/>
        <stp>BDH|11485407759656457487</stp>
        <tr r="P33" s="13"/>
      </tp>
      <tp t="e">
        <v>#N/A</v>
        <stp/>
        <stp>BDH|18290826006986656419</stp>
        <tr r="V41" s="17"/>
      </tp>
      <tp t="e">
        <v>#N/A</v>
        <stp/>
        <stp>BDH|17591944585277619334</stp>
        <tr r="Z16" s="24"/>
      </tp>
      <tp t="e">
        <v>#N/A</v>
        <stp/>
        <stp>BDH|17194515017326174772</stp>
        <tr r="Z37" s="18"/>
      </tp>
      <tp t="e">
        <v>#N/A</v>
        <stp/>
        <stp>BDH|13643229400166433516</stp>
        <tr r="F64" s="12"/>
      </tp>
      <tp t="e">
        <v>#N/A</v>
        <stp/>
        <stp>BDH|14403073045555572729</stp>
        <tr r="I66" s="12"/>
      </tp>
      <tp t="e">
        <v>#N/A</v>
        <stp/>
        <stp>BDH|15800442422113991262</stp>
        <tr r="U39" s="10"/>
        <tr r="U37" s="11"/>
      </tp>
      <tp t="e">
        <v>#N/A</v>
        <stp/>
        <stp>BDH|17860187541846565657</stp>
        <tr r="I128" s="18"/>
      </tp>
      <tp t="e">
        <v>#N/A</v>
        <stp/>
        <stp>BDH|12708596166813039092</stp>
        <tr r="G10" s="17"/>
      </tp>
      <tp t="e">
        <v>#N/A</v>
        <stp/>
        <stp>BDH|14905527918246228408</stp>
        <tr r="V69" s="10"/>
        <tr r="V67" s="11"/>
      </tp>
      <tp t="e">
        <v>#N/A</v>
        <stp/>
        <stp>BDH|10100317355043719738</stp>
        <tr r="U50" s="18"/>
      </tp>
      <tp t="e">
        <v>#N/A</v>
        <stp/>
        <stp>BDH|13017019050457369334</stp>
        <tr r="M53" s="18"/>
      </tp>
      <tp t="e">
        <v>#N/A</v>
        <stp/>
        <stp>BDH|16848553446683985637</stp>
        <tr r="F31" s="34"/>
      </tp>
      <tp t="e">
        <v>#N/A</v>
        <stp/>
        <stp>BDH|13834433737317492194</stp>
        <tr r="W64" s="17"/>
        <tr r="W18" s="3"/>
      </tp>
      <tp t="e">
        <v>#N/A</v>
        <stp/>
        <stp>BDH|12859690678933867207</stp>
        <tr r="G54" s="24"/>
      </tp>
      <tp t="e">
        <v>#N/A</v>
        <stp/>
        <stp>BDH|11768324997760282910</stp>
        <tr r="X26" s="22"/>
      </tp>
      <tp t="e">
        <v>#N/A</v>
        <stp/>
        <stp>BDH|16191957057848730058</stp>
        <tr r="H28" s="4"/>
      </tp>
      <tp t="e">
        <v>#N/A</v>
        <stp/>
        <stp>BDH|15315730316875209455</stp>
        <tr r="H12" s="24"/>
      </tp>
      <tp t="e">
        <v>#N/A</v>
        <stp/>
        <stp>BDH|12391179994161247936</stp>
        <tr r="G37" s="34"/>
      </tp>
      <tp t="e">
        <v>#N/A</v>
        <stp/>
        <stp>BDH|14757225282065469925</stp>
        <tr r="Y47" s="21"/>
      </tp>
      <tp t="e">
        <v>#N/A</v>
        <stp/>
        <stp>BDH|10506101657722317404</stp>
        <tr r="P62" s="12"/>
      </tp>
      <tp t="e">
        <v>#N/A</v>
        <stp/>
        <stp>BDH|11678771514592275767</stp>
        <tr r="Q56" s="24"/>
      </tp>
      <tp t="e">
        <v>#N/A</v>
        <stp/>
        <stp>BDH|15269397519360375504</stp>
        <tr r="W20" s="17"/>
      </tp>
      <tp t="e">
        <v>#N/A</v>
        <stp/>
        <stp>BDH|11937923489754423674</stp>
        <tr r="I16" s="21"/>
      </tp>
      <tp t="e">
        <v>#N/A</v>
        <stp/>
        <stp>BDH|12279535355090755026</stp>
        <tr r="K8" s="26"/>
        <tr r="I10" s="9"/>
      </tp>
      <tp t="e">
        <v>#N/A</v>
        <stp/>
        <stp>BDH|17217079953683390346</stp>
        <tr r="N105" s="18"/>
      </tp>
      <tp t="e">
        <v>#N/A</v>
        <stp/>
        <stp>BDH|11905094862370671550</stp>
        <tr r="V50" s="18"/>
      </tp>
      <tp t="e">
        <v>#N/A</v>
        <stp/>
        <stp>BDH|10683058239961291090</stp>
        <tr r="L15" s="12"/>
      </tp>
      <tp t="e">
        <v>#N/A</v>
        <stp/>
        <stp>BDH|12579215235246579757</stp>
        <tr r="Y67" s="10"/>
        <tr r="Y65" s="11"/>
      </tp>
      <tp t="e">
        <v>#N/A</v>
        <stp/>
        <stp>BDH|14601349405612792716</stp>
        <tr r="P65" s="17"/>
        <tr r="N8" s="5"/>
        <tr r="N8" s="9"/>
      </tp>
      <tp t="e">
        <v>#N/A</v>
        <stp/>
        <stp>BDH|11631521013572619500</stp>
        <tr r="T17" s="12"/>
      </tp>
      <tp t="e">
        <v>#N/A</v>
        <stp/>
        <stp>BDH|17180705517913059074</stp>
        <tr r="G13" s="14"/>
      </tp>
      <tp t="e">
        <v>#N/A</v>
        <stp/>
        <stp>BDH|15032566772230602532</stp>
        <tr r="P15" s="6"/>
      </tp>
      <tp t="e">
        <v>#N/A</v>
        <stp/>
        <stp>BDH|12754132922365369647</stp>
        <tr r="T40" s="29"/>
      </tp>
      <tp t="e">
        <v>#N/A</v>
        <stp/>
        <stp>BDH|15494940315766287962</stp>
        <tr r="J23" s="24"/>
      </tp>
      <tp t="e">
        <v>#N/A</v>
        <stp/>
        <stp>BDH|14005297052269370896</stp>
        <tr r="C63" s="17"/>
      </tp>
      <tp t="e">
        <v>#N/A</v>
        <stp/>
        <stp>BDH|16381156148457935673</stp>
        <tr r="H91" s="18"/>
      </tp>
      <tp t="e">
        <v>#N/A</v>
        <stp/>
        <stp>BDH|12645553601195699045</stp>
        <tr r="N29" s="29"/>
        <tr r="N7" s="29"/>
      </tp>
      <tp t="e">
        <v>#N/A</v>
        <stp/>
        <stp>BDH|15125415572825715157</stp>
        <tr r="V33" s="10"/>
        <tr r="V31" s="11"/>
        <tr r="X31" s="13"/>
      </tp>
      <tp t="e">
        <v>#N/A</v>
        <stp/>
        <stp>BDH|13957987595586185757</stp>
        <tr r="AA9" s="22"/>
      </tp>
      <tp t="e">
        <v>#N/A</v>
        <stp/>
        <stp>BDH|16577541468842058593</stp>
        <tr r="Z31" s="18"/>
      </tp>
      <tp t="e">
        <v>#N/A</v>
        <stp/>
        <stp>BDH|16060129636244603222</stp>
        <tr r="M57" s="17"/>
      </tp>
      <tp t="e">
        <v>#N/A</v>
        <stp/>
        <stp>BDH|15832117509995504350</stp>
        <tr r="T20" s="29"/>
      </tp>
      <tp t="e">
        <v>#N/A</v>
        <stp/>
        <stp>BDH|15864037671947360793</stp>
        <tr r="G53" s="17"/>
      </tp>
      <tp t="e">
        <v>#N/A</v>
        <stp/>
        <stp>BDH|12415024204909490969</stp>
        <tr r="F28" s="4"/>
      </tp>
      <tp t="e">
        <v>#N/A</v>
        <stp/>
        <stp>BDH|10964928933798142091</stp>
        <tr r="O21" s="12"/>
      </tp>
      <tp t="e">
        <v>#N/A</v>
        <stp/>
        <stp>BDH|17188286077536859662</stp>
        <tr r="C28" s="4"/>
      </tp>
      <tp t="e">
        <v>#N/A</v>
        <stp/>
        <stp>BDH|16450725957416357022</stp>
        <tr r="F11" s="9"/>
      </tp>
      <tp t="e">
        <v>#N/A</v>
        <stp/>
        <stp>BDH|16179211597106436937</stp>
        <tr r="I18" s="17"/>
      </tp>
      <tp t="e">
        <v>#N/A</v>
        <stp/>
        <stp>BDH|14548638435486694552</stp>
        <tr r="V10" s="18"/>
      </tp>
      <tp t="e">
        <v>#N/A</v>
        <stp/>
        <stp>BDH|14459572233419206921</stp>
        <tr r="O88" s="18"/>
        <tr r="O8" s="20"/>
      </tp>
      <tp t="e">
        <v>#N/A</v>
        <stp/>
        <stp>BDH|17543088875864823604</stp>
        <tr r="AA17" s="21"/>
      </tp>
      <tp t="e">
        <v>#N/A</v>
        <stp/>
        <stp>BDH|17012678040414370348</stp>
        <tr r="V34" s="18"/>
      </tp>
      <tp t="e">
        <v>#N/A</v>
        <stp/>
        <stp>BDH|16307715630389434964</stp>
        <tr r="D36" s="10"/>
        <tr r="D34" s="11"/>
      </tp>
      <tp t="e">
        <v>#N/A</v>
        <stp/>
        <stp>BDH|14526514643916669118</stp>
        <tr r="J42" s="21"/>
      </tp>
      <tp t="e">
        <v>#N/A</v>
        <stp/>
        <stp>BDH|15447626356275538152</stp>
        <tr r="M42" s="24"/>
      </tp>
      <tp t="e">
        <v>#N/A</v>
        <stp/>
        <stp>BDH|17741193368326616404</stp>
        <tr r="K69" s="17"/>
      </tp>
      <tp t="e">
        <v>#N/A</v>
        <stp/>
        <stp>BDH|12153125236214524600</stp>
        <tr r="N61" s="18"/>
      </tp>
      <tp t="e">
        <v>#N/A</v>
        <stp/>
        <stp>BDH|17937730967073828751</stp>
        <tr r="I30" s="29"/>
        <tr r="I8" s="29"/>
      </tp>
      <tp t="e">
        <v>#N/A</v>
        <stp/>
        <stp>BDH|17428414241204617122</stp>
        <tr r="R16" s="24"/>
      </tp>
      <tp t="e">
        <v>#N/A</v>
        <stp/>
        <stp>BDH|15276759213837759634</stp>
        <tr r="AA60" s="12"/>
      </tp>
      <tp t="e">
        <v>#N/A</v>
        <stp/>
        <stp>BDH|15224813975620183879</stp>
        <tr r="I7" s="4"/>
      </tp>
      <tp t="e">
        <v>#N/A</v>
        <stp/>
        <stp>BDH|10936973756149061781</stp>
        <tr r="W70" s="18"/>
      </tp>
      <tp t="e">
        <v>#N/A</v>
        <stp/>
        <stp>BDH|10399888148528556664</stp>
        <tr r="U12" s="30"/>
      </tp>
      <tp t="e">
        <v>#N/A</v>
        <stp/>
        <stp>BDH|12600334176074779047</stp>
        <tr r="T8" s="13"/>
      </tp>
      <tp t="e">
        <v>#N/A</v>
        <stp/>
        <stp>BDH|12934198902279857896</stp>
        <tr r="L72" s="17"/>
      </tp>
      <tp t="e">
        <v>#N/A</v>
        <stp/>
        <stp>BDH|11233724251105389414</stp>
        <tr r="I32" s="25"/>
        <tr r="I7" s="3"/>
        <tr r="G19" s="11"/>
        <tr r="I22" s="13"/>
        <tr r="I7" s="13"/>
      </tp>
      <tp t="e">
        <v>#N/A</v>
        <stp/>
        <stp>BDH|14788731026371313222</stp>
        <tr r="M18" s="5"/>
        <tr r="L31" s="6"/>
      </tp>
      <tp t="e">
        <v>#N/A</v>
        <stp/>
        <stp>BDH|11724159997413734814</stp>
        <tr r="D66" s="12"/>
      </tp>
      <tp t="e">
        <v>#N/A</v>
        <stp/>
        <stp>BDH|17472042014924574023</stp>
        <tr r="C13" s="20"/>
      </tp>
      <tp t="e">
        <v>#N/A</v>
        <stp/>
        <stp>BDH|15198866523984309949</stp>
        <tr r="C26" s="18"/>
      </tp>
      <tp t="e">
        <v>#N/A</v>
        <stp/>
        <stp>BDH|12991847642385550997</stp>
        <tr r="E34" s="18"/>
      </tp>
      <tp t="e">
        <v>#N/A</v>
        <stp/>
        <stp>BDH|10969392048100381582</stp>
        <tr r="S10" s="29"/>
        <tr r="S19" s="29"/>
        <tr r="S25" s="29"/>
        <tr r="Q6" s="5"/>
        <tr r="Q6" s="2"/>
        <tr r="Q6" s="9"/>
        <tr r="R12" s="8"/>
      </tp>
      <tp t="e">
        <v>#N/A</v>
        <stp/>
        <stp>BDH|12455373658201889703</stp>
        <tr r="K25" s="2"/>
        <tr r="M61" s="21"/>
      </tp>
      <tp t="e">
        <v>#N/A</v>
        <stp/>
        <stp>BDH|16827092014655303059</stp>
        <tr r="V62" s="11"/>
        <tr r="X19" s="23"/>
      </tp>
      <tp t="e">
        <v>#N/A</v>
        <stp/>
        <stp>BDH|17518534567851651746</stp>
        <tr r="S16" s="30"/>
      </tp>
      <tp t="e">
        <v>#N/A</v>
        <stp/>
        <stp>BDH|17829708018467441477</stp>
        <tr r="G49" s="24"/>
      </tp>
      <tp t="e">
        <v>#N/A</v>
        <stp/>
        <stp>BDH|11398803585343738027</stp>
        <tr r="H30" s="26"/>
      </tp>
      <tp t="e">
        <v>#N/A</v>
        <stp/>
        <stp>BDH|13086323126817197766</stp>
        <tr r="M13" s="24"/>
      </tp>
      <tp t="e">
        <v>#N/A</v>
        <stp/>
        <stp>BDH|15201908327495397956</stp>
        <tr r="I21" s="2"/>
      </tp>
      <tp t="e">
        <v>#N/A</v>
        <stp/>
        <stp>BDH|17886192473962234133</stp>
        <tr r="D35" s="22"/>
      </tp>
      <tp t="e">
        <v>#N/A</v>
        <stp/>
        <stp>BDH|12939813885326952674</stp>
        <tr r="J8" s="11"/>
      </tp>
      <tp t="e">
        <v>#N/A</v>
        <stp/>
        <stp>BDH|11248400526095174061</stp>
        <tr r="W12" s="21"/>
      </tp>
      <tp t="e">
        <v>#N/A</v>
        <stp/>
        <stp>BDH|15350766135042277116</stp>
        <tr r="L56" s="12"/>
      </tp>
      <tp t="e">
        <v>#N/A</v>
        <stp/>
        <stp>BDH|16661252113287107027</stp>
        <tr r="F12" s="13"/>
      </tp>
      <tp t="e">
        <v>#N/A</v>
        <stp/>
        <stp>BDH|10248239356506000349</stp>
        <tr r="T95" s="18"/>
      </tp>
      <tp t="e">
        <v>#N/A</v>
        <stp/>
        <stp>BDH|15230724247686540214</stp>
        <tr r="V14" s="29"/>
        <tr r="V23" s="29"/>
        <tr r="V34" s="29"/>
      </tp>
      <tp t="e">
        <v>#N/A</v>
        <stp/>
        <stp>BDH|12143346965592015736</stp>
        <tr r="M8" s="17"/>
      </tp>
      <tp t="e">
        <v>#N/A</v>
        <stp/>
        <stp>BDH|11126083907425503682</stp>
        <tr r="U35" s="10"/>
        <tr r="U33" s="11"/>
      </tp>
      <tp t="e">
        <v>#N/A</v>
        <stp/>
        <stp>BDH|12385208920085700577</stp>
        <tr r="V9" s="12"/>
      </tp>
      <tp t="e">
        <v>#N/A</v>
        <stp/>
        <stp>BDH|13357451478160912243</stp>
        <tr r="D42" s="12"/>
      </tp>
      <tp t="e">
        <v>#N/A</v>
        <stp/>
        <stp>BDH|17353073332760461610</stp>
        <tr r="D9" s="12"/>
      </tp>
      <tp t="e">
        <v>#N/A</v>
        <stp/>
        <stp>BDH|10751312602989298851</stp>
        <tr r="O63" s="12"/>
      </tp>
      <tp t="e">
        <v>#N/A</v>
        <stp/>
        <stp>BDH|11440067726422327343</stp>
        <tr r="N7" s="34"/>
      </tp>
      <tp t="e">
        <v>#N/A</v>
        <stp/>
        <stp>BDH|16284001771792833188</stp>
        <tr r="R19" s="26"/>
      </tp>
      <tp t="e">
        <v>#N/A</v>
        <stp/>
        <stp>BDH|17166101553084073515</stp>
        <tr r="F28" s="22"/>
      </tp>
      <tp t="e">
        <v>#N/A</v>
        <stp/>
        <stp>BDH|14851767655776055285</stp>
        <tr r="V34" s="6"/>
        <tr r="X9" s="8"/>
      </tp>
      <tp t="e">
        <v>#N/A</v>
        <stp/>
        <stp>BDH|14280457937893007232</stp>
        <tr r="K131" s="18"/>
      </tp>
      <tp t="e">
        <v>#N/A</v>
        <stp/>
        <stp>BDH|12912717154433656192</stp>
        <tr r="J40" s="17"/>
        <tr r="J9" s="25"/>
      </tp>
      <tp t="e">
        <v>#N/A</v>
        <stp/>
        <stp>BDH|14216377304742621747</stp>
        <tr r="E53" s="17"/>
      </tp>
      <tp t="e">
        <v>#N/A</v>
        <stp/>
        <stp>BDH|10184753120504408325</stp>
        <tr r="H7" s="2"/>
        <tr r="H7" s="5"/>
        <tr r="H7" s="9"/>
        <tr r="J14" s="3"/>
      </tp>
      <tp t="e">
        <v>#N/A</v>
        <stp/>
        <stp>BDH|11482673740395409453</stp>
        <tr r="J40" s="6"/>
      </tp>
      <tp t="e">
        <v>#N/A</v>
        <stp/>
        <stp>BDH|16868640269876078272</stp>
        <tr r="O45" s="12"/>
      </tp>
      <tp t="e">
        <v>#N/A</v>
        <stp/>
        <stp>BDH|13006417654592394242</stp>
        <tr r="S93" s="18"/>
      </tp>
      <tp t="e">
        <v>#N/A</v>
        <stp/>
        <stp>BDH|18294212392472314307</stp>
        <tr r="AA23" s="21"/>
      </tp>
      <tp t="e">
        <v>#N/A</v>
        <stp/>
        <stp>BDH|15472648923552636171</stp>
        <tr r="E19" s="22"/>
      </tp>
      <tp t="e">
        <v>#N/A</v>
        <stp/>
        <stp>BDH|15708413416931313314</stp>
        <tr r="N6" s="15"/>
        <tr r="N12" s="2"/>
        <tr r="N11" s="4"/>
        <tr r="N6" s="10"/>
      </tp>
      <tp t="e">
        <v>#N/A</v>
        <stp/>
        <stp>BDH|17691859664448720329</stp>
        <tr r="P18" s="5"/>
        <tr r="O31" s="6"/>
      </tp>
      <tp t="e">
        <v>#N/A</v>
        <stp/>
        <stp>BDH|10753229854626705344</stp>
        <tr r="W17" s="21"/>
      </tp>
      <tp t="e">
        <v>#N/A</v>
        <stp/>
        <stp>BDH|15958986903529015709</stp>
        <tr r="V40" s="12"/>
      </tp>
      <tp t="e">
        <v>#N/A</v>
        <stp/>
        <stp>BDH|17427304852585696624</stp>
        <tr r="Q124" s="18"/>
      </tp>
      <tp t="e">
        <v>#N/A</v>
        <stp/>
        <stp>BDH|16625217256771169229</stp>
        <tr r="T28" s="10"/>
        <tr r="T26" s="11"/>
      </tp>
      <tp t="e">
        <v>#N/A</v>
        <stp/>
        <stp>BDH|11540178521542056211</stp>
        <tr r="G41" s="18"/>
      </tp>
      <tp t="e">
        <v>#N/A</v>
        <stp/>
        <stp>BDH|15565918717847226839</stp>
        <tr r="O53" s="17"/>
      </tp>
      <tp t="e">
        <v>#N/A</v>
        <stp/>
        <stp>BDH|11088348744907122337</stp>
        <tr r="D21" s="2"/>
      </tp>
      <tp t="e">
        <v>#N/A</v>
        <stp/>
        <stp>BDH|14286380757274828474</stp>
        <tr r="K37" s="22"/>
      </tp>
      <tp t="e">
        <v>#N/A</v>
        <stp/>
        <stp>BDH|14894058975319294887</stp>
        <tr r="S39" s="24"/>
      </tp>
      <tp t="e">
        <v>#N/A</v>
        <stp/>
        <stp>BDH|10935166742741600691</stp>
        <tr r="H49" s="17"/>
        <tr r="H17" s="3"/>
      </tp>
      <tp t="e">
        <v>#N/A</v>
        <stp/>
        <stp>BDH|16997027932556217198</stp>
        <tr r="AA48" s="18"/>
      </tp>
      <tp t="e">
        <v>#N/A</v>
        <stp/>
        <stp>BDH|11987560377446889726</stp>
        <tr r="L74" s="18"/>
      </tp>
      <tp t="e">
        <v>#N/A</v>
        <stp/>
        <stp>BDH|10998587473544100419</stp>
        <tr r="N16" s="10"/>
      </tp>
      <tp t="e">
        <v>#N/A</v>
        <stp/>
        <stp>BDH|15189782919850782158</stp>
        <tr r="P17" s="24"/>
      </tp>
      <tp t="e">
        <v>#N/A</v>
        <stp/>
        <stp>BDH|14013684247724525082</stp>
        <tr r="P15" s="13"/>
      </tp>
      <tp t="e">
        <v>#N/A</v>
        <stp/>
        <stp>BDH|10578534803045734202</stp>
        <tr r="G54" s="21"/>
      </tp>
      <tp t="e">
        <v>#N/A</v>
        <stp/>
        <stp>BDH|12938823989402011207</stp>
        <tr r="T59" s="18"/>
      </tp>
      <tp t="e">
        <v>#N/A</v>
        <stp/>
        <stp>BDH|15675114892206386948</stp>
        <tr r="Q16" s="17"/>
        <tr r="Q19" s="28"/>
      </tp>
      <tp t="e">
        <v>#N/A</v>
        <stp/>
        <stp>BDH|11975197466424054040</stp>
        <tr r="X7" s="4"/>
      </tp>
      <tp t="e">
        <v>#N/A</v>
        <stp/>
        <stp>BDH|11172270570447629121</stp>
        <tr r="Z18" s="29"/>
        <tr r="Z38" s="29"/>
      </tp>
      <tp t="e">
        <v>#N/A</v>
        <stp/>
        <stp>BDH|14223665896479666065</stp>
        <tr r="K29" s="5"/>
      </tp>
      <tp t="e">
        <v>#N/A</v>
        <stp/>
        <stp>BDH|15810165188329229765</stp>
        <tr r="F21" s="2"/>
      </tp>
      <tp t="e">
        <v>#N/A</v>
        <stp/>
        <stp>BDH|14684168543732149104</stp>
        <tr r="S33" s="21"/>
      </tp>
      <tp t="e">
        <v>#N/A</v>
        <stp/>
        <stp>BDH|14228057013382027563</stp>
        <tr r="N99" s="18"/>
      </tp>
      <tp t="e">
        <v>#N/A</v>
        <stp/>
        <stp>BDH|13562345619440941334</stp>
        <tr r="U63" s="10"/>
      </tp>
      <tp t="e">
        <v>#N/A</v>
        <stp/>
        <stp>BDH|11012215634813681112</stp>
        <tr r="M129" s="18"/>
      </tp>
      <tp t="e">
        <v>#N/A</v>
        <stp/>
        <stp>BDH|14688289769106142441</stp>
        <tr r="X43" s="12"/>
      </tp>
      <tp t="e">
        <v>#N/A</v>
        <stp/>
        <stp>BDH|15965246958390423035</stp>
        <tr r="Y32" s="18"/>
      </tp>
      <tp t="e">
        <v>#N/A</v>
        <stp/>
        <stp>BDH|14203077123432715649</stp>
        <tr r="S23" s="21"/>
      </tp>
      <tp t="e">
        <v>#N/A</v>
        <stp/>
        <stp>BDH|12053258274773233663</stp>
        <tr r="K15" s="10"/>
      </tp>
      <tp t="e">
        <v>#N/A</v>
        <stp/>
        <stp>BDH|14652024922923294718</stp>
        <tr r="T44" s="12"/>
      </tp>
      <tp t="e">
        <v>#N/A</v>
        <stp/>
        <stp>BDH|13596334990433567866</stp>
        <tr r="F14" s="6"/>
      </tp>
      <tp t="e">
        <v>#N/A</v>
        <stp/>
        <stp>BDH|14352582852293990555</stp>
        <tr r="J29" s="21"/>
      </tp>
      <tp t="e">
        <v>#N/A</v>
        <stp/>
        <stp>BDH|11698000178426877232</stp>
        <tr r="N70" s="18"/>
      </tp>
      <tp t="e">
        <v>#N/A</v>
        <stp/>
        <stp>BDH|16140503646183372619</stp>
        <tr r="I63" s="10"/>
      </tp>
      <tp t="e">
        <v>#N/A</v>
        <stp/>
        <stp>BDH|14982523450764852261</stp>
        <tr r="X22" s="5"/>
      </tp>
      <tp t="e">
        <v>#N/A</v>
        <stp/>
        <stp>BDH|16209116599975677997</stp>
        <tr r="X36" s="21"/>
      </tp>
      <tp t="e">
        <v>#N/A</v>
        <stp/>
        <stp>BDH|15915415018995216773</stp>
        <tr r="V14" s="6"/>
      </tp>
      <tp t="e">
        <v>#N/A</v>
        <stp/>
        <stp>BDH|16842641071304013188</stp>
        <tr r="M55" s="17"/>
      </tp>
      <tp t="e">
        <v>#N/A</v>
        <stp/>
        <stp>BDH|16498534172734515255</stp>
        <tr r="S19" s="10"/>
        <tr r="U16" s="13"/>
        <tr r="U23" s="13"/>
      </tp>
      <tp t="e">
        <v>#N/A</v>
        <stp/>
        <stp>BDH|14684156370273300351</stp>
        <tr r="D29" s="9"/>
      </tp>
      <tp t="e">
        <v>#N/A</v>
        <stp/>
        <stp>BDH|12549410069590985215</stp>
        <tr r="U8" s="10"/>
      </tp>
      <tp t="e">
        <v>#N/A</v>
        <stp/>
        <stp>BDH|14836173232207929313</stp>
        <tr r="U61" s="18"/>
      </tp>
      <tp t="e">
        <v>#N/A</v>
        <stp/>
        <stp>BDH|15688908993197820080</stp>
        <tr r="Q9" s="18"/>
      </tp>
      <tp t="e">
        <v>#N/A</v>
        <stp/>
        <stp>BDH|13076607761899022849</stp>
        <tr r="T82" s="18"/>
      </tp>
      <tp t="e">
        <v>#N/A</v>
        <stp/>
        <stp>BDH|11322316522564246676</stp>
        <tr r="W27" s="18"/>
      </tp>
      <tp t="e">
        <v>#N/A</v>
        <stp/>
        <stp>BDH|16835365929383763651</stp>
        <tr r="W29" s="22"/>
      </tp>
      <tp t="e">
        <v>#N/A</v>
        <stp/>
        <stp>BDH|14305213744618675850</stp>
        <tr r="C17" s="11"/>
      </tp>
      <tp t="e">
        <v>#N/A</v>
        <stp/>
        <stp>BDH|15645298389995101824</stp>
        <tr r="N31" s="18"/>
      </tp>
      <tp t="e">
        <v>#N/A</v>
        <stp/>
        <stp>BDH|16250188957548115898</stp>
        <tr r="X66" s="10"/>
        <tr r="X64" s="11"/>
        <tr r="X20" s="7"/>
      </tp>
      <tp t="e">
        <v>#N/A</v>
        <stp/>
        <stp>BDH|10456403361668419840</stp>
        <tr r="F22" s="24"/>
      </tp>
      <tp t="e">
        <v>#N/A</v>
        <stp/>
        <stp>BDH|15053393130493960454</stp>
        <tr r="E18" s="13"/>
      </tp>
      <tp t="e">
        <v>#N/A</v>
        <stp/>
        <stp>BDH|15277252882748226527</stp>
        <tr r="T32" s="17"/>
      </tp>
      <tp t="e">
        <v>#N/A</v>
        <stp/>
        <stp>BDH|16344700495299756344</stp>
        <tr r="N11" s="6"/>
      </tp>
      <tp t="e">
        <v>#N/A</v>
        <stp/>
        <stp>BDH|12726067022961626309</stp>
        <tr r="U23" s="25"/>
        <tr r="U16" s="27"/>
      </tp>
      <tp t="e">
        <v>#N/A</v>
        <stp/>
        <stp>BDH|12673923615169755136</stp>
        <tr r="Y49" s="12"/>
      </tp>
      <tp t="e">
        <v>#N/A</v>
        <stp/>
        <stp>BDH|13537464536085738371</stp>
        <tr r="P20" s="22"/>
      </tp>
      <tp t="e">
        <v>#N/A</v>
        <stp/>
        <stp>BDH|13861911687693230396</stp>
        <tr r="T39" s="17"/>
      </tp>
      <tp t="e">
        <v>#N/A</v>
        <stp/>
        <stp>BDH|11132563631685042029</stp>
        <tr r="I13" s="29"/>
        <tr r="I22" s="29"/>
        <tr r="I33" s="29"/>
      </tp>
      <tp t="e">
        <v>#N/A</v>
        <stp/>
        <stp>BDH|12891373034084647495</stp>
        <tr r="I44" s="12"/>
      </tp>
      <tp t="e">
        <v>#N/A</v>
        <stp/>
        <stp>BDH|11715119127166338661</stp>
        <tr r="H22" s="21"/>
      </tp>
      <tp t="e">
        <v>#N/A</v>
        <stp/>
        <stp>BDH|12177461044627321748</stp>
        <tr r="M58" s="11"/>
      </tp>
      <tp t="e">
        <v>#N/A</v>
        <stp/>
        <stp>BDH|11590459996477284905</stp>
        <tr r="E26" s="6"/>
      </tp>
      <tp t="e">
        <v>#N/A</v>
        <stp/>
        <stp>BDH|11192104234254442552</stp>
        <tr r="R73" s="17"/>
        <tr r="P9" s="5"/>
        <tr r="P9" s="9"/>
      </tp>
      <tp t="e">
        <v>#N/A</v>
        <stp/>
        <stp>BDH|18298694538368147762</stp>
        <tr r="AA28" s="12"/>
      </tp>
      <tp t="e">
        <v>#N/A</v>
        <stp/>
        <stp>BDH|10789464524462563646</stp>
        <tr r="U42" s="21"/>
      </tp>
      <tp t="e">
        <v>#N/A</v>
        <stp/>
        <stp>BDH|10429188570395823103</stp>
        <tr r="L70" s="17"/>
      </tp>
      <tp t="e">
        <v>#N/A</v>
        <stp/>
        <stp>BDH|12349894008931633905</stp>
        <tr r="F10" s="24"/>
      </tp>
      <tp t="e">
        <v>#N/A</v>
        <stp/>
        <stp>BDH|11728614441757492677</stp>
        <tr r="X33" s="10"/>
        <tr r="X31" s="11"/>
        <tr r="Z31" s="13"/>
      </tp>
      <tp t="e">
        <v>#N/A</v>
        <stp/>
        <stp>BDH|15180626175343350517</stp>
        <tr r="Z9" s="17"/>
      </tp>
      <tp t="e">
        <v>#N/A</v>
        <stp/>
        <stp>BDH|10155925007182282927</stp>
        <tr r="U8" s="14"/>
      </tp>
      <tp t="e">
        <v>#N/A</v>
        <stp/>
        <stp>BDH|11491434570966715648</stp>
        <tr r="Q92" s="18"/>
      </tp>
      <tp t="e">
        <v>#N/A</v>
        <stp/>
        <stp>BDH|18110657364928429201</stp>
        <tr r="T38" s="22"/>
      </tp>
      <tp t="e">
        <v>#N/A</v>
        <stp/>
        <stp>BDH|10109749900921156409</stp>
        <tr r="G65" s="12"/>
      </tp>
      <tp t="e">
        <v>#N/A</v>
        <stp/>
        <stp>BDH|16487025610353176635</stp>
        <tr r="L7" s="24"/>
      </tp>
      <tp t="e">
        <v>#N/A</v>
        <stp/>
        <stp>BDH|18193548376218271057</stp>
        <tr r="U30" s="10"/>
        <tr r="U28" s="11"/>
      </tp>
      <tp t="e">
        <v>#N/A</v>
        <stp/>
        <stp>BDH|11239461481786327924</stp>
        <tr r="Q12" s="17"/>
      </tp>
      <tp t="e">
        <v>#N/A</v>
        <stp/>
        <stp>BDH|14241273361192219024</stp>
        <tr r="K9" s="22"/>
      </tp>
      <tp t="e">
        <v>#N/A</v>
        <stp/>
        <stp>BDH|12526870384189510970</stp>
        <tr r="X50" s="12"/>
      </tp>
      <tp t="e">
        <v>#N/A</v>
        <stp/>
        <stp>BDH|16542747592893593923</stp>
        <tr r="O74" s="17"/>
        <tr r="O19" s="3"/>
      </tp>
      <tp t="e">
        <v>#N/A</v>
        <stp/>
        <stp>BDH|10100462890817392803</stp>
        <tr r="G30" s="24"/>
      </tp>
      <tp t="e">
        <v>#N/A</v>
        <stp/>
        <stp>BDH|12410587528500206723</stp>
        <tr r="W21" s="11"/>
      </tp>
      <tp t="e">
        <v>#N/A</v>
        <stp/>
        <stp>BDH|16075535109374979571</stp>
        <tr r="R35" s="22"/>
      </tp>
      <tp t="e">
        <v>#N/A</v>
        <stp/>
        <stp>BDH|11163601496654332805</stp>
        <tr r="S63" s="18"/>
      </tp>
      <tp t="e">
        <v>#N/A</v>
        <stp/>
        <stp>BDH|16179122555365703550</stp>
        <tr r="T68" s="17"/>
      </tp>
      <tp t="e">
        <v>#N/A</v>
        <stp/>
        <stp>BDH|18049790053541617986</stp>
        <tr r="N8" s="28"/>
      </tp>
      <tp t="e">
        <v>#N/A</v>
        <stp/>
        <stp>BDH|16159808857531087825</stp>
        <tr r="L29" s="5"/>
      </tp>
      <tp t="e">
        <v>#N/A</v>
        <stp/>
        <stp>BDH|12161193165732147583</stp>
        <tr r="Z51" s="12"/>
      </tp>
      <tp t="e">
        <v>#N/A</v>
        <stp/>
        <stp>BDH|13857067079104514267</stp>
        <tr r="E28" s="21"/>
      </tp>
      <tp t="e">
        <v>#N/A</v>
        <stp/>
        <stp>BDH|13160777841841431341</stp>
        <tr r="X29" s="5"/>
      </tp>
      <tp t="e">
        <v>#N/A</v>
        <stp/>
        <stp>BDH|14988861269771440951</stp>
        <tr r="G92" s="18"/>
      </tp>
      <tp t="e">
        <v>#N/A</v>
        <stp/>
        <stp>BDH|17586317155884552739</stp>
        <tr r="R8" s="21"/>
      </tp>
      <tp t="e">
        <v>#N/A</v>
        <stp/>
        <stp>BDH|16729801571792580946</stp>
        <tr r="E38" s="17"/>
      </tp>
      <tp t="e">
        <v>#N/A</v>
        <stp/>
        <stp>BDH|10100647337420189742</stp>
        <tr r="I11" s="21"/>
      </tp>
      <tp t="e">
        <v>#N/A</v>
        <stp/>
        <stp>BDH|12017322811911534310</stp>
        <tr r="D35" s="10"/>
        <tr r="D33" s="11"/>
      </tp>
      <tp t="e">
        <v>#N/A</v>
        <stp/>
        <stp>BDH|10336469996686646921</stp>
        <tr r="Z40" s="17"/>
        <tr r="Z9" s="25"/>
      </tp>
      <tp t="e">
        <v>#N/A</v>
        <stp/>
        <stp>BDH|12242625160879095979</stp>
        <tr r="F20" s="29"/>
      </tp>
      <tp t="e">
        <v>#N/A</v>
        <stp/>
        <stp>BDH|11602844529461893841</stp>
        <tr r="D60" s="12"/>
      </tp>
      <tp t="e">
        <v>#N/A</v>
        <stp/>
        <stp>BDH|10825066718344988780</stp>
        <tr r="M8" s="27"/>
      </tp>
      <tp t="e">
        <v>#N/A</v>
        <stp/>
        <stp>BDH|11776519109126072086</stp>
        <tr r="O82" s="18"/>
      </tp>
      <tp t="e">
        <v>#N/A</v>
        <stp/>
        <stp>BDH|14228401822467290750</stp>
        <tr r="S28" s="18"/>
      </tp>
      <tp t="e">
        <v>#N/A</v>
        <stp/>
        <stp>BDH|15657473571833160766</stp>
        <tr r="N34" s="18"/>
      </tp>
      <tp t="e">
        <v>#N/A</v>
        <stp/>
        <stp>BDH|17802553514457737699</stp>
        <tr r="H18" s="24"/>
      </tp>
      <tp t="e">
        <v>#N/A</v>
        <stp/>
        <stp>BDH|15946067150912967011</stp>
        <tr r="I14" s="29"/>
        <tr r="I23" s="29"/>
        <tr r="I34" s="29"/>
      </tp>
      <tp t="e">
        <v>#N/A</v>
        <stp/>
        <stp>BDH|14382011774604466554</stp>
        <tr r="P36" s="18"/>
      </tp>
      <tp t="e">
        <v>#N/A</v>
        <stp/>
        <stp>BDH|17519441551682337646</stp>
        <tr r="W9" s="27"/>
      </tp>
      <tp t="e">
        <v>#N/A</v>
        <stp/>
        <stp>BDH|12138748182546151919</stp>
        <tr r="Y25" s="7"/>
      </tp>
      <tp t="e">
        <v>#N/A</v>
        <stp/>
        <stp>BDH|17659490689268016114</stp>
        <tr r="V17" s="23"/>
      </tp>
      <tp t="e">
        <v>#N/A</v>
        <stp/>
        <stp>BDH|16745164772365023743</stp>
        <tr r="H29" s="24"/>
      </tp>
      <tp t="e">
        <v>#N/A</v>
        <stp/>
        <stp>BDH|15379041765785540407</stp>
        <tr r="T55" s="17"/>
      </tp>
      <tp t="e">
        <v>#N/A</v>
        <stp/>
        <stp>BDH|10564908391902767043</stp>
        <tr r="D33" s="22"/>
      </tp>
      <tp t="e">
        <v>#N/A</v>
        <stp/>
        <stp>BDH|12658679469768733888</stp>
        <tr r="L16" s="29"/>
        <tr r="L36" s="29"/>
      </tp>
      <tp t="e">
        <v>#N/A</v>
        <stp/>
        <stp>BDH|14698545495652691863</stp>
        <tr r="V85" s="18"/>
      </tp>
      <tp t="e">
        <v>#N/A</v>
        <stp/>
        <stp>BDH|14597034031846926397</stp>
        <tr r="O12" s="18"/>
      </tp>
      <tp t="e">
        <v>#N/A</v>
        <stp/>
        <stp>BDH|15276045323080351510</stp>
        <tr r="H10" s="29"/>
        <tr r="H19" s="29"/>
        <tr r="H25" s="29"/>
        <tr r="F6" s="2"/>
        <tr r="F6" s="5"/>
        <tr r="F6" s="9"/>
        <tr r="G12" s="8"/>
      </tp>
      <tp t="e">
        <v>#N/A</v>
        <stp/>
        <stp>BDH|11533082918174724655</stp>
        <tr r="J41" s="18"/>
      </tp>
      <tp t="e">
        <v>#N/A</v>
        <stp/>
        <stp>BDH|17244533727662945082</stp>
        <tr r="Q13" s="20"/>
      </tp>
      <tp t="e">
        <v>#N/A</v>
        <stp/>
        <stp>BDH|10034430109375845352</stp>
        <tr r="K39" s="6"/>
      </tp>
      <tp t="e">
        <v>#N/A</v>
        <stp/>
        <stp>BDH|10650422958680927325</stp>
        <tr r="S40" s="24"/>
      </tp>
      <tp t="e">
        <v>#N/A</v>
        <stp/>
        <stp>BDH|16545951015355079924</stp>
        <tr r="E11" s="7"/>
      </tp>
      <tp t="e">
        <v>#N/A</v>
        <stp/>
        <stp>BDH|16633980279783915991</stp>
        <tr r="T43" s="18"/>
      </tp>
      <tp t="e">
        <v>#N/A</v>
        <stp/>
        <stp>BDH|12499701430910672452</stp>
        <tr r="F14" s="21"/>
      </tp>
      <tp t="e">
        <v>#N/A</v>
        <stp/>
        <stp>BDH|11333903895426273537</stp>
        <tr r="J29" s="4"/>
      </tp>
      <tp t="e">
        <v>#N/A</v>
        <stp/>
        <stp>BDH|15100038480427071840</stp>
        <tr r="G57" s="24"/>
      </tp>
      <tp t="e">
        <v>#N/A</v>
        <stp/>
        <stp>BDH|10120692559239104869</stp>
        <tr r="J21" s="27"/>
      </tp>
      <tp t="e">
        <v>#N/A</v>
        <stp/>
        <stp>BDH|14118278139553864412</stp>
        <tr r="AA12" s="20"/>
      </tp>
      <tp t="e">
        <v>#N/A</v>
        <stp/>
        <stp>BDH|17289203602342535534</stp>
        <tr r="N9" s="10"/>
      </tp>
      <tp t="e">
        <v>#N/A</v>
        <stp/>
        <stp>BDH|11603177277517781274</stp>
        <tr r="C45" s="24"/>
      </tp>
      <tp t="e">
        <v>#N/A</v>
        <stp/>
        <stp>BDH|13399221371120338454</stp>
        <tr r="E14" s="11"/>
      </tp>
      <tp t="e">
        <v>#N/A</v>
        <stp/>
        <stp>BDH|17680777767290199419</stp>
        <tr r="N47" s="21"/>
      </tp>
      <tp t="e">
        <v>#N/A</v>
        <stp/>
        <stp>BDH|10845471888386596842</stp>
        <tr r="C36" s="10"/>
        <tr r="C34" s="11"/>
      </tp>
      <tp t="e">
        <v>#N/A</v>
        <stp/>
        <stp>BDH|13201968137752402913</stp>
        <tr r="K22" s="12"/>
      </tp>
      <tp t="e">
        <v>#N/A</v>
        <stp/>
        <stp>BDH|12177606506122282434</stp>
        <tr r="V29" s="17"/>
      </tp>
      <tp t="e">
        <v>#N/A</v>
        <stp/>
        <stp>BDH|11686621744870221140</stp>
        <tr r="O9" s="18"/>
      </tp>
      <tp t="e">
        <v>#N/A</v>
        <stp/>
        <stp>BDH|13682173242934634032</stp>
        <tr r="Y16" s="26"/>
      </tp>
      <tp t="e">
        <v>#N/A</v>
        <stp/>
        <stp>BDH|11807688207395491050</stp>
        <tr r="C45" s="18"/>
      </tp>
      <tp t="e">
        <v>#N/A</v>
        <stp/>
        <stp>BDH|16034141113111639572</stp>
        <tr r="D30" s="29"/>
        <tr r="D8" s="29"/>
      </tp>
      <tp t="e">
        <v>#N/A</v>
        <stp/>
        <stp>BDH|15758355430653625426</stp>
        <tr r="X23" s="2"/>
        <tr r="Z18" s="21"/>
        <tr r="Z23" s="3"/>
      </tp>
      <tp t="e">
        <v>#N/A</v>
        <stp/>
        <stp>BDH|15035204565502428172</stp>
        <tr r="F16" s="12"/>
      </tp>
      <tp t="e">
        <v>#N/A</v>
        <stp/>
        <stp>BDH|14532712892130372835</stp>
        <tr r="AA30" s="17"/>
      </tp>
      <tp t="e">
        <v>#N/A</v>
        <stp/>
        <stp>BDH|10284791520957572085</stp>
        <tr r="V10" s="13"/>
      </tp>
      <tp t="e">
        <v>#N/A</v>
        <stp/>
        <stp>BDH|13782679254713061122</stp>
        <tr r="X13" s="17"/>
        <tr r="X16" s="28"/>
      </tp>
      <tp t="e">
        <v>#N/A</v>
        <stp/>
        <stp>BDH|15741415615933226178</stp>
        <tr r="R14" s="30"/>
      </tp>
      <tp t="e">
        <v>#N/A</v>
        <stp/>
        <stp>BDH|14057413189492616882</stp>
        <tr r="Q49" s="10"/>
        <tr r="Q47" s="11"/>
        <tr r="Q16" s="7"/>
      </tp>
      <tp t="e">
        <v>#N/A</v>
        <stp/>
        <stp>BDH|16066897005488977433</stp>
        <tr r="V21" s="5"/>
      </tp>
      <tp t="e">
        <v>#N/A</v>
        <stp/>
        <stp>BDH|11992458118302461465</stp>
        <tr r="L47" s="21"/>
      </tp>
      <tp t="e">
        <v>#N/A</v>
        <stp/>
        <stp>BDH|17976924819214060947</stp>
        <tr r="E86" s="17"/>
      </tp>
      <tp t="e">
        <v>#N/A</v>
        <stp/>
        <stp>BDH|12707523685234615900</stp>
        <tr r="C100" s="18"/>
      </tp>
      <tp t="e">
        <v>#N/A</v>
        <stp/>
        <stp>BDH|16474894496711507484</stp>
        <tr r="H6" s="19"/>
        <tr r="H34" s="17"/>
        <tr r="H16" s="3"/>
      </tp>
      <tp t="e">
        <v>#N/A</v>
        <stp/>
        <stp>BDH|17501425476347277151</stp>
        <tr r="V70" s="18"/>
      </tp>
      <tp t="e">
        <v>#N/A</v>
        <stp/>
        <stp>BDH|11233966817183510805</stp>
        <tr r="AA128" s="18"/>
      </tp>
      <tp t="e">
        <v>#N/A</v>
        <stp/>
        <stp>BDH|16514662325073937397</stp>
        <tr r="Z9" s="29"/>
      </tp>
      <tp t="e">
        <v>#N/A</v>
        <stp/>
        <stp>BDH|16388425582650798825</stp>
        <tr r="V62" s="24"/>
      </tp>
      <tp t="e">
        <v>#N/A</v>
        <stp/>
        <stp>BDH|12652524920256657140</stp>
        <tr r="O67" s="17"/>
      </tp>
      <tp t="e">
        <v>#N/A</v>
        <stp/>
        <stp>BDH|11234197170297436293</stp>
        <tr r="D31" s="12"/>
      </tp>
      <tp t="e">
        <v>#N/A</v>
        <stp/>
        <stp>BDH|17552558256340320539</stp>
        <tr r="D31" s="25"/>
      </tp>
      <tp t="e">
        <v>#N/A</v>
        <stp/>
        <stp>BDH|15526727175663723434</stp>
        <tr r="N11" s="9"/>
      </tp>
      <tp t="e">
        <v>#N/A</v>
        <stp/>
        <stp>BDH|14077250762216860468</stp>
        <tr r="D65" s="12"/>
      </tp>
      <tp t="e">
        <v>#N/A</v>
        <stp/>
        <stp>BDH|15110309820951018789</stp>
        <tr r="D46" s="34"/>
      </tp>
      <tp t="e">
        <v>#N/A</v>
        <stp/>
        <stp>BDH|13953304566085680101</stp>
        <tr r="L54" s="21"/>
      </tp>
      <tp t="e">
        <v>#N/A</v>
        <stp/>
        <stp>BDH|16667509559291572532</stp>
        <tr r="P23" s="21"/>
      </tp>
      <tp t="e">
        <v>#N/A</v>
        <stp/>
        <stp>BDH|15786134708833655539</stp>
        <tr r="L36" s="4"/>
      </tp>
      <tp t="e">
        <v>#N/A</v>
        <stp/>
        <stp>BDH|11639341537830569394</stp>
        <tr r="H52" s="4"/>
        <tr r="J8" s="3"/>
        <tr r="H40" s="10"/>
        <tr r="H38" s="11"/>
        <tr r="J30" s="13"/>
      </tp>
      <tp t="e">
        <v>#N/A</v>
        <stp/>
        <stp>BDH|16230498512481035003</stp>
        <tr r="J12" s="3"/>
        <tr r="H51" s="10"/>
        <tr r="H49" s="11"/>
        <tr r="H7" s="7"/>
      </tp>
      <tp t="e">
        <v>#N/A</v>
        <stp/>
        <stp>BDH|16504382112910215645</stp>
        <tr r="P7" s="23"/>
      </tp>
      <tp t="e">
        <v>#N/A</v>
        <stp/>
        <stp>BDH|12849378454442626444</stp>
        <tr r="G112" s="18"/>
      </tp>
      <tp t="e">
        <v>#N/A</v>
        <stp/>
        <stp>BDH|10187872582183554180</stp>
        <tr r="V13" s="6"/>
      </tp>
      <tp t="e">
        <v>#N/A</v>
        <stp/>
        <stp>BDH|14951916261370485946</stp>
        <tr r="W70" s="17"/>
      </tp>
      <tp t="e">
        <v>#N/A</v>
        <stp/>
        <stp>BDH|14357997895543423528</stp>
        <tr r="X21" s="25"/>
        <tr r="X14" s="27"/>
      </tp>
      <tp t="e">
        <v>#N/A</v>
        <stp/>
        <stp>BDH|14039483870602187703</stp>
        <tr r="H60" s="12"/>
      </tp>
      <tp t="e">
        <v>#N/A</v>
        <stp/>
        <stp>BDH|15996959972531499830</stp>
        <tr r="M120" s="18"/>
      </tp>
      <tp t="e">
        <v>#N/A</v>
        <stp/>
        <stp>BDH|13977218221217644665</stp>
        <tr r="C41" s="18"/>
      </tp>
      <tp t="e">
        <v>#N/A</v>
        <stp/>
        <stp>BDH|10337102755562767481</stp>
        <tr r="W79" s="17"/>
        <tr r="W20" s="3"/>
        <tr r="U6" s="7"/>
      </tp>
      <tp t="e">
        <v>#N/A</v>
        <stp/>
        <stp>BDH|11124895143999095625</stp>
        <tr r="N55" s="24"/>
      </tp>
      <tp t="e">
        <v>#N/A</v>
        <stp/>
        <stp>BDH|13998072244804052134</stp>
        <tr r="D14" s="10"/>
      </tp>
      <tp t="e">
        <v>#N/A</v>
        <stp/>
        <stp>BDH|16936053131354189359</stp>
        <tr r="M17" s="5"/>
        <tr r="L25" s="6"/>
      </tp>
      <tp t="e">
        <v>#N/A</v>
        <stp/>
        <stp>BDH|17111371319153274441</stp>
        <tr r="P37" s="10"/>
        <tr r="P35" s="11"/>
      </tp>
      <tp t="e">
        <v>#N/A</v>
        <stp/>
        <stp>BDH|12768153033450138294</stp>
        <tr r="H72" s="18"/>
      </tp>
      <tp t="e">
        <v>#N/A</v>
        <stp/>
        <stp>BDH|10656062245861890740</stp>
        <tr r="T21" s="4"/>
      </tp>
      <tp t="e">
        <v>#N/A</v>
        <stp/>
        <stp>BDH|11246544535014311195</stp>
        <tr r="T8" s="17"/>
      </tp>
      <tp t="e">
        <v>#N/A</v>
        <stp/>
        <stp>BDH|12900135693350145809</stp>
        <tr r="Z127" s="18"/>
      </tp>
      <tp t="e">
        <v>#N/A</v>
        <stp/>
        <stp>BDH|18064102187221898275</stp>
        <tr r="X40" s="18"/>
      </tp>
      <tp t="e">
        <v>#N/A</v>
        <stp/>
        <stp>BDH|12991163113435474503</stp>
        <tr r="D27" s="18"/>
      </tp>
      <tp t="e">
        <v>#N/A</v>
        <stp/>
        <stp>BDH|16237010710395338089</stp>
        <tr r="I18" s="12"/>
      </tp>
      <tp t="e">
        <v>#N/A</v>
        <stp/>
        <stp>BDH|12214603417151989642</stp>
        <tr r="K37" s="10"/>
        <tr r="K35" s="11"/>
      </tp>
      <tp t="e">
        <v>#N/A</v>
        <stp/>
        <stp>BDH|18015159503018756394</stp>
        <tr r="Q51" s="12"/>
      </tp>
      <tp t="e">
        <v>#N/A</v>
        <stp/>
        <stp>BDH|16577303711747582194</stp>
        <tr r="O25" s="21"/>
      </tp>
      <tp t="e">
        <v>#N/A</v>
        <stp/>
        <stp>BDH|14284447613405931647</stp>
        <tr r="Q103" s="18"/>
      </tp>
      <tp t="e">
        <v>#N/A</v>
        <stp/>
        <stp>BDH|14161145679810379072</stp>
        <tr r="F62" s="18"/>
      </tp>
      <tp t="e">
        <v>#N/A</v>
        <stp/>
        <stp>BDH|12664609246266078484</stp>
        <tr r="E75" s="17"/>
      </tp>
      <tp t="e">
        <v>#N/A</v>
        <stp/>
        <stp>BDH|17551523660153614598</stp>
        <tr r="F17" s="29"/>
        <tr r="F37" s="29"/>
      </tp>
      <tp t="e">
        <v>#N/A</v>
        <stp/>
        <stp>BDH|11575323347531086587</stp>
        <tr r="G28" s="18"/>
      </tp>
      <tp t="e">
        <v>#N/A</v>
        <stp/>
        <stp>BDH|10371202071144218388</stp>
        <tr r="R64" s="18"/>
      </tp>
      <tp t="e">
        <v>#N/A</v>
        <stp/>
        <stp>BDH|14936490052356384194</stp>
        <tr r="J16" s="21"/>
      </tp>
      <tp t="e">
        <v>#N/A</v>
        <stp/>
        <stp>BDH|13696773120814089098</stp>
        <tr r="E59" s="21"/>
        <tr r="C57" s="11"/>
      </tp>
      <tp t="e">
        <v>#N/A</v>
        <stp/>
        <stp>BDH|14897528901456700547</stp>
        <tr r="M27" s="24"/>
      </tp>
      <tp t="e">
        <v>#N/A</v>
        <stp/>
        <stp>BDH|10752035380028464284</stp>
        <tr r="D46" s="17"/>
      </tp>
      <tp t="e">
        <v>#N/A</v>
        <stp/>
        <stp>BDH|14043394577004018660</stp>
        <tr r="W29" s="12"/>
      </tp>
      <tp t="e">
        <v>#N/A</v>
        <stp/>
        <stp>BDH|10718421436567802234</stp>
        <tr r="L34" s="12"/>
      </tp>
      <tp t="e">
        <v>#N/A</v>
        <stp/>
        <stp>BDH|11930684378610837293</stp>
        <tr r="R28" s="4"/>
      </tp>
      <tp t="e">
        <v>#N/A</v>
        <stp/>
        <stp>BDH|11334136110086878502</stp>
        <tr r="Q18" s="28"/>
        <tr r="Q15" s="17"/>
      </tp>
      <tp t="e">
        <v>#N/A</v>
        <stp/>
        <stp>BDH|10249734700270811514</stp>
        <tr r="F50" s="21"/>
      </tp>
      <tp t="e">
        <v>#N/A</v>
        <stp/>
        <stp>BDH|16226856517194072985</stp>
        <tr r="X88" s="18"/>
        <tr r="X8" s="20"/>
      </tp>
      <tp t="e">
        <v>#N/A</v>
        <stp/>
        <stp>BDH|11600053811516958434</stp>
        <tr r="Y17" s="23"/>
      </tp>
      <tp t="e">
        <v>#N/A</v>
        <stp/>
        <stp>BDH|14138359561514508789</stp>
        <tr r="O37" s="34"/>
      </tp>
      <tp t="e">
        <v>#N/A</v>
        <stp/>
        <stp>BDH|18382568194675962306</stp>
        <tr r="K15" s="21"/>
      </tp>
      <tp t="e">
        <v>#N/A</v>
        <stp/>
        <stp>BDH|16320584200549256810</stp>
        <tr r="N20" s="34"/>
      </tp>
      <tp t="e">
        <v>#N/A</v>
        <stp/>
        <stp>BDH|13448214195039144391</stp>
        <tr r="K11" s="22"/>
      </tp>
      <tp t="e">
        <v>#N/A</v>
        <stp/>
        <stp>BDH|14977051806325586378</stp>
        <tr r="R24" s="18"/>
      </tp>
      <tp t="e">
        <v>#N/A</v>
        <stp/>
        <stp>BDH|11833575449097638580</stp>
        <tr r="I14" s="18"/>
      </tp>
      <tp t="e">
        <v>#N/A</v>
        <stp/>
        <stp>BDH|14515257313192249796</stp>
        <tr r="E25" s="21"/>
      </tp>
      <tp t="e">
        <v>#N/A</v>
        <stp/>
        <stp>BDH|14859307052079078920</stp>
        <tr r="Y36" s="21"/>
      </tp>
      <tp t="e">
        <v>#N/A</v>
        <stp/>
        <stp>BDH|15895442862326153379</stp>
        <tr r="W8" s="6"/>
      </tp>
      <tp t="e">
        <v>#N/A</v>
        <stp/>
        <stp>BDH|12872525027123332464</stp>
        <tr r="Q86" s="17"/>
      </tp>
      <tp t="e">
        <v>#N/A</v>
        <stp/>
        <stp>BDH|14188243502252930651</stp>
        <tr r="H25" s="22"/>
      </tp>
      <tp t="e">
        <v>#N/A</v>
        <stp/>
        <stp>BDH|15631298560370449307</stp>
        <tr r="Q70" s="18"/>
      </tp>
      <tp t="e">
        <v>#N/A</v>
        <stp/>
        <stp>BDH|11408995501282282854</stp>
        <tr r="V45" s="18"/>
      </tp>
      <tp t="e">
        <v>#N/A</v>
        <stp/>
        <stp>BDH|15539129919472678533</stp>
        <tr r="P9" s="13"/>
      </tp>
      <tp t="e">
        <v>#N/A</v>
        <stp/>
        <stp>BDH|13837510728715273389</stp>
        <tr r="Y6" s="19"/>
        <tr r="Y34" s="17"/>
        <tr r="Y16" s="3"/>
      </tp>
      <tp t="e">
        <v>#N/A</v>
        <stp/>
        <stp>BDH|11040470534280087487</stp>
        <tr r="W116" s="18"/>
      </tp>
      <tp t="e">
        <v>#N/A</v>
        <stp/>
        <stp>BDH|16164154145144289583</stp>
        <tr r="P13" s="2"/>
      </tp>
      <tp t="e">
        <v>#N/A</v>
        <stp/>
        <stp>BDH|15682748405820533094</stp>
        <tr r="Y15" s="17"/>
        <tr r="Y18" s="28"/>
      </tp>
      <tp t="e">
        <v>#N/A</v>
        <stp/>
        <stp>BDH|10361793454779050958</stp>
        <tr r="N68" s="10"/>
        <tr r="N66" s="11"/>
      </tp>
      <tp t="e">
        <v>#N/A</v>
        <stp/>
        <stp>BDH|17983601916584569614</stp>
        <tr r="F102" s="18"/>
      </tp>
      <tp t="e">
        <v>#N/A</v>
        <stp/>
        <stp>BDH|15545752733591891204</stp>
        <tr r="H18" s="26"/>
      </tp>
      <tp t="e">
        <v>#N/A</v>
        <stp/>
        <stp>BDH|15581843381276933124</stp>
        <tr r="G37" s="22"/>
      </tp>
      <tp t="e">
        <v>#N/A</v>
        <stp/>
        <stp>BDH|10968419011490050720</stp>
        <tr r="K28" s="5"/>
      </tp>
      <tp t="e">
        <v>#N/A</v>
        <stp/>
        <stp>BDH|12383497938696068192</stp>
        <tr r="S17" s="4"/>
        <tr r="U10" s="3"/>
        <tr r="S52" s="10"/>
        <tr r="S50" s="11"/>
        <tr r="S17" s="7"/>
        <tr r="U37" s="13"/>
      </tp>
      <tp t="e">
        <v>#N/A</v>
        <stp/>
        <stp>BDH|18207244891871448085</stp>
        <tr r="W14" s="28"/>
      </tp>
      <tp t="e">
        <v>#N/A</v>
        <stp/>
        <stp>BDH|13345216398518324228</stp>
        <tr r="T65" s="24"/>
      </tp>
      <tp t="e">
        <v>#N/A</v>
        <stp/>
        <stp>BDH|11152200106589986854</stp>
        <tr r="K23" s="10"/>
      </tp>
      <tp t="e">
        <v>#N/A</v>
        <stp/>
        <stp>BDH|14812510633101449157</stp>
        <tr r="V58" s="17"/>
      </tp>
      <tp t="e">
        <v>#N/A</v>
        <stp/>
        <stp>BDH|10588010819364302758</stp>
        <tr r="H50" s="4"/>
      </tp>
      <tp t="e">
        <v>#N/A</v>
        <stp/>
        <stp>BDH|10910256672161556600</stp>
        <tr r="K118" s="18"/>
      </tp>
      <tp t="e">
        <v>#N/A</v>
        <stp/>
        <stp>BDH|14503214460730884278</stp>
        <tr r="N18" s="26"/>
      </tp>
      <tp t="e">
        <v>#N/A</v>
        <stp/>
        <stp>BDH|15268372158056215747</stp>
        <tr r="G46" s="21"/>
      </tp>
      <tp t="e">
        <v>#N/A</v>
        <stp/>
        <stp>BDH|16847261537602348715</stp>
        <tr r="J15" s="13"/>
      </tp>
      <tp t="e">
        <v>#N/A</v>
        <stp/>
        <stp>BDH|12104307729176370700</stp>
        <tr r="C54" s="17"/>
      </tp>
      <tp t="e">
        <v>#N/A</v>
        <stp/>
        <stp>BDH|13068580426505755326</stp>
        <tr r="L92" s="18"/>
      </tp>
      <tp t="e">
        <v>#N/A</v>
        <stp/>
        <stp>BDH|16004498115175089471</stp>
        <tr r="V16" s="23"/>
      </tp>
      <tp t="e">
        <v>#N/A</v>
        <stp/>
        <stp>BDH|15412987060299071173</stp>
        <tr r="C8" s="34"/>
      </tp>
      <tp t="e">
        <v>#N/A</v>
        <stp/>
        <stp>BDH|15478059820224296185</stp>
        <tr r="J29" s="18"/>
      </tp>
      <tp t="e">
        <v>#N/A</v>
        <stp/>
        <stp>BDH|12860728916985260351</stp>
        <tr r="K9" s="28"/>
      </tp>
      <tp t="e">
        <v>#N/A</v>
        <stp/>
        <stp>BDH|17525482853912786626</stp>
        <tr r="V20" s="6"/>
      </tp>
      <tp t="e">
        <v>#N/A</v>
        <stp/>
        <stp>BDH|13224302021092068280</stp>
        <tr r="AA63" s="18"/>
      </tp>
      <tp t="e">
        <v>#N/A</v>
        <stp/>
        <stp>BDH|13981224167167723209</stp>
        <tr r="G35" s="6"/>
        <tr r="I10" s="8"/>
      </tp>
      <tp t="e">
        <v>#N/A</v>
        <stp/>
        <stp>BDH|15417782107527430743</stp>
        <tr r="U37" s="22"/>
      </tp>
      <tp t="e">
        <v>#N/A</v>
        <stp/>
        <stp>BDH|14785729069745151265</stp>
        <tr r="T67" s="18"/>
      </tp>
      <tp t="e">
        <v>#N/A</v>
        <stp/>
        <stp>BDH|10545112727496934714</stp>
        <tr r="Z37" s="24"/>
      </tp>
      <tp t="e">
        <v>#N/A</v>
        <stp/>
        <stp>BDH|12446431452337804663</stp>
        <tr r="X104" s="18"/>
      </tp>
      <tp t="e">
        <v>#N/A</v>
        <stp/>
        <stp>BDH|15318373641140761091</stp>
        <tr r="J35" s="6"/>
        <tr r="L10" s="8"/>
      </tp>
      <tp t="e">
        <v>#N/A</v>
        <stp/>
        <stp>BDH|16848104300035103024</stp>
        <tr r="V49" s="18"/>
      </tp>
      <tp t="e">
        <v>#N/A</v>
        <stp/>
        <stp>BDH|16189058058466589728</stp>
        <tr r="I73" s="18"/>
      </tp>
      <tp t="e">
        <v>#N/A</v>
        <stp/>
        <stp>BDH|16999909407494292979</stp>
        <tr r="E47" s="24"/>
      </tp>
      <tp t="e">
        <v>#N/A</v>
        <stp/>
        <stp>BDH|15283156575050857101</stp>
        <tr r="O38" s="6"/>
      </tp>
      <tp t="e">
        <v>#N/A</v>
        <stp/>
        <stp>BDH|11564447419864498269</stp>
        <tr r="W47" s="24"/>
      </tp>
      <tp t="e">
        <v>#N/A</v>
        <stp/>
        <stp>BDH|10526004931706890760</stp>
        <tr r="Q24" s="24"/>
      </tp>
      <tp t="e">
        <v>#N/A</v>
        <stp/>
        <stp>BDH|14226383137681208758</stp>
        <tr r="I15" s="20"/>
      </tp>
      <tp t="e">
        <v>#N/A</v>
        <stp/>
        <stp>BDH|14303388837376253040</stp>
        <tr r="U41" s="12"/>
      </tp>
      <tp t="e">
        <v>#N/A</v>
        <stp/>
        <stp>BDH|16322258707124819234</stp>
        <tr r="S16" s="10"/>
      </tp>
      <tp t="e">
        <v>#N/A</v>
        <stp/>
        <stp>BDH|16542182118740661499</stp>
        <tr r="T10" s="4"/>
        <tr r="S6" s="16"/>
        <tr r="V6" s="3"/>
        <tr r="T6" s="11"/>
      </tp>
      <tp t="e">
        <v>#N/A</v>
        <stp/>
        <stp>BDH|16287718080258051399</stp>
        <tr r="F14" s="13"/>
      </tp>
      <tp t="e">
        <v>#N/A</v>
        <stp/>
        <stp>BDH|12315719803281947620</stp>
        <tr r="K15" s="12"/>
      </tp>
      <tp t="e">
        <v>#N/A</v>
        <stp/>
        <stp>BDH|16382533064966956179</stp>
        <tr r="L26" s="21"/>
      </tp>
      <tp t="e">
        <v>#N/A</v>
        <stp/>
        <stp>BDH|10354067809355652709</stp>
        <tr r="X14" s="30"/>
      </tp>
      <tp t="e">
        <v>#N/A</v>
        <stp/>
        <stp>BDH|13933231137356380644</stp>
        <tr r="H21" s="18"/>
      </tp>
      <tp t="e">
        <v>#N/A</v>
        <stp/>
        <stp>BDH|11304388516035106464</stp>
        <tr r="S23" s="24"/>
      </tp>
      <tp t="e">
        <v>#N/A</v>
        <stp/>
        <stp>BDH|14962572169305933047</stp>
        <tr r="S62" s="12"/>
      </tp>
      <tp t="e">
        <v>#N/A</v>
        <stp/>
        <stp>BDH|17631675373137108395</stp>
        <tr r="I6" s="19"/>
        <tr r="I34" s="17"/>
        <tr r="I16" s="3"/>
      </tp>
      <tp t="e">
        <v>#N/A</v>
        <stp/>
        <stp>BDH|12950666107542050421</stp>
        <tr r="L18" s="29"/>
        <tr r="L38" s="29"/>
      </tp>
      <tp t="e">
        <v>#N/A</v>
        <stp/>
        <stp>BDH|10296904681855971600</stp>
        <tr r="V16" s="11"/>
      </tp>
      <tp t="e">
        <v>#N/A</v>
        <stp/>
        <stp>BDH|10475106159922420438</stp>
        <tr r="V51" s="17"/>
      </tp>
      <tp t="e">
        <v>#N/A</v>
        <stp/>
        <stp>BDH|16303121908421077433</stp>
        <tr r="G29" s="21"/>
      </tp>
      <tp t="e">
        <v>#N/A</v>
        <stp/>
        <stp>BDH|17256772102121443393</stp>
        <tr r="P22" s="5"/>
      </tp>
      <tp t="e">
        <v>#N/A</v>
        <stp/>
        <stp>BDH|12114020067647900176</stp>
        <tr r="X23" s="26"/>
      </tp>
      <tp t="e">
        <v>#N/A</v>
        <stp/>
        <stp>BDH|12999714517690181644</stp>
        <tr r="Z12" s="13"/>
      </tp>
      <tp t="e">
        <v>#N/A</v>
        <stp/>
        <stp>BDH|16656984193730364447</stp>
        <tr r="S49" s="4"/>
      </tp>
      <tp t="e">
        <v>#N/A</v>
        <stp/>
        <stp>BDH|15240481202497402467</stp>
        <tr r="U14" s="4"/>
      </tp>
      <tp t="e">
        <v>#N/A</v>
        <stp/>
        <stp>BDH|17945142752088201973</stp>
        <tr r="D30" s="34"/>
      </tp>
      <tp t="e">
        <v>#N/A</v>
        <stp/>
        <stp>BDH|14110281647443186359</stp>
        <tr r="H37" s="21"/>
        <tr r="H24" s="3"/>
      </tp>
      <tp t="e">
        <v>#N/A</v>
        <stp/>
        <stp>BDH|12734070054503762695</stp>
        <tr r="Z42" s="17"/>
      </tp>
      <tp t="e">
        <v>#N/A</v>
        <stp/>
        <stp>BDH|10043263061781428797</stp>
        <tr r="P85" s="17"/>
      </tp>
      <tp t="e">
        <v>#N/A</v>
        <stp/>
        <stp>BDH|11292355836353832038</stp>
        <tr r="E30" s="26"/>
      </tp>
      <tp t="e">
        <v>#N/A</v>
        <stp/>
        <stp>BDH|16351996222159321614</stp>
        <tr r="J46" s="24"/>
      </tp>
      <tp t="e">
        <v>#N/A</v>
        <stp/>
        <stp>BDH|11770785863112034019</stp>
        <tr r="F6" s="15"/>
        <tr r="F12" s="2"/>
        <tr r="F11" s="4"/>
        <tr r="F6" s="10"/>
      </tp>
      <tp t="e">
        <v>#N/A</v>
        <stp/>
        <stp>BDH|14504609826051603380</stp>
        <tr r="H51" s="17"/>
      </tp>
      <tp t="e">
        <v>#N/A</v>
        <stp/>
        <stp>BDH|12654087177412080547</stp>
        <tr r="AA27" s="24"/>
      </tp>
      <tp t="e">
        <v>#N/A</v>
        <stp/>
        <stp>BDH|12305633119932617523</stp>
        <tr r="U89" s="17"/>
        <tr r="U7" s="27"/>
      </tp>
      <tp t="e">
        <v>#N/A</v>
        <stp/>
        <stp>BDH|10842446098986113985</stp>
        <tr r="L46" s="12"/>
      </tp>
      <tp t="e">
        <v>#N/A</v>
        <stp/>
        <stp>BDH|15293635748174549114</stp>
        <tr r="O31" s="26"/>
      </tp>
      <tp t="e">
        <v>#N/A</v>
        <stp/>
        <stp>BDH|17811107214147889293</stp>
        <tr r="N10" s="26"/>
      </tp>
      <tp t="e">
        <v>#N/A</v>
        <stp/>
        <stp>BDH|12163726178422088260</stp>
        <tr r="Y68" s="24"/>
      </tp>
      <tp t="e">
        <v>#N/A</v>
        <stp/>
        <stp>BDH|10765968059466603836</stp>
        <tr r="J13" s="14"/>
      </tp>
      <tp t="e">
        <v>#N/A</v>
        <stp/>
        <stp>BDH|17650432108870075104</stp>
        <tr r="L107" s="18"/>
      </tp>
      <tp t="e">
        <v>#N/A</v>
        <stp/>
        <stp>BDH|13908870293199039900</stp>
        <tr r="AA15" s="17"/>
        <tr r="AA18" s="28"/>
      </tp>
      <tp t="e">
        <v>#N/A</v>
        <stp/>
        <stp>BDH|13837016255980968488</stp>
        <tr r="H59" s="17"/>
      </tp>
      <tp t="e">
        <v>#N/A</v>
        <stp/>
        <stp>BDH|15940400814401640365</stp>
        <tr r="R126" s="18"/>
      </tp>
      <tp t="e">
        <v>#N/A</v>
        <stp/>
        <stp>BDH|10839362114144024472</stp>
        <tr r="C19" s="25"/>
        <tr r="C12" s="27"/>
      </tp>
      <tp t="e">
        <v>#N/A</v>
        <stp/>
        <stp>BDH|17338871049741043806</stp>
        <tr r="E18" s="17"/>
      </tp>
      <tp t="e">
        <v>#N/A</v>
        <stp/>
        <stp>BDH|16946947003515422873</stp>
        <tr r="S13" s="5"/>
      </tp>
      <tp t="e">
        <v>#N/A</v>
        <stp/>
        <stp>BDH|16411780753241158730</stp>
        <tr r="P30" s="26"/>
      </tp>
      <tp t="e">
        <v>#N/A</v>
        <stp/>
        <stp>BDH|14539380975410244275</stp>
        <tr r="I22" s="12"/>
      </tp>
      <tp t="e">
        <v>#N/A</v>
        <stp/>
        <stp>BDH|13420684452022551065</stp>
        <tr r="H38" s="18"/>
      </tp>
      <tp t="e">
        <v>#N/A</v>
        <stp/>
        <stp>BDH|17926346221756831296</stp>
        <tr r="X9" s="17"/>
      </tp>
      <tp t="e">
        <v>#N/A</v>
        <stp/>
        <stp>BDH|17359996258281639897</stp>
        <tr r="M19" s="26"/>
      </tp>
      <tp t="e">
        <v>#N/A</v>
        <stp/>
        <stp>BDH|18360556261030960933</stp>
        <tr r="P12" s="17"/>
      </tp>
      <tp t="e">
        <v>#N/A</v>
        <stp/>
        <stp>BDH|14889344026261643601</stp>
        <tr r="I66" s="10"/>
        <tr r="I64" s="11"/>
        <tr r="I20" s="7"/>
      </tp>
      <tp t="e">
        <v>#N/A</v>
        <stp/>
        <stp>BDH|10820348264565014245</stp>
        <tr r="Y60" s="18"/>
      </tp>
      <tp t="e">
        <v>#N/A</v>
        <stp/>
        <stp>BDH|15242265168985415640</stp>
        <tr r="S48" s="12"/>
      </tp>
      <tp t="e">
        <v>#N/A</v>
        <stp/>
        <stp>BDH|15464899877641553935</stp>
        <tr r="AA24" s="29"/>
      </tp>
      <tp t="e">
        <v>#N/A</v>
        <stp/>
        <stp>BDH|16522323944996645595</stp>
        <tr r="X25" s="12"/>
      </tp>
      <tp t="e">
        <v>#N/A</v>
        <stp/>
        <stp>BDH|12488073627145814703</stp>
        <tr r="G45" s="21"/>
      </tp>
      <tp t="e">
        <v>#N/A</v>
        <stp/>
        <stp>BDH|14067616840980532482</stp>
        <tr r="O26" s="7"/>
      </tp>
      <tp t="e">
        <v>#N/A</v>
        <stp/>
        <stp>BDH|10127788115586518256</stp>
        <tr r="G28" s="10"/>
        <tr r="G26" s="11"/>
      </tp>
      <tp t="e">
        <v>#N/A</v>
        <stp/>
        <stp>BDH|17441764682492432888</stp>
        <tr r="H80" s="18"/>
      </tp>
      <tp t="e">
        <v>#N/A</v>
        <stp/>
        <stp>BDH|13364069332307972525</stp>
        <tr r="E18" s="24"/>
      </tp>
      <tp t="e">
        <v>#N/A</v>
        <stp/>
        <stp>BDH|17911625931833115370</stp>
        <tr r="N22" s="10"/>
      </tp>
      <tp t="e">
        <v>#N/A</v>
        <stp/>
        <stp>BDH|11598451210464514290</stp>
        <tr r="K17" s="4"/>
        <tr r="M10" s="3"/>
        <tr r="K52" s="10"/>
        <tr r="K50" s="11"/>
        <tr r="K17" s="7"/>
        <tr r="M37" s="13"/>
      </tp>
      <tp t="e">
        <v>#N/A</v>
        <stp/>
        <stp>BDH|11769602571466392494</stp>
        <tr r="M17" s="4"/>
        <tr r="O10" s="3"/>
        <tr r="M52" s="10"/>
        <tr r="M50" s="11"/>
        <tr r="M17" s="7"/>
        <tr r="O37" s="13"/>
      </tp>
      <tp t="e">
        <v>#N/A</v>
        <stp/>
        <stp>BDH|14570279737310143784</stp>
        <tr r="F60" s="24"/>
      </tp>
      <tp t="e">
        <v>#N/A</v>
        <stp/>
        <stp>BDH|16883520771761244756</stp>
        <tr r="G123" s="18"/>
      </tp>
      <tp t="e">
        <v>#N/A</v>
        <stp/>
        <stp>BDH|12737979796305949531</stp>
        <tr r="G10" s="4"/>
        <tr r="F6" s="16"/>
        <tr r="I6" s="3"/>
        <tr r="G6" s="11"/>
      </tp>
      <tp t="e">
        <v>#N/A</v>
        <stp/>
        <stp>BDH|14928216613155182061</stp>
        <tr r="X43" s="18"/>
      </tp>
      <tp t="e">
        <v>#N/A</v>
        <stp/>
        <stp>BDH|11623681891545594963</stp>
        <tr r="F24" s="17"/>
      </tp>
      <tp t="e">
        <v>#N/A</v>
        <stp/>
        <stp>BDH|16455395725107395274</stp>
        <tr r="J14" s="29"/>
        <tr r="J23" s="29"/>
        <tr r="J34" s="29"/>
      </tp>
      <tp t="e">
        <v>#N/A</v>
        <stp/>
        <stp>BDH|12800928137218460250</stp>
        <tr r="S25" s="4"/>
        <tr r="S61" s="10"/>
      </tp>
      <tp t="e">
        <v>#N/A</v>
        <stp/>
        <stp>BDH|14555803193891284685</stp>
        <tr r="G8" s="4"/>
      </tp>
      <tp t="e">
        <v>#N/A</v>
        <stp/>
        <stp>BDH|12260035606687935725</stp>
        <tr r="I8" s="6"/>
      </tp>
      <tp t="e">
        <v>#N/A</v>
        <stp/>
        <stp>BDH|12279486845539663951</stp>
        <tr r="E11" s="22"/>
      </tp>
      <tp t="e">
        <v>#N/A</v>
        <stp/>
        <stp>BDH|11184925262314590885</stp>
        <tr r="O9" s="13"/>
      </tp>
      <tp t="e">
        <v>#N/A</v>
        <stp/>
        <stp>BDH|15769104752504049791</stp>
        <tr r="C70" s="10"/>
        <tr r="C68" s="11"/>
      </tp>
      <tp t="e">
        <v>#N/A</v>
        <stp/>
        <stp>BDH|17867639476725192103</stp>
        <tr r="V9" s="13"/>
      </tp>
      <tp t="e">
        <v>#N/A</v>
        <stp/>
        <stp>BDH|17648717019633051021</stp>
        <tr r="Q7" s="8"/>
      </tp>
      <tp t="e">
        <v>#N/A</v>
        <stp/>
        <stp>BDH|18107565609757440867</stp>
        <tr r="C96" s="18"/>
      </tp>
      <tp t="e">
        <v>#N/A</v>
        <stp/>
        <stp>BDH|10643728276606926478</stp>
        <tr r="U32" s="10"/>
        <tr r="U44" s="10"/>
        <tr r="U30" s="11"/>
        <tr r="U42" s="11"/>
      </tp>
      <tp t="e">
        <v>#N/A</v>
        <stp/>
        <stp>BDH|17854873254000425833</stp>
        <tr r="J44" s="21"/>
      </tp>
      <tp t="e">
        <v>#N/A</v>
        <stp/>
        <stp>BDH|16837362573060866090</stp>
        <tr r="F21" s="4"/>
      </tp>
      <tp t="e">
        <v>#N/A</v>
        <stp/>
        <stp>BDH|17895317732925258054</stp>
        <tr r="W11" s="28"/>
      </tp>
      <tp t="e">
        <v>#N/A</v>
        <stp/>
        <stp>BDH|15301384327566767071</stp>
        <tr r="J59" s="10"/>
      </tp>
      <tp t="e">
        <v>#N/A</v>
        <stp/>
        <stp>BDH|10415716632615360381</stp>
        <tr r="X18" s="24"/>
      </tp>
      <tp t="e">
        <v>#N/A</v>
        <stp/>
        <stp>BDH|16516619179940059511</stp>
        <tr r="V18" s="20"/>
      </tp>
      <tp t="e">
        <v>#N/A</v>
        <stp/>
        <stp>BDH|10321506105474827327</stp>
        <tr r="L30" s="9"/>
      </tp>
      <tp t="e">
        <v>#N/A</v>
        <stp/>
        <stp>BDH|17828119961840537215</stp>
        <tr r="AA18" s="23"/>
      </tp>
      <tp t="e">
        <v>#N/A</v>
        <stp/>
        <stp>BDH|11147843889575977691</stp>
        <tr r="M30" s="17"/>
      </tp>
      <tp t="e">
        <v>#N/A</v>
        <stp/>
        <stp>BDH|17590135618885680048</stp>
        <tr r="V33" s="13"/>
      </tp>
      <tp t="e">
        <v>#N/A</v>
        <stp/>
        <stp>BDH|10346389467700480746</stp>
        <tr r="U47" s="12"/>
      </tp>
      <tp t="e">
        <v>#N/A</v>
        <stp/>
        <stp>BDH|13728341111462457199</stp>
        <tr r="O9" s="2"/>
        <tr r="Q8" s="25"/>
        <tr r="O10" s="5"/>
      </tp>
      <tp t="e">
        <v>#N/A</v>
        <stp/>
        <stp>BDH|13044686537173299720</stp>
        <tr r="AA14" s="17"/>
        <tr r="AA17" s="28"/>
      </tp>
      <tp t="e">
        <v>#N/A</v>
        <stp/>
        <stp>BDH|10974471018704024399</stp>
        <tr r="O13" s="5"/>
      </tp>
      <tp t="e">
        <v>#N/A</v>
        <stp/>
        <stp>BDH|14402435613042296195</stp>
        <tr r="C31" s="22"/>
      </tp>
      <tp t="e">
        <v>#N/A</v>
        <stp/>
        <stp>BDH|12586401459970672158</stp>
        <tr r="N31" s="22"/>
      </tp>
      <tp t="e">
        <v>#N/A</v>
        <stp/>
        <stp>BDH|17871952651941754846</stp>
        <tr r="N24" s="18"/>
      </tp>
      <tp t="e">
        <v>#N/A</v>
        <stp/>
        <stp>BDH|17425267304010098792</stp>
        <tr r="E9" s="11"/>
      </tp>
      <tp t="e">
        <v>#N/A</v>
        <stp/>
        <stp>BDH|11484563478988175948</stp>
        <tr r="N35" s="22"/>
      </tp>
      <tp t="e">
        <v>#N/A</v>
        <stp/>
        <stp>BDH|11702245639370236278</stp>
        <tr r="S21" s="11"/>
      </tp>
      <tp t="e">
        <v>#N/A</v>
        <stp/>
        <stp>BDH|11815764011527045209</stp>
        <tr r="Z8" s="13"/>
      </tp>
      <tp t="e">
        <v>#N/A</v>
        <stp/>
        <stp>BDH|10790272986031126985</stp>
        <tr r="S7" s="14"/>
      </tp>
      <tp t="e">
        <v>#N/A</v>
        <stp/>
        <stp>BDH|10977771734884651237</stp>
        <tr r="K63" s="18"/>
      </tp>
      <tp t="e">
        <v>#N/A</v>
        <stp/>
        <stp>BDH|13713712200585824317</stp>
        <tr r="M66" s="10"/>
        <tr r="M64" s="11"/>
        <tr r="M20" s="7"/>
      </tp>
      <tp t="e">
        <v>#N/A</v>
        <stp/>
        <stp>BDH|15992838886581114626</stp>
        <tr r="U14" s="17"/>
        <tr r="U17" s="28"/>
      </tp>
      <tp t="e">
        <v>#N/A</v>
        <stp/>
        <stp>BDH|14659375055168973824</stp>
        <tr r="Q111" s="18"/>
      </tp>
      <tp t="e">
        <v>#N/A</v>
        <stp/>
        <stp>BDH|15432417476870464488</stp>
        <tr r="Q68" s="17"/>
      </tp>
      <tp t="e">
        <v>#N/A</v>
        <stp/>
        <stp>BDH|14534783690098483069</stp>
        <tr r="S67" s="12"/>
      </tp>
      <tp t="e">
        <v>#N/A</v>
        <stp/>
        <stp>BDH|10854037137210110120</stp>
        <tr r="D17" s="17"/>
        <tr r="D20" s="28"/>
      </tp>
      <tp t="e">
        <v>#N/A</v>
        <stp/>
        <stp>BDH|14257198964943339236</stp>
        <tr r="M72" s="18"/>
      </tp>
      <tp t="e">
        <v>#N/A</v>
        <stp/>
        <stp>BDH|12571796063159937894</stp>
        <tr r="X22" s="18"/>
      </tp>
      <tp t="e">
        <v>#N/A</v>
        <stp/>
        <stp>BDH|11617680147944768518</stp>
        <tr r="V20" s="11"/>
      </tp>
      <tp t="e">
        <v>#N/A</v>
        <stp/>
        <stp>BDH|14720168099076063878</stp>
        <tr r="E128" s="18"/>
      </tp>
      <tp t="e">
        <v>#N/A</v>
        <stp/>
        <stp>BDH|11550489043884409750</stp>
        <tr r="Y7" s="8"/>
      </tp>
      <tp t="e">
        <v>#N/A</v>
        <stp/>
        <stp>BDH|14907998792615533389</stp>
        <tr r="O16" s="26"/>
      </tp>
      <tp t="e">
        <v>#N/A</v>
        <stp/>
        <stp>BDH|10084947482694919712</stp>
        <tr r="L55" s="18"/>
      </tp>
      <tp t="e">
        <v>#N/A</v>
        <stp/>
        <stp>BDH|13984541907483046743</stp>
        <tr r="H33" s="21"/>
      </tp>
      <tp t="e">
        <v>#N/A</v>
        <stp/>
        <stp>BDH|11025274832914372681</stp>
        <tr r="U6" s="6"/>
      </tp>
      <tp t="e">
        <v>#N/A</v>
        <stp/>
        <stp>BDH|17825119405395561177</stp>
        <tr r="E31" s="18"/>
      </tp>
      <tp t="e">
        <v>#N/A</v>
        <stp/>
        <stp>BDH|10790066795119302297</stp>
        <tr r="M13" s="10"/>
      </tp>
      <tp t="e">
        <v>#N/A</v>
        <stp/>
        <stp>BDH|15111177342410331298</stp>
        <tr r="N100" s="18"/>
      </tp>
      <tp t="e">
        <v>#N/A</v>
        <stp/>
        <stp>BDH|10819469914157303076</stp>
        <tr r="P43" s="18"/>
      </tp>
      <tp t="e">
        <v>#N/A</v>
        <stp/>
        <stp>BDH|10563629088455855991</stp>
        <tr r="AA9" s="12"/>
      </tp>
      <tp t="e">
        <v>#N/A</v>
        <stp/>
        <stp>BDH|11509108225260603084</stp>
        <tr r="W60" s="12"/>
      </tp>
      <tp t="e">
        <v>#N/A</v>
        <stp/>
        <stp>BDH|13451173509654068448</stp>
        <tr r="U84" s="17"/>
      </tp>
      <tp t="e">
        <v>#N/A</v>
        <stp/>
        <stp>BDH|10630715667987905471</stp>
        <tr r="V22" s="17"/>
      </tp>
      <tp t="e">
        <v>#N/A</v>
        <stp/>
        <stp>BDH|11360669118893502769</stp>
        <tr r="E15" s="12"/>
      </tp>
      <tp t="e">
        <v>#N/A</v>
        <stp/>
        <stp>BDH|14009554258605566369</stp>
        <tr r="L20" s="10"/>
      </tp>
      <tp t="e">
        <v>#N/A</v>
        <stp/>
        <stp>BDH|10853627652981716017</stp>
        <tr r="M60" s="10"/>
      </tp>
      <tp t="e">
        <v>#N/A</v>
        <stp/>
        <stp>BDH|16207494537357197433</stp>
        <tr r="Y52" s="4"/>
        <tr r="AA8" s="3"/>
        <tr r="Y40" s="10"/>
        <tr r="Y38" s="11"/>
        <tr r="AA30" s="13"/>
      </tp>
      <tp t="e">
        <v>#N/A</v>
        <stp/>
        <stp>BDH|16257526757350040498</stp>
        <tr r="I87" s="17"/>
        <tr r="I27" s="25"/>
      </tp>
      <tp t="e">
        <v>#N/A</v>
        <stp/>
        <stp>BDH|15995648152967043310</stp>
        <tr r="H54" s="18"/>
      </tp>
      <tp t="e">
        <v>#N/A</v>
        <stp/>
        <stp>BDH|16523191347808760921</stp>
        <tr r="Q9" s="3"/>
        <tr r="O47" s="10"/>
        <tr r="O45" s="11"/>
        <tr r="O14" s="7"/>
      </tp>
      <tp t="e">
        <v>#N/A</v>
        <stp/>
        <stp>BDH|18267193521738240165</stp>
        <tr r="C18" s="11"/>
      </tp>
      <tp t="e">
        <v>#N/A</v>
        <stp/>
        <stp>BDH|15558249268953237057</stp>
        <tr r="V24" s="11"/>
      </tp>
      <tp t="e">
        <v>#N/A</v>
        <stp/>
        <stp>BDH|13701287910615063716</stp>
        <tr r="H42" s="21"/>
      </tp>
      <tp t="e">
        <v>#N/A</v>
        <stp/>
        <stp>BDH|17024717060403703780</stp>
        <tr r="L56" s="24"/>
      </tp>
      <tp t="e">
        <v>#N/A</v>
        <stp/>
        <stp>BDH|10076016000643732185</stp>
        <tr r="C19" s="23"/>
      </tp>
      <tp t="e">
        <v>#N/A</v>
        <stp/>
        <stp>BDH|16917606877572458746</stp>
        <tr r="C17" s="12"/>
      </tp>
      <tp t="e">
        <v>#N/A</v>
        <stp/>
        <stp>BDH|13506548209516785215</stp>
        <tr r="M15" s="29"/>
        <tr r="M35" s="29"/>
      </tp>
      <tp t="e">
        <v>#N/A</v>
        <stp/>
        <stp>BDH|13156370416380865367</stp>
        <tr r="F45" s="21"/>
      </tp>
      <tp t="e">
        <v>#N/A</v>
        <stp/>
        <stp>BDH|11476150158893215459</stp>
        <tr r="S57" s="12"/>
      </tp>
      <tp t="e">
        <v>#N/A</v>
        <stp/>
        <stp>BDH|11308226300138899979</stp>
        <tr r="M25" s="24"/>
      </tp>
      <tp t="e">
        <v>#N/A</v>
        <stp/>
        <stp>BDH|14295834727838970415</stp>
        <tr r="P15" s="24"/>
      </tp>
      <tp t="e">
        <v>#N/A</v>
        <stp/>
        <stp>BDH|13794124418165324409</stp>
        <tr r="Z113" s="18"/>
      </tp>
      <tp t="e">
        <v>#N/A</v>
        <stp/>
        <stp>BDH|17656988431229388621</stp>
        <tr r="U74" s="18"/>
      </tp>
      <tp t="e">
        <v>#N/A</v>
        <stp/>
        <stp>BDH|15142519874464279188</stp>
        <tr r="Y9" s="17"/>
      </tp>
      <tp t="e">
        <v>#N/A</v>
        <stp/>
        <stp>BDH|17021182761270433237</stp>
        <tr r="P31" s="24"/>
      </tp>
      <tp t="e">
        <v>#N/A</v>
        <stp/>
        <stp>BDH|15341283055359002901</stp>
        <tr r="W71" s="18"/>
      </tp>
      <tp t="e">
        <v>#N/A</v>
        <stp/>
        <stp>BDH|16823632513400000360</stp>
        <tr r="E56" s="12"/>
      </tp>
      <tp t="e">
        <v>#N/A</v>
        <stp/>
        <stp>BDH|14303208268303763129</stp>
        <tr r="L9" s="6"/>
      </tp>
      <tp t="e">
        <v>#N/A</v>
        <stp/>
        <stp>BDH|15436993862570782996</stp>
        <tr r="E43" s="18"/>
      </tp>
      <tp t="e">
        <v>#N/A</v>
        <stp/>
        <stp>BDH|10670732485315051918</stp>
        <tr r="M28" s="12"/>
      </tp>
      <tp t="e">
        <v>#N/A</v>
        <stp/>
        <stp>BDH|12342156660802413431</stp>
        <tr r="D29" s="5"/>
      </tp>
      <tp t="e">
        <v>#N/A</v>
        <stp/>
        <stp>BDH|10109737216782281772</stp>
        <tr r="H29" s="21"/>
      </tp>
      <tp t="e">
        <v>#N/A</v>
        <stp/>
        <stp>BDH|13175048523633314141</stp>
        <tr r="J25" s="18"/>
      </tp>
      <tp t="e">
        <v>#N/A</v>
        <stp/>
        <stp>BDH|12337810783280488140</stp>
        <tr r="L16" s="30"/>
      </tp>
      <tp t="e">
        <v>#N/A</v>
        <stp/>
        <stp>BDH|10064230502746304739</stp>
        <tr r="G57" s="18"/>
      </tp>
      <tp t="e">
        <v>#N/A</v>
        <stp/>
        <stp>BDH|18153735123326081803</stp>
        <tr r="X50" s="17"/>
        <tr r="X10" s="25"/>
      </tp>
      <tp t="e">
        <v>#N/A</v>
        <stp/>
        <stp>BDH|18059790199175990082</stp>
        <tr r="M35" s="10"/>
        <tr r="M33" s="11"/>
      </tp>
      <tp t="e">
        <v>#N/A</v>
        <stp/>
        <stp>BDH|10797296342145495099</stp>
        <tr r="I16" s="24"/>
      </tp>
      <tp t="e">
        <v>#N/A</v>
        <stp/>
        <stp>BDH|11385117722113945284</stp>
        <tr r="D102" s="18"/>
      </tp>
      <tp t="e">
        <v>#N/A</v>
        <stp/>
        <stp>BDH|17771829852410578933</stp>
        <tr r="W20" s="6"/>
      </tp>
      <tp t="e">
        <v>#N/A</v>
        <stp/>
        <stp>BDH|12087851175139424757</stp>
        <tr r="W60" s="10"/>
      </tp>
      <tp t="e">
        <v>#N/A</v>
        <stp/>
        <stp>BDH|15933045474729888805</stp>
        <tr r="Y47" s="24"/>
      </tp>
      <tp t="e">
        <v>#N/A</v>
        <stp/>
        <stp>BDH|16644164146988615814</stp>
        <tr r="J56" s="12"/>
      </tp>
      <tp t="e">
        <v>#N/A</v>
        <stp/>
        <stp>BDH|13872766957713066183</stp>
        <tr r="K94" s="18"/>
      </tp>
      <tp t="e">
        <v>#N/A</v>
        <stp/>
        <stp>BDH|16047142656866393704</stp>
        <tr r="E100" s="18"/>
      </tp>
      <tp t="e">
        <v>#N/A</v>
        <stp/>
        <stp>BDH|12676183546654901001</stp>
        <tr r="J49" s="18"/>
      </tp>
      <tp t="e">
        <v>#N/A</v>
        <stp/>
        <stp>BDH|15119265162692581019</stp>
        <tr r="P64" s="12"/>
      </tp>
      <tp t="e">
        <v>#N/A</v>
        <stp/>
        <stp>BDH|13062776756917439548</stp>
        <tr r="G38" s="34"/>
      </tp>
      <tp t="e">
        <v>#N/A</v>
        <stp/>
        <stp>BDH|17617924281793719631</stp>
        <tr r="Q12" s="24"/>
      </tp>
      <tp t="e">
        <v>#N/A</v>
        <stp/>
        <stp>BDH|13300694194308836775</stp>
        <tr r="L26" s="7"/>
      </tp>
      <tp t="e">
        <v>#N/A</v>
        <stp/>
        <stp>BDH|16442606727373773257</stp>
        <tr r="E123" s="18"/>
      </tp>
      <tp t="e">
        <v>#N/A</v>
        <stp/>
        <stp>BDH|11449768704213472639</stp>
        <tr r="F21" s="3"/>
      </tp>
      <tp t="e">
        <v>#N/A</v>
        <stp/>
        <stp>BDH|17573750777392632607</stp>
        <tr r="W15" s="13"/>
      </tp>
      <tp t="e">
        <v>#N/A</v>
        <stp/>
        <stp>BDH|11987629078735061620</stp>
        <tr r="J24" s="4"/>
        <tr r="J59" s="11"/>
      </tp>
      <tp t="e">
        <v>#N/A</v>
        <stp/>
        <stp>BDH|10079868792825038754</stp>
        <tr r="W30" s="17"/>
      </tp>
      <tp t="e">
        <v>#N/A</v>
        <stp/>
        <stp>BDH|15073954191743001554</stp>
        <tr r="M86" s="17"/>
      </tp>
      <tp t="e">
        <v>#N/A</v>
        <stp/>
        <stp>BDH|15893782203635584475</stp>
        <tr r="H45" s="24"/>
      </tp>
      <tp t="e">
        <v>#N/A</v>
        <stp/>
        <stp>BDH|16272627725255520410</stp>
        <tr r="AA37" s="24"/>
      </tp>
      <tp t="e">
        <v>#N/A</v>
        <stp/>
        <stp>BDH|14439896017117340987</stp>
        <tr r="E16" s="21"/>
      </tp>
      <tp t="e">
        <v>#N/A</v>
        <stp/>
        <stp>BDH|14261909952508855399</stp>
        <tr r="P50" s="17"/>
        <tr r="P10" s="25"/>
      </tp>
      <tp t="e">
        <v>#N/A</v>
        <stp/>
        <stp>BDH|14974450163826789391</stp>
        <tr r="X32" s="10"/>
        <tr r="X44" s="10"/>
        <tr r="X30" s="11"/>
        <tr r="X42" s="11"/>
      </tp>
      <tp t="e">
        <v>#N/A</v>
        <stp/>
        <stp>BDH|15069343166643012034</stp>
        <tr r="C30" s="10"/>
        <tr r="C28" s="11"/>
      </tp>
      <tp t="e">
        <v>#N/A</v>
        <stp/>
        <stp>BDH|18002817869706041392</stp>
        <tr r="I30" s="24"/>
      </tp>
      <tp t="e">
        <v>#N/A</v>
        <stp/>
        <stp>BDH|17275127399609882508</stp>
        <tr r="T16" s="14"/>
      </tp>
      <tp t="e">
        <v>#N/A</v>
        <stp/>
        <stp>BDH|14455454615560406212</stp>
        <tr r="P13" s="22"/>
      </tp>
      <tp t="e">
        <v>#N/A</v>
        <stp/>
        <stp>BDH|10749962894451540213</stp>
        <tr r="K29" s="10"/>
        <tr r="K27" s="11"/>
      </tp>
      <tp t="e">
        <v>#N/A</v>
        <stp/>
        <stp>BDH|11704569744387484406</stp>
        <tr r="W29" s="21"/>
      </tp>
      <tp t="e">
        <v>#N/A</v>
        <stp/>
        <stp>BDH|15961189965568443905</stp>
        <tr r="Y25" s="2"/>
        <tr r="AA61" s="21"/>
      </tp>
      <tp t="e">
        <v>#N/A</v>
        <stp/>
        <stp>BDH|11695966677119045571</stp>
        <tr r="W32" s="22"/>
      </tp>
      <tp t="e">
        <v>#N/A</v>
        <stp/>
        <stp>BDH|12357774538912462785</stp>
        <tr r="X55" s="24"/>
      </tp>
      <tp t="e">
        <v>#N/A</v>
        <stp/>
        <stp>BDH|15005047076968668941</stp>
        <tr r="I61" s="11"/>
        <tr r="K15" s="23"/>
      </tp>
      <tp t="e">
        <v>#N/A</v>
        <stp/>
        <stp>BDH|16045765348491755799</stp>
        <tr r="G19" s="18"/>
      </tp>
      <tp t="e">
        <v>#N/A</v>
        <stp/>
        <stp>BDH|12083401131417807194</stp>
        <tr r="S38" s="4"/>
        <tr r="S60" s="11"/>
        <tr r="U13" s="23"/>
      </tp>
      <tp t="e">
        <v>#N/A</v>
        <stp/>
        <stp>BDH|11084245016864487565</stp>
        <tr r="S14" s="2"/>
        <tr r="S11" s="10"/>
      </tp>
      <tp t="e">
        <v>#N/A</v>
        <stp/>
        <stp>BDH|14431559060601576543</stp>
        <tr r="U67" s="17"/>
      </tp>
      <tp t="e">
        <v>#N/A</v>
        <stp/>
        <stp>BDH|17077589411580905004</stp>
        <tr r="L14" s="6"/>
      </tp>
      <tp t="e">
        <v>#N/A</v>
        <stp/>
        <stp>BDH|11193029197919551213</stp>
        <tr r="L52" s="24"/>
      </tp>
      <tp t="e">
        <v>#N/A</v>
        <stp/>
        <stp>BDH|16063329140084652647</stp>
        <tr r="Q63" s="12"/>
      </tp>
      <tp t="e">
        <v>#N/A</v>
        <stp/>
        <stp>BDH|14252495135552780291</stp>
        <tr r="N71" s="17"/>
      </tp>
      <tp t="e">
        <v>#N/A</v>
        <stp/>
        <stp>BDH|11621964170848817483</stp>
        <tr r="R37" s="24"/>
      </tp>
      <tp t="e">
        <v>#N/A</v>
        <stp/>
        <stp>BDH|11125645551380540112</stp>
        <tr r="D15" s="5"/>
      </tp>
      <tp t="e">
        <v>#N/A</v>
        <stp/>
        <stp>BDH|15727833967708272010</stp>
        <tr r="J25" s="24"/>
      </tp>
      <tp t="e">
        <v>#N/A</v>
        <stp/>
        <stp>BDH|16748339932271270448</stp>
        <tr r="C118" s="18"/>
      </tp>
      <tp t="e">
        <v>#N/A</v>
        <stp/>
        <stp>BDH|17471036175086719550</stp>
        <tr r="F20" s="18"/>
      </tp>
      <tp t="e">
        <v>#N/A</v>
        <stp/>
        <stp>BDH|16538472915700303046</stp>
        <tr r="R20" s="23"/>
      </tp>
      <tp t="e">
        <v>#N/A</v>
        <stp/>
        <stp>BDH|10135065220025421433</stp>
        <tr r="S132" s="18"/>
      </tp>
      <tp t="e">
        <v>#N/A</v>
        <stp/>
        <stp>BDH|11400450557741045264</stp>
        <tr r="M7" s="8"/>
      </tp>
      <tp t="e">
        <v>#N/A</v>
        <stp/>
        <stp>BDH|14060952283604236247</stp>
        <tr r="X35" s="22"/>
      </tp>
      <tp t="e">
        <v>#N/A</v>
        <stp/>
        <stp>BDH|11270381031162317080</stp>
        <tr r="X10" s="11"/>
      </tp>
      <tp t="e">
        <v>#N/A</v>
        <stp/>
        <stp>BDH|14428631596299608174</stp>
        <tr r="S12" s="10"/>
      </tp>
      <tp t="e">
        <v>#N/A</v>
        <stp/>
        <stp>BDH|11147844818762867954</stp>
        <tr r="O28" s="10"/>
        <tr r="O26" s="11"/>
      </tp>
      <tp t="e">
        <v>#N/A</v>
        <stp/>
        <stp>BDH|14969306123756946036</stp>
        <tr r="D68" s="17"/>
      </tp>
      <tp t="e">
        <v>#N/A</v>
        <stp/>
        <stp>BDH|10327930743166127825</stp>
        <tr r="G39" s="12"/>
      </tp>
      <tp t="e">
        <v>#N/A</v>
        <stp/>
        <stp>BDH|18070417716548372646</stp>
        <tr r="T18" s="24"/>
      </tp>
      <tp t="e">
        <v>#N/A</v>
        <stp/>
        <stp>BDH|10915796552242717350</stp>
        <tr r="H13" s="2"/>
      </tp>
      <tp t="e">
        <v>#N/A</v>
        <stp/>
        <stp>BDH|17862722664995829054</stp>
        <tr r="O8" s="4"/>
      </tp>
      <tp t="e">
        <v>#N/A</v>
        <stp/>
        <stp>BDH|15591552244400145760</stp>
        <tr r="K27" s="18"/>
      </tp>
      <tp t="e">
        <v>#N/A</v>
        <stp/>
        <stp>BDH|10258439431326152220</stp>
        <tr r="J122" s="18"/>
      </tp>
      <tp t="e">
        <v>#N/A</v>
        <stp/>
        <stp>BDH|17519427730453385070</stp>
        <tr r="F45" s="12"/>
      </tp>
      <tp t="e">
        <v>#N/A</v>
        <stp/>
        <stp>BDH|13518348724264225540</stp>
        <tr r="F89" s="17"/>
        <tr r="F7" s="27"/>
      </tp>
      <tp t="e">
        <v>#N/A</v>
        <stp/>
        <stp>BDH|11534209438216678586</stp>
        <tr r="S37" s="17"/>
      </tp>
      <tp t="e">
        <v>#N/A</v>
        <stp/>
        <stp>BDH|12356016230967206533</stp>
        <tr r="V14" s="30"/>
      </tp>
      <tp t="e">
        <v>#N/A</v>
        <stp/>
        <stp>BDH|11595873406292077877</stp>
        <tr r="N83" s="18"/>
      </tp>
      <tp t="e">
        <v>#N/A</v>
        <stp/>
        <stp>BDH|10586132721401504116</stp>
        <tr r="G7" s="2"/>
        <tr r="G7" s="5"/>
        <tr r="G7" s="9"/>
        <tr r="I14" s="3"/>
      </tp>
      <tp t="e">
        <v>#N/A</v>
        <stp/>
        <stp>BDH|15268122663932058300</stp>
        <tr r="Z16" s="30"/>
      </tp>
      <tp t="e">
        <v>#N/A</v>
        <stp/>
        <stp>BDH|15642970984542599530</stp>
        <tr r="K11" s="11"/>
      </tp>
      <tp t="e">
        <v>#N/A</v>
        <stp/>
        <stp>BDH|14381146122091323553</stp>
        <tr r="L57" s="24"/>
      </tp>
      <tp t="e">
        <v>#N/A</v>
        <stp/>
        <stp>BDH|15644301041501798037</stp>
        <tr r="V7" s="23"/>
      </tp>
      <tp t="e">
        <v>#N/A</v>
        <stp/>
        <stp>BDH|13743867580061458168</stp>
        <tr r="Z26" s="12"/>
      </tp>
      <tp t="e">
        <v>#N/A</v>
        <stp/>
        <stp>BDH|17965729106542845160</stp>
        <tr r="W102" s="18"/>
      </tp>
      <tp t="e">
        <v>#N/A</v>
        <stp/>
        <stp>BDH|12160948357684205935</stp>
        <tr r="J49" s="17"/>
        <tr r="J17" s="3"/>
      </tp>
      <tp t="e">
        <v>#N/A</v>
        <stp/>
        <stp>BDH|15906564979242688633</stp>
        <tr r="T21" s="10"/>
      </tp>
      <tp t="e">
        <v>#N/A</v>
        <stp/>
        <stp>BDH|12530209869671778487</stp>
        <tr r="D14" s="4"/>
      </tp>
      <tp t="e">
        <v>#N/A</v>
        <stp/>
        <stp>BDH|14532449227174141543</stp>
        <tr r="N57" s="18"/>
      </tp>
      <tp t="e">
        <v>#N/A</v>
        <stp/>
        <stp>BDH|11623289177305237288</stp>
        <tr r="AA66" s="12"/>
      </tp>
      <tp t="e">
        <v>#N/A</v>
        <stp/>
        <stp>BDH|14605746695238237164</stp>
        <tr r="F68" s="17"/>
      </tp>
      <tp t="e">
        <v>#N/A</v>
        <stp/>
        <stp>BDH|17107431558332911700</stp>
        <tr r="K17" s="18"/>
      </tp>
      <tp t="e">
        <v>#N/A</v>
        <stp/>
        <stp>BDH|12165060708578427982</stp>
        <tr r="X16" s="24"/>
      </tp>
      <tp t="e">
        <v>#N/A</v>
        <stp/>
        <stp>BDH|10559639710064770029</stp>
        <tr r="C42" s="21"/>
      </tp>
      <tp t="e">
        <v>#N/A</v>
        <stp/>
        <stp>BDH|13250556463702268153</stp>
        <tr r="AA16" s="14"/>
      </tp>
      <tp t="e">
        <v>#N/A</v>
        <stp/>
        <stp>BDH|10166780813572946706</stp>
        <tr r="S50" s="18"/>
      </tp>
      <tp t="e">
        <v>#N/A</v>
        <stp/>
        <stp>BDH|14616103011146117153</stp>
        <tr r="H11" s="7"/>
      </tp>
      <tp t="e">
        <v>#N/A</v>
        <stp/>
        <stp>BDH|11837685613112271721</stp>
        <tr r="V18" s="10"/>
      </tp>
      <tp t="e">
        <v>#N/A</v>
        <stp/>
        <stp>BDH|11459723597184048823</stp>
        <tr r="I27" s="18"/>
      </tp>
      <tp t="e">
        <v>#N/A</v>
        <stp/>
        <stp>BDH|16904157789795614901</stp>
        <tr r="D30" s="12"/>
      </tp>
      <tp t="e">
        <v>#N/A</v>
        <stp/>
        <stp>BDH|14315574228473758384</stp>
        <tr r="Y106" s="18"/>
      </tp>
      <tp t="e">
        <v>#N/A</v>
        <stp/>
        <stp>BDH|15266151554527449546</stp>
        <tr r="Q44" s="24"/>
      </tp>
      <tp t="e">
        <v>#N/A</v>
        <stp/>
        <stp>BDH|13121206411406001530</stp>
        <tr r="C22" s="24"/>
      </tp>
      <tp t="e">
        <v>#N/A</v>
        <stp/>
        <stp>BDH|13735034408580849071</stp>
        <tr r="O26" s="21"/>
      </tp>
      <tp t="e">
        <v>#N/A</v>
        <stp/>
        <stp>BDH|11271907881374030706</stp>
        <tr r="S17" s="14"/>
      </tp>
      <tp t="e">
        <v>#N/A</v>
        <stp/>
        <stp>BDH|17659374378179904936</stp>
        <tr r="G43" s="18"/>
      </tp>
      <tp t="e">
        <v>#N/A</v>
        <stp/>
        <stp>BDH|18196508883512966484</stp>
        <tr r="N31" s="25"/>
      </tp>
      <tp t="e">
        <v>#N/A</v>
        <stp/>
        <stp>BDH|10454298849910429530</stp>
        <tr r="Z87" s="17"/>
        <tr r="Z27" s="25"/>
      </tp>
      <tp t="e">
        <v>#N/A</v>
        <stp/>
        <stp>BDH|15900013266105835554</stp>
        <tr r="S12" s="13"/>
      </tp>
      <tp t="e">
        <v>#N/A</v>
        <stp/>
        <stp>BDH|14855069692227637998</stp>
        <tr r="AA7" s="17"/>
      </tp>
      <tp t="e">
        <v>#N/A</v>
        <stp/>
        <stp>BDH|14803065511337556196</stp>
        <tr r="P12" s="13"/>
      </tp>
      <tp t="e">
        <v>#N/A</v>
        <stp/>
        <stp>BDH|16621863302095569842</stp>
        <tr r="V8" s="10"/>
      </tp>
      <tp t="e">
        <v>#N/A</v>
        <stp/>
        <stp>BDH|10458126474035835094</stp>
        <tr r="O8" s="26"/>
        <tr r="M10" s="9"/>
      </tp>
      <tp t="e">
        <v>#N/A</v>
        <stp/>
        <stp>BDH|13625181604010162181</stp>
        <tr r="G63" s="17"/>
      </tp>
      <tp t="e">
        <v>#N/A</v>
        <stp/>
        <stp>BDH|13286728717787352168</stp>
        <tr r="S34" s="12"/>
      </tp>
      <tp t="e">
        <v>#N/A</v>
        <stp/>
        <stp>BDH|12849770762520612099</stp>
        <tr r="X106" s="18"/>
      </tp>
      <tp t="e">
        <v>#N/A</v>
        <stp/>
        <stp>BDH|13144492612897075281</stp>
        <tr r="W37" s="17"/>
      </tp>
      <tp t="e">
        <v>#N/A</v>
        <stp/>
        <stp>BDH|13556338861831493414</stp>
        <tr r="C58" s="24"/>
      </tp>
      <tp t="e">
        <v>#N/A</v>
        <stp/>
        <stp>BDH|13935461450411467098</stp>
        <tr r="G32" s="25"/>
        <tr r="G7" s="3"/>
        <tr r="E19" s="11"/>
        <tr r="G22" s="13"/>
        <tr r="G7" s="13"/>
      </tp>
      <tp t="e">
        <v>#N/A</v>
        <stp/>
        <stp>BDH|17780919513404696814</stp>
        <tr r="K34" s="21"/>
      </tp>
      <tp t="e">
        <v>#N/A</v>
        <stp/>
        <stp>BDH|10887740218731781419</stp>
        <tr r="Z9" s="28"/>
      </tp>
      <tp t="e">
        <v>#N/A</v>
        <stp/>
        <stp>BDH|10754439941226457536</stp>
        <tr r="C86" s="17"/>
      </tp>
      <tp t="e">
        <v>#N/A</v>
        <stp/>
        <stp>BDH|13029764859687851558</stp>
        <tr r="D22" s="21"/>
      </tp>
      <tp t="e">
        <v>#N/A</v>
        <stp/>
        <stp>BDH|13399836707459021154</stp>
        <tr r="D27" s="21"/>
      </tp>
      <tp t="e">
        <v>#N/A</v>
        <stp/>
        <stp>BDH|16232062418876964273</stp>
        <tr r="AA36" s="12"/>
      </tp>
      <tp t="e">
        <v>#N/A</v>
        <stp/>
        <stp>BDH|11090517276175472514</stp>
        <tr r="I46" s="24"/>
      </tp>
      <tp t="e">
        <v>#N/A</v>
        <stp/>
        <stp>BDH|15880305011411360583</stp>
        <tr r="D15" s="11"/>
      </tp>
      <tp t="e">
        <v>#N/A</v>
        <stp/>
        <stp>BDH|15524513934663570373</stp>
        <tr r="M58" s="21"/>
        <tr r="M30" s="25"/>
        <tr r="K31" s="4"/>
        <tr r="K56" s="11"/>
      </tp>
      <tp t="e">
        <v>#N/A</v>
        <stp/>
        <stp>BDH|10902933558389305633</stp>
        <tr r="H65" s="10"/>
      </tp>
      <tp t="e">
        <v>#N/A</v>
        <stp/>
        <stp>BDH|18150696095231766584</stp>
        <tr r="O8" s="2"/>
      </tp>
      <tp t="e">
        <v>#N/A</v>
        <stp/>
        <stp>BDH|16161636901646260531</stp>
        <tr r="E10" s="24"/>
      </tp>
      <tp t="e">
        <v>#N/A</v>
        <stp/>
        <stp>BDH|11324607343787278704</stp>
        <tr r="V18" s="23"/>
      </tp>
      <tp t="e">
        <v>#N/A</v>
        <stp/>
        <stp>BDH|18031812775025735112</stp>
        <tr r="Z60" s="18"/>
      </tp>
      <tp t="e">
        <v>#N/A</v>
        <stp/>
        <stp>BDH|13868050227155081788</stp>
        <tr r="I53" s="12"/>
      </tp>
      <tp t="e">
        <v>#N/A</v>
        <stp/>
        <stp>BDH|13942685613004858382</stp>
        <tr r="W12" s="14"/>
      </tp>
      <tp t="e">
        <v>#N/A</v>
        <stp/>
        <stp>BDH|17334103121840179719</stp>
        <tr r="AA32" s="22"/>
      </tp>
      <tp t="e">
        <v>#N/A</v>
        <stp/>
        <stp>BDH|13458447775513798008</stp>
        <tr r="X52" s="4"/>
        <tr r="Z8" s="3"/>
        <tr r="X40" s="10"/>
        <tr r="X38" s="11"/>
        <tr r="Z30" s="13"/>
      </tp>
      <tp t="e">
        <v>#N/A</v>
        <stp/>
        <stp>BDH|13802085766244270266</stp>
        <tr r="E67" s="18"/>
      </tp>
      <tp t="e">
        <v>#N/A</v>
        <stp/>
        <stp>BDH|14777185149792106050</stp>
        <tr r="W35" s="10"/>
        <tr r="W33" s="11"/>
      </tp>
      <tp t="e">
        <v>#N/A</v>
        <stp/>
        <stp>BDH|14942497552332162413</stp>
        <tr r="K26" s="21"/>
      </tp>
      <tp t="e">
        <v>#N/A</v>
        <stp/>
        <stp>BDH|18123972149530541685</stp>
        <tr r="E31" s="26"/>
      </tp>
      <tp t="e">
        <v>#N/A</v>
        <stp/>
        <stp>BDH|10908262227596960535</stp>
        <tr r="P124" s="18"/>
      </tp>
      <tp t="e">
        <v>#N/A</v>
        <stp/>
        <stp>BDH|17336635227859757950</stp>
        <tr r="L16" s="26"/>
      </tp>
      <tp t="e">
        <v>#N/A</v>
        <stp/>
        <stp>BDH|11354364315531574108</stp>
        <tr r="L66" s="12"/>
      </tp>
      <tp t="e">
        <v>#N/A</v>
        <stp/>
        <stp>BDH|13802557568386475549</stp>
        <tr r="J28" s="18"/>
      </tp>
      <tp t="e">
        <v>#N/A</v>
        <stp/>
        <stp>BDH|13393721773111545127</stp>
        <tr r="L30" s="12"/>
      </tp>
      <tp t="e">
        <v>#N/A</v>
        <stp/>
        <stp>BDH|17371830093640725519</stp>
        <tr r="R14" s="6"/>
      </tp>
      <tp t="e">
        <v>#N/A</v>
        <stp/>
        <stp>BDH|13449327907951230260</stp>
        <tr r="C36" s="34"/>
      </tp>
      <tp t="e">
        <v>#N/A</v>
        <stp/>
        <stp>BDH|10496405589476125993</stp>
        <tr r="X18" s="23"/>
      </tp>
      <tp t="e">
        <v>#N/A</v>
        <stp/>
        <stp>BDH|15672511175864515026</stp>
        <tr r="C8" s="4"/>
      </tp>
      <tp t="e">
        <v>#N/A</v>
        <stp/>
        <stp>BDH|16520665546961160611</stp>
        <tr r="W32" s="26"/>
      </tp>
      <tp t="e">
        <v>#N/A</v>
        <stp/>
        <stp>BDH|15009298645317071794</stp>
        <tr r="T51" s="12"/>
      </tp>
      <tp t="e">
        <v>#N/A</v>
        <stp/>
        <stp>BDH|10674618003506264334</stp>
        <tr r="Y61" s="24"/>
      </tp>
      <tp t="e">
        <v>#N/A</v>
        <stp/>
        <stp>BDH|10879395156085753058</stp>
        <tr r="Q61" s="17"/>
      </tp>
      <tp t="e">
        <v>#N/A</v>
        <stp/>
        <stp>BDH|10435835183332036118</stp>
        <tr r="L20" s="2"/>
        <tr r="L18" s="4"/>
        <tr r="L54" s="10"/>
        <tr r="L52" s="11"/>
        <tr r="L19" s="7"/>
        <tr r="N41" s="13"/>
      </tp>
      <tp t="e">
        <v>#N/A</v>
        <stp/>
        <stp>BDH|13415037973957732061</stp>
        <tr r="Y8" s="26"/>
        <tr r="W10" s="9"/>
      </tp>
      <tp t="e">
        <v>#N/A</v>
        <stp/>
        <stp>BDH|10734485600236304199</stp>
        <tr r="X13" s="18"/>
      </tp>
      <tp t="e">
        <v>#N/A</v>
        <stp/>
        <stp>BDH|17726541736936037404</stp>
        <tr r="H37" s="10"/>
        <tr r="H35" s="11"/>
      </tp>
      <tp t="e">
        <v>#N/A</v>
        <stp/>
        <stp>BDH|17774924696883334754</stp>
        <tr r="G25" s="21"/>
      </tp>
      <tp t="e">
        <v>#N/A</v>
        <stp/>
        <stp>BDH|17232259614103247443</stp>
        <tr r="W6" s="27"/>
      </tp>
      <tp t="e">
        <v>#N/A</v>
        <stp/>
        <stp>BDH|12250272801254412757</stp>
        <tr r="T16" s="24"/>
      </tp>
      <tp t="e">
        <v>#N/A</v>
        <stp/>
        <stp>BDH|12296152152984048105</stp>
        <tr r="P9" s="22"/>
      </tp>
      <tp t="e">
        <v>#N/A</v>
        <stp/>
        <stp>BDH|10174387729855680733</stp>
        <tr r="W43" s="12"/>
      </tp>
      <tp t="e">
        <v>#N/A</v>
        <stp/>
        <stp>BDH|12661451760471198278</stp>
        <tr r="N18" s="13"/>
      </tp>
      <tp t="e">
        <v>#N/A</v>
        <stp/>
        <stp>BDH|13268455124692762411</stp>
        <tr r="S26" s="21"/>
      </tp>
      <tp t="e">
        <v>#N/A</v>
        <stp/>
        <stp>BDH|17782109063316916582</stp>
        <tr r="L29" s="24"/>
      </tp>
      <tp t="e">
        <v>#N/A</v>
        <stp/>
        <stp>BDH|18271499788465320259</stp>
        <tr r="N58" s="12"/>
      </tp>
      <tp t="e">
        <v>#N/A</v>
        <stp/>
        <stp>BDH|10370369420391641369</stp>
        <tr r="Y27" s="18"/>
      </tp>
      <tp t="e">
        <v>#N/A</v>
        <stp/>
        <stp>BDH|12248873386033060261</stp>
        <tr r="P13" s="5"/>
      </tp>
      <tp t="e">
        <v>#N/A</v>
        <stp/>
        <stp>BDH|17680464762340696616</stp>
        <tr r="M9" s="22"/>
      </tp>
      <tp t="e">
        <v>#N/A</v>
        <stp/>
        <stp>BDH|13237131848016938351</stp>
        <tr r="T17" s="21"/>
      </tp>
      <tp t="e">
        <v>#N/A</v>
        <stp/>
        <stp>BDH|18436848060307406218</stp>
        <tr r="M29" s="5"/>
      </tp>
      <tp t="e">
        <v>#N/A</v>
        <stp/>
        <stp>BDH|15312739902157483636</stp>
        <tr r="J15" s="29"/>
        <tr r="J35" s="29"/>
      </tp>
      <tp t="e">
        <v>#N/A</v>
        <stp/>
        <stp>BDH|16935946738507978890</stp>
        <tr r="E15" s="24"/>
      </tp>
      <tp t="e">
        <v>#N/A</v>
        <stp/>
        <stp>BDH|11540032784088101263</stp>
        <tr r="S54" s="17"/>
      </tp>
      <tp t="e">
        <v>#N/A</v>
        <stp/>
        <stp>BDH|12545413677827185572</stp>
        <tr r="I36" s="21"/>
      </tp>
      <tp t="e">
        <v>#N/A</v>
        <stp/>
        <stp>BDH|10339393484168276092</stp>
        <tr r="P25" s="3"/>
      </tp>
      <tp t="e">
        <v>#N/A</v>
        <stp/>
        <stp>BDH|11805716276536258482</stp>
        <tr r="Z40" s="24"/>
      </tp>
      <tp t="e">
        <v>#N/A</v>
        <stp/>
        <stp>BDH|15860840346703726987</stp>
        <tr r="X32" s="25"/>
        <tr r="X7" s="3"/>
        <tr r="V19" s="11"/>
        <tr r="X22" s="13"/>
        <tr r="X7" s="13"/>
      </tp>
      <tp t="e">
        <v>#N/A</v>
        <stp/>
        <stp>BDH|12541355926495035532</stp>
        <tr r="W67" s="10"/>
        <tr r="W65" s="11"/>
      </tp>
      <tp t="e">
        <v>#N/A</v>
        <stp/>
        <stp>BDH|14034337572186275579</stp>
        <tr r="C12" s="7"/>
      </tp>
      <tp t="e">
        <v>#N/A</v>
        <stp/>
        <stp>BDH|16798702440505178321</stp>
        <tr r="L32" s="18"/>
      </tp>
      <tp t="e">
        <v>#N/A</v>
        <stp/>
        <stp>BDH|14050119523107637306</stp>
        <tr r="G54" s="12"/>
      </tp>
      <tp t="e">
        <v>#N/A</v>
        <stp/>
        <stp>BDH|11137376602233116219</stp>
        <tr r="V75" s="18"/>
      </tp>
      <tp t="e">
        <v>#N/A</v>
        <stp/>
        <stp>BDH|13436385228962643364</stp>
        <tr r="U9" s="10"/>
      </tp>
      <tp t="e">
        <v>#N/A</v>
        <stp/>
        <stp>BDH|18237331761238361679</stp>
        <tr r="T29" s="17"/>
      </tp>
      <tp t="e">
        <v>#N/A</v>
        <stp/>
        <stp>BDH|14472637328896960520</stp>
        <tr r="N45" s="21"/>
      </tp>
      <tp t="e">
        <v>#N/A</v>
        <stp/>
        <stp>BDH|16889077199049424563</stp>
        <tr r="W74" s="17"/>
        <tr r="W19" s="3"/>
      </tp>
      <tp t="e">
        <v>#N/A</v>
        <stp/>
        <stp>BDH|12593031741432050737</stp>
        <tr r="L62" s="11"/>
        <tr r="N19" s="23"/>
      </tp>
      <tp t="e">
        <v>#N/A</v>
        <stp/>
        <stp>BDH|12792011725571330240</stp>
        <tr r="N72" s="17"/>
      </tp>
      <tp t="e">
        <v>#N/A</v>
        <stp/>
        <stp>BDH|13546448220604506204</stp>
        <tr r="M18" s="11"/>
      </tp>
      <tp t="e">
        <v>#N/A</v>
        <stp/>
        <stp>BDH|18124541710896347922</stp>
        <tr r="E66" s="17"/>
      </tp>
      <tp t="e">
        <v>#N/A</v>
        <stp/>
        <stp>BDH|16352698512531958350</stp>
        <tr r="N62" s="11"/>
        <tr r="P19" s="23"/>
      </tp>
      <tp t="e">
        <v>#N/A</v>
        <stp/>
        <stp>BDH|12083271724726578724</stp>
        <tr r="K56" s="18"/>
      </tp>
      <tp t="e">
        <v>#N/A</v>
        <stp/>
        <stp>BDH|12647901754039209449</stp>
        <tr r="Z13" s="8"/>
      </tp>
      <tp t="e">
        <v>#N/A</v>
        <stp/>
        <stp>BDH|10024359529150821204</stp>
        <tr r="W63" s="10"/>
      </tp>
      <tp t="e">
        <v>#N/A</v>
        <stp/>
        <stp>BDH|11301429734557422252</stp>
        <tr r="S9" s="24"/>
      </tp>
      <tp t="e">
        <v>#N/A</v>
        <stp/>
        <stp>BDH|18032617837098402667</stp>
        <tr r="R53" s="12"/>
      </tp>
      <tp t="e">
        <v>#N/A</v>
        <stp/>
        <stp>BDH|18178448424534593901</stp>
        <tr r="U62" s="12"/>
      </tp>
      <tp t="e">
        <v>#N/A</v>
        <stp/>
        <stp>BDH|11503397900741057084</stp>
        <tr r="AA19" s="20"/>
      </tp>
      <tp t="e">
        <v>#N/A</v>
        <stp/>
        <stp>BDH|12518230333848806899</stp>
        <tr r="Y29" s="24"/>
      </tp>
      <tp t="e">
        <v>#N/A</v>
        <stp/>
        <stp>BDH|12107531703366502202</stp>
        <tr r="C12" s="20"/>
      </tp>
      <tp t="e">
        <v>#N/A</v>
        <stp/>
        <stp>BDH|17896066094604691980</stp>
        <tr r="D23" s="2"/>
        <tr r="F18" s="21"/>
        <tr r="F23" s="3"/>
      </tp>
      <tp t="e">
        <v>#N/A</v>
        <stp/>
        <stp>BDH|13028585636005818326</stp>
        <tr r="Q39" s="17"/>
      </tp>
      <tp t="e">
        <v>#N/A</v>
        <stp/>
        <stp>BDH|13534086312319205896</stp>
        <tr r="C24" s="25"/>
        <tr r="C17" s="27"/>
      </tp>
      <tp t="e">
        <v>#N/A</v>
        <stp/>
        <stp>BDH|10930843372385871933</stp>
        <tr r="L62" s="12"/>
      </tp>
      <tp t="e">
        <v>#N/A</v>
        <stp/>
        <stp>BDH|18199347057355296843</stp>
        <tr r="N57" s="12"/>
      </tp>
      <tp t="e">
        <v>#N/A</v>
        <stp/>
        <stp>BDH|14426646542643050660</stp>
        <tr r="H6" s="27"/>
      </tp>
      <tp t="e">
        <v>#N/A</v>
        <stp/>
        <stp>BDH|13023842288543150396</stp>
        <tr r="P7" s="34"/>
      </tp>
      <tp t="e">
        <v>#N/A</v>
        <stp/>
        <stp>BDH|12037113669192848443</stp>
        <tr r="S20" s="2"/>
        <tr r="S18" s="4"/>
        <tr r="S54" s="10"/>
        <tr r="S52" s="11"/>
        <tr r="S19" s="7"/>
        <tr r="U41" s="13"/>
      </tp>
      <tp t="e">
        <v>#N/A</v>
        <stp/>
        <stp>BDH|16676359500813380548</stp>
        <tr r="I90" s="17"/>
        <tr r="I13" s="28"/>
      </tp>
      <tp t="e">
        <v>#N/A</v>
        <stp/>
        <stp>BDH|16446481278387310132</stp>
        <tr r="X17" s="23"/>
      </tp>
      <tp t="e">
        <v>#N/A</v>
        <stp/>
        <stp>BDH|15279090093837821848</stp>
        <tr r="I48" s="10"/>
        <tr r="I46" s="11"/>
        <tr r="I15" s="7"/>
      </tp>
      <tp t="e">
        <v>#N/A</v>
        <stp/>
        <stp>BDH|16201635547171505671</stp>
        <tr r="N26" s="10"/>
      </tp>
      <tp t="e">
        <v>#N/A</v>
        <stp/>
        <stp>BDH|12420399823670306099</stp>
        <tr r="T32" s="22"/>
      </tp>
      <tp t="e">
        <v>#N/A</v>
        <stp/>
        <stp>BDH|10029067252297865185</stp>
        <tr r="R25" s="17"/>
      </tp>
      <tp t="e">
        <v>#N/A</v>
        <stp/>
        <stp>BDH|15053062621233694758</stp>
        <tr r="Z25" s="17"/>
      </tp>
      <tp t="e">
        <v>#N/A</v>
        <stp/>
        <stp>BDH|14619293677976933460</stp>
        <tr r="C58" s="17"/>
      </tp>
      <tp t="e">
        <v>#N/A</v>
        <stp/>
        <stp>BDH|17297508504963718266</stp>
        <tr r="J48" s="21"/>
      </tp>
      <tp t="e">
        <v>#N/A</v>
        <stp/>
        <stp>BDH|18214222198197788785</stp>
        <tr r="U28" s="12"/>
      </tp>
      <tp t="e">
        <v>#N/A</v>
        <stp/>
        <stp>BDH|16444249366201724063</stp>
        <tr r="U13" s="5"/>
      </tp>
      <tp t="e">
        <v>#N/A</v>
        <stp/>
        <stp>BDH|15471211461622481075</stp>
        <tr r="G43" s="10"/>
        <tr r="G41" s="11"/>
      </tp>
      <tp t="e">
        <v>#N/A</v>
        <stp/>
        <stp>BDH|13158201981553288955</stp>
        <tr r="W59" s="12"/>
      </tp>
      <tp t="e">
        <v>#N/A</v>
        <stp/>
        <stp>BDH|14527964332928646507</stp>
        <tr r="L62" s="24"/>
      </tp>
      <tp t="e">
        <v>#N/A</v>
        <stp/>
        <stp>BDH|11688383388918731162</stp>
        <tr r="Q8" s="4"/>
      </tp>
      <tp t="e">
        <v>#N/A</v>
        <stp/>
        <stp>BDH|14421604500938258918</stp>
        <tr r="G37" s="10"/>
        <tr r="G35" s="11"/>
      </tp>
      <tp t="e">
        <v>#N/A</v>
        <stp/>
        <stp>BDH|14333708444741683566</stp>
        <tr r="X13" s="24"/>
      </tp>
      <tp t="e">
        <v>#N/A</v>
        <stp/>
        <stp>BDH|11997458014377605093</stp>
        <tr r="U10" s="4"/>
        <tr r="T6" s="16"/>
        <tr r="W6" s="3"/>
        <tr r="U6" s="11"/>
      </tp>
      <tp t="e">
        <v>#N/A</v>
        <stp/>
        <stp>BDH|10634687543151200084</stp>
        <tr r="K18" s="12"/>
      </tp>
      <tp t="e">
        <v>#N/A</v>
        <stp/>
        <stp>BDH|15197025878560419188</stp>
        <tr r="G12" s="11"/>
      </tp>
      <tp t="e">
        <v>#N/A</v>
        <stp/>
        <stp>BDH|11440903325969608009</stp>
        <tr r="E10" s="34"/>
      </tp>
      <tp t="e">
        <v>#N/A</v>
        <stp/>
        <stp>BDH|12787096408054618578</stp>
        <tr r="J23" s="2"/>
        <tr r="L18" s="21"/>
        <tr r="L23" s="3"/>
      </tp>
      <tp t="e">
        <v>#N/A</v>
        <stp/>
        <stp>BDH|15614105823695750050</stp>
        <tr r="G41" s="17"/>
      </tp>
      <tp t="e">
        <v>#N/A</v>
        <stp/>
        <stp>BDH|14338398678685098652</stp>
        <tr r="Z44" s="18"/>
      </tp>
      <tp t="e">
        <v>#N/A</v>
        <stp/>
        <stp>BDH|10244589467803868325</stp>
        <tr r="Y51" s="17"/>
      </tp>
      <tp t="e">
        <v>#N/A</v>
        <stp/>
        <stp>BDH|14224668657706197252</stp>
        <tr r="H59" s="21"/>
        <tr r="F57" s="11"/>
      </tp>
      <tp t="e">
        <v>#N/A</v>
        <stp/>
        <stp>BDH|14655672787510116905</stp>
        <tr r="C10" s="30"/>
      </tp>
      <tp t="e">
        <v>#N/A</v>
        <stp/>
        <stp>BDH|14556276014776001212</stp>
        <tr r="Y14" s="23"/>
      </tp>
      <tp t="e">
        <v>#N/A</v>
        <stp/>
        <stp>BDH|17246537426012339135</stp>
        <tr r="V68" s="10"/>
        <tr r="V66" s="11"/>
      </tp>
      <tp t="e">
        <v>#N/A</v>
        <stp/>
        <stp>BDH|14942524283353674991</stp>
        <tr r="O69" s="24"/>
      </tp>
      <tp t="e">
        <v>#N/A</v>
        <stp/>
        <stp>BDH|12039802481222621305</stp>
        <tr r="X116" s="18"/>
      </tp>
      <tp t="e">
        <v>#N/A</v>
        <stp/>
        <stp>BDH|14664013235341147559</stp>
        <tr r="E36" s="34"/>
      </tp>
      <tp t="e">
        <v>#N/A</v>
        <stp/>
        <stp>BDH|13095136768162455590</stp>
        <tr r="U124" s="18"/>
      </tp>
      <tp t="e">
        <v>#N/A</v>
        <stp/>
        <stp>BDH|10550033065132698734</stp>
        <tr r="J40" s="34"/>
      </tp>
      <tp t="e">
        <v>#N/A</v>
        <stp/>
        <stp>BDH|17069312615954530274</stp>
        <tr r="L30" s="34"/>
      </tp>
      <tp t="e">
        <v>#N/A</v>
        <stp/>
        <stp>BDH|17583361256453014136</stp>
        <tr r="I43" s="24"/>
      </tp>
      <tp t="e">
        <v>#N/A</v>
        <stp/>
        <stp>BDH|18278990638187096655</stp>
        <tr r="AA21" s="22"/>
      </tp>
      <tp t="e">
        <v>#N/A</v>
        <stp/>
        <stp>BDH|14407607056436096240</stp>
        <tr r="X22" s="17"/>
      </tp>
      <tp t="e">
        <v>#N/A</v>
        <stp/>
        <stp>BDH|16254108025525534341</stp>
        <tr r="T15" s="24"/>
      </tp>
      <tp t="e">
        <v>#N/A</v>
        <stp/>
        <stp>BDH|17519007670400235318</stp>
        <tr r="Y52" s="17"/>
      </tp>
      <tp t="e">
        <v>#N/A</v>
        <stp/>
        <stp>BDH|18357120397605380632</stp>
        <tr r="I11" s="12"/>
      </tp>
      <tp t="e">
        <v>#N/A</v>
        <stp/>
        <stp>BDH|12269778040687707541</stp>
        <tr r="I41" s="12"/>
      </tp>
      <tp t="e">
        <v>#N/A</v>
        <stp/>
        <stp>BDH|17191684570931651498</stp>
        <tr r="L52" s="18"/>
      </tp>
      <tp t="e">
        <v>#N/A</v>
        <stp/>
        <stp>BDH|16810095262963554000</stp>
        <tr r="U28" s="6"/>
      </tp>
      <tp t="e">
        <v>#N/A</v>
        <stp/>
        <stp>BDH|17331617577105623058</stp>
        <tr r="T12" s="13"/>
      </tp>
      <tp t="e">
        <v>#N/A</v>
        <stp/>
        <stp>BDH|10484144481222691818</stp>
        <tr r="I18" s="9"/>
      </tp>
      <tp t="e">
        <v>#N/A</v>
        <stp/>
        <stp>BDH|13982326308401249270</stp>
        <tr r="W23" s="26"/>
      </tp>
      <tp t="e">
        <v>#N/A</v>
        <stp/>
        <stp>BDH|14189579760107076309</stp>
        <tr r="E48" s="21"/>
      </tp>
      <tp t="e">
        <v>#N/A</v>
        <stp/>
        <stp>BDH|13727452003892149661</stp>
        <tr r="J82" s="18"/>
      </tp>
      <tp t="e">
        <v>#N/A</v>
        <stp/>
        <stp>BDH|18323574185361399740</stp>
        <tr r="X93" s="18"/>
      </tp>
      <tp t="e">
        <v>#N/A</v>
        <stp/>
        <stp>BDH|17574037848724099482</stp>
        <tr r="K28" s="21"/>
      </tp>
      <tp t="e">
        <v>#N/A</v>
        <stp/>
        <stp>BDH|13179012440457553337</stp>
        <tr r="D62" s="12"/>
      </tp>
      <tp t="e">
        <v>#N/A</v>
        <stp/>
        <stp>BDH|13178728459021494385</stp>
        <tr r="H22" s="27"/>
      </tp>
      <tp t="e">
        <v>#N/A</v>
        <stp/>
        <stp>BDH|11216579310901030731</stp>
        <tr r="L72" s="18"/>
      </tp>
      <tp t="e">
        <v>#N/A</v>
        <stp/>
        <stp>BDH|14950041601501336691</stp>
        <tr r="X25" s="22"/>
      </tp>
      <tp t="e">
        <v>#N/A</v>
        <stp/>
        <stp>BDH|13935612114466254182</stp>
        <tr r="Y47" s="17"/>
      </tp>
      <tp t="e">
        <v>#N/A</v>
        <stp/>
        <stp>BDH|17051748364876135374</stp>
        <tr r="R48" s="17"/>
      </tp>
      <tp t="e">
        <v>#N/A</v>
        <stp/>
        <stp>BDH|18393704315908537556</stp>
        <tr r="I64" s="10"/>
      </tp>
      <tp t="e">
        <v>#N/A</v>
        <stp/>
        <stp>BDH|17613028072282498143</stp>
        <tr r="H6" s="28"/>
      </tp>
      <tp t="e">
        <v>#N/A</v>
        <stp/>
        <stp>BDH|15541973203686039973</stp>
        <tr r="K67" s="17"/>
      </tp>
      <tp t="e">
        <v>#N/A</v>
        <stp/>
        <stp>BDH|13321766694266438835</stp>
        <tr r="G73" s="17"/>
        <tr r="E9" s="5"/>
        <tr r="E9" s="9"/>
      </tp>
      <tp t="e">
        <v>#N/A</v>
        <stp/>
        <stp>BDH|11040323244825064009</stp>
        <tr r="V74" s="18"/>
      </tp>
      <tp t="e">
        <v>#N/A</v>
        <stp/>
        <stp>BDH|17869914599330111477</stp>
        <tr r="R6" s="2"/>
        <tr r="R6" s="5"/>
        <tr r="R6" s="9"/>
        <tr r="S12" s="8"/>
        <tr r="T10" s="29"/>
        <tr r="T19" s="29"/>
        <tr r="T25" s="29"/>
      </tp>
      <tp t="e">
        <v>#N/A</v>
        <stp/>
        <stp>BDH|11436233021022763071</stp>
        <tr r="N63" s="18"/>
      </tp>
      <tp t="e">
        <v>#N/A</v>
        <stp/>
        <stp>BDH|14520670523201503227</stp>
        <tr r="E13" s="2"/>
      </tp>
      <tp t="e">
        <v>#N/A</v>
        <stp/>
        <stp>BDH|15114111867680039113</stp>
        <tr r="X20" s="23"/>
      </tp>
      <tp t="e">
        <v>#N/A</v>
        <stp/>
        <stp>BDH|12689185519254689571</stp>
        <tr r="H64" s="17"/>
        <tr r="H18" s="3"/>
      </tp>
      <tp t="e">
        <v>#N/A</v>
        <stp/>
        <stp>BDH|13496508551268637855</stp>
        <tr r="J13" s="29"/>
        <tr r="J22" s="29"/>
        <tr r="J33" s="29"/>
      </tp>
      <tp t="e">
        <v>#N/A</v>
        <stp/>
        <stp>BDH|12303904125603615967</stp>
        <tr r="I12" s="14"/>
      </tp>
      <tp t="e">
        <v>#N/A</v>
        <stp/>
        <stp>BDH|13857316851220824698</stp>
        <tr r="V41" s="24"/>
      </tp>
      <tp t="e">
        <v>#N/A</v>
        <stp/>
        <stp>BDH|11596807513088853370</stp>
        <tr r="M7" s="14"/>
      </tp>
      <tp t="e">
        <v>#N/A</v>
        <stp/>
        <stp>BDH|14080750968244588219</stp>
        <tr r="O9" s="24"/>
      </tp>
      <tp t="e">
        <v>#N/A</v>
        <stp/>
        <stp>BDH|14464130188678385653</stp>
        <tr r="K22" s="10"/>
      </tp>
      <tp t="e">
        <v>#N/A</v>
        <stp/>
        <stp>BDH|17142342559376083456</stp>
        <tr r="H49" s="21"/>
      </tp>
      <tp t="e">
        <v>#N/A</v>
        <stp/>
        <stp>BDH|16584371869348205803</stp>
        <tr r="W94" s="18"/>
      </tp>
      <tp t="e">
        <v>#N/A</v>
        <stp/>
        <stp>BDH|14354319331564914331</stp>
        <tr r="E23" s="9"/>
      </tp>
      <tp t="e">
        <v>#N/A</v>
        <stp/>
        <stp>BDH|15122920486406882147</stp>
        <tr r="S14" s="29"/>
        <tr r="S23" s="29"/>
        <tr r="S34" s="29"/>
      </tp>
      <tp t="e">
        <v>#N/A</v>
        <stp/>
        <stp>BDH|17879011388984062880</stp>
        <tr r="E36" s="21"/>
      </tp>
      <tp t="e">
        <v>#N/A</v>
        <stp/>
        <stp>BDH|18083956146390346691</stp>
        <tr r="O30" s="26"/>
      </tp>
      <tp t="e">
        <v>#N/A</v>
        <stp/>
        <stp>BDH|10256724521913040584</stp>
        <tr r="E17" s="29"/>
        <tr r="E37" s="29"/>
      </tp>
      <tp t="e">
        <v>#N/A</v>
        <stp/>
        <stp>BDH|14936173455797183430</stp>
        <tr r="Y60" s="17"/>
      </tp>
      <tp t="e">
        <v>#N/A</v>
        <stp/>
        <stp>BDH|14340429749323372426</stp>
        <tr r="Y8" s="8"/>
      </tp>
      <tp t="e">
        <v>#N/A</v>
        <stp/>
        <stp>BDH|11557385004723013209</stp>
        <tr r="J52" s="17"/>
      </tp>
      <tp t="e">
        <v>#N/A</v>
        <stp/>
        <stp>BDH|16995422662627940096</stp>
        <tr r="J15" s="17"/>
        <tr r="J18" s="28"/>
      </tp>
      <tp t="e">
        <v>#N/A</v>
        <stp/>
        <stp>BDH|13420559845489813851</stp>
        <tr r="Y22" s="10"/>
      </tp>
      <tp t="e">
        <v>#N/A</v>
        <stp/>
        <stp>BDH|16249477826432216188</stp>
        <tr r="P25" s="21"/>
      </tp>
      <tp t="e">
        <v>#N/A</v>
        <stp/>
        <stp>BDH|13091407621467960112</stp>
        <tr r="Z23" s="24"/>
      </tp>
      <tp t="e">
        <v>#N/A</v>
        <stp/>
        <stp>BDH|14080249867106997534</stp>
        <tr r="F43" s="10"/>
        <tr r="F41" s="11"/>
      </tp>
      <tp t="e">
        <v>#N/A</v>
        <stp/>
        <stp>BDH|10335495213601387735</stp>
        <tr r="R18" s="14"/>
      </tp>
      <tp t="e">
        <v>#N/A</v>
        <stp/>
        <stp>BDH|15663332010962996659</stp>
        <tr r="G22" s="4"/>
      </tp>
      <tp t="e">
        <v>#N/A</v>
        <stp/>
        <stp>BDH|17937774375587373319</stp>
        <tr r="Q35" s="12"/>
      </tp>
      <tp t="e">
        <v>#N/A</v>
        <stp/>
        <stp>BDH|15826489302023372180</stp>
        <tr r="G32" s="18"/>
      </tp>
      <tp t="e">
        <v>#N/A</v>
        <stp/>
        <stp>BDH|16004827296951967544</stp>
        <tr r="R30" s="24"/>
      </tp>
      <tp t="e">
        <v>#N/A</v>
        <stp/>
        <stp>BDH|12664349187013416982</stp>
        <tr r="C69" s="18"/>
      </tp>
      <tp t="e">
        <v>#N/A</v>
        <stp/>
        <stp>BDH|13838746147511006223</stp>
        <tr r="C57" s="18"/>
      </tp>
      <tp t="e">
        <v>#N/A</v>
        <stp/>
        <stp>BDH|15853166699767905976</stp>
        <tr r="E61" s="12"/>
      </tp>
      <tp t="e">
        <v>#N/A</v>
        <stp/>
        <stp>BDH|18313362881087522783</stp>
        <tr r="V53" s="17"/>
      </tp>
      <tp t="e">
        <v>#N/A</v>
        <stp/>
        <stp>BDH|11553743674407551591</stp>
        <tr r="P93" s="18"/>
      </tp>
      <tp t="e">
        <v>#N/A</v>
        <stp/>
        <stp>BDH|16070403219736436646</stp>
        <tr r="D18" s="5"/>
        <tr r="C31" s="6"/>
      </tp>
      <tp t="e">
        <v>#N/A</v>
        <stp/>
        <stp>BDH|12213013135522924060</stp>
        <tr r="H10" s="11"/>
      </tp>
      <tp t="e">
        <v>#N/A</v>
        <stp/>
        <stp>BDH|13032947489138344974</stp>
        <tr r="U12" s="7"/>
      </tp>
      <tp t="e">
        <v>#N/A</v>
        <stp/>
        <stp>BDH|10211771718175108055</stp>
        <tr r="T21" s="12"/>
      </tp>
      <tp t="e">
        <v>#N/A</v>
        <stp/>
        <stp>BDH|17848171209312647788</stp>
        <tr r="G44" s="12"/>
      </tp>
      <tp t="e">
        <v>#N/A</v>
        <stp/>
        <stp>BDH|16009684018346871409</stp>
        <tr r="O70" s="17"/>
      </tp>
      <tp t="e">
        <v>#N/A</v>
        <stp/>
        <stp>BDH|16662135339871536611</stp>
        <tr r="X14" s="23"/>
      </tp>
      <tp t="e">
        <v>#N/A</v>
        <stp/>
        <stp>BDH|14384360761535547791</stp>
        <tr r="E17" s="5"/>
        <tr r="D25" s="6"/>
      </tp>
      <tp t="e">
        <v>#N/A</v>
        <stp/>
        <stp>BDH|15895214634432219577</stp>
        <tr r="E11" s="14"/>
      </tp>
      <tp t="e">
        <v>#N/A</v>
        <stp/>
        <stp>BDH|12629343485168788287</stp>
        <tr r="K13" s="10"/>
      </tp>
      <tp t="e">
        <v>#N/A</v>
        <stp/>
        <stp>BDH|13964124473325780376</stp>
        <tr r="S99" s="18"/>
      </tp>
      <tp t="e">
        <v>#N/A</v>
        <stp/>
        <stp>BDH|18443842829568151908</stp>
        <tr r="Z38" s="22"/>
      </tp>
      <tp t="e">
        <v>#N/A</v>
        <stp/>
        <stp>BDH|13665553972742087094</stp>
        <tr r="Y86" s="17"/>
      </tp>
      <tp t="e">
        <v>#N/A</v>
        <stp/>
        <stp>BDH|13648715269995055463</stp>
        <tr r="Q41" s="18"/>
      </tp>
      <tp t="e">
        <v>#N/A</v>
        <stp/>
        <stp>BDH|10407023653291982744</stp>
        <tr r="O59" s="21"/>
        <tr r="M57" s="11"/>
      </tp>
      <tp t="e">
        <v>#N/A</v>
        <stp/>
        <stp>BDH|10785720498579083459</stp>
        <tr r="Q9" s="26"/>
      </tp>
      <tp t="e">
        <v>#N/A</v>
        <stp/>
        <stp>BDH|17755594000106079764</stp>
        <tr r="S10" s="2"/>
        <tr r="S11" s="5"/>
        <tr r="R37" s="6"/>
        <tr r="U31" s="29"/>
        <tr r="U39" s="29"/>
      </tp>
      <tp t="e">
        <v>#N/A</v>
        <stp/>
        <stp>BDH|11455962713673131981</stp>
        <tr r="P60" s="17"/>
      </tp>
      <tp t="e">
        <v>#N/A</v>
        <stp/>
        <stp>BDH|12519505746106316686</stp>
        <tr r="M64" s="17"/>
        <tr r="M18" s="3"/>
      </tp>
      <tp t="e">
        <v>#N/A</v>
        <stp/>
        <stp>BDH|17402006745327067791</stp>
        <tr r="R13" s="10"/>
      </tp>
      <tp t="e">
        <v>#N/A</v>
        <stp/>
        <stp>BDH|17764449078614589360</stp>
        <tr r="Y40" s="21"/>
      </tp>
      <tp t="e">
        <v>#N/A</v>
        <stp/>
        <stp>BDH|12323163522597706585</stp>
        <tr r="Z14" s="27"/>
        <tr r="Z21" s="25"/>
      </tp>
      <tp t="e">
        <v>#N/A</v>
        <stp/>
        <stp>BDH|12625502223101560787</stp>
        <tr r="R55" s="12"/>
      </tp>
      <tp t="e">
        <v>#N/A</v>
        <stp/>
        <stp>BDH|12258123531595947607</stp>
        <tr r="X73" s="18"/>
      </tp>
      <tp t="e">
        <v>#N/A</v>
        <stp/>
        <stp>BDH|16233929578809409245</stp>
        <tr r="I17" s="23"/>
      </tp>
      <tp t="e">
        <v>#N/A</v>
        <stp/>
        <stp>BDH|16601516357444813104</stp>
        <tr r="Q18" s="20"/>
      </tp>
      <tp t="e">
        <v>#N/A</v>
        <stp/>
        <stp>BDH|17005608680952173893</stp>
        <tr r="C48" s="12"/>
      </tp>
      <tp t="e">
        <v>#N/A</v>
        <stp/>
        <stp>BDH|15623483077046771363</stp>
        <tr r="T46" s="17"/>
      </tp>
      <tp t="e">
        <v>#N/A</v>
        <stp/>
        <stp>BDH|16674443048382036720</stp>
        <tr r="Q7" s="14"/>
      </tp>
      <tp t="e">
        <v>#N/A</v>
        <stp/>
        <stp>BDH|14876603608337854606</stp>
        <tr r="K39" s="22"/>
      </tp>
      <tp t="e">
        <v>#N/A</v>
        <stp/>
        <stp>BDH|13566648421930817402</stp>
        <tr r="Y32" s="21"/>
      </tp>
      <tp t="e">
        <v>#N/A</v>
        <stp/>
        <stp>BDH|16854210891756706849</stp>
        <tr r="K14" s="8"/>
      </tp>
      <tp t="e">
        <v>#N/A</v>
        <stp/>
        <stp>BDH|16180666558075766333</stp>
        <tr r="D19" s="20"/>
      </tp>
      <tp t="e">
        <v>#N/A</v>
        <stp/>
        <stp>BDH|13567921136102950838</stp>
        <tr r="Q8" s="22"/>
      </tp>
      <tp t="e">
        <v>#N/A</v>
        <stp/>
        <stp>BDH|16007931467468967268</stp>
        <tr r="J43" s="21"/>
      </tp>
      <tp t="e">
        <v>#N/A</v>
        <stp/>
        <stp>BDH|12964600373117689775</stp>
        <tr r="G118" s="18"/>
      </tp>
      <tp t="e">
        <v>#N/A</v>
        <stp/>
        <stp>BDH|16895002771791045322</stp>
        <tr r="O40" s="12"/>
      </tp>
      <tp t="e">
        <v>#N/A</v>
        <stp/>
        <stp>BDH|11709990087565489667</stp>
        <tr r="H59" s="24"/>
      </tp>
      <tp t="e">
        <v>#N/A</v>
        <stp/>
        <stp>BDH|15466446907980883248</stp>
        <tr r="H21" s="25"/>
        <tr r="H14" s="27"/>
      </tp>
      <tp t="e">
        <v>#N/A</v>
        <stp/>
        <stp>BDH|17041235349236286432</stp>
        <tr r="N20" s="5"/>
        <tr r="N21" s="9"/>
      </tp>
      <tp t="e">
        <v>#N/A</v>
        <stp/>
        <stp>BDH|12804320620802616271</stp>
        <tr r="X51" s="18"/>
      </tp>
      <tp t="e">
        <v>#N/A</v>
        <stp/>
        <stp>BDH|13894424110520481558</stp>
        <tr r="C106" s="18"/>
      </tp>
      <tp t="e">
        <v>#N/A</v>
        <stp/>
        <stp>BDH|13411706103357855049</stp>
        <tr r="M36" s="18"/>
      </tp>
      <tp t="e">
        <v>#N/A</v>
        <stp/>
        <stp>BDH|17612457206972819261</stp>
        <tr r="O58" s="17"/>
      </tp>
      <tp t="e">
        <v>#N/A</v>
        <stp/>
        <stp>BDH|14973230871986685469</stp>
        <tr r="AA40" s="12"/>
      </tp>
      <tp t="e">
        <v>#N/A</v>
        <stp/>
        <stp>BDH|12539470709377875289</stp>
        <tr r="G11" s="21"/>
      </tp>
      <tp t="e">
        <v>#N/A</v>
        <stp/>
        <stp>BDH|10922384539952313100</stp>
        <tr r="E24" s="4"/>
        <tr r="E59" s="11"/>
      </tp>
      <tp t="e">
        <v>#N/A</v>
        <stp/>
        <stp>BDH|14106397829776374094</stp>
        <tr r="O24" s="2"/>
      </tp>
      <tp t="e">
        <v>#N/A</v>
        <stp/>
        <stp>BDH|12165406515417844372</stp>
        <tr r="AA35" s="21"/>
      </tp>
      <tp t="e">
        <v>#N/A</v>
        <stp/>
        <stp>BDH|15689219278012782138</stp>
        <tr r="J45" s="4"/>
        <tr r="J27" s="10"/>
        <tr r="J25" s="11"/>
        <tr r="L26" s="13"/>
      </tp>
      <tp t="e">
        <v>#N/A</v>
        <stp/>
        <stp>BDH|13579978610938875017</stp>
        <tr r="U28" s="10"/>
        <tr r="U26" s="11"/>
      </tp>
      <tp t="e">
        <v>#N/A</v>
        <stp/>
        <stp>BDH|15843937662498035122</stp>
        <tr r="D9" s="2"/>
        <tr r="F8" s="25"/>
        <tr r="D10" s="5"/>
      </tp>
      <tp t="e">
        <v>#N/A</v>
        <stp/>
        <stp>BDH|15594566970642972618</stp>
        <tr r="D28" s="22"/>
      </tp>
      <tp t="e">
        <v>#N/A</v>
        <stp/>
        <stp>BDH|14547054959212624045</stp>
        <tr r="W13" s="14"/>
      </tp>
      <tp t="e">
        <v>#N/A</v>
        <stp/>
        <stp>BDH|14477231469040304362</stp>
        <tr r="E17" s="24"/>
      </tp>
      <tp t="e">
        <v>#N/A</v>
        <stp/>
        <stp>BDH|14384270961641948263</stp>
        <tr r="Y20" s="26"/>
      </tp>
      <tp t="e">
        <v>#N/A</v>
        <stp/>
        <stp>BDH|15715355819974767063</stp>
        <tr r="W49" s="18"/>
      </tp>
      <tp t="e">
        <v>#N/A</v>
        <stp/>
        <stp>BDH|13476377079252821688</stp>
        <tr r="X8" s="27"/>
      </tp>
      <tp t="e">
        <v>#N/A</v>
        <stp/>
        <stp>BDH|16873582012180032188</stp>
        <tr r="S18" s="12"/>
      </tp>
      <tp t="e">
        <v>#N/A</v>
        <stp/>
        <stp>BDH|17063535290968826017</stp>
        <tr r="S8" s="26"/>
        <tr r="Q10" s="9"/>
      </tp>
      <tp t="e">
        <v>#N/A</v>
        <stp/>
        <stp>BDH|12962530502283436769</stp>
        <tr r="H22" s="24"/>
      </tp>
      <tp t="e">
        <v>#N/A</v>
        <stp/>
        <stp>BDH|13187522079473328132</stp>
        <tr r="Q112" s="18"/>
      </tp>
      <tp t="e">
        <v>#N/A</v>
        <stp/>
        <stp>BDH|17226703110605880701</stp>
        <tr r="S62" s="11"/>
        <tr r="U19" s="23"/>
      </tp>
      <tp t="e">
        <v>#N/A</v>
        <stp/>
        <stp>BDH|12952047403755011449</stp>
        <tr r="F54" s="24"/>
      </tp>
      <tp t="e">
        <v>#N/A</v>
        <stp/>
        <stp>BDH|12659319003046943474</stp>
        <tr r="N30" s="17"/>
      </tp>
      <tp t="e">
        <v>#N/A</v>
        <stp/>
        <stp>BDH|11828705673733146108</stp>
        <tr r="N19" s="34"/>
      </tp>
      <tp t="e">
        <v>#N/A</v>
        <stp/>
        <stp>BDH|12779612762003870262</stp>
        <tr r="V33" s="21"/>
      </tp>
      <tp t="e">
        <v>#N/A</v>
        <stp/>
        <stp>BDH|11191398524064230742</stp>
        <tr r="C62" s="11"/>
        <tr r="E19" s="23"/>
      </tp>
      <tp t="e">
        <v>#N/A</v>
        <stp/>
        <stp>BDH|16267629102445095685</stp>
        <tr r="H29" s="5"/>
      </tp>
      <tp t="e">
        <v>#N/A</v>
        <stp/>
        <stp>BDH|12611138168070765609</stp>
        <tr r="E11" s="29"/>
      </tp>
      <tp t="e">
        <v>#N/A</v>
        <stp/>
        <stp>BDH|10514682032720696638</stp>
        <tr r="U48" s="12"/>
      </tp>
      <tp t="e">
        <v>#N/A</v>
        <stp/>
        <stp>BDH|12864374049016876040</stp>
        <tr r="I9" s="13"/>
      </tp>
      <tp t="e">
        <v>#N/A</v>
        <stp/>
        <stp>BDH|17000890875243404826</stp>
        <tr r="X8" s="26"/>
        <tr r="V10" s="9"/>
      </tp>
      <tp t="e">
        <v>#N/A</v>
        <stp/>
        <stp>BDH|14325180215074108328</stp>
        <tr r="Z9" s="22"/>
      </tp>
      <tp t="e">
        <v>#N/A</v>
        <stp/>
        <stp>BDH|11899517475752213231</stp>
        <tr r="H9" s="27"/>
      </tp>
      <tp t="e">
        <v>#N/A</v>
        <stp/>
        <stp>BDH|16937536841730448429</stp>
        <tr r="S56" s="12"/>
      </tp>
      <tp t="e">
        <v>#N/A</v>
        <stp/>
        <stp>BDH|17446594867086280157</stp>
        <tr r="D16" s="23"/>
      </tp>
      <tp t="e">
        <v>#N/A</v>
        <stp/>
        <stp>BDH|14139525039604094575</stp>
        <tr r="I14" s="14"/>
      </tp>
      <tp t="e">
        <v>#N/A</v>
        <stp/>
        <stp>BDH|10903599893556684987</stp>
        <tr r="Z43" s="24"/>
      </tp>
      <tp t="e">
        <v>#N/A</v>
        <stp/>
        <stp>BDH|11661903721648338193</stp>
        <tr r="X27" s="18"/>
      </tp>
      <tp t="e">
        <v>#N/A</v>
        <stp/>
        <stp>BDH|14773794174757702007</stp>
        <tr r="R28" s="25"/>
      </tp>
      <tp t="e">
        <v>#N/A</v>
        <stp/>
        <stp>BDH|11778318269292092527</stp>
        <tr r="O63" s="11"/>
      </tp>
      <tp t="e">
        <v>#N/A</v>
        <stp/>
        <stp>BDH|13079410148844180456</stp>
        <tr r="F9" s="11"/>
      </tp>
      <tp t="e">
        <v>#N/A</v>
        <stp/>
        <stp>BDH|14468421127158468981</stp>
        <tr r="N12" s="10"/>
      </tp>
      <tp t="e">
        <v>#N/A</v>
        <stp/>
        <stp>BDH|17816306236517351306</stp>
        <tr r="P24" s="24"/>
      </tp>
      <tp t="e">
        <v>#N/A</v>
        <stp/>
        <stp>BDH|17861726272213378765</stp>
        <tr r="K13" s="17"/>
        <tr r="K16" s="28"/>
      </tp>
      <tp t="e">
        <v>#N/A</v>
        <stp/>
        <stp>BDH|17147133048820792106</stp>
        <tr r="T130" s="18"/>
      </tp>
      <tp t="e">
        <v>#N/A</v>
        <stp/>
        <stp>BDH|14600852589337345045</stp>
        <tr r="I18" s="26"/>
      </tp>
      <tp t="e">
        <v>#N/A</v>
        <stp/>
        <stp>BDH|15551279419006397355</stp>
        <tr r="H29" s="10"/>
        <tr r="H27" s="11"/>
      </tp>
      <tp t="e">
        <v>#N/A</v>
        <stp/>
        <stp>BDH|13905530035114128234</stp>
        <tr r="I35" s="22"/>
      </tp>
      <tp t="e">
        <v>#N/A</v>
        <stp/>
        <stp>BDH|14683795548307219388</stp>
        <tr r="M21" s="2"/>
      </tp>
      <tp t="e">
        <v>#N/A</v>
        <stp/>
        <stp>BDH|10285531316587896023</stp>
        <tr r="Z39" s="12"/>
      </tp>
      <tp t="e">
        <v>#N/A</v>
        <stp/>
        <stp>BDH|10087143344405899353</stp>
        <tr r="AA71" s="18"/>
      </tp>
      <tp t="e">
        <v>#N/A</v>
        <stp/>
        <stp>BDH|11274205212375922446</stp>
        <tr r="C57" s="24"/>
      </tp>
      <tp t="e">
        <v>#N/A</v>
        <stp/>
        <stp>BDH|14485465916855896718</stp>
        <tr r="T62" s="11"/>
        <tr r="V19" s="23"/>
      </tp>
      <tp t="e">
        <v>#N/A</v>
        <stp/>
        <stp>BDH|17942734484753248817</stp>
        <tr r="U105" s="18"/>
      </tp>
      <tp t="e">
        <v>#N/A</v>
        <stp/>
        <stp>BDH|12043763239002234700</stp>
        <tr r="O8" s="17"/>
      </tp>
      <tp t="e">
        <v>#N/A</v>
        <stp/>
        <stp>BDH|10403688533977416164</stp>
        <tr r="H47" s="17"/>
      </tp>
      <tp t="e">
        <v>#N/A</v>
        <stp/>
        <stp>BDH|15244308646117002686</stp>
        <tr r="D58" s="12"/>
      </tp>
      <tp t="e">
        <v>#N/A</v>
        <stp/>
        <stp>BDH|15023070197306490983</stp>
        <tr r="X27" s="24"/>
      </tp>
      <tp t="e">
        <v>#N/A</v>
        <stp/>
        <stp>BDH|15173610060094457288</stp>
        <tr r="Q18" s="25"/>
        <tr r="Q10" s="27"/>
      </tp>
      <tp t="e">
        <v>#N/A</v>
        <stp/>
        <stp>BDH|15055293786099551569</stp>
        <tr r="G132" s="18"/>
      </tp>
      <tp t="e">
        <v>#N/A</v>
        <stp/>
        <stp>BDH|11902923684854054737</stp>
        <tr r="U52" s="24"/>
      </tp>
      <tp t="e">
        <v>#N/A</v>
        <stp/>
        <stp>BDH|16841179124307548122</stp>
        <tr r="U20" s="2"/>
        <tr r="U18" s="4"/>
        <tr r="U54" s="10"/>
        <tr r="U52" s="11"/>
        <tr r="U19" s="7"/>
        <tr r="W41" s="13"/>
      </tp>
      <tp t="e">
        <v>#N/A</v>
        <stp/>
        <stp>BDH|12361609913386824046</stp>
        <tr r="J29" s="5"/>
      </tp>
      <tp t="e">
        <v>#N/A</v>
        <stp/>
        <stp>BDH|10753468325082806702</stp>
        <tr r="E39" s="6"/>
      </tp>
      <tp t="e">
        <v>#N/A</v>
        <stp/>
        <stp>BDH|10354037913407605599</stp>
        <tr r="F16" s="17"/>
        <tr r="F19" s="28"/>
      </tp>
      <tp t="e">
        <v>#N/A</v>
        <stp/>
        <stp>BDH|12916558411300116505</stp>
        <tr r="F59" s="21"/>
        <tr r="D57" s="11"/>
      </tp>
      <tp t="e">
        <v>#N/A</v>
        <stp/>
        <stp>BDH|13666345832751412188</stp>
        <tr r="J23" s="22"/>
      </tp>
      <tp t="e">
        <v>#N/A</v>
        <stp/>
        <stp>BDH|15579149512270962667</stp>
        <tr r="R62" s="24"/>
      </tp>
      <tp t="e">
        <v>#N/A</v>
        <stp/>
        <stp>BDH|11292140078033327716</stp>
        <tr r="D29" s="22"/>
      </tp>
      <tp t="e">
        <v>#N/A</v>
        <stp/>
        <stp>BDH|17575150018637087344</stp>
        <tr r="P16" s="23"/>
      </tp>
      <tp t="e">
        <v>#N/A</v>
        <stp/>
        <stp>BDH|10100502713173931472</stp>
        <tr r="L25" s="25"/>
        <tr r="L18" s="27"/>
      </tp>
      <tp t="e">
        <v>#N/A</v>
        <stp/>
        <stp>BDH|13802327283118221376</stp>
        <tr r="J25" s="22"/>
      </tp>
      <tp t="e">
        <v>#N/A</v>
        <stp/>
        <stp>BDH|17164255039421965483</stp>
        <tr r="V54" s="17"/>
      </tp>
      <tp t="e">
        <v>#N/A</v>
        <stp/>
        <stp>BDH|13159265228062315200</stp>
        <tr r="I21" s="22"/>
      </tp>
      <tp t="e">
        <v>#N/A</v>
        <stp/>
        <stp>BDH|14764694521727725446</stp>
        <tr r="L60" s="12"/>
      </tp>
      <tp t="e">
        <v>#N/A</v>
        <stp/>
        <stp>BDH|13339295404486205402</stp>
        <tr r="C73" s="17"/>
      </tp>
      <tp t="e">
        <v>#N/A</v>
        <stp/>
        <stp>BDH|12762721994017854855</stp>
        <tr r="AA54" s="21"/>
      </tp>
      <tp t="e">
        <v>#N/A</v>
        <stp/>
        <stp>BDH|16202482907155020416</stp>
        <tr r="X57" s="18"/>
      </tp>
      <tp t="e">
        <v>#N/A</v>
        <stp/>
        <stp>BDH|17162681030005227472</stp>
        <tr r="X70" s="17"/>
      </tp>
      <tp t="e">
        <v>#N/A</v>
        <stp/>
        <stp>BDH|11825079505976164473</stp>
        <tr r="O26" s="10"/>
      </tp>
      <tp t="e">
        <v>#N/A</v>
        <stp/>
        <stp>BDH|13767013028034327611</stp>
        <tr r="K8" s="11"/>
      </tp>
      <tp t="e">
        <v>#N/A</v>
        <stp/>
        <stp>BDH|16227281042646729532</stp>
        <tr r="N21" s="27"/>
      </tp>
      <tp t="e">
        <v>#N/A</v>
        <stp/>
        <stp>BDH|14850929805657062938</stp>
        <tr r="AA117" s="18"/>
      </tp>
      <tp t="e">
        <v>#N/A</v>
        <stp/>
        <stp>BDH|13059140329655458652</stp>
        <tr r="H53" s="10"/>
        <tr r="H51" s="11"/>
        <tr r="H18" s="7"/>
        <tr r="J40" s="13"/>
      </tp>
      <tp t="e">
        <v>#N/A</v>
        <stp/>
        <stp>BDH|15860412773671417418</stp>
        <tr r="Z38" s="24"/>
      </tp>
      <tp t="e">
        <v>#N/A</v>
        <stp/>
        <stp>BDH|15074400886652886810</stp>
        <tr r="N49" s="18"/>
      </tp>
      <tp t="e">
        <v>#N/A</v>
        <stp/>
        <stp>BDH|10384663520607829026</stp>
        <tr r="H42" s="24"/>
      </tp>
      <tp t="e">
        <v>#N/A</v>
        <stp/>
        <stp>BDH|14561908473068959102</stp>
        <tr r="H88" s="17"/>
      </tp>
      <tp t="e">
        <v>#N/A</v>
        <stp/>
        <stp>BDH|11372850348838426654</stp>
        <tr r="U49" s="12"/>
      </tp>
      <tp t="e">
        <v>#N/A</v>
        <stp/>
        <stp>BDH|12631919559729705464</stp>
        <tr r="D47" s="17"/>
      </tp>
      <tp t="e">
        <v>#N/A</v>
        <stp/>
        <stp>BDH|17972408403988396867</stp>
        <tr r="G47" s="21"/>
      </tp>
      <tp t="e">
        <v>#N/A</v>
        <stp/>
        <stp>BDH|16065567293851839825</stp>
        <tr r="G16" s="22"/>
      </tp>
      <tp t="e">
        <v>#N/A</v>
        <stp/>
        <stp>BDH|11319975880676897535</stp>
        <tr r="T131" s="18"/>
      </tp>
      <tp t="e">
        <v>#N/A</v>
        <stp/>
        <stp>BDH|13952826830013786836</stp>
        <tr r="K52" s="17"/>
      </tp>
      <tp t="e">
        <v>#N/A</v>
        <stp/>
        <stp>BDH|18254143282841934320</stp>
        <tr r="M128" s="18"/>
      </tp>
      <tp t="e">
        <v>#N/A</v>
        <stp/>
        <stp>BDH|12446985092508018919</stp>
        <tr r="X29" s="4"/>
      </tp>
      <tp t="e">
        <v>#N/A</v>
        <stp/>
        <stp>BDH|14738780728923116197</stp>
        <tr r="C12" s="21"/>
      </tp>
      <tp t="e">
        <v>#N/A</v>
        <stp/>
        <stp>BDH|16168237169692085343</stp>
        <tr r="J8" s="12"/>
      </tp>
      <tp t="e">
        <v>#N/A</v>
        <stp/>
        <stp>BDH|13757404362223833123</stp>
        <tr r="L70" s="24"/>
      </tp>
      <tp t="e">
        <v>#N/A</v>
        <stp/>
        <stp>BDH|15856200303724044045</stp>
        <tr r="R13" s="11"/>
      </tp>
      <tp t="e">
        <v>#N/A</v>
        <stp/>
        <stp>BDH|14988630977331417768</stp>
        <tr r="T79" s="18"/>
      </tp>
      <tp t="e">
        <v>#N/A</v>
        <stp/>
        <stp>BDH|11631343313411754193</stp>
        <tr r="I10" s="4"/>
        <tr r="H6" s="16"/>
        <tr r="K6" s="3"/>
        <tr r="I6" s="11"/>
      </tp>
      <tp t="e">
        <v>#N/A</v>
        <stp/>
        <stp>BDH|16946777337147521632</stp>
        <tr r="P58" s="11"/>
      </tp>
      <tp t="e">
        <v>#N/A</v>
        <stp/>
        <stp>BDH|14573670504163876210</stp>
        <tr r="W18" s="17"/>
      </tp>
      <tp t="e">
        <v>#N/A</v>
        <stp/>
        <stp>BDH|17721699175867700232</stp>
        <tr r="Y9" s="29"/>
      </tp>
      <tp t="e">
        <v>#N/A</v>
        <stp/>
        <stp>BDH|12334210438699539907</stp>
        <tr r="X55" s="12"/>
      </tp>
      <tp t="e">
        <v>#N/A</v>
        <stp/>
        <stp>BDH|11156412160260613095</stp>
        <tr r="H39" s="22"/>
      </tp>
      <tp t="e">
        <v>#N/A</v>
        <stp/>
        <stp>BDH|17220242860577123780</stp>
        <tr r="R8" s="13"/>
      </tp>
      <tp t="e">
        <v>#N/A</v>
        <stp/>
        <stp>BDH|15577793574516545022</stp>
        <tr r="X36" s="22"/>
      </tp>
      <tp t="e">
        <v>#N/A</v>
        <stp/>
        <stp>BDH|14421484200005620653</stp>
        <tr r="Y14" s="29"/>
        <tr r="Y23" s="29"/>
        <tr r="Y34" s="29"/>
      </tp>
      <tp t="e">
        <v>#N/A</v>
        <stp/>
        <stp>BDH|13540905967096504987</stp>
        <tr r="H39" s="4"/>
        <tr r="H62" s="10"/>
      </tp>
      <tp t="e">
        <v>#N/A</v>
        <stp/>
        <stp>BDH|10162252513554022486</stp>
        <tr r="U20" s="30"/>
      </tp>
      <tp t="e">
        <v>#N/A</v>
        <stp/>
        <stp>BDH|14383950785835544391</stp>
        <tr r="D28" s="10"/>
        <tr r="D26" s="11"/>
      </tp>
      <tp t="e">
        <v>#N/A</v>
        <stp/>
        <stp>BDH|11598382033865312726</stp>
        <tr r="J52" s="4"/>
        <tr r="L8" s="3"/>
        <tr r="J40" s="10"/>
        <tr r="J38" s="11"/>
        <tr r="L30" s="13"/>
      </tp>
      <tp t="e">
        <v>#N/A</v>
        <stp/>
        <stp>BDH|17685881484581480510</stp>
        <tr r="Y11" s="3"/>
        <tr r="W46" s="10"/>
        <tr r="W44" s="11"/>
        <tr r="W8" s="7"/>
      </tp>
      <tp t="e">
        <v>#N/A</v>
        <stp/>
        <stp>BDH|12121150035351988262</stp>
        <tr r="F22" s="7"/>
      </tp>
      <tp t="e">
        <v>#N/A</v>
        <stp/>
        <stp>BDH|18181047562214161980</stp>
        <tr r="H22" s="7"/>
      </tp>
      <tp t="e">
        <v>#N/A</v>
        <stp/>
        <stp>BDH|16578290874137285745</stp>
        <tr r="W8" s="18"/>
      </tp>
      <tp t="e">
        <v>#N/A</v>
        <stp/>
        <stp>BDH|11171228073553666487</stp>
        <tr r="N16" s="2"/>
        <tr r="N32" s="4"/>
        <tr r="N58" s="10"/>
        <tr r="P19" s="13"/>
      </tp>
      <tp t="e">
        <v>#N/A</v>
        <stp/>
        <stp>BDH|11454179579752226662</stp>
        <tr r="H20" s="29"/>
      </tp>
      <tp t="e">
        <v>#N/A</v>
        <stp/>
        <stp>BDH|15525369853317867764</stp>
        <tr r="N8" s="2"/>
      </tp>
      <tp t="e">
        <v>#N/A</v>
        <stp/>
        <stp>BDH|10831654332974334227</stp>
        <tr r="N49" s="10"/>
        <tr r="N47" s="11"/>
        <tr r="N16" s="7"/>
      </tp>
      <tp t="e">
        <v>#N/A</v>
        <stp/>
        <stp>BDH|17599492259447845233</stp>
        <tr r="Y10" s="26"/>
      </tp>
      <tp t="e">
        <v>#N/A</v>
        <stp/>
        <stp>BDH|16941682069800345554</stp>
        <tr r="G120" s="18"/>
      </tp>
      <tp t="e">
        <v>#N/A</v>
        <stp/>
        <stp>BDH|12755748356186986528</stp>
        <tr r="H112" s="18"/>
      </tp>
      <tp t="e">
        <v>#N/A</v>
        <stp/>
        <stp>BDH|15950320981374643921</stp>
        <tr r="M30" s="24"/>
      </tp>
      <tp t="e">
        <v>#N/A</v>
        <stp/>
        <stp>BDH|16110516857435013091</stp>
        <tr r="T60" s="10"/>
      </tp>
      <tp t="e">
        <v>#N/A</v>
        <stp/>
        <stp>BDH|16957904784680022436</stp>
        <tr r="E57" s="12"/>
      </tp>
      <tp t="e">
        <v>#N/A</v>
        <stp/>
        <stp>BDH|16304883001265612823</stp>
        <tr r="D55" s="24"/>
      </tp>
      <tp t="e">
        <v>#N/A</v>
        <stp/>
        <stp>BDH|13693314555583591593</stp>
        <tr r="H35" s="10"/>
        <tr r="H33" s="11"/>
      </tp>
      <tp t="e">
        <v>#N/A</v>
        <stp/>
        <stp>BDH|12016386533740651137</stp>
        <tr r="M16" s="14"/>
      </tp>
      <tp t="e">
        <v>#N/A</v>
        <stp/>
        <stp>BDH|15756276419023050677</stp>
        <tr r="Y74" s="17"/>
        <tr r="Y19" s="3"/>
      </tp>
      <tp t="e">
        <v>#N/A</v>
        <stp/>
        <stp>BDH|10164985858228974766</stp>
        <tr r="F64" s="17"/>
        <tr r="F18" s="3"/>
      </tp>
      <tp t="e">
        <v>#N/A</v>
        <stp/>
        <stp>BDH|17255367260535320492</stp>
        <tr r="X14" s="4"/>
      </tp>
      <tp t="e">
        <v>#N/A</v>
        <stp/>
        <stp>BDH|13623792519263956510</stp>
        <tr r="D21" s="24"/>
      </tp>
      <tp t="e">
        <v>#N/A</v>
        <stp/>
        <stp>BDH|17127970946018659181</stp>
        <tr r="Q7" s="23"/>
      </tp>
      <tp t="e">
        <v>#N/A</v>
        <stp/>
        <stp>BDH|13152315041445966264</stp>
        <tr r="K46" s="18"/>
      </tp>
      <tp t="e">
        <v>#N/A</v>
        <stp/>
        <stp>BDH|13213517975574039685</stp>
        <tr r="S18" s="10"/>
      </tp>
      <tp t="e">
        <v>#N/A</v>
        <stp/>
        <stp>BDH|15261614990199566080</stp>
        <tr r="Q100" s="18"/>
      </tp>
      <tp t="e">
        <v>#N/A</v>
        <stp/>
        <stp>BDH|11542680493085864886</stp>
        <tr r="G72" s="17"/>
      </tp>
      <tp t="e">
        <v>#N/A</v>
        <stp/>
        <stp>BDH|12662764122867992357</stp>
        <tr r="E9" s="13"/>
      </tp>
      <tp t="e">
        <v>#N/A</v>
        <stp/>
        <stp>BDH|13838763506237328054</stp>
        <tr r="C8" s="26"/>
      </tp>
      <tp t="e">
        <v>#N/A</v>
        <stp/>
        <stp>BDH|13867040728146945437</stp>
        <tr r="V24" s="17"/>
      </tp>
      <tp t="e">
        <v>#N/A</v>
        <stp/>
        <stp>BDH|13371015603071697260</stp>
        <tr r="T22" s="12"/>
      </tp>
      <tp t="e">
        <v>#N/A</v>
        <stp/>
        <stp>BDH|15618809039456642882</stp>
        <tr r="T24" s="24"/>
      </tp>
      <tp t="e">
        <v>#N/A</v>
        <stp/>
        <stp>BDH|14280107942219576840</stp>
        <tr r="D35" s="4"/>
      </tp>
      <tp t="e">
        <v>#N/A</v>
        <stp/>
        <stp>BDH|14294842195092035722</stp>
        <tr r="U101" s="18"/>
      </tp>
      <tp t="e">
        <v>#N/A</v>
        <stp/>
        <stp>BDH|13757161578703113698</stp>
        <tr r="W18" s="12"/>
      </tp>
      <tp t="e">
        <v>#N/A</v>
        <stp/>
        <stp>BDH|18269381527238956159</stp>
        <tr r="R11" s="29"/>
      </tp>
      <tp t="e">
        <v>#N/A</v>
        <stp/>
        <stp>BDH|15889041909216326370</stp>
        <tr r="F23" s="11"/>
      </tp>
      <tp t="e">
        <v>#N/A</v>
        <stp/>
        <stp>BDH|10398846044314123836</stp>
        <tr r="K34" s="18"/>
      </tp>
      <tp t="e">
        <v>#N/A</v>
        <stp/>
        <stp>BDH|15497614611671327361</stp>
        <tr r="C32" s="18"/>
      </tp>
      <tp t="e">
        <v>#N/A</v>
        <stp/>
        <stp>BDH|11798677957820580236</stp>
        <tr r="K15" s="29"/>
        <tr r="K35" s="29"/>
      </tp>
      <tp t="e">
        <v>#N/A</v>
        <stp/>
        <stp>BDH|16292346271051166371</stp>
        <tr r="H104" s="18"/>
      </tp>
      <tp t="e">
        <v>#N/A</v>
        <stp/>
        <stp>BDH|16577551375884522013</stp>
        <tr r="S10" s="12"/>
      </tp>
      <tp t="e">
        <v>#N/A</v>
        <stp/>
        <stp>BDH|17095224866957090452</stp>
        <tr r="M19" s="6"/>
      </tp>
      <tp t="e">
        <v>#N/A</v>
        <stp/>
        <stp>BDH|12971784047923267253</stp>
        <tr r="F50" s="12"/>
      </tp>
      <tp t="e">
        <v>#N/A</v>
        <stp/>
        <stp>BDH|11947727069008750848</stp>
        <tr r="D65" s="10"/>
      </tp>
      <tp t="e">
        <v>#N/A</v>
        <stp/>
        <stp>BDH|14176493175906414182</stp>
        <tr r="C6" s="2"/>
        <tr r="C6" s="5"/>
        <tr r="C6" s="9"/>
        <tr r="D12" s="8"/>
        <tr r="E10" s="29"/>
        <tr r="E19" s="29"/>
        <tr r="E25" s="29"/>
      </tp>
      <tp t="e">
        <v>#N/A</v>
        <stp/>
        <stp>BDH|13724148904765454725</stp>
        <tr r="C128" s="18"/>
      </tp>
      <tp t="e">
        <v>#N/A</v>
        <stp/>
        <stp>BDH|15337701445336548029</stp>
        <tr r="F41" s="17"/>
      </tp>
      <tp t="e">
        <v>#N/A</v>
        <stp/>
        <stp>BDH|17809139068365705556</stp>
        <tr r="T45" s="17"/>
      </tp>
      <tp t="e">
        <v>#N/A</v>
        <stp/>
        <stp>BDH|18062763141343380852</stp>
        <tr r="S8" s="28"/>
      </tp>
      <tp t="e">
        <v>#N/A</v>
        <stp/>
        <stp>BDH|16615720265397581059</stp>
        <tr r="L15" s="11"/>
      </tp>
      <tp t="e">
        <v>#N/A</v>
        <stp/>
        <stp>BDH|11145567017014156105</stp>
        <tr r="F22" s="18"/>
      </tp>
      <tp t="e">
        <v>#N/A</v>
        <stp/>
        <stp>BDH|17644504364504635055</stp>
        <tr r="Y21" s="2"/>
      </tp>
      <tp t="e">
        <v>#N/A</v>
        <stp/>
        <stp>BDH|12577397864327120083</stp>
        <tr r="O29" s="4"/>
      </tp>
      <tp t="e">
        <v>#N/A</v>
        <stp/>
        <stp>BDH|17219051971082070275</stp>
        <tr r="U24" s="17"/>
      </tp>
      <tp t="e">
        <v>#N/A</v>
        <stp/>
        <stp>BDH|11911916089397733776</stp>
        <tr r="H130" s="18"/>
      </tp>
      <tp t="e">
        <v>#N/A</v>
        <stp/>
        <stp>BDH|17140465778841797591</stp>
        <tr r="H90" s="18"/>
      </tp>
      <tp t="e">
        <v>#N/A</v>
        <stp/>
        <stp>BDH|14915189230820836682</stp>
        <tr r="V17" s="22"/>
      </tp>
      <tp t="e">
        <v>#N/A</v>
        <stp/>
        <stp>BDH|14220590248077608242</stp>
        <tr r="AA48" s="21"/>
      </tp>
      <tp t="e">
        <v>#N/A</v>
        <stp/>
        <stp>BDH|18164446055589841091</stp>
        <tr r="W21" s="10"/>
      </tp>
      <tp t="e">
        <v>#N/A</v>
        <stp/>
        <stp>BDH|11022743958242913142</stp>
        <tr r="C16" s="21"/>
      </tp>
      <tp t="e">
        <v>#N/A</v>
        <stp/>
        <stp>BDH|11983611740836859514</stp>
        <tr r="N59" s="10"/>
      </tp>
      <tp t="e">
        <v>#N/A</v>
        <stp/>
        <stp>BDH|12388026032942012321</stp>
        <tr r="C56" s="17"/>
      </tp>
      <tp t="e">
        <v>#N/A</v>
        <stp/>
        <stp>BDH|10034539447130190145</stp>
        <tr r="W42" s="18"/>
      </tp>
      <tp t="e">
        <v>#N/A</v>
        <stp/>
        <stp>BDH|12741126451201355763</stp>
        <tr r="AA25" s="26"/>
      </tp>
      <tp t="e">
        <v>#N/A</v>
        <stp/>
        <stp>BDH|13440115664461579557</stp>
        <tr r="I23" s="2"/>
        <tr r="K18" s="21"/>
        <tr r="K23" s="3"/>
      </tp>
      <tp t="e">
        <v>#N/A</v>
        <stp/>
        <stp>BDH|18233346974089695559</stp>
        <tr r="J42" s="18"/>
      </tp>
      <tp t="e">
        <v>#N/A</v>
        <stp/>
        <stp>BDH|12369282174100869766</stp>
        <tr r="N41" s="18"/>
      </tp>
      <tp t="e">
        <v>#N/A</v>
        <stp/>
        <stp>BDH|12049246361154405207</stp>
        <tr r="W58" s="11"/>
      </tp>
      <tp t="e">
        <v>#N/A</v>
        <stp/>
        <stp>BDH|15873195948093019398</stp>
        <tr r="M32" s="22"/>
      </tp>
      <tp t="e">
        <v>#N/A</v>
        <stp/>
        <stp>BDH|10980580925164558315</stp>
        <tr r="R82" s="18"/>
      </tp>
      <tp t="e">
        <v>#N/A</v>
        <stp/>
        <stp>BDH|17636755433482526158</stp>
        <tr r="Z24" s="24"/>
      </tp>
      <tp t="e">
        <v>#N/A</v>
        <stp/>
        <stp>BDH|13484873674349330543</stp>
        <tr r="H11" s="24"/>
      </tp>
      <tp t="e">
        <v>#N/A</v>
        <stp/>
        <stp>BDH|11381191064696776097</stp>
        <tr r="T65" s="17"/>
        <tr r="R8" s="5"/>
        <tr r="R8" s="9"/>
      </tp>
      <tp t="e">
        <v>#N/A</v>
        <stp/>
        <stp>BDH|15340718100166134430</stp>
        <tr r="I71" s="18"/>
      </tp>
      <tp t="e">
        <v>#N/A</v>
        <stp/>
        <stp>BDH|15165540663083334559</stp>
        <tr r="W22" s="9"/>
      </tp>
      <tp t="e">
        <v>#N/A</v>
        <stp/>
        <stp>BDH|12627261510726289720</stp>
        <tr r="K25" s="3"/>
      </tp>
      <tp t="e">
        <v>#N/A</v>
        <stp/>
        <stp>BDH|10855499628702019496</stp>
        <tr r="F9" s="6"/>
      </tp>
      <tp t="e">
        <v>#N/A</v>
        <stp/>
        <stp>BDH|10692891759624522930</stp>
        <tr r="W64" s="18"/>
      </tp>
      <tp t="e">
        <v>#N/A</v>
        <stp/>
        <stp>BDH|16529454923530595066</stp>
        <tr r="C28" s="12"/>
      </tp>
      <tp t="e">
        <v>#N/A</v>
        <stp/>
        <stp>BDH|13268371864905730361</stp>
        <tr r="W11" s="3"/>
        <tr r="U46" s="10"/>
        <tr r="U44" s="11"/>
        <tr r="U8" s="7"/>
      </tp>
      <tp t="e">
        <v>#N/A</v>
        <stp/>
        <stp>BDH|10692465754144363577</stp>
        <tr r="E21" s="26"/>
      </tp>
      <tp t="e">
        <v>#N/A</v>
        <stp/>
        <stp>BDH|13251560677493346206</stp>
        <tr r="Q9" s="27"/>
      </tp>
      <tp t="e">
        <v>#N/A</v>
        <stp/>
        <stp>BDH|12787232153407253258</stp>
        <tr r="M64" s="10"/>
      </tp>
      <tp t="e">
        <v>#N/A</v>
        <stp/>
        <stp>BDH|17757347214355714002</stp>
        <tr r="Y12" s="14"/>
      </tp>
      <tp t="e">
        <v>#N/A</v>
        <stp/>
        <stp>BDH|15675241649862868139</stp>
        <tr r="D15" s="9"/>
      </tp>
      <tp t="e">
        <v>#N/A</v>
        <stp/>
        <stp>BDH|12338722721877597051</stp>
        <tr r="M24" s="21"/>
      </tp>
      <tp t="e">
        <v>#N/A</v>
        <stp/>
        <stp>BDH|12190125671081140539</stp>
        <tr r="L7" s="8"/>
      </tp>
      <tp t="e">
        <v>#N/A</v>
        <stp/>
        <stp>BDH|14771733721564424512</stp>
        <tr r="I34" s="12"/>
      </tp>
      <tp t="e">
        <v>#N/A</v>
        <stp/>
        <stp>BDH|13305236054736221262</stp>
        <tr r="J9" s="10"/>
      </tp>
      <tp t="e">
        <v>#N/A</v>
        <stp/>
        <stp>BDH|14145059130093550418</stp>
        <tr r="E20" s="12"/>
      </tp>
      <tp t="e">
        <v>#N/A</v>
        <stp/>
        <stp>BDH|11166733602196055001</stp>
        <tr r="G8" s="10"/>
      </tp>
      <tp t="e">
        <v>#N/A</v>
        <stp/>
        <stp>BDH|11449653142360640350</stp>
        <tr r="Q53" s="17"/>
      </tp>
      <tp t="e">
        <v>#N/A</v>
        <stp/>
        <stp>BDH|12491584657985252796</stp>
        <tr r="Y10" s="23"/>
      </tp>
      <tp t="e">
        <v>#N/A</v>
        <stp/>
        <stp>BDH|11687184443030828459</stp>
        <tr r="Y73" s="18"/>
      </tp>
      <tp t="e">
        <v>#N/A</v>
        <stp/>
        <stp>BDH|12222544877384402452</stp>
        <tr r="S44" s="21"/>
      </tp>
      <tp t="e">
        <v>#N/A</v>
        <stp/>
        <stp>BDH|15041037033303751572</stp>
        <tr r="U17" s="14"/>
      </tp>
      <tp t="e">
        <v>#N/A</v>
        <stp/>
        <stp>BDH|12272764313083761703</stp>
        <tr r="I33" s="13"/>
      </tp>
      <tp t="e">
        <v>#N/A</v>
        <stp/>
        <stp>BDH|11276237729435842406</stp>
        <tr r="N55" s="12"/>
      </tp>
      <tp t="e">
        <v>#N/A</v>
        <stp/>
        <stp>BDH|12975993736191559936</stp>
        <tr r="W28" s="18"/>
      </tp>
      <tp t="e">
        <v>#N/A</v>
        <stp/>
        <stp>BDH|15871345109797175147</stp>
        <tr r="M8" s="11"/>
      </tp>
      <tp t="e">
        <v>#N/A</v>
        <stp/>
        <stp>BDH|13388766751138632929</stp>
        <tr r="M69" s="17"/>
      </tp>
      <tp t="e">
        <v>#N/A</v>
        <stp/>
        <stp>BDH|16054883756643703895</stp>
        <tr r="U24" s="12"/>
      </tp>
      <tp t="e">
        <v>#N/A</v>
        <stp/>
        <stp>BDH|15312956537217296839</stp>
        <tr r="H42" s="18"/>
      </tp>
      <tp t="e">
        <v>#N/A</v>
        <stp/>
        <stp>BDH|14147231063502224237</stp>
        <tr r="V66" s="10"/>
        <tr r="V64" s="11"/>
        <tr r="V20" s="7"/>
      </tp>
      <tp t="e">
        <v>#N/A</v>
        <stp/>
        <stp>BDH|17380313521074478278</stp>
        <tr r="O12" s="17"/>
      </tp>
      <tp t="e">
        <v>#N/A</v>
        <stp/>
        <stp>BDH|16302158067921364023</stp>
        <tr r="I26" s="24"/>
      </tp>
      <tp t="e">
        <v>#N/A</v>
        <stp/>
        <stp>BDH|16518380547031829027</stp>
        <tr r="T36" s="12"/>
      </tp>
      <tp t="e">
        <v>#N/A</v>
        <stp/>
        <stp>BDH|15237020207506715303</stp>
        <tr r="D11" s="24"/>
      </tp>
      <tp t="e">
        <v>#N/A</v>
        <stp/>
        <stp>BDH|17074780391030866915</stp>
        <tr r="Q19" s="18"/>
      </tp>
      <tp t="e">
        <v>#N/A</v>
        <stp/>
        <stp>BDH|13108727062236696447</stp>
        <tr r="T8" s="22"/>
      </tp>
      <tp t="e">
        <v>#N/A</v>
        <stp/>
        <stp>BDH|11447314934471272008</stp>
        <tr r="C35" s="10"/>
        <tr r="C33" s="11"/>
      </tp>
      <tp t="e">
        <v>#N/A</v>
        <stp/>
        <stp>BDH|16888770574710168692</stp>
        <tr r="S17" s="22"/>
      </tp>
      <tp t="e">
        <v>#N/A</v>
        <stp/>
        <stp>BDH|14295333836727579311</stp>
        <tr r="H8" s="11"/>
      </tp>
      <tp t="e">
        <v>#N/A</v>
        <stp/>
        <stp>BDH|13657476446832255164</stp>
        <tr r="G46" s="4"/>
        <tr r="G25" s="10"/>
        <tr r="I27" s="13"/>
      </tp>
      <tp t="e">
        <v>#N/A</v>
        <stp/>
        <stp>BDH|10270729462466136703</stp>
        <tr r="O41" s="18"/>
      </tp>
      <tp t="e">
        <v>#N/A</v>
        <stp/>
        <stp>BDH|11874711127311486597</stp>
        <tr r="M43" s="4"/>
      </tp>
      <tp t="e">
        <v>#N/A</v>
        <stp/>
        <stp>BDH|14782670736767779621</stp>
        <tr r="J35" s="24"/>
      </tp>
      <tp t="e">
        <v>#N/A</v>
        <stp/>
        <stp>BDH|10750511124767186002</stp>
        <tr r="W19" s="26"/>
      </tp>
      <tp t="e">
        <v>#N/A</v>
        <stp/>
        <stp>BDH|17714874081663288404</stp>
        <tr r="Z43" s="12"/>
      </tp>
      <tp t="e">
        <v>#N/A</v>
        <stp/>
        <stp>BDH|12944521776889745997</stp>
        <tr r="H129" s="18"/>
      </tp>
      <tp t="e">
        <v>#N/A</v>
        <stp/>
        <stp>BDH|17415276287584756909</stp>
        <tr r="E38" s="6"/>
      </tp>
      <tp t="e">
        <v>#N/A</v>
        <stp/>
        <stp>BDH|14031593803561815019</stp>
        <tr r="D23" s="11"/>
      </tp>
      <tp t="e">
        <v>#N/A</v>
        <stp/>
        <stp>BDH|11660265746782688531</stp>
        <tr r="M16" s="12"/>
      </tp>
      <tp t="e">
        <v>#N/A</v>
        <stp/>
        <stp>BDH|13366816305043287865</stp>
        <tr r="P20" s="23"/>
      </tp>
      <tp t="e">
        <v>#N/A</v>
        <stp/>
        <stp>BDH|14196116544320643115</stp>
        <tr r="F14" s="20"/>
      </tp>
      <tp t="e">
        <v>#N/A</v>
        <stp/>
        <stp>BDH|10898119077133956548</stp>
        <tr r="H38" s="17"/>
      </tp>
      <tp t="e">
        <v>#N/A</v>
        <stp/>
        <stp>BDH|17046193955953870075</stp>
        <tr r="F37" s="34"/>
      </tp>
      <tp t="e">
        <v>#N/A</v>
        <stp/>
        <stp>BDH|13904216951566372297</stp>
        <tr r="AA61" s="12"/>
      </tp>
      <tp t="e">
        <v>#N/A</v>
        <stp/>
        <stp>BDH|16363090884519803750</stp>
        <tr r="P31" s="17"/>
      </tp>
      <tp t="e">
        <v>#N/A</v>
        <stp/>
        <stp>BDH|17856834409808439759</stp>
        <tr r="Q13" s="6"/>
      </tp>
      <tp t="e">
        <v>#N/A</v>
        <stp/>
        <stp>BDH|11063555941084248454</stp>
        <tr r="N59" s="17"/>
      </tp>
      <tp t="e">
        <v>#N/A</v>
        <stp/>
        <stp>BDH|11339941195092925383</stp>
        <tr r="O13" s="18"/>
      </tp>
      <tp t="e">
        <v>#N/A</v>
        <stp/>
        <stp>BDH|17970976611146546997</stp>
        <tr r="S25" s="12"/>
      </tp>
      <tp t="e">
        <v>#N/A</v>
        <stp/>
        <stp>BDH|13527420600062590518</stp>
        <tr r="J14" s="4"/>
      </tp>
      <tp t="e">
        <v>#N/A</v>
        <stp/>
        <stp>BDH|13982708950713259281</stp>
        <tr r="Q13" s="21"/>
      </tp>
      <tp t="e">
        <v>#N/A</v>
        <stp/>
        <stp>BDH|14504224920194746032</stp>
        <tr r="K48" s="10"/>
        <tr r="K46" s="11"/>
        <tr r="K15" s="7"/>
      </tp>
      <tp t="e">
        <v>#N/A</v>
        <stp/>
        <stp>BDH|14314276363733559317</stp>
        <tr r="N14" s="4"/>
      </tp>
      <tp t="e">
        <v>#N/A</v>
        <stp/>
        <stp>BDH|17183920210287606868</stp>
        <tr r="S30" s="17"/>
      </tp>
      <tp t="e">
        <v>#N/A</v>
        <stp/>
        <stp>BDH|16972560550156531097</stp>
        <tr r="N34" s="10"/>
        <tr r="N32" s="11"/>
        <tr r="P32" s="13"/>
      </tp>
      <tp t="e">
        <v>#N/A</v>
        <stp/>
        <stp>BDH|13489624297169648548</stp>
        <tr r="E34" s="10"/>
        <tr r="E32" s="11"/>
        <tr r="G32" s="13"/>
      </tp>
      <tp t="e">
        <v>#N/A</v>
        <stp/>
        <stp>BDH|14231185514690508487</stp>
        <tr r="I58" s="17"/>
      </tp>
      <tp t="e">
        <v>#N/A</v>
        <stp/>
        <stp>BDH|15678854927507364847</stp>
        <tr r="AA8" s="27"/>
      </tp>
      <tp t="e">
        <v>#N/A</v>
        <stp/>
        <stp>BDH|11278211963724310106</stp>
        <tr r="O15" s="18"/>
      </tp>
      <tp t="e">
        <v>#N/A</v>
        <stp/>
        <stp>BDH|11307254796508418275</stp>
        <tr r="F49" s="12"/>
      </tp>
      <tp t="e">
        <v>#N/A</v>
        <stp/>
        <stp>BDH|15653259763431657058</stp>
        <tr r="E46" s="17"/>
      </tp>
      <tp t="e">
        <v>#N/A</v>
        <stp/>
        <stp>BDH|14422754440382153534</stp>
        <tr r="L21" s="6"/>
      </tp>
      <tp t="e">
        <v>#N/A</v>
        <stp/>
        <stp>BDH|16031597954444746290</stp>
        <tr r="P75" s="18"/>
      </tp>
      <tp t="e">
        <v>#N/A</v>
        <stp/>
        <stp>BDH|15654192555210036192</stp>
        <tr r="S10" s="6"/>
      </tp>
      <tp t="e">
        <v>#N/A</v>
        <stp/>
        <stp>BDH|16567631930306438513</stp>
        <tr r="N29" s="24"/>
      </tp>
      <tp t="e">
        <v>#N/A</v>
        <stp/>
        <stp>BDH|12383235654932588737</stp>
        <tr r="M126" s="18"/>
      </tp>
      <tp t="e">
        <v>#N/A</v>
        <stp/>
        <stp>BDH|13922471696287287982</stp>
        <tr r="U18" s="26"/>
      </tp>
      <tp t="e">
        <v>#N/A</v>
        <stp/>
        <stp>BDH|15109637848450081780</stp>
        <tr r="M114" s="18"/>
      </tp>
      <tp t="e">
        <v>#N/A</v>
        <stp/>
        <stp>BDH|14197716572505746175</stp>
        <tr r="Y11" s="7"/>
      </tp>
      <tp t="e">
        <v>#N/A</v>
        <stp/>
        <stp>BDH|17183621862393389408</stp>
        <tr r="X13" s="9"/>
      </tp>
      <tp t="e">
        <v>#N/A</v>
        <stp/>
        <stp>BDH|15845899042648085119</stp>
        <tr r="W60" s="21"/>
      </tp>
      <tp t="e">
        <v>#N/A</v>
        <stp/>
        <stp>BDH|14770543483459697043</stp>
        <tr r="Z59" s="24"/>
      </tp>
      <tp t="e">
        <v>#N/A</v>
        <stp/>
        <stp>BDH|14109709460734357102</stp>
        <tr r="Z24" s="22"/>
      </tp>
      <tp t="e">
        <v>#N/A</v>
        <stp/>
        <stp>BDH|11727751840881155317</stp>
        <tr r="U68" s="24"/>
      </tp>
      <tp t="e">
        <v>#N/A</v>
        <stp/>
        <stp>BDH|15529069810074669075</stp>
        <tr r="N67" s="18"/>
      </tp>
      <tp t="e">
        <v>#N/A</v>
        <stp/>
        <stp>BDH|10674862686442198250</stp>
        <tr r="Y50" s="17"/>
        <tr r="Y10" s="25"/>
      </tp>
      <tp t="e">
        <v>#N/A</v>
        <stp/>
        <stp>BDH|13798934004623210902</stp>
        <tr r="R9" s="26"/>
      </tp>
      <tp t="e">
        <v>#N/A</v>
        <stp/>
        <stp>BDH|10703244249542994410</stp>
        <tr r="O90" s="17"/>
        <tr r="O13" s="28"/>
      </tp>
      <tp t="e">
        <v>#N/A</v>
        <stp/>
        <stp>BDH|12874695147357581711</stp>
        <tr r="F42" s="18"/>
      </tp>
      <tp t="e">
        <v>#N/A</v>
        <stp/>
        <stp>BDH|16221092149966049402</stp>
        <tr r="E39" s="22"/>
      </tp>
      <tp t="e">
        <v>#N/A</v>
        <stp/>
        <stp>BDH|12583047053391522651</stp>
        <tr r="G9" s="28"/>
      </tp>
      <tp t="e">
        <v>#N/A</v>
        <stp/>
        <stp>BDH|18211776340382622919</stp>
        <tr r="M20" s="22"/>
      </tp>
      <tp t="e">
        <v>#N/A</v>
        <stp/>
        <stp>BDH|13489036716036578466</stp>
        <tr r="U8" s="6"/>
      </tp>
      <tp t="e">
        <v>#N/A</v>
        <stp/>
        <stp>BDH|11068343878215816069</stp>
        <tr r="F25" s="25"/>
        <tr r="F18" s="27"/>
      </tp>
      <tp t="e">
        <v>#N/A</v>
        <stp/>
        <stp>BDH|13029819473248859483</stp>
        <tr r="H17" s="24"/>
      </tp>
      <tp t="e">
        <v>#N/A</v>
        <stp/>
        <stp>BDH|15750250433904468074</stp>
        <tr r="W9" s="22"/>
      </tp>
      <tp t="e">
        <v>#N/A</v>
        <stp/>
        <stp>BDH|16398501920407214633</stp>
        <tr r="N15" s="24"/>
      </tp>
      <tp t="e">
        <v>#N/A</v>
        <stp/>
        <stp>BDH|16931680639140253389</stp>
        <tr r="AA88" s="18"/>
        <tr r="AA8" s="20"/>
      </tp>
      <tp t="e">
        <v>#N/A</v>
        <stp/>
        <stp>BDH|14460256990829121627</stp>
        <tr r="D10" s="18"/>
      </tp>
      <tp t="e">
        <v>#N/A</v>
        <stp/>
        <stp>BDH|12502619126634251227</stp>
        <tr r="C12" s="18"/>
      </tp>
      <tp t="e">
        <v>#N/A</v>
        <stp/>
        <stp>BDH|18296752294545727360</stp>
        <tr r="K66" s="17"/>
      </tp>
      <tp t="e">
        <v>#N/A</v>
        <stp/>
        <stp>BDH|15554136624477234128</stp>
        <tr r="F109" s="18"/>
      </tp>
      <tp t="e">
        <v>#N/A</v>
        <stp/>
        <stp>BDH|18184607190491698650</stp>
        <tr r="W39" s="10"/>
        <tr r="W37" s="11"/>
      </tp>
      <tp t="e">
        <v>#N/A</v>
        <stp/>
        <stp>BDH|18099819965555347350</stp>
        <tr r="D29" s="12"/>
      </tp>
      <tp t="e">
        <v>#N/A</v>
        <stp/>
        <stp>BDH|16325033960178114831</stp>
        <tr r="D88" s="18"/>
        <tr r="D8" s="20"/>
      </tp>
      <tp t="e">
        <v>#N/A</v>
        <stp/>
        <stp>BDH|15965242431054657086</stp>
        <tr r="M24" s="18"/>
      </tp>
      <tp t="e">
        <v>#N/A</v>
        <stp/>
        <stp>BDH|16567656209292368282</stp>
        <tr r="E20" s="5"/>
        <tr r="E21" s="9"/>
      </tp>
      <tp t="e">
        <v>#N/A</v>
        <stp/>
        <stp>BDH|13279632960625314604</stp>
        <tr r="Y14" s="13"/>
      </tp>
      <tp t="e">
        <v>#N/A</v>
        <stp/>
        <stp>BDH|11894328415001839257</stp>
        <tr r="T72" s="17"/>
      </tp>
      <tp t="e">
        <v>#N/A</v>
        <stp/>
        <stp>BDH|14822717660747331284</stp>
        <tr r="D64" s="10"/>
      </tp>
      <tp t="e">
        <v>#N/A</v>
        <stp/>
        <stp>BDH|14024647333553523206</stp>
        <tr r="O24" s="12"/>
      </tp>
      <tp t="e">
        <v>#N/A</v>
        <stp/>
        <stp>BDH|11446916355025734855</stp>
        <tr r="K28" s="25"/>
      </tp>
      <tp t="e">
        <v>#N/A</v>
        <stp/>
        <stp>BDH|16995891521549429504</stp>
        <tr r="I38" s="22"/>
      </tp>
      <tp t="e">
        <v>#N/A</v>
        <stp/>
        <stp>BDH|12299749252613653378</stp>
        <tr r="T104" s="18"/>
      </tp>
      <tp t="e">
        <v>#N/A</v>
        <stp/>
        <stp>BDH|11229097078164275248</stp>
        <tr r="G46" s="18"/>
      </tp>
      <tp t="e">
        <v>#N/A</v>
        <stp/>
        <stp>BDH|13775708332423872487</stp>
        <tr r="Q23" s="11"/>
      </tp>
      <tp t="e">
        <v>#N/A</v>
        <stp/>
        <stp>BDH|17265830602219772618</stp>
        <tr r="O31" s="24"/>
      </tp>
      <tp t="e">
        <v>#N/A</v>
        <stp/>
        <stp>BDH|16526588888729521256</stp>
        <tr r="U18" s="24"/>
      </tp>
      <tp t="e">
        <v>#N/A</v>
        <stp/>
        <stp>BDH|17434126670027654659</stp>
        <tr r="J85" s="18"/>
      </tp>
      <tp t="e">
        <v>#N/A</v>
        <stp/>
        <stp>BDH|15992293031272353674</stp>
        <tr r="G34" s="6"/>
        <tr r="I9" s="8"/>
      </tp>
      <tp t="e">
        <v>#N/A</v>
        <stp/>
        <stp>BDH|17154251291928358430</stp>
        <tr r="N101" s="18"/>
      </tp>
      <tp t="e">
        <v>#N/A</v>
        <stp/>
        <stp>BDH|15494492136392839063</stp>
        <tr r="D48" s="10"/>
        <tr r="D46" s="11"/>
        <tr r="D15" s="7"/>
      </tp>
      <tp t="e">
        <v>#N/A</v>
        <stp/>
        <stp>BDH|17868720289928069061</stp>
        <tr r="C7" s="8"/>
      </tp>
      <tp t="e">
        <v>#N/A</v>
        <stp/>
        <stp>BDH|16020900745802247926</stp>
        <tr r="E9" s="18"/>
      </tp>
      <tp t="e">
        <v>#N/A</v>
        <stp/>
        <stp>BDH|11809615197567964929</stp>
        <tr r="K34" s="12"/>
      </tp>
      <tp t="e">
        <v>#N/A</v>
        <stp/>
        <stp>BDH|13143470674618393844</stp>
        <tr r="C22" s="27"/>
      </tp>
      <tp t="e">
        <v>#N/A</v>
        <stp/>
        <stp>BDH|14683178157990224016</stp>
        <tr r="D41" s="34"/>
      </tp>
      <tp t="e">
        <v>#N/A</v>
        <stp/>
        <stp>BDH|12098105100173614031</stp>
        <tr r="V8" s="21"/>
      </tp>
      <tp t="e">
        <v>#N/A</v>
        <stp/>
        <stp>BDH|11598379913923404004</stp>
        <tr r="M46" s="17"/>
      </tp>
      <tp t="e">
        <v>#N/A</v>
        <stp/>
        <stp>BDH|15589510232385673651</stp>
        <tr r="G20" s="6"/>
      </tp>
      <tp t="e">
        <v>#N/A</v>
        <stp/>
        <stp>BDH|12602118072073509754</stp>
        <tr r="O28" s="26"/>
      </tp>
      <tp t="e">
        <v>#N/A</v>
        <stp/>
        <stp>BDH|14341629001483421117</stp>
        <tr r="AA46" s="18"/>
      </tp>
      <tp t="e">
        <v>#N/A</v>
        <stp/>
        <stp>BDH|14213520670824323267</stp>
        <tr r="C22" s="4"/>
      </tp>
      <tp t="e">
        <v>#N/A</v>
        <stp/>
        <stp>BDH|14620834696577583237</stp>
        <tr r="W21" s="17"/>
        <tr r="W15" s="3"/>
      </tp>
      <tp t="e">
        <v>#N/A</v>
        <stp/>
        <stp>BDH|15233862644431730825</stp>
        <tr r="P44" s="21"/>
      </tp>
      <tp t="e">
        <v>#N/A</v>
        <stp/>
        <stp>BDH|15916116589628010443</stp>
        <tr r="M13" s="11"/>
      </tp>
      <tp t="e">
        <v>#N/A</v>
        <stp/>
        <stp>BDH|15370645101582351100</stp>
        <tr r="I24" s="22"/>
      </tp>
      <tp t="e">
        <v>#N/A</v>
        <stp/>
        <stp>BDH|16772633202368433876</stp>
        <tr r="W46" s="17"/>
      </tp>
      <tp t="e">
        <v>#N/A</v>
        <stp/>
        <stp>BDH|13283281511844620481</stp>
        <tr r="O8" s="24"/>
      </tp>
      <tp t="e">
        <v>#N/A</v>
        <stp/>
        <stp>BDH|16535210084724326867</stp>
        <tr r="S17" s="18"/>
      </tp>
      <tp t="e">
        <v>#N/A</v>
        <stp/>
        <stp>BDH|17589007573390047038</stp>
        <tr r="D19" s="14"/>
      </tp>
      <tp t="e">
        <v>#N/A</v>
        <stp/>
        <stp>BDH|11627657437766823297</stp>
        <tr r="Z41" s="18"/>
      </tp>
      <tp t="e">
        <v>#N/A</v>
        <stp/>
        <stp>BDH|14058959435248507608</stp>
        <tr r="M58" s="12"/>
      </tp>
      <tp t="e">
        <v>#N/A</v>
        <stp/>
        <stp>BDH|17748732079841196691</stp>
        <tr r="N13" s="34"/>
      </tp>
      <tp t="e">
        <v>#N/A</v>
        <stp/>
        <stp>BDH|14612725831812204229</stp>
        <tr r="G20" s="2"/>
        <tr r="G18" s="4"/>
        <tr r="G54" s="10"/>
        <tr r="G52" s="11"/>
        <tr r="G19" s="7"/>
        <tr r="I41" s="13"/>
      </tp>
      <tp t="e">
        <v>#N/A</v>
        <stp/>
        <stp>BDH|16561845249728904241</stp>
        <tr r="D132" s="18"/>
      </tp>
      <tp t="e">
        <v>#N/A</v>
        <stp/>
        <stp>BDH|11132173147781230560</stp>
        <tr r="K18" s="2"/>
        <tr r="K53" s="4"/>
        <tr r="K42" s="10"/>
        <tr r="K40" s="11"/>
        <tr r="M34" s="13"/>
      </tp>
      <tp t="e">
        <v>#N/A</v>
        <stp/>
        <stp>BDH|11223135703382687218</stp>
        <tr r="M40" s="34"/>
      </tp>
      <tp t="e">
        <v>#N/A</v>
        <stp/>
        <stp>BDH|15773385578145508477</stp>
        <tr r="Y18" s="5"/>
        <tr r="X31" s="6"/>
      </tp>
      <tp t="e">
        <v>#N/A</v>
        <stp/>
        <stp>BDH|13098151126352223252</stp>
        <tr r="G87" s="17"/>
        <tr r="G27" s="25"/>
      </tp>
      <tp t="e">
        <v>#N/A</v>
        <stp/>
        <stp>BDH|13535101535809065845</stp>
        <tr r="N44" s="12"/>
      </tp>
      <tp t="e">
        <v>#N/A</v>
        <stp/>
        <stp>BDH|12755371376066392014</stp>
        <tr r="H13" s="10"/>
      </tp>
      <tp t="e">
        <v>#N/A</v>
        <stp/>
        <stp>BDH|12566080907983922175</stp>
        <tr r="C12" s="24"/>
      </tp>
      <tp t="e">
        <v>#N/A</v>
        <stp/>
        <stp>BDH|14807380121827602230</stp>
        <tr r="U25" s="22"/>
      </tp>
      <tp t="e">
        <v>#N/A</v>
        <stp/>
        <stp>BDH|10399017275377010033</stp>
        <tr r="D30" s="21"/>
      </tp>
      <tp t="e">
        <v>#N/A</v>
        <stp/>
        <stp>BDH|10983807283381610182</stp>
        <tr r="X18" s="22"/>
      </tp>
      <tp t="e">
        <v>#N/A</v>
        <stp/>
        <stp>BDH|17270199466082079297</stp>
        <tr r="W23" s="21"/>
      </tp>
      <tp t="e">
        <v>#N/A</v>
        <stp/>
        <stp>BDH|16111625706439193904</stp>
        <tr r="I79" s="18"/>
      </tp>
      <tp t="e">
        <v>#N/A</v>
        <stp/>
        <stp>BDH|16181174638355226181</stp>
        <tr r="V20" s="5"/>
        <tr r="V21" s="9"/>
      </tp>
      <tp t="e">
        <v>#N/A</v>
        <stp/>
        <stp>BDH|13105260302737410655</stp>
        <tr r="O53" s="12"/>
      </tp>
      <tp t="e">
        <v>#N/A</v>
        <stp/>
        <stp>BDH|15027622409546853573</stp>
        <tr r="D27" s="6"/>
      </tp>
      <tp t="e">
        <v>#N/A</v>
        <stp/>
        <stp>BDH|16381722124931717261</stp>
        <tr r="Q18" s="10"/>
      </tp>
      <tp t="e">
        <v>#N/A</v>
        <stp/>
        <stp>BDH|16344135810010203663</stp>
        <tr r="M36" s="12"/>
      </tp>
      <tp t="e">
        <v>#N/A</v>
        <stp/>
        <stp>BDH|15284097465197352499</stp>
        <tr r="O15" s="10"/>
      </tp>
      <tp t="e">
        <v>#N/A</v>
        <stp/>
        <stp>BDH|12845135267672027787</stp>
        <tr r="Q8" s="26"/>
        <tr r="O10" s="9"/>
      </tp>
      <tp t="e">
        <v>#N/A</v>
        <stp/>
        <stp>BDH|11237701525803704748</stp>
        <tr r="N23" s="10"/>
      </tp>
      <tp t="e">
        <v>#N/A</v>
        <stp/>
        <stp>BDH|10608690438615261010</stp>
        <tr r="O17" s="24"/>
      </tp>
      <tp t="e">
        <v>#N/A</v>
        <stp/>
        <stp>BDH|15397487332040965248</stp>
        <tr r="S131" s="18"/>
      </tp>
      <tp t="e">
        <v>#N/A</v>
        <stp/>
        <stp>BDH|16367660515075291468</stp>
        <tr r="D116" s="18"/>
      </tp>
      <tp t="e">
        <v>#N/A</v>
        <stp/>
        <stp>BDH|14390208317672288529</stp>
        <tr r="Q25" s="25"/>
        <tr r="Q18" s="27"/>
      </tp>
      <tp t="e">
        <v>#N/A</v>
        <stp/>
        <stp>BDH|14478474516342322324</stp>
        <tr r="E29" s="12"/>
      </tp>
      <tp t="e">
        <v>#N/A</v>
        <stp/>
        <stp>BDH|17801427411753675191</stp>
        <tr r="E7" s="14"/>
      </tp>
      <tp t="e">
        <v>#N/A</v>
        <stp/>
        <stp>BDH|10926228216876064592</stp>
        <tr r="N13" s="2"/>
      </tp>
      <tp t="e">
        <v>#N/A</v>
        <stp/>
        <stp>BDH|14713972790004268061</stp>
        <tr r="R13" s="28"/>
        <tr r="R90" s="17"/>
      </tp>
      <tp t="e">
        <v>#N/A</v>
        <stp/>
        <stp>BDH|18090289259417536803</stp>
        <tr r="O30" s="10"/>
        <tr r="O28" s="11"/>
      </tp>
      <tp t="e">
        <v>#N/A</v>
        <stp/>
        <stp>BDH|15844881114069297528</stp>
        <tr r="W15" s="24"/>
      </tp>
      <tp t="e">
        <v>#N/A</v>
        <stp/>
        <stp>BDH|13010745037972404539</stp>
        <tr r="G40" s="12"/>
      </tp>
      <tp t="e">
        <v>#N/A</v>
        <stp/>
        <stp>BDH|12960164778841118513</stp>
        <tr r="L115" s="18"/>
      </tp>
      <tp t="e">
        <v>#N/A</v>
        <stp/>
        <stp>BDH|10739597738727989183</stp>
        <tr r="W48" s="10"/>
        <tr r="W46" s="11"/>
        <tr r="W15" s="7"/>
      </tp>
      <tp t="e">
        <v>#N/A</v>
        <stp/>
        <stp>BDH|17792526933219901880</stp>
        <tr r="G26" s="7"/>
      </tp>
      <tp t="e">
        <v>#N/A</v>
        <stp/>
        <stp>BDH|13106189229655132561</stp>
        <tr r="T43" s="4"/>
      </tp>
      <tp t="e">
        <v>#N/A</v>
        <stp/>
        <stp>BDH|11054570069914958605</stp>
        <tr r="T11" s="9"/>
      </tp>
      <tp t="e">
        <v>#N/A</v>
        <stp/>
        <stp>BDH|14858644669457594370</stp>
        <tr r="V17" s="5"/>
        <tr r="U25" s="6"/>
      </tp>
      <tp t="e">
        <v>#N/A</v>
        <stp/>
        <stp>BDH|15330614912331211359</stp>
        <tr r="I67" s="10"/>
        <tr r="I65" s="11"/>
      </tp>
      <tp t="e">
        <v>#N/A</v>
        <stp/>
        <stp>BDH|15202194450440939150</stp>
        <tr r="M19" s="18"/>
      </tp>
      <tp t="e">
        <v>#N/A</v>
        <stp/>
        <stp>BDH|14365889699213366668</stp>
        <tr r="K80" s="17"/>
      </tp>
      <tp t="e">
        <v>#N/A</v>
        <stp/>
        <stp>BDH|16425657229680950264</stp>
        <tr r="P17" s="14"/>
      </tp>
      <tp t="e">
        <v>#N/A</v>
        <stp/>
        <stp>BDH|17939831299045726332</stp>
        <tr r="T66" s="17"/>
      </tp>
      <tp t="e">
        <v>#N/A</v>
        <stp/>
        <stp>BDH|14073846981752045623</stp>
        <tr r="J50" s="21"/>
      </tp>
      <tp t="e">
        <v>#N/A</v>
        <stp/>
        <stp>BDH|10509971990574743421</stp>
        <tr r="N13" s="10"/>
      </tp>
      <tp t="e">
        <v>#N/A</v>
        <stp/>
        <stp>BDH|16858712972327570192</stp>
        <tr r="V14" s="8"/>
      </tp>
      <tp t="e">
        <v>#N/A</v>
        <stp/>
        <stp>BDH|17318890291977817149</stp>
        <tr r="D22" s="12"/>
      </tp>
      <tp t="e">
        <v>#N/A</v>
        <stp/>
        <stp>BDH|15394418124700466357</stp>
        <tr r="S17" s="5"/>
        <tr r="R25" s="6"/>
      </tp>
      <tp t="e">
        <v>#N/A</v>
        <stp/>
        <stp>BDH|12803581064583003232</stp>
        <tr r="J14" s="12"/>
      </tp>
      <tp t="e">
        <v>#N/A</v>
        <stp/>
        <stp>BDH|11860756404421812761</stp>
        <tr r="U49" s="17"/>
        <tr r="U17" s="3"/>
      </tp>
      <tp t="e">
        <v>#N/A</v>
        <stp/>
        <stp>BDH|13069737942252061261</stp>
        <tr r="D89" s="18"/>
        <tr r="D9" s="20"/>
      </tp>
      <tp t="e">
        <v>#N/A</v>
        <stp/>
        <stp>BDH|11977680379997816764</stp>
        <tr r="N97" s="18"/>
      </tp>
      <tp t="e">
        <v>#N/A</v>
        <stp/>
        <stp>BDH|11167168944023760722</stp>
        <tr r="H19" s="22"/>
      </tp>
      <tp t="e">
        <v>#N/A</v>
        <stp/>
        <stp>BDH|11867295976910178407</stp>
        <tr r="T37" s="18"/>
      </tp>
      <tp t="e">
        <v>#N/A</v>
        <stp/>
        <stp>BDH|14591360172663035376</stp>
        <tr r="L27" s="21"/>
      </tp>
      <tp t="e">
        <v>#N/A</v>
        <stp/>
        <stp>BDH|13937822998132503009</stp>
        <tr r="H31" s="24"/>
      </tp>
      <tp t="e">
        <v>#N/A</v>
        <stp/>
        <stp>BDH|16768138445417619412</stp>
        <tr r="L14" s="30"/>
      </tp>
      <tp t="e">
        <v>#N/A</v>
        <stp/>
        <stp>BDH|11626735366824648433</stp>
        <tr r="E60" s="21"/>
      </tp>
      <tp t="e">
        <v>#N/A</v>
        <stp/>
        <stp>BDH|11089758453715809688</stp>
        <tr r="R43" s="12"/>
      </tp>
      <tp t="e">
        <v>#N/A</v>
        <stp/>
        <stp>BDH|17002523911993006055</stp>
        <tr r="Z54" s="12"/>
      </tp>
      <tp t="e">
        <v>#N/A</v>
        <stp/>
        <stp>BDH|11725798759163417055</stp>
        <tr r="V83" s="17"/>
      </tp>
      <tp t="e">
        <v>#N/A</v>
        <stp/>
        <stp>BDH|13137414962534583514</stp>
        <tr r="P31" s="25"/>
      </tp>
      <tp t="e">
        <v>#N/A</v>
        <stp/>
        <stp>BDH|13293665755696365642</stp>
        <tr r="F13" s="2"/>
      </tp>
      <tp t="e">
        <v>#N/A</v>
        <stp/>
        <stp>BDH|12005011933976779731</stp>
        <tr r="F7" s="30"/>
      </tp>
      <tp t="e">
        <v>#N/A</v>
        <stp/>
        <stp>BDH|12811394465660185736</stp>
        <tr r="J39" s="4"/>
        <tr r="J62" s="10"/>
      </tp>
      <tp t="e">
        <v>#N/A</v>
        <stp/>
        <stp>BDH|15615123613621711469</stp>
        <tr r="X27" s="21"/>
      </tp>
      <tp t="e">
        <v>#N/A</v>
        <stp/>
        <stp>BDH|16269767892558786070</stp>
        <tr r="E29" s="9"/>
      </tp>
      <tp t="e">
        <v>#N/A</v>
        <stp/>
        <stp>BDH|11538492620206300190</stp>
        <tr r="V46" s="17"/>
      </tp>
      <tp t="e">
        <v>#N/A</v>
        <stp/>
        <stp>BDH|13030323945240855494</stp>
        <tr r="G13" s="24"/>
      </tp>
      <tp t="e">
        <v>#N/A</v>
        <stp/>
        <stp>BDH|16528341077433171113</stp>
        <tr r="N29" s="22"/>
      </tp>
      <tp t="e">
        <v>#N/A</v>
        <stp/>
        <stp>BDH|10926209029515691504</stp>
        <tr r="V15" s="29"/>
        <tr r="V35" s="29"/>
      </tp>
      <tp t="e">
        <v>#N/A</v>
        <stp/>
        <stp>BDH|14197369615012003443</stp>
        <tr r="D72" s="17"/>
      </tp>
      <tp t="e">
        <v>#N/A</v>
        <stp/>
        <stp>BDH|11779770217955293235</stp>
        <tr r="N87" s="17"/>
        <tr r="N27" s="25"/>
      </tp>
      <tp t="e">
        <v>#N/A</v>
        <stp/>
        <stp>BDH|14055601900584526632</stp>
        <tr r="L53" s="17"/>
      </tp>
      <tp t="e">
        <v>#N/A</v>
        <stp/>
        <stp>BDH|15573884808899328409</stp>
        <tr r="P15" s="18"/>
      </tp>
      <tp t="e">
        <v>#N/A</v>
        <stp/>
        <stp>BDH|17306007065650495148</stp>
        <tr r="G63" s="18"/>
      </tp>
      <tp t="e">
        <v>#N/A</v>
        <stp/>
        <stp>BDH|18124163463088564770</stp>
        <tr r="X65" s="17"/>
        <tr r="V8" s="5"/>
        <tr r="V8" s="9"/>
      </tp>
      <tp t="e">
        <v>#N/A</v>
        <stp/>
        <stp>BDH|12356896982552907070</stp>
        <tr r="K62" s="17"/>
      </tp>
      <tp t="e">
        <v>#N/A</v>
        <stp/>
        <stp>BDH|16645854115037412847</stp>
        <tr r="Q20" s="24"/>
      </tp>
      <tp t="e">
        <v>#N/A</v>
        <stp/>
        <stp>BDH|12110030610992280164</stp>
        <tr r="T22" s="24"/>
      </tp>
      <tp t="e">
        <v>#N/A</v>
        <stp/>
        <stp>BDH|15498475536931211310</stp>
        <tr r="F28" s="21"/>
      </tp>
      <tp t="e">
        <v>#N/A</v>
        <stp/>
        <stp>BDH|11585363921603094340</stp>
        <tr r="F19" s="9"/>
      </tp>
      <tp t="e">
        <v>#N/A</v>
        <stp/>
        <stp>BDH|16157674040274224025</stp>
        <tr r="N38" s="4"/>
        <tr r="N60" s="11"/>
        <tr r="P13" s="23"/>
      </tp>
      <tp t="e">
        <v>#N/A</v>
        <stp/>
        <stp>BDH|14508549429704100705</stp>
        <tr r="R29" s="24"/>
      </tp>
      <tp t="e">
        <v>#N/A</v>
        <stp/>
        <stp>BDH|11284595609785253194</stp>
        <tr r="R6" s="27"/>
      </tp>
      <tp t="e">
        <v>#N/A</v>
        <stp/>
        <stp>BDH|14624124863706793592</stp>
        <tr r="U9" s="3"/>
        <tr r="S47" s="10"/>
        <tr r="S45" s="11"/>
        <tr r="S14" s="7"/>
      </tp>
      <tp t="e">
        <v>#N/A</v>
        <stp/>
        <stp>BDH|12964240016534406569</stp>
        <tr r="W14" s="30"/>
      </tp>
      <tp t="e">
        <v>#N/A</v>
        <stp/>
        <stp>BDH|17629280602860174544</stp>
        <tr r="K52" s="24"/>
      </tp>
      <tp t="e">
        <v>#N/A</v>
        <stp/>
        <stp>BDH|10780786840244645706</stp>
        <tr r="N56" s="24"/>
      </tp>
      <tp t="e">
        <v>#N/A</v>
        <stp/>
        <stp>BDH|10071861482641494197</stp>
        <tr r="Y17" s="24"/>
      </tp>
      <tp t="e">
        <v>#N/A</v>
        <stp/>
        <stp>BDH|17865126021793035729</stp>
        <tr r="AA11" s="12"/>
      </tp>
      <tp t="e">
        <v>#N/A</v>
        <stp/>
        <stp>BDH|13915493628035785067</stp>
        <tr r="Y37" s="17"/>
      </tp>
      <tp t="e">
        <v>#N/A</v>
        <stp/>
        <stp>BDH|11869749743177344556</stp>
        <tr r="K16" s="22"/>
      </tp>
      <tp t="e">
        <v>#N/A</v>
        <stp/>
        <stp>BDH|14113292977140268148</stp>
        <tr r="F17" s="28"/>
        <tr r="F14" s="17"/>
      </tp>
      <tp t="e">
        <v>#N/A</v>
        <stp/>
        <stp>BDH|13707356732095929608</stp>
        <tr r="Y24" s="26"/>
        <tr r="W14" s="9"/>
      </tp>
      <tp t="e">
        <v>#N/A</v>
        <stp/>
        <stp>BDH|17817141967416466661</stp>
        <tr r="U21" s="5"/>
      </tp>
      <tp t="e">
        <v>#N/A</v>
        <stp/>
        <stp>BDH|13315786568002946030</stp>
        <tr r="D7" s="14"/>
      </tp>
      <tp t="e">
        <v>#N/A</v>
        <stp/>
        <stp>BDH|17931171346211572344</stp>
        <tr r="E22" s="12"/>
      </tp>
      <tp t="e">
        <v>#N/A</v>
        <stp/>
        <stp>BDH|15870809690825759161</stp>
        <tr r="O79" s="18"/>
      </tp>
      <tp t="e">
        <v>#N/A</v>
        <stp/>
        <stp>BDH|14324836487725687189</stp>
        <tr r="AA51" s="18"/>
      </tp>
      <tp t="e">
        <v>#N/A</v>
        <stp/>
        <stp>BDH|14745597044285671057</stp>
        <tr r="S9" s="3"/>
        <tr r="Q47" s="10"/>
        <tr r="Q45" s="11"/>
        <tr r="Q14" s="7"/>
      </tp>
      <tp t="e">
        <v>#N/A</v>
        <stp/>
        <stp>BDH|13208587676324606535</stp>
        <tr r="L26" s="10"/>
      </tp>
      <tp t="e">
        <v>#N/A</v>
        <stp/>
        <stp>BDH|12869274361280053674</stp>
        <tr r="W63" s="12"/>
      </tp>
      <tp t="e">
        <v>#N/A</v>
        <stp/>
        <stp>BDH|13098490866211732019</stp>
        <tr r="Z116" s="18"/>
      </tp>
      <tp t="e">
        <v>#N/A</v>
        <stp/>
        <stp>BDH|10953707835820437419</stp>
        <tr r="AA69" s="17"/>
      </tp>
      <tp t="e">
        <v>#N/A</v>
        <stp/>
        <stp>BDH|13412363455412851763</stp>
        <tr r="G31" s="12"/>
      </tp>
      <tp t="e">
        <v>#N/A</v>
        <stp/>
        <stp>BDH|13928719587475007968</stp>
        <tr r="V10" s="30"/>
      </tp>
      <tp t="e">
        <v>#N/A</v>
        <stp/>
        <stp>BDH|17801730079774908320</stp>
        <tr r="Y9" s="22"/>
      </tp>
      <tp t="e">
        <v>#N/A</v>
        <stp/>
        <stp>BDH|13775386754134502177</stp>
        <tr r="R22" s="12"/>
      </tp>
      <tp t="e">
        <v>#N/A</v>
        <stp/>
        <stp>BDH|16378493565392149675</stp>
        <tr r="Q21" s="2"/>
      </tp>
      <tp t="e">
        <v>#N/A</v>
        <stp/>
        <stp>BDH|11892838857658687439</stp>
        <tr r="Z35" s="22"/>
      </tp>
      <tp t="e">
        <v>#N/A</v>
        <stp/>
        <stp>BDH|13734998791502588130</stp>
        <tr r="N16" s="21"/>
      </tp>
      <tp t="e">
        <v>#N/A</v>
        <stp/>
        <stp>BDH|17789108359711470236</stp>
        <tr r="U48" s="17"/>
      </tp>
      <tp t="e">
        <v>#N/A</v>
        <stp/>
        <stp>BDH|11623019219355248559</stp>
        <tr r="N21" s="2"/>
      </tp>
      <tp t="e">
        <v>#N/A</v>
        <stp/>
        <stp>BDH|14488362073275185595</stp>
        <tr r="F63" s="10"/>
      </tp>
      <tp t="e">
        <v>#N/A</v>
        <stp/>
        <stp>BDH|12051071354520237787</stp>
        <tr r="F31" s="26"/>
      </tp>
      <tp t="e">
        <v>#N/A</v>
        <stp/>
        <stp>BDH|10935498739974544353</stp>
        <tr r="U71" s="18"/>
      </tp>
      <tp t="e">
        <v>#N/A</v>
        <stp/>
        <stp>BDH|15608703407067025585</stp>
        <tr r="M83" s="17"/>
      </tp>
      <tp t="e">
        <v>#N/A</v>
        <stp/>
        <stp>BDH|16898100278078855818</stp>
        <tr r="M8" s="23"/>
      </tp>
      <tp t="e">
        <v>#N/A</v>
        <stp/>
        <stp>BDH|18398167098937491715</stp>
        <tr r="X13" s="2"/>
      </tp>
      <tp t="e">
        <v>#N/A</v>
        <stp/>
        <stp>BDH|13088311168830337628</stp>
        <tr r="I8" s="18"/>
      </tp>
      <tp t="e">
        <v>#N/A</v>
        <stp/>
        <stp>BDH|10908802295364193552</stp>
        <tr r="W44" s="17"/>
      </tp>
      <tp t="e">
        <v>#N/A</v>
        <stp/>
        <stp>BDH|15941189071644891708</stp>
        <tr r="Y54" s="17"/>
      </tp>
      <tp t="e">
        <v>#N/A</v>
        <stp/>
        <stp>BDH|10245510074235651799</stp>
        <tr r="H21" s="6"/>
      </tp>
      <tp t="e">
        <v>#N/A</v>
        <stp/>
        <stp>BDH|18327879028477427504</stp>
        <tr r="X15" s="24"/>
      </tp>
      <tp t="e">
        <v>#N/A</v>
        <stp/>
        <stp>BDH|10440697038297416298</stp>
        <tr r="O11" s="29"/>
      </tp>
      <tp t="e">
        <v>#N/A</v>
        <stp/>
        <stp>BDH|12747200212054420599</stp>
        <tr r="G22" s="7"/>
      </tp>
      <tp t="e">
        <v>#N/A</v>
        <stp/>
        <stp>BDH|17834025653484794665</stp>
        <tr r="H30" s="9"/>
      </tp>
      <tp t="e">
        <v>#N/A</v>
        <stp/>
        <stp>BDH|10020157199989075147</stp>
        <tr r="D16" s="13"/>
        <tr r="D23" s="13"/>
      </tp>
      <tp t="e">
        <v>#N/A</v>
        <stp/>
        <stp>BDH|14558845990790901504</stp>
        <tr r="Q29" s="5"/>
      </tp>
      <tp t="e">
        <v>#N/A</v>
        <stp/>
        <stp>BDH|12072375612518801854</stp>
        <tr r="H52" s="24"/>
      </tp>
      <tp t="e">
        <v>#N/A</v>
        <stp/>
        <stp>BDH|10150207027510717097</stp>
        <tr r="AA41" s="21"/>
      </tp>
      <tp t="e">
        <v>#N/A</v>
        <stp/>
        <stp>BDH|10944891586477618780</stp>
        <tr r="E8" s="11"/>
      </tp>
      <tp t="e">
        <v>#N/A</v>
        <stp/>
        <stp>BDH|12982773630817137177</stp>
        <tr r="K24" s="17"/>
      </tp>
      <tp t="e">
        <v>#N/A</v>
        <stp/>
        <stp>BDH|10548972898561301115</stp>
        <tr r="N6" s="28"/>
      </tp>
      <tp t="e">
        <v>#N/A</v>
        <stp/>
        <stp>BDH|15932385414751542683</stp>
        <tr r="T28" s="22"/>
      </tp>
      <tp t="e">
        <v>#N/A</v>
        <stp/>
        <stp>BDH|17508595932187757615</stp>
        <tr r="I20" s="10"/>
      </tp>
      <tp t="e">
        <v>#N/A</v>
        <stp/>
        <stp>BDH|11698311430004688594</stp>
        <tr r="N14" s="20"/>
      </tp>
      <tp t="e">
        <v>#N/A</v>
        <stp/>
        <stp>BDH|10683057077213491480</stp>
        <tr r="R66" s="17"/>
      </tp>
      <tp t="e">
        <v>#N/A</v>
        <stp/>
        <stp>BDH|13308764027824802217</stp>
        <tr r="Y68" s="18"/>
      </tp>
      <tp t="e">
        <v>#N/A</v>
        <stp/>
        <stp>BDH|11564848223568144384</stp>
        <tr r="P15" s="21"/>
      </tp>
      <tp t="e">
        <v>#N/A</v>
        <stp/>
        <stp>BDH|12085170232328699888</stp>
        <tr r="K67" s="12"/>
      </tp>
      <tp t="e">
        <v>#N/A</v>
        <stp/>
        <stp>BDH|14857272607837509165</stp>
        <tr r="F28" s="6"/>
      </tp>
      <tp t="e">
        <v>#N/A</v>
        <stp/>
        <stp>BDH|10863835291556681774</stp>
        <tr r="C40" s="6"/>
      </tp>
      <tp t="e">
        <v>#N/A</v>
        <stp/>
        <stp>BDH|15787128648822747216</stp>
        <tr r="I91" s="18"/>
      </tp>
      <tp t="e">
        <v>#N/A</v>
        <stp/>
        <stp>BDH|14749271931142254788</stp>
        <tr r="D16" s="26"/>
      </tp>
      <tp t="e">
        <v>#N/A</v>
        <stp/>
        <stp>BDH|11789536179544571734</stp>
        <tr r="F65" s="10"/>
      </tp>
      <tp t="e">
        <v>#N/A</v>
        <stp/>
        <stp>BDH|12242270811413897271</stp>
        <tr r="U114" s="18"/>
      </tp>
      <tp t="e">
        <v>#N/A</v>
        <stp/>
        <stp>BDH|12375425965852811273</stp>
        <tr r="H21" s="27"/>
      </tp>
      <tp t="e">
        <v>#N/A</v>
        <stp/>
        <stp>BDH|12832423251437446448</stp>
        <tr r="H32" s="21"/>
      </tp>
      <tp t="e">
        <v>#N/A</v>
        <stp/>
        <stp>BDH|12440828178649654437</stp>
        <tr r="S22" s="12"/>
      </tp>
      <tp t="e">
        <v>#N/A</v>
        <stp/>
        <stp>BDH|13980207304450255140</stp>
        <tr r="M41" s="24"/>
      </tp>
      <tp t="e">
        <v>#N/A</v>
        <stp/>
        <stp>BDH|13754419619511469702</stp>
        <tr r="V29" s="21"/>
      </tp>
      <tp t="e">
        <v>#N/A</v>
        <stp/>
        <stp>BDH|15020465582768644199</stp>
        <tr r="N23" s="11"/>
      </tp>
      <tp t="e">
        <v>#N/A</v>
        <stp/>
        <stp>BDH|13526568060244878403</stp>
        <tr r="F105" s="18"/>
      </tp>
      <tp t="e">
        <v>#N/A</v>
        <stp/>
        <stp>BDH|13151249973287963144</stp>
        <tr r="Q57" s="12"/>
      </tp>
      <tp t="e">
        <v>#N/A</v>
        <stp/>
        <stp>BDH|12446469916847936065</stp>
        <tr r="R19" s="6"/>
      </tp>
      <tp t="e">
        <v>#N/A</v>
        <stp/>
        <stp>BDH|13137201605227976665</stp>
        <tr r="T27" s="21"/>
      </tp>
      <tp t="e">
        <v>#N/A</v>
        <stp/>
        <stp>BDH|17780257459953225326</stp>
        <tr r="X40" s="21"/>
      </tp>
      <tp t="e">
        <v>#N/A</v>
        <stp/>
        <stp>BDH|16815427133199701856</stp>
        <tr r="N44" s="17"/>
      </tp>
      <tp t="e">
        <v>#N/A</v>
        <stp/>
        <stp>BDH|16033696101326747643</stp>
        <tr r="V68" s="17"/>
      </tp>
      <tp t="e">
        <v>#N/A</v>
        <stp/>
        <stp>BDH|18130590764732624917</stp>
        <tr r="Y60" s="10"/>
      </tp>
      <tp t="e">
        <v>#N/A</v>
        <stp/>
        <stp>BDH|13938139630945871494</stp>
        <tr r="H14" s="14"/>
      </tp>
      <tp t="e">
        <v>#N/A</v>
        <stp/>
        <stp>BDH|10170580215911612518</stp>
        <tr r="S60" s="18"/>
      </tp>
      <tp t="e">
        <v>#N/A</v>
        <stp/>
        <stp>BDH|12302545102194748397</stp>
        <tr r="H48" s="17"/>
      </tp>
      <tp t="e">
        <v>#N/A</v>
        <stp/>
        <stp>BDH|17624080585769035601</stp>
        <tr r="D91" s="17"/>
      </tp>
      <tp t="e">
        <v>#N/A</v>
        <stp/>
        <stp>BDH|13126950886671020393</stp>
        <tr r="R61" s="18"/>
      </tp>
      <tp t="e">
        <v>#N/A</v>
        <stp/>
        <stp>BDH|12133040639264073573</stp>
        <tr r="I48" s="18"/>
      </tp>
      <tp t="e">
        <v>#N/A</v>
        <stp/>
        <stp>BDH|14311677316725959600</stp>
        <tr r="Q59" s="24"/>
      </tp>
      <tp t="e">
        <v>#N/A</v>
        <stp/>
        <stp>BDH|12454046052011846613</stp>
        <tr r="O38" s="18"/>
      </tp>
      <tp t="e">
        <v>#N/A</v>
        <stp/>
        <stp>BDH|13965021727947661603</stp>
        <tr r="J22" s="21"/>
      </tp>
      <tp t="e">
        <v>#N/A</v>
        <stp/>
        <stp>BDH|10840643090127150878</stp>
        <tr r="C14" s="28"/>
      </tp>
      <tp t="e">
        <v>#N/A</v>
        <stp/>
        <stp>BDH|10967819873747149807</stp>
        <tr r="V24" s="24"/>
      </tp>
      <tp t="e">
        <v>#N/A</v>
        <stp/>
        <stp>BDH|12823475133684038169</stp>
        <tr r="E18" s="9"/>
      </tp>
      <tp t="e">
        <v>#N/A</v>
        <stp/>
        <stp>BDH|16429301255966252695</stp>
        <tr r="C125" s="18"/>
      </tp>
      <tp t="e">
        <v>#N/A</v>
        <stp/>
        <stp>BDH|14412249920251924531</stp>
        <tr r="Y39" s="24"/>
      </tp>
      <tp t="e">
        <v>#N/A</v>
        <stp/>
        <stp>BDH|11095511181549264582</stp>
        <tr r="L7" s="28"/>
      </tp>
      <tp t="e">
        <v>#N/A</v>
        <stp/>
        <stp>BDH|13117529661435944511</stp>
        <tr r="X80" s="17"/>
      </tp>
      <tp t="e">
        <v>#N/A</v>
        <stp/>
        <stp>BDH|12375276669242186462</stp>
        <tr r="S28" s="12"/>
      </tp>
      <tp t="e">
        <v>#N/A</v>
        <stp/>
        <stp>BDH|12868620002662091621</stp>
        <tr r="W53" s="17"/>
      </tp>
      <tp t="e">
        <v>#N/A</v>
        <stp/>
        <stp>BDH|13822311911344781550</stp>
        <tr r="U34" s="18"/>
      </tp>
      <tp t="e">
        <v>#N/A</v>
        <stp/>
        <stp>BDH|14470358499048568671</stp>
        <tr r="D25" s="24"/>
      </tp>
      <tp t="e">
        <v>#N/A</v>
        <stp/>
        <stp>BDH|14942368362255016477</stp>
        <tr r="AA27" s="18"/>
      </tp>
      <tp t="e">
        <v>#N/A</v>
        <stp/>
        <stp>BDH|18370960351896660286</stp>
        <tr r="Z9" s="21"/>
      </tp>
      <tp t="e">
        <v>#N/A</v>
        <stp/>
        <stp>BDH|12475087562844440003</stp>
        <tr r="O29" s="18"/>
      </tp>
      <tp t="e">
        <v>#N/A</v>
        <stp/>
        <stp>BDH|17334606329841835281</stp>
        <tr r="T45" s="24"/>
      </tp>
      <tp t="e">
        <v>#N/A</v>
        <stp/>
        <stp>BDH|13830572390337491814</stp>
        <tr r="R63" s="24"/>
      </tp>
      <tp t="e">
        <v>#N/A</v>
        <stp/>
        <stp>BDH|17590374760416937414</stp>
        <tr r="T26" s="21"/>
      </tp>
      <tp t="e">
        <v>#N/A</v>
        <stp/>
        <stp>BDH|15296717763814896022</stp>
        <tr r="L44" s="12"/>
      </tp>
      <tp t="e">
        <v>#N/A</v>
        <stp/>
        <stp>BDH|16008724554555555196</stp>
        <tr r="U24" s="10"/>
      </tp>
      <tp t="e">
        <v>#N/A</v>
        <stp/>
        <stp>BDH|11337053808188348977</stp>
        <tr r="J53" s="18"/>
      </tp>
      <tp t="e">
        <v>#N/A</v>
        <stp/>
        <stp>BDH|10571022078200254770</stp>
        <tr r="S14" s="21"/>
      </tp>
      <tp t="e">
        <v>#N/A</v>
        <stp/>
        <stp>BDH|14430596706102477351</stp>
        <tr r="Y26" s="21"/>
      </tp>
      <tp t="e">
        <v>#N/A</v>
        <stp/>
        <stp>BDH|18168022909080279821</stp>
        <tr r="H46" s="4"/>
        <tr r="H25" s="10"/>
        <tr r="J27" s="13"/>
      </tp>
      <tp t="e">
        <v>#N/A</v>
        <stp/>
        <stp>BDH|13280530442161898310</stp>
        <tr r="V10" s="11"/>
      </tp>
      <tp t="e">
        <v>#N/A</v>
        <stp/>
        <stp>BDH|15431675264634544184</stp>
        <tr r="S38" s="6"/>
      </tp>
      <tp t="e">
        <v>#N/A</v>
        <stp/>
        <stp>BDH|18012345148789426626</stp>
        <tr r="AA31" s="24"/>
      </tp>
      <tp t="e">
        <v>#N/A</v>
        <stp/>
        <stp>BDH|11152381712190044316</stp>
        <tr r="I29" s="5"/>
      </tp>
      <tp t="e">
        <v>#N/A</v>
        <stp/>
        <stp>BDH|11764690382119017661</stp>
        <tr r="Y18" s="22"/>
      </tp>
      <tp t="e">
        <v>#N/A</v>
        <stp/>
        <stp>BDH|15990248040641359244</stp>
        <tr r="S13" s="10"/>
      </tp>
      <tp t="e">
        <v>#N/A</v>
        <stp/>
        <stp>BDH|11158821240504123985</stp>
        <tr r="M53" s="10"/>
        <tr r="M51" s="11"/>
        <tr r="M18" s="7"/>
        <tr r="O40" s="13"/>
      </tp>
      <tp t="e">
        <v>#N/A</v>
        <stp/>
        <stp>BDH|10809655821820432428</stp>
        <tr r="J13" s="17"/>
        <tr r="J16" s="28"/>
      </tp>
      <tp t="e">
        <v>#N/A</v>
        <stp/>
        <stp>BDH|13891108880132429864</stp>
        <tr r="I12" s="11"/>
      </tp>
      <tp t="e">
        <v>#N/A</v>
        <stp/>
        <stp>BDH|10878173645521208424</stp>
        <tr r="P18" s="11"/>
      </tp>
      <tp t="e">
        <v>#N/A</v>
        <stp/>
        <stp>BDH|10986118766831480605</stp>
        <tr r="Q38" s="24"/>
      </tp>
      <tp t="e">
        <v>#N/A</v>
        <stp/>
        <stp>BDH|13627782355077359621</stp>
        <tr r="L11" s="9"/>
      </tp>
      <tp t="e">
        <v>#N/A</v>
        <stp/>
        <stp>BDH|10992822112501504815</stp>
        <tr r="F13" s="34"/>
      </tp>
      <tp t="e">
        <v>#N/A</v>
        <stp/>
        <stp>BDH|10279379421051928007</stp>
        <tr r="V25" s="22"/>
      </tp>
      <tp t="e">
        <v>#N/A</v>
        <stp/>
        <stp>BDH|17951888579639105140</stp>
        <tr r="K88" s="18"/>
        <tr r="K8" s="20"/>
      </tp>
      <tp t="e">
        <v>#N/A</v>
        <stp/>
        <stp>BDH|13373781828152942479</stp>
        <tr r="T12" s="11"/>
      </tp>
      <tp t="e">
        <v>#N/A</v>
        <stp/>
        <stp>BDH|10241266507152805069</stp>
        <tr r="O86" s="18"/>
        <tr r="O6" s="20"/>
      </tp>
      <tp t="e">
        <v>#N/A</v>
        <stp/>
        <stp>BDH|11442190533144287717</stp>
        <tr r="K15" s="5"/>
      </tp>
      <tp t="e">
        <v>#N/A</v>
        <stp/>
        <stp>BDH|12690746222880485796</stp>
        <tr r="I64" s="17"/>
        <tr r="I18" s="3"/>
      </tp>
      <tp t="e">
        <v>#N/A</v>
        <stp/>
        <stp>BDH|11494980135658155352</stp>
        <tr r="E19" s="18"/>
      </tp>
      <tp t="e">
        <v>#N/A</v>
        <stp/>
        <stp>BDH|15290543244873791783</stp>
        <tr r="V22" s="4"/>
      </tp>
      <tp t="e">
        <v>#N/A</v>
        <stp/>
        <stp>BDH|12212634919135625039</stp>
        <tr r="E50" s="12"/>
      </tp>
      <tp t="e">
        <v>#N/A</v>
        <stp/>
        <stp>BDH|18251289186272802091</stp>
        <tr r="X9" s="11"/>
      </tp>
      <tp t="e">
        <v>#N/A</v>
        <stp/>
        <stp>BDH|10555514187914836964</stp>
        <tr r="O56" s="18"/>
      </tp>
      <tp t="e">
        <v>#N/A</v>
        <stp/>
        <stp>BDH|18284090584706522672</stp>
        <tr r="I6" s="15"/>
        <tr r="I12" s="2"/>
        <tr r="I11" s="4"/>
        <tr r="I6" s="10"/>
      </tp>
      <tp t="e">
        <v>#N/A</v>
        <stp/>
        <stp>BDH|14849931877433690977</stp>
        <tr r="T16" s="25"/>
        <tr r="R22" s="11"/>
      </tp>
      <tp t="e">
        <v>#N/A</v>
        <stp/>
        <stp>BDH|18010928972746890059</stp>
        <tr r="W15" s="21"/>
      </tp>
      <tp t="e">
        <v>#N/A</v>
        <stp/>
        <stp>BDH|10391016449584036067</stp>
        <tr r="I75" s="18"/>
      </tp>
      <tp t="e">
        <v>#N/A</v>
        <stp/>
        <stp>BDH|16314121111832872451</stp>
        <tr r="L8" s="6"/>
      </tp>
      <tp t="e">
        <v>#N/A</v>
        <stp/>
        <stp>BDH|13812387634842842114</stp>
        <tr r="Q35" s="24"/>
      </tp>
      <tp t="e">
        <v>#N/A</v>
        <stp/>
        <stp>BDH|11483668241437695480</stp>
        <tr r="V75" s="17"/>
      </tp>
      <tp t="e">
        <v>#N/A</v>
        <stp/>
        <stp>BDH|15399551322592103080</stp>
        <tr r="R28" s="22"/>
      </tp>
      <tp t="e">
        <v>#N/A</v>
        <stp/>
        <stp>BDH|13075079238659500974</stp>
        <tr r="Y20" s="29"/>
      </tp>
      <tp t="e">
        <v>#N/A</v>
        <stp/>
        <stp>BDH|10051559738383496545</stp>
        <tr r="L16" s="11"/>
      </tp>
      <tp t="e">
        <v>#N/A</v>
        <stp/>
        <stp>BDH|10379624117400809734</stp>
        <tr r="G28" s="25"/>
      </tp>
      <tp t="e">
        <v>#N/A</v>
        <stp/>
        <stp>BDH|16926709484148307138</stp>
        <tr r="D29" s="4"/>
      </tp>
      <tp t="e">
        <v>#N/A</v>
        <stp/>
        <stp>BDH|15454960198556768307</stp>
        <tr r="Z42" s="12"/>
      </tp>
      <tp t="e">
        <v>#N/A</v>
        <stp/>
        <stp>BDH|11219985272256345963</stp>
        <tr r="L35" s="4"/>
      </tp>
      <tp t="e">
        <v>#N/A</v>
        <stp/>
        <stp>BDH|13742907242718827607</stp>
        <tr r="N32" s="21"/>
      </tp>
      <tp t="e">
        <v>#N/A</v>
        <stp/>
        <stp>BDH|11546198255644220169</stp>
        <tr r="N9" s="2"/>
        <tr r="P8" s="25"/>
        <tr r="N10" s="5"/>
      </tp>
      <tp t="e">
        <v>#N/A</v>
        <stp/>
        <stp>BDH|14706513867593949452</stp>
        <tr r="V20" s="20"/>
      </tp>
      <tp t="e">
        <v>#N/A</v>
        <stp/>
        <stp>BDH|16963443570427369230</stp>
        <tr r="S14" s="6"/>
      </tp>
      <tp t="e">
        <v>#N/A</v>
        <stp/>
        <stp>BDH|16451013458091554254</stp>
        <tr r="K12" s="18"/>
      </tp>
      <tp t="e">
        <v>#N/A</v>
        <stp/>
        <stp>BDH|10884837397869714861</stp>
        <tr r="AA26" s="12"/>
      </tp>
      <tp t="e">
        <v>#N/A</v>
        <stp/>
        <stp>BDH|16994505548132823548</stp>
        <tr r="E87" s="18"/>
        <tr r="E7" s="20"/>
      </tp>
      <tp t="e">
        <v>#N/A</v>
        <stp/>
        <stp>BDH|11777823450588000484</stp>
        <tr r="H29" s="17"/>
      </tp>
      <tp t="e">
        <v>#N/A</v>
        <stp/>
        <stp>BDH|11972906440634660824</stp>
        <tr r="W66" s="12"/>
      </tp>
      <tp t="e">
        <v>#N/A</v>
        <stp/>
        <stp>BDH|11693814760716376998</stp>
        <tr r="L111" s="18"/>
      </tp>
      <tp t="e">
        <v>#N/A</v>
        <stp/>
        <stp>BDH|10525293282903360915</stp>
        <tr r="F27" s="18"/>
      </tp>
      <tp t="e">
        <v>#N/A</v>
        <stp/>
        <stp>BDH|14564995852370321818</stp>
        <tr r="X45" s="21"/>
      </tp>
      <tp t="e">
        <v>#N/A</v>
        <stp/>
        <stp>BDH|13607792464726094476</stp>
        <tr r="C48" s="21"/>
      </tp>
      <tp t="e">
        <v>#N/A</v>
        <stp/>
        <stp>BDH|10568408564721849357</stp>
        <tr r="K25" s="25"/>
        <tr r="K18" s="27"/>
      </tp>
      <tp t="e">
        <v>#N/A</v>
        <stp/>
        <stp>BDH|10324948698002757246</stp>
        <tr r="N33" s="21"/>
      </tp>
      <tp t="e">
        <v>#N/A</v>
        <stp/>
        <stp>BDH|10410733972309109989</stp>
        <tr r="G19" s="26"/>
      </tp>
      <tp t="e">
        <v>#N/A</v>
        <stp/>
        <stp>BDH|14464797766796379349</stp>
        <tr r="N21" s="11"/>
      </tp>
      <tp t="e">
        <v>#N/A</v>
        <stp/>
        <stp>BDH|10530898822678523270</stp>
        <tr r="D45" s="17"/>
      </tp>
      <tp t="e">
        <v>#N/A</v>
        <stp/>
        <stp>BDH|16968440576501486435</stp>
        <tr r="L21" s="11"/>
      </tp>
      <tp t="e">
        <v>#N/A</v>
        <stp/>
        <stp>BDH|10252819299636033767</stp>
        <tr r="N30" s="9"/>
      </tp>
      <tp t="e">
        <v>#N/A</v>
        <stp/>
        <stp>BDH|13322287573937287169</stp>
        <tr r="L73" s="18"/>
      </tp>
      <tp t="e">
        <v>#N/A</v>
        <stp/>
        <stp>BDH|10799811018798789154</stp>
        <tr r="K91" s="17"/>
      </tp>
      <tp t="e">
        <v>#N/A</v>
        <stp/>
        <stp>BDH|14064709769370296576</stp>
        <tr r="V14" s="14"/>
      </tp>
      <tp t="e">
        <v>#N/A</v>
        <stp/>
        <stp>BDH|14953661244584607213</stp>
        <tr r="L66" s="17"/>
      </tp>
      <tp t="e">
        <v>#N/A</v>
        <stp/>
        <stp>BDH|17319286174347534565</stp>
        <tr r="G16" s="26"/>
      </tp>
      <tp t="e">
        <v>#N/A</v>
        <stp/>
        <stp>BDH|13012145238169138811</stp>
        <tr r="F16" s="23"/>
      </tp>
      <tp t="e">
        <v>#N/A</v>
        <stp/>
        <stp>BDH|10255521762241676286</stp>
        <tr r="U26" s="21"/>
      </tp>
      <tp t="e">
        <v>#N/A</v>
        <stp/>
        <stp>BDH|12306315178932037468</stp>
        <tr r="O16" s="22"/>
      </tp>
      <tp t="e">
        <v>#N/A</v>
        <stp/>
        <stp>BDH|12429644412740810566</stp>
        <tr r="T27" s="26"/>
      </tp>
      <tp t="e">
        <v>#N/A</v>
        <stp/>
        <stp>BDH|15709414629551422275</stp>
        <tr r="H38" s="6"/>
      </tp>
      <tp t="e">
        <v>#N/A</v>
        <stp/>
        <stp>BDH|12077256048755587148</stp>
        <tr r="Y63" s="18"/>
      </tp>
      <tp t="e">
        <v>#N/A</v>
        <stp/>
        <stp>BDH|13246350493520833904</stp>
        <tr r="S77" s="18"/>
      </tp>
      <tp t="e">
        <v>#N/A</v>
        <stp/>
        <stp>BDH|13303164738030682178</stp>
        <tr r="J20" s="29"/>
      </tp>
      <tp t="e">
        <v>#N/A</v>
        <stp/>
        <stp>BDH|11348617241500546399</stp>
        <tr r="T125" s="18"/>
      </tp>
      <tp t="e">
        <v>#N/A</v>
        <stp/>
        <stp>BDH|16666295157098687910</stp>
        <tr r="U22" s="12"/>
      </tp>
      <tp t="e">
        <v>#N/A</v>
        <stp/>
        <stp>BDH|15315950388873402750</stp>
        <tr r="M12" s="14"/>
      </tp>
      <tp t="e">
        <v>#N/A</v>
        <stp/>
        <stp>BDH|17268676038256682442</stp>
        <tr r="L13" s="2"/>
      </tp>
      <tp t="e">
        <v>#N/A</v>
        <stp/>
        <stp>BDH|14025642461960915430</stp>
        <tr r="V19" s="26"/>
      </tp>
      <tp t="e">
        <v>#N/A</v>
        <stp/>
        <stp>BDH|16854778022442408167</stp>
        <tr r="I73" s="17"/>
        <tr r="G9" s="5"/>
        <tr r="G9" s="9"/>
      </tp>
      <tp t="e">
        <v>#N/A</v>
        <stp/>
        <stp>BDH|10256616605924821216</stp>
        <tr r="P38" s="6"/>
      </tp>
      <tp t="e">
        <v>#N/A</v>
        <stp/>
        <stp>BDH|10259557579591510345</stp>
        <tr r="O50" s="12"/>
      </tp>
      <tp t="e">
        <v>#N/A</v>
        <stp/>
        <stp>BDH|16045168770102986206</stp>
        <tr r="P28" s="17"/>
      </tp>
      <tp t="e">
        <v>#N/A</v>
        <stp/>
        <stp>BDH|15594627314601920358</stp>
        <tr r="W80" s="17"/>
      </tp>
      <tp t="e">
        <v>#N/A</v>
        <stp/>
        <stp>BDH|11251617638851389573</stp>
        <tr r="Q11" s="6"/>
      </tp>
      <tp t="e">
        <v>#N/A</v>
        <stp/>
        <stp>BDH|16450709653270994416</stp>
        <tr r="P18" s="25"/>
        <tr r="P10" s="27"/>
      </tp>
      <tp t="e">
        <v>#N/A</v>
        <stp/>
        <stp>BDH|11067907566156131882</stp>
        <tr r="O32" s="17"/>
      </tp>
      <tp t="e">
        <v>#N/A</v>
        <stp/>
        <stp>BDH|15857518725920701245</stp>
        <tr r="E116" s="18"/>
      </tp>
      <tp t="e">
        <v>#N/A</v>
        <stp/>
        <stp>BDH|13490517240846954432</stp>
        <tr r="M13" s="8"/>
      </tp>
      <tp t="e">
        <v>#N/A</v>
        <stp/>
        <stp>BDH|12247542853284959631</stp>
        <tr r="E53" s="12"/>
      </tp>
      <tp t="e">
        <v>#N/A</v>
        <stp/>
        <stp>BDH|12654128378630059439</stp>
        <tr r="J128" s="18"/>
      </tp>
      <tp t="e">
        <v>#N/A</v>
        <stp/>
        <stp>BDH|16818732457636503262</stp>
        <tr r="D44" s="24"/>
      </tp>
      <tp t="e">
        <v>#N/A</v>
        <stp/>
        <stp>BDH|15862014352617129751</stp>
        <tr r="W85" s="17"/>
      </tp>
      <tp t="e">
        <v>#N/A</v>
        <stp/>
        <stp>BDH|17195472629963113214</stp>
        <tr r="Q39" s="13"/>
      </tp>
      <tp t="e">
        <v>#N/A</v>
        <stp/>
        <stp>BDH|10955650012573718467</stp>
        <tr r="M18" s="13"/>
      </tp>
      <tp t="e">
        <v>#N/A</v>
        <stp/>
        <stp>BDH|14819306570738759803</stp>
        <tr r="AA57" s="24"/>
      </tp>
      <tp t="e">
        <v>#N/A</v>
        <stp/>
        <stp>BDH|13150049250225912339</stp>
        <tr r="Q73" s="18"/>
      </tp>
      <tp t="e">
        <v>#N/A</v>
        <stp/>
        <stp>BDH|10596061206410992030</stp>
        <tr r="C45" s="12"/>
      </tp>
      <tp t="e">
        <v>#N/A</v>
        <stp/>
        <stp>BDH|15001876381733133687</stp>
        <tr r="Z26" s="24"/>
      </tp>
      <tp t="e">
        <v>#N/A</v>
        <stp/>
        <stp>BDH|14658744099533705930</stp>
        <tr r="E25" s="7"/>
      </tp>
      <tp t="e">
        <v>#N/A</v>
        <stp/>
        <stp>BDH|12221107937249905933</stp>
        <tr r="S51" s="18"/>
      </tp>
      <tp t="e">
        <v>#N/A</v>
        <stp/>
        <stp>BDH|14281319944222143193</stp>
        <tr r="J43" s="17"/>
      </tp>
      <tp t="e">
        <v>#N/A</v>
        <stp/>
        <stp>BDH|14800614910607130475</stp>
        <tr r="C18" s="13"/>
      </tp>
      <tp t="e">
        <v>#N/A</v>
        <stp/>
        <stp>BDH|14288302520267506292</stp>
        <tr r="L9" s="18"/>
      </tp>
      <tp t="e">
        <v>#N/A</v>
        <stp/>
        <stp>BDH|17439915686832929446</stp>
        <tr r="O18" s="30"/>
      </tp>
      <tp t="e">
        <v>#N/A</v>
        <stp/>
        <stp>BDH|18394992390751548917</stp>
        <tr r="T31" s="26"/>
      </tp>
      <tp t="e">
        <v>#N/A</v>
        <stp/>
        <stp>BDH|11983667302736603157</stp>
        <tr r="Q28" s="6"/>
      </tp>
      <tp t="e">
        <v>#N/A</v>
        <stp/>
        <stp>BDH|15897440430701440365</stp>
        <tr r="V73" s="17"/>
        <tr r="T9" s="5"/>
        <tr r="T9" s="9"/>
      </tp>
      <tp t="e">
        <v>#N/A</v>
        <stp/>
        <stp>BDH|11968308063160485409</stp>
        <tr r="G37" s="17"/>
      </tp>
      <tp t="e">
        <v>#N/A</v>
        <stp/>
        <stp>BDH|12366413024817962315</stp>
        <tr r="F59" s="17"/>
      </tp>
      <tp t="e">
        <v>#N/A</v>
        <stp/>
        <stp>BDH|13943722876035134628</stp>
        <tr r="F58" s="12"/>
      </tp>
      <tp t="e">
        <v>#N/A</v>
        <stp/>
        <stp>BDH|15127793550347129073</stp>
        <tr r="X40" s="17"/>
        <tr r="X9" s="25"/>
      </tp>
      <tp t="e">
        <v>#N/A</v>
        <stp/>
        <stp>BDH|16617087913263313406</stp>
        <tr r="L38" s="18"/>
      </tp>
      <tp t="e">
        <v>#N/A</v>
        <stp/>
        <stp>BDH|11528911851615809837</stp>
        <tr r="T22" s="5"/>
      </tp>
      <tp t="e">
        <v>#N/A</v>
        <stp/>
        <stp>BDH|17676803607478660794</stp>
        <tr r="S24" s="2"/>
      </tp>
      <tp t="e">
        <v>#N/A</v>
        <stp/>
        <stp>BDH|16027505151543706583</stp>
        <tr r="J18" s="30"/>
      </tp>
      <tp t="e">
        <v>#N/A</v>
        <stp/>
        <stp>BDH|14318912870218906250</stp>
        <tr r="AA93" s="18"/>
      </tp>
      <tp t="e">
        <v>#N/A</v>
        <stp/>
        <stp>BDH|14836691906373196188</stp>
        <tr r="X64" s="10"/>
      </tp>
      <tp t="e">
        <v>#N/A</v>
        <stp/>
        <stp>BDH|12354165618595712744</stp>
        <tr r="Z37" s="21"/>
        <tr r="Z24" s="3"/>
      </tp>
      <tp t="e">
        <v>#N/A</v>
        <stp/>
        <stp>BDH|10347430829671103762</stp>
        <tr r="Q116" s="18"/>
      </tp>
      <tp t="e">
        <v>#N/A</v>
        <stp/>
        <stp>BDH|12141252273095814210</stp>
        <tr r="W20" s="20"/>
      </tp>
      <tp t="e">
        <v>#N/A</v>
        <stp/>
        <stp>BDH|16869281095248813533</stp>
        <tr r="F46" s="34"/>
      </tp>
      <tp t="e">
        <v>#N/A</v>
        <stp/>
        <stp>BDH|17314142710065858210</stp>
        <tr r="L20" s="20"/>
      </tp>
      <tp t="e">
        <v>#N/A</v>
        <stp/>
        <stp>BDH|11069318328645677519</stp>
        <tr r="U25" s="4"/>
        <tr r="U61" s="10"/>
      </tp>
      <tp t="e">
        <v>#N/A</v>
        <stp/>
        <stp>BDH|11960653662604650560</stp>
        <tr r="U71" s="17"/>
      </tp>
      <tp t="e">
        <v>#N/A</v>
        <stp/>
        <stp>BDH|16019280636425295229</stp>
        <tr r="M14" s="30"/>
      </tp>
      <tp t="e">
        <v>#N/A</v>
        <stp/>
        <stp>BDH|16948741361444658341</stp>
        <tr r="S38" s="22"/>
      </tp>
      <tp t="e">
        <v>#N/A</v>
        <stp/>
        <stp>BDH|16781009487766653886</stp>
        <tr r="V47" s="17"/>
      </tp>
      <tp t="e">
        <v>#N/A</v>
        <stp/>
        <stp>BDH|13222268953010989407</stp>
        <tr r="S9" s="13"/>
      </tp>
      <tp t="e">
        <v>#N/A</v>
        <stp/>
        <stp>BDH|13983078719615862714</stp>
        <tr r="U75" s="17"/>
      </tp>
      <tp t="e">
        <v>#N/A</v>
        <stp/>
        <stp>BDH|11259911493150296037</stp>
        <tr r="C28" s="10"/>
        <tr r="C26" s="11"/>
      </tp>
      <tp t="e">
        <v>#N/A</v>
        <stp/>
        <stp>BDH|15098972476849601368</stp>
        <tr r="E50" s="17"/>
        <tr r="E10" s="25"/>
      </tp>
      <tp t="e">
        <v>#N/A</v>
        <stp/>
        <stp>BDH|15195297717113626487</stp>
        <tr r="U27" s="21"/>
      </tp>
      <tp t="e">
        <v>#N/A</v>
        <stp/>
        <stp>BDH|11015950198064469488</stp>
        <tr r="G41" s="24"/>
      </tp>
      <tp t="e">
        <v>#N/A</v>
        <stp/>
        <stp>BDH|13180587136115882169</stp>
        <tr r="S10" s="26"/>
      </tp>
      <tp t="e">
        <v>#N/A</v>
        <stp/>
        <stp>BDH|15964589920821380231</stp>
        <tr r="L10" s="23"/>
      </tp>
      <tp t="e">
        <v>#N/A</v>
        <stp/>
        <stp>BDH|14076242980338414719</stp>
        <tr r="U10" s="22"/>
      </tp>
      <tp t="e">
        <v>#N/A</v>
        <stp/>
        <stp>BDH|16916628206044555592</stp>
        <tr r="U39" s="4"/>
        <tr r="U62" s="10"/>
      </tp>
      <tp t="e">
        <v>#N/A</v>
        <stp/>
        <stp>BDH|14793154590134782949</stp>
        <tr r="D46" s="24"/>
      </tp>
      <tp t="e">
        <v>#N/A</v>
        <stp/>
        <stp>BDH|14504132943898039845</stp>
        <tr r="L47" s="12"/>
      </tp>
      <tp t="e">
        <v>#N/A</v>
        <stp/>
        <stp>BDH|14528608170927680327</stp>
        <tr r="Q13" s="7"/>
      </tp>
      <tp t="e">
        <v>#N/A</v>
        <stp/>
        <stp>BDH|16580415425219070804</stp>
        <tr r="S35" s="21"/>
      </tp>
      <tp t="e">
        <v>#N/A</v>
        <stp/>
        <stp>BDH|14072362663953507310</stp>
        <tr r="Q130" s="18"/>
      </tp>
      <tp t="e">
        <v>#N/A</v>
        <stp/>
        <stp>BDH|13689101314261409378</stp>
        <tr r="L120" s="18"/>
      </tp>
      <tp t="e">
        <v>#N/A</v>
        <stp/>
        <stp>BDH|16713971406728773603</stp>
        <tr r="K14" s="2"/>
        <tr r="K11" s="10"/>
      </tp>
      <tp t="e">
        <v>#N/A</v>
        <stp/>
        <stp>BDH|13741292656637955206</stp>
        <tr r="H19" s="14"/>
      </tp>
      <tp t="e">
        <v>#N/A</v>
        <stp/>
        <stp>BDH|18203923661340371634</stp>
        <tr r="S61" s="17"/>
      </tp>
      <tp t="e">
        <v>#N/A</v>
        <stp/>
        <stp>BDH|11324000460070075626</stp>
        <tr r="C58" s="12"/>
      </tp>
      <tp t="e">
        <v>#N/A</v>
        <stp/>
        <stp>BDH|11568100366683566474</stp>
        <tr r="U87" s="17"/>
        <tr r="U27" s="25"/>
      </tp>
      <tp t="e">
        <v>#N/A</v>
        <stp/>
        <stp>BDH|15030450290618255162</stp>
        <tr r="D13" s="34"/>
      </tp>
      <tp t="e">
        <v>#N/A</v>
        <stp/>
        <stp>BDH|13411630816013058606</stp>
        <tr r="J26" s="21"/>
      </tp>
      <tp t="e">
        <v>#N/A</v>
        <stp/>
        <stp>BDH|12251567724452461652</stp>
        <tr r="M7" s="21"/>
      </tp>
      <tp t="e">
        <v>#N/A</v>
        <stp/>
        <stp>BDH|15072551746256528377</stp>
        <tr r="Z7" s="14"/>
      </tp>
      <tp t="e">
        <v>#N/A</v>
        <stp/>
        <stp>BDH|10473660136136376260</stp>
        <tr r="Y21" s="11"/>
      </tp>
      <tp t="e">
        <v>#N/A</v>
        <stp/>
        <stp>BDH|15330633313234773754</stp>
        <tr r="H40" s="18"/>
      </tp>
      <tp t="e">
        <v>#N/A</v>
        <stp/>
        <stp>BDH|18078459176988743252</stp>
        <tr r="O60" s="12"/>
      </tp>
      <tp t="e">
        <v>#N/A</v>
        <stp/>
        <stp>BDH|16649457513860032218</stp>
        <tr r="S25" s="7"/>
      </tp>
      <tp t="e">
        <v>#N/A</v>
        <stp/>
        <stp>BDH|13264727121870011708</stp>
        <tr r="C7" s="11"/>
      </tp>
      <tp t="e">
        <v>#N/A</v>
        <stp/>
        <stp>BDH|16645044135715482128</stp>
        <tr r="O46" s="4"/>
        <tr r="O25" s="10"/>
        <tr r="Q27" s="13"/>
      </tp>
      <tp t="e">
        <v>#N/A</v>
        <stp/>
        <stp>BDH|12039263522805382665</stp>
        <tr r="I46" s="12"/>
      </tp>
      <tp t="e">
        <v>#N/A</v>
        <stp/>
        <stp>BDH|10313662835511412552</stp>
        <tr r="Z57" s="12"/>
      </tp>
      <tp t="e">
        <v>#N/A</v>
        <stp/>
        <stp>BDH|14510755083022224803</stp>
        <tr r="F34" s="12"/>
      </tp>
      <tp t="e">
        <v>#N/A</v>
        <stp/>
        <stp>BDH|15026565280601712805</stp>
        <tr r="L31" s="17"/>
      </tp>
      <tp t="e">
        <v>#N/A</v>
        <stp/>
        <stp>BDH|12141842332730273843</stp>
        <tr r="L14" s="18"/>
      </tp>
      <tp t="e">
        <v>#N/A</v>
        <stp/>
        <stp>BDH|11779354164285728007</stp>
        <tr r="U21" s="22"/>
      </tp>
      <tp t="e">
        <v>#N/A</v>
        <stp/>
        <stp>BDH|13368623451930942192</stp>
        <tr r="M36" s="34"/>
      </tp>
      <tp t="e">
        <v>#N/A</v>
        <stp/>
        <stp>BDH|16634114620826447231</stp>
        <tr r="N28" s="22"/>
      </tp>
      <tp t="e">
        <v>#N/A</v>
        <stp/>
        <stp>BDH|17800548562187967276</stp>
        <tr r="J11" s="17"/>
      </tp>
      <tp t="e">
        <v>#N/A</v>
        <stp/>
        <stp>BDH|11546145087859207040</stp>
        <tr r="H38" s="10"/>
        <tr r="H36" s="11"/>
      </tp>
      <tp t="e">
        <v>#N/A</v>
        <stp/>
        <stp>BDH|12101012274807703335</stp>
        <tr r="F21" s="18"/>
      </tp>
      <tp t="e">
        <v>#N/A</v>
        <stp/>
        <stp>BDH|10118152231882015154</stp>
        <tr r="F19" s="26"/>
      </tp>
      <tp t="e">
        <v>#N/A</v>
        <stp/>
        <stp>BDH|15175956680864153152</stp>
        <tr r="E16" s="11"/>
      </tp>
      <tp t="e">
        <v>#N/A</v>
        <stp/>
        <stp>BDH|18116969556351209436</stp>
        <tr r="X13" s="21"/>
      </tp>
      <tp t="e">
        <v>#N/A</v>
        <stp/>
        <stp>BDH|13705266287608153078</stp>
        <tr r="K59" s="18"/>
      </tp>
      <tp t="e">
        <v>#N/A</v>
        <stp/>
        <stp>BDH|10838252028848165943</stp>
        <tr r="T22" s="21"/>
      </tp>
      <tp t="e">
        <v>#N/A</v>
        <stp/>
        <stp>BDH|15802405729122716067</stp>
        <tr r="K24" s="25"/>
        <tr r="I14" s="5"/>
        <tr r="K17" s="27"/>
      </tp>
      <tp t="e">
        <v>#N/A</v>
        <stp/>
        <stp>BDH|13098599368631523045</stp>
        <tr r="P18" s="2"/>
        <tr r="P53" s="4"/>
        <tr r="P42" s="10"/>
        <tr r="P40" s="11"/>
        <tr r="R34" s="13"/>
      </tp>
      <tp t="e">
        <v>#N/A</v>
        <stp/>
        <stp>BDH|11661852686477738723</stp>
        <tr r="Q23" s="22"/>
      </tp>
      <tp t="e">
        <v>#N/A</v>
        <stp/>
        <stp>BDH|17266279145407282723</stp>
        <tr r="T12" s="7"/>
      </tp>
      <tp t="e">
        <v>#N/A</v>
        <stp/>
        <stp>BDH|17032722890650178837</stp>
        <tr r="L21" s="17"/>
        <tr r="L15" s="3"/>
      </tp>
      <tp t="e">
        <v>#N/A</v>
        <stp/>
        <stp>BDH|17554644433594278704</stp>
        <tr r="M13" s="13"/>
      </tp>
      <tp t="e">
        <v>#N/A</v>
        <stp/>
        <stp>BDH|17760763885218716130</stp>
        <tr r="P39" s="13"/>
      </tp>
      <tp t="e">
        <v>#N/A</v>
        <stp/>
        <stp>BDH|14479745232443684248</stp>
        <tr r="U8" s="4"/>
      </tp>
      <tp t="e">
        <v>#N/A</v>
        <stp/>
        <stp>BDH|11769003374731743640</stp>
        <tr r="Y22" s="18"/>
      </tp>
      <tp t="e">
        <v>#N/A</v>
        <stp/>
        <stp>BDH|16171915469218801016</stp>
        <tr r="M19" s="9"/>
      </tp>
      <tp t="e">
        <v>#N/A</v>
        <stp/>
        <stp>BDH|12620794501133772796</stp>
        <tr r="S19" s="25"/>
        <tr r="S12" s="27"/>
      </tp>
      <tp t="e">
        <v>#N/A</v>
        <stp/>
        <stp>BDH|13547725081528201542</stp>
        <tr r="P97" s="18"/>
      </tp>
      <tp t="e">
        <v>#N/A</v>
        <stp/>
        <stp>BDH|10093064629996765587</stp>
        <tr r="H21" s="3"/>
      </tp>
      <tp t="e">
        <v>#N/A</v>
        <stp/>
        <stp>BDH|11685941377849279773</stp>
        <tr r="AA15" s="18"/>
      </tp>
      <tp t="e">
        <v>#N/A</v>
        <stp/>
        <stp>BDH|12920506568011363127</stp>
        <tr r="O13" s="8"/>
      </tp>
      <tp t="e">
        <v>#N/A</v>
        <stp/>
        <stp>BDH|14755548441282735658</stp>
        <tr r="T9" s="23"/>
      </tp>
      <tp t="e">
        <v>#N/A</v>
        <stp/>
        <stp>BDH|10558541332617422074</stp>
        <tr r="J55" s="18"/>
      </tp>
      <tp t="e">
        <v>#N/A</v>
        <stp/>
        <stp>BDH|18335136716118676107</stp>
        <tr r="L27" s="7"/>
      </tp>
      <tp t="e">
        <v>#N/A</v>
        <stp/>
        <stp>BDH|15158710437134719401</stp>
        <tr r="D19" s="17"/>
      </tp>
      <tp t="e">
        <v>#N/A</v>
        <stp/>
        <stp>BDH|18335904502103413353</stp>
        <tr r="E20" s="27"/>
      </tp>
      <tp t="e">
        <v>#N/A</v>
        <stp/>
        <stp>BDH|17616149540113708062</stp>
        <tr r="X7" s="14"/>
      </tp>
      <tp t="e">
        <v>#N/A</v>
        <stp/>
        <stp>BDH|12000387538994251711</stp>
        <tr r="W65" s="18"/>
      </tp>
      <tp t="e">
        <v>#N/A</v>
        <stp/>
        <stp>BDH|15390542768612878540</stp>
        <tr r="I10" s="10"/>
      </tp>
      <tp t="e">
        <v>#N/A</v>
        <stp/>
        <stp>BDH|13481166292172365800</stp>
        <tr r="T26" s="7"/>
      </tp>
      <tp t="e">
        <v>#N/A</v>
        <stp/>
        <stp>BDH|10409460112220580462</stp>
        <tr r="H20" s="12"/>
      </tp>
      <tp t="e">
        <v>#N/A</v>
        <stp/>
        <stp>BDH|14132102058903365290</stp>
        <tr r="X24" s="18"/>
      </tp>
      <tp t="e">
        <v>#N/A</v>
        <stp/>
        <stp>BDH|17741905764051470848</stp>
        <tr r="K30" s="17"/>
      </tp>
      <tp t="e">
        <v>#N/A</v>
        <stp/>
        <stp>BDH|18170796999877458060</stp>
        <tr r="C116" s="18"/>
      </tp>
      <tp t="e">
        <v>#N/A</v>
        <stp/>
        <stp>BDH|16861330456155721499</stp>
        <tr r="U23" s="11"/>
      </tp>
      <tp t="e">
        <v>#N/A</v>
        <stp/>
        <stp>BDH|17934083053036296535</stp>
        <tr r="L29" s="34"/>
      </tp>
      <tp t="e">
        <v>#N/A</v>
        <stp/>
        <stp>BDH|15395950246658095135</stp>
        <tr r="T10" s="23"/>
      </tp>
      <tp t="e">
        <v>#N/A</v>
        <stp/>
        <stp>BDH|12905011568322743745</stp>
        <tr r="O72" s="17"/>
      </tp>
      <tp t="e">
        <v>#N/A</v>
        <stp/>
        <stp>BDH|14161840588707649284</stp>
        <tr r="V24" s="25"/>
        <tr r="T14" s="5"/>
        <tr r="V17" s="27"/>
      </tp>
      <tp t="e">
        <v>#N/A</v>
        <stp/>
        <stp>BDH|13118728286455241848</stp>
        <tr r="Q14" s="18"/>
      </tp>
      <tp t="e">
        <v>#N/A</v>
        <stp/>
        <stp>BDH|12210853112738105275</stp>
        <tr r="R69" s="10"/>
        <tr r="R67" s="11"/>
      </tp>
      <tp t="e">
        <v>#N/A</v>
        <stp/>
        <stp>BDH|13743774353708259824</stp>
        <tr r="D34" s="34"/>
      </tp>
      <tp t="e">
        <v>#N/A</v>
        <stp/>
        <stp>BDH|17028023070072466353</stp>
        <tr r="D33" s="21"/>
      </tp>
      <tp t="e">
        <v>#N/A</v>
        <stp/>
        <stp>BDH|10072150361182343446</stp>
        <tr r="G9" s="13"/>
      </tp>
      <tp t="e">
        <v>#N/A</v>
        <stp/>
        <stp>BDH|15514449748214267088</stp>
        <tr r="AA16" s="12"/>
      </tp>
      <tp t="e">
        <v>#N/A</v>
        <stp/>
        <stp>BDH|14643688171466479294</stp>
        <tr r="K17" s="21"/>
      </tp>
      <tp t="e">
        <v>#N/A</v>
        <stp/>
        <stp>BDH|15766774120457799654</stp>
        <tr r="X57" s="17"/>
      </tp>
      <tp t="e">
        <v>#N/A</v>
        <stp/>
        <stp>BDH|16803569720309429982</stp>
        <tr r="P55" s="17"/>
      </tp>
      <tp t="e">
        <v>#N/A</v>
        <stp/>
        <stp>BDH|11989540529621750611</stp>
        <tr r="H26" s="7"/>
      </tp>
      <tp t="e">
        <v>#N/A</v>
        <stp/>
        <stp>BDH|10753190565421082793</stp>
        <tr r="F18" s="18"/>
      </tp>
      <tp t="e">
        <v>#N/A</v>
        <stp/>
        <stp>BDH|14751319023615603110</stp>
        <tr r="AA103" s="18"/>
      </tp>
      <tp t="e">
        <v>#N/A</v>
        <stp/>
        <stp>BDH|16445424326968722951</stp>
        <tr r="N62" s="18"/>
      </tp>
      <tp t="e">
        <v>#N/A</v>
        <stp/>
        <stp>BDH|10878818308970791946</stp>
        <tr r="S21" s="4"/>
      </tp>
      <tp t="e">
        <v>#N/A</v>
        <stp/>
        <stp>BDH|11380440233257508033</stp>
        <tr r="C28" s="5"/>
      </tp>
      <tp t="e">
        <v>#N/A</v>
        <stp/>
        <stp>BDH|15256569753570498419</stp>
        <tr r="I14" s="21"/>
      </tp>
      <tp t="e">
        <v>#N/A</v>
        <stp/>
        <stp>BDH|16909831912109209789</stp>
        <tr r="D7" s="8"/>
      </tp>
      <tp t="e">
        <v>#N/A</v>
        <stp/>
        <stp>BDH|11437676775231196057</stp>
        <tr r="M8" s="22"/>
      </tp>
      <tp t="e">
        <v>#N/A</v>
        <stp/>
        <stp>BDH|15179256924274586072</stp>
        <tr r="T13" s="2"/>
      </tp>
      <tp t="e">
        <v>#N/A</v>
        <stp/>
        <stp>BDH|16691231844719575860</stp>
        <tr r="G44" s="34"/>
      </tp>
      <tp t="e">
        <v>#N/A</v>
        <stp/>
        <stp>BDH|15710447881538023009</stp>
        <tr r="Y23" s="25"/>
        <tr r="Y16" s="27"/>
      </tp>
      <tp t="e">
        <v>#N/A</v>
        <stp/>
        <stp>BDH|17092011179089940833</stp>
        <tr r="V32" s="12"/>
      </tp>
      <tp t="e">
        <v>#N/A</v>
        <stp/>
        <stp>BDH|13825179478326032254</stp>
        <tr r="J73" s="18"/>
      </tp>
      <tp t="e">
        <v>#N/A</v>
        <stp/>
        <stp>BDH|14996060758666577607</stp>
        <tr r="H10" s="10"/>
      </tp>
      <tp t="e">
        <v>#N/A</v>
        <stp/>
        <stp>BDH|16809307787965485998</stp>
        <tr r="AA95" s="18"/>
      </tp>
      <tp t="e">
        <v>#N/A</v>
        <stp/>
        <stp>BDH|14185213217581516701</stp>
        <tr r="E42" s="12"/>
      </tp>
      <tp t="e">
        <v>#N/A</v>
        <stp/>
        <stp>BDH|14078449283260749926</stp>
        <tr r="D14" s="20"/>
      </tp>
      <tp t="e">
        <v>#N/A</v>
        <stp/>
        <stp>BDH|17400860451958657372</stp>
        <tr r="P29" s="5"/>
      </tp>
      <tp t="e">
        <v>#N/A</v>
        <stp/>
        <stp>BDH|13146028040516317025</stp>
        <tr r="I9" s="11"/>
      </tp>
      <tp t="e">
        <v>#N/A</v>
        <stp/>
        <stp>BDH|14731427461761760618</stp>
        <tr r="AA26" s="29"/>
      </tp>
      <tp t="e">
        <v>#N/A</v>
        <stp/>
        <stp>BDH|16231490325877809647</stp>
        <tr r="X9" s="29"/>
      </tp>
      <tp t="e">
        <v>#N/A</v>
        <stp/>
        <stp>BDH|10427998836458854317</stp>
        <tr r="W6" s="19"/>
        <tr r="W34" s="17"/>
        <tr r="W16" s="3"/>
      </tp>
      <tp t="e">
        <v>#N/A</v>
        <stp/>
        <stp>BDH|12071663018797963359</stp>
        <tr r="S67" s="24"/>
      </tp>
      <tp t="e">
        <v>#N/A</v>
        <stp/>
        <stp>BDH|12470927650629320678</stp>
        <tr r="W22" s="4"/>
      </tp>
      <tp t="e">
        <v>#N/A</v>
        <stp/>
        <stp>BDH|12942022418356584441</stp>
        <tr r="O10" s="11"/>
      </tp>
      <tp t="e">
        <v>#N/A</v>
        <stp/>
        <stp>BDH|12717704632256082173</stp>
        <tr r="K29" s="24"/>
      </tp>
      <tp t="e">
        <v>#N/A</v>
        <stp/>
        <stp>BDH|16651916264838033014</stp>
        <tr r="R29" s="17"/>
      </tp>
      <tp t="e">
        <v>#N/A</v>
        <stp/>
        <stp>BDH|11639979322219086212</stp>
        <tr r="V8" s="26"/>
        <tr r="T10" s="9"/>
      </tp>
      <tp t="e">
        <v>#N/A</v>
        <stp/>
        <stp>BDH|17584499827151151187</stp>
        <tr r="U25" s="7"/>
      </tp>
      <tp t="e">
        <v>#N/A</v>
        <stp/>
        <stp>BDH|11433190601047900671</stp>
        <tr r="C59" s="10"/>
      </tp>
      <tp t="e">
        <v>#N/A</v>
        <stp/>
        <stp>BDH|11602652372458046930</stp>
        <tr r="P69" s="24"/>
      </tp>
      <tp t="e">
        <v>#N/A</v>
        <stp/>
        <stp>BDH|13008034167115027166</stp>
        <tr r="F29" s="5"/>
      </tp>
      <tp t="e">
        <v>#N/A</v>
        <stp/>
        <stp>BDH|17815880285980417638</stp>
        <tr r="S32" s="24"/>
      </tp>
      <tp t="e">
        <v>#N/A</v>
        <stp/>
        <stp>BDH|16962557655384906323</stp>
        <tr r="J62" s="18"/>
      </tp>
      <tp t="e">
        <v>#N/A</v>
        <stp/>
        <stp>BDH|10932952301430600894</stp>
        <tr r="F27" s="24"/>
      </tp>
      <tp t="e">
        <v>#N/A</v>
        <stp/>
        <stp>BDH|12234106872457514270</stp>
        <tr r="N43" s="34"/>
      </tp>
      <tp t="e">
        <v>#N/A</v>
        <stp/>
        <stp>BDH|12111947381224275643</stp>
        <tr r="X7" s="28"/>
      </tp>
      <tp t="e">
        <v>#N/A</v>
        <stp/>
        <stp>BDH|13453254664335674315</stp>
        <tr r="W12" s="18"/>
      </tp>
      <tp t="e">
        <v>#N/A</v>
        <stp/>
        <stp>BDH|11501036444771119517</stp>
        <tr r="I33" s="10"/>
        <tr r="I31" s="11"/>
        <tr r="K31" s="13"/>
      </tp>
      <tp t="e">
        <v>#N/A</v>
        <stp/>
        <stp>BDH|13661079645546096064</stp>
        <tr r="Q25" s="7"/>
      </tp>
      <tp t="e">
        <v>#N/A</v>
        <stp/>
        <stp>BDH|15822772228960766128</stp>
        <tr r="E126" s="18"/>
      </tp>
      <tp t="e">
        <v>#N/A</v>
        <stp/>
        <stp>BDH|10900076835625169781</stp>
        <tr r="N31" s="12"/>
      </tp>
      <tp t="e">
        <v>#N/A</v>
        <stp/>
        <stp>BDH|14398485108753455258</stp>
        <tr r="V98" s="18"/>
      </tp>
      <tp t="e">
        <v>#N/A</v>
        <stp/>
        <stp>BDH|18347915578246141191</stp>
        <tr r="D38" s="18"/>
      </tp>
      <tp t="e">
        <v>#N/A</v>
        <stp/>
        <stp>BDH|13965564852697636591</stp>
        <tr r="Q79" s="17"/>
        <tr r="Q20" s="3"/>
        <tr r="O6" s="7"/>
      </tp>
      <tp t="e">
        <v>#N/A</v>
        <stp/>
        <stp>BDH|16760112957864391700</stp>
        <tr r="C82" s="17"/>
      </tp>
      <tp t="e">
        <v>#N/A</v>
        <stp/>
        <stp>BDH|12497523020960528414</stp>
        <tr r="E25" s="22"/>
      </tp>
      <tp t="e">
        <v>#N/A</v>
        <stp/>
        <stp>BDH|16104952161841667919</stp>
        <tr r="F24" s="21"/>
      </tp>
      <tp t="e">
        <v>#N/A</v>
        <stp/>
        <stp>BDH|14681619836081654150</stp>
        <tr r="N60" s="17"/>
      </tp>
      <tp t="e">
        <v>#N/A</v>
        <stp/>
        <stp>BDH|12543946161458654447</stp>
        <tr r="T50" s="4"/>
      </tp>
      <tp t="e">
        <v>#N/A</v>
        <stp/>
        <stp>BDH|12490230773616768062</stp>
        <tr r="N69" s="18"/>
      </tp>
      <tp t="e">
        <v>#N/A</v>
        <stp/>
        <stp>BDH|13647878456787616840</stp>
        <tr r="V40" s="21"/>
      </tp>
      <tp t="e">
        <v>#N/A</v>
        <stp/>
        <stp>BDH|14444292450234866608</stp>
        <tr r="V21" s="25"/>
        <tr r="V14" s="27"/>
      </tp>
      <tp t="e">
        <v>#N/A</v>
        <stp/>
        <stp>BDH|13916556714825823357</stp>
        <tr r="S53" s="18"/>
      </tp>
      <tp t="e">
        <v>#N/A</v>
        <stp/>
        <stp>BDH|12143988013883886875</stp>
        <tr r="P130" s="18"/>
      </tp>
      <tp t="e">
        <v>#N/A</v>
        <stp/>
        <stp>BDH|15950535315004999430</stp>
        <tr r="R35" s="24"/>
      </tp>
      <tp t="e">
        <v>#N/A</v>
        <stp/>
        <stp>BDH|15484355252611206342</stp>
        <tr r="J18" s="12"/>
      </tp>
      <tp t="e">
        <v>#N/A</v>
        <stp/>
        <stp>BDH|15414592239482591046</stp>
        <tr r="K18" s="22"/>
      </tp>
      <tp t="e">
        <v>#N/A</v>
        <stp/>
        <stp>BDH|11371342107364589701</stp>
        <tr r="H52" s="17"/>
      </tp>
      <tp t="e">
        <v>#N/A</v>
        <stp/>
        <stp>BDH|15680523775056474003</stp>
        <tr r="U7" s="11"/>
      </tp>
      <tp t="e">
        <v>#N/A</v>
        <stp/>
        <stp>BDH|16397668936921618307</stp>
        <tr r="Z31" s="26"/>
      </tp>
      <tp t="e">
        <v>#N/A</v>
        <stp/>
        <stp>BDH|12059378544786738214</stp>
        <tr r="E20" s="30"/>
      </tp>
      <tp t="e">
        <v>#N/A</v>
        <stp/>
        <stp>BDH|17394904584021799659</stp>
        <tr r="J24" s="2"/>
      </tp>
      <tp t="e">
        <v>#N/A</v>
        <stp/>
        <stp>BDH|11690326248040027790</stp>
        <tr r="C47" s="17"/>
      </tp>
      <tp t="e">
        <v>#N/A</v>
        <stp/>
        <stp>BDH|11894893192911398059</stp>
        <tr r="X62" s="18"/>
      </tp>
      <tp t="e">
        <v>#N/A</v>
        <stp/>
        <stp>BDH|12121039101325123678</stp>
        <tr r="R39" s="18"/>
      </tp>
      <tp t="e">
        <v>#N/A</v>
        <stp/>
        <stp>BDH|12387764100733830789</stp>
        <tr r="E28" s="26"/>
      </tp>
      <tp t="e">
        <v>#N/A</v>
        <stp/>
        <stp>BDH|17347706043874487113</stp>
        <tr r="M8" s="12"/>
      </tp>
      <tp t="e">
        <v>#N/A</v>
        <stp/>
        <stp>BDH|13638070978033574695</stp>
        <tr r="Q35" s="4"/>
      </tp>
      <tp t="e">
        <v>#N/A</v>
        <stp/>
        <stp>BDH|16292612345632798744</stp>
        <tr r="D82" s="17"/>
      </tp>
      <tp t="e">
        <v>#N/A</v>
        <stp/>
        <stp>BDH|11133675942293301124</stp>
        <tr r="C63" s="24"/>
      </tp>
      <tp t="e">
        <v>#N/A</v>
        <stp/>
        <stp>BDH|13442539394488394655</stp>
        <tr r="P9" s="27"/>
      </tp>
      <tp t="e">
        <v>#N/A</v>
        <stp/>
        <stp>BDH|13752299873147018089</stp>
        <tr r="F44" s="17"/>
      </tp>
      <tp t="e">
        <v>#N/A</v>
        <stp/>
        <stp>BDH|15182878063789931390</stp>
        <tr r="F69" s="10"/>
        <tr r="F67" s="11"/>
      </tp>
      <tp t="e">
        <v>#N/A</v>
        <stp/>
        <stp>BDH|18211255254388483634</stp>
        <tr r="S54" s="21"/>
      </tp>
      <tp t="e">
        <v>#N/A</v>
        <stp/>
        <stp>BDH|16619005573805836594</stp>
        <tr r="D11" s="28"/>
      </tp>
      <tp t="e">
        <v>#N/A</v>
        <stp/>
        <stp>BDH|14789446608090922166</stp>
        <tr r="P55" s="18"/>
      </tp>
      <tp t="e">
        <v>#N/A</v>
        <stp/>
        <stp>BDH|18188101640008269476</stp>
        <tr r="S13" s="29"/>
        <tr r="S22" s="29"/>
        <tr r="S33" s="29"/>
      </tp>
      <tp t="e">
        <v>#N/A</v>
        <stp/>
        <stp>BDH|16366009775653209307</stp>
        <tr r="G65" s="17"/>
        <tr r="E8" s="5"/>
        <tr r="E8" s="9"/>
      </tp>
      <tp t="e">
        <v>#N/A</v>
        <stp/>
        <stp>BDH|13238594965297394692</stp>
        <tr r="U26" s="24"/>
      </tp>
      <tp t="e">
        <v>#N/A</v>
        <stp/>
        <stp>BDH|13585845391586124554</stp>
        <tr r="C20" s="22"/>
      </tp>
      <tp t="e">
        <v>#N/A</v>
        <stp/>
        <stp>BDH|14214349445740163267</stp>
        <tr r="M10" s="18"/>
      </tp>
      <tp t="e">
        <v>#N/A</v>
        <stp/>
        <stp>BDH|10260002066123181413</stp>
        <tr r="F10" s="2"/>
        <tr r="F11" s="5"/>
        <tr r="E37" s="6"/>
        <tr r="H31" s="29"/>
        <tr r="H39" s="29"/>
      </tp>
      <tp t="e">
        <v>#N/A</v>
        <stp/>
        <stp>BDH|10646482278290419269</stp>
        <tr r="T16" s="21"/>
      </tp>
      <tp t="e">
        <v>#N/A</v>
        <stp/>
        <stp>BDH|11534503341648990993</stp>
        <tr r="F24" s="18"/>
      </tp>
      <tp t="e">
        <v>#N/A</v>
        <stp/>
        <stp>BDH|15711160471665110754</stp>
        <tr r="N66" s="17"/>
      </tp>
      <tp t="e">
        <v>#N/A</v>
        <stp/>
        <stp>BDH|17857164099569768743</stp>
        <tr r="L18" s="25"/>
        <tr r="L10" s="27"/>
      </tp>
      <tp t="e">
        <v>#N/A</v>
        <stp/>
        <stp>BDH|11276802466147957990</stp>
        <tr r="H66" s="17"/>
      </tp>
      <tp t="e">
        <v>#N/A</v>
        <stp/>
        <stp>BDH|15877453441575897109</stp>
        <tr r="V54" s="24"/>
      </tp>
      <tp t="e">
        <v>#N/A</v>
        <stp/>
        <stp>BDH|12348693703016445393</stp>
        <tr r="H44" s="17"/>
      </tp>
      <tp t="e">
        <v>#N/A</v>
        <stp/>
        <stp>BDH|17991720679995713316</stp>
        <tr r="C32" s="21"/>
      </tp>
      <tp t="e">
        <v>#N/A</v>
        <stp/>
        <stp>BDH|10322674060937787670</stp>
        <tr r="Q30" s="21"/>
      </tp>
      <tp t="e">
        <v>#N/A</v>
        <stp/>
        <stp>BDH|13264154965033722615</stp>
        <tr r="AA16" s="24"/>
      </tp>
      <tp t="e">
        <v>#N/A</v>
        <stp/>
        <stp>BDH|12714437267362309340</stp>
        <tr r="V17" s="28"/>
        <tr r="V14" s="17"/>
      </tp>
      <tp t="e">
        <v>#N/A</v>
        <stp/>
        <stp>BDH|14387470305798487913</stp>
        <tr r="R21" s="17"/>
        <tr r="R15" s="3"/>
      </tp>
      <tp t="e">
        <v>#N/A</v>
        <stp/>
        <stp>BDH|15753293187307468997</stp>
        <tr r="E9" s="17"/>
      </tp>
      <tp t="e">
        <v>#N/A</v>
        <stp/>
        <stp>BDH|18134922476043040411</stp>
        <tr r="V26" s="24"/>
      </tp>
      <tp t="e">
        <v>#N/A</v>
        <stp/>
        <stp>BDH|17199604861595251356</stp>
        <tr r="G9" s="26"/>
      </tp>
      <tp t="e">
        <v>#N/A</v>
        <stp/>
        <stp>BDH|17947670369850737674</stp>
        <tr r="H69" s="10"/>
        <tr r="H67" s="11"/>
      </tp>
      <tp t="e">
        <v>#N/A</v>
        <stp/>
        <stp>BDH|10722120124867505531</stp>
        <tr r="P7" s="27"/>
        <tr r="P89" s="17"/>
      </tp>
      <tp t="e">
        <v>#N/A</v>
        <stp/>
        <stp>BDH|16973766167185785382</stp>
        <tr r="V58" s="11"/>
      </tp>
      <tp t="e">
        <v>#N/A</v>
        <stp/>
        <stp>BDH|13792214824421523301</stp>
        <tr r="V23" s="2"/>
        <tr r="X18" s="21"/>
        <tr r="X23" s="3"/>
      </tp>
      <tp t="e">
        <v>#N/A</v>
        <stp/>
        <stp>BDH|17382631887320725871</stp>
        <tr r="L15" s="29"/>
        <tr r="L35" s="29"/>
      </tp>
      <tp t="e">
        <v>#N/A</v>
        <stp/>
        <stp>BDH|14294631165284056136</stp>
        <tr r="AA20" s="22"/>
      </tp>
      <tp t="e">
        <v>#N/A</v>
        <stp/>
        <stp>BDH|16554738395361344873</stp>
        <tr r="M28" s="5"/>
      </tp>
      <tp t="e">
        <v>#N/A</v>
        <stp/>
        <stp>BDH|14564283540244382796</stp>
        <tr r="N24" s="25"/>
        <tr r="L14" s="5"/>
        <tr r="N17" s="27"/>
      </tp>
      <tp t="e">
        <v>#N/A</v>
        <stp/>
        <stp>BDH|10796462136422407447</stp>
        <tr r="T103" s="18"/>
      </tp>
      <tp t="e">
        <v>#N/A</v>
        <stp/>
        <stp>BDH|10114238601771184259</stp>
        <tr r="E18" s="30"/>
      </tp>
      <tp t="e">
        <v>#N/A</v>
        <stp/>
        <stp>BDH|15286704555161305733</stp>
        <tr r="Z8" s="22"/>
      </tp>
      <tp t="e">
        <v>#N/A</v>
        <stp/>
        <stp>BDH|13221165526422087356</stp>
        <tr r="J39" s="13"/>
      </tp>
      <tp t="e">
        <v>#N/A</v>
        <stp/>
        <stp>BDH|11918191442676098352</stp>
        <tr r="N14" s="29"/>
        <tr r="N23" s="29"/>
        <tr r="N34" s="29"/>
      </tp>
      <tp t="e">
        <v>#N/A</v>
        <stp/>
        <stp>BDH|17269760371336003029</stp>
        <tr r="R20" s="2"/>
        <tr r="R18" s="4"/>
        <tr r="R54" s="10"/>
        <tr r="R52" s="11"/>
        <tr r="R19" s="7"/>
        <tr r="T41" s="13"/>
      </tp>
      <tp t="e">
        <v>#N/A</v>
        <stp/>
        <stp>BDH|14749783636011840060</stp>
        <tr r="L39" s="22"/>
      </tp>
      <tp t="e">
        <v>#N/A</v>
        <stp/>
        <stp>BDH|17929403808935687703</stp>
        <tr r="G38" s="18"/>
      </tp>
      <tp t="e">
        <v>#N/A</v>
        <stp/>
        <stp>BDH|11854125517218853824</stp>
        <tr r="X10" s="13"/>
      </tp>
      <tp t="e">
        <v>#N/A</v>
        <stp/>
        <stp>BDH|17369992856139955322</stp>
        <tr r="T82" s="17"/>
      </tp>
      <tp t="e">
        <v>#N/A</v>
        <stp/>
        <stp>BDH|11664950521088138347</stp>
        <tr r="R28" s="6"/>
      </tp>
      <tp t="e">
        <v>#N/A</v>
        <stp/>
        <stp>BDH|11436115500193501276</stp>
        <tr r="Q23" s="21"/>
      </tp>
      <tp t="e">
        <v>#N/A</v>
        <stp/>
        <stp>BDH|16672713660173048500</stp>
        <tr r="C10" s="26"/>
      </tp>
      <tp t="e">
        <v>#N/A</v>
        <stp/>
        <stp>BDH|12469365031882784132</stp>
        <tr r="L29" s="21"/>
      </tp>
      <tp t="e">
        <v>#N/A</v>
        <stp/>
        <stp>BDH|14462729346552192462</stp>
        <tr r="I19" s="17"/>
      </tp>
      <tp t="e">
        <v>#N/A</v>
        <stp/>
        <stp>BDH|15633093037780718787</stp>
        <tr r="M88" s="18"/>
        <tr r="M8" s="20"/>
      </tp>
      <tp t="e">
        <v>#N/A</v>
        <stp/>
        <stp>BDH|14237693661665975040</stp>
        <tr r="V45" s="21"/>
      </tp>
      <tp t="e">
        <v>#N/A</v>
        <stp/>
        <stp>BDH|14497615037522588201</stp>
        <tr r="W30" s="24"/>
      </tp>
      <tp t="e">
        <v>#N/A</v>
        <stp/>
        <stp>BDH|13115821081773447113</stp>
        <tr r="M40" s="29"/>
      </tp>
      <tp t="e">
        <v>#N/A</v>
        <stp/>
        <stp>BDH|18026304585705065727</stp>
        <tr r="Q56" s="12"/>
      </tp>
      <tp t="e">
        <v>#N/A</v>
        <stp/>
        <stp>BDH|10376584448370714031</stp>
        <tr r="T40" s="18"/>
      </tp>
      <tp t="e">
        <v>#N/A</v>
        <stp/>
        <stp>BDH|16166082595938842639</stp>
        <tr r="L16" s="12"/>
      </tp>
      <tp t="e">
        <v>#N/A</v>
        <stp/>
        <stp>BDH|18371942917732035377</stp>
        <tr r="AA69" s="24"/>
      </tp>
      <tp t="e">
        <v>#N/A</v>
        <stp/>
        <stp>BDH|12788270178293683597</stp>
        <tr r="F15" s="18"/>
      </tp>
      <tp t="e">
        <v>#N/A</v>
        <stp/>
        <stp>BDH|18003315401358449236</stp>
        <tr r="C18" s="29"/>
        <tr r="C38" s="29"/>
      </tp>
      <tp t="e">
        <v>#N/A</v>
        <stp/>
        <stp>BDH|16583428756951157778</stp>
        <tr r="H36" s="22"/>
      </tp>
      <tp t="e">
        <v>#N/A</v>
        <stp/>
        <stp>BDH|17539179866074306511</stp>
        <tr r="Q17" s="17"/>
        <tr r="Q20" s="28"/>
      </tp>
      <tp t="e">
        <v>#N/A</v>
        <stp/>
        <stp>BDH|13344149306663583028</stp>
        <tr r="F58" s="11"/>
      </tp>
      <tp t="e">
        <v>#N/A</v>
        <stp/>
        <stp>BDH|13128572193488063638</stp>
        <tr r="C9" s="10"/>
      </tp>
      <tp t="e">
        <v>#N/A</v>
        <stp/>
        <stp>BDH|12077848492240642260</stp>
        <tr r="Y31" s="22"/>
      </tp>
      <tp t="e">
        <v>#N/A</v>
        <stp/>
        <stp>BDH|16481004423912180704</stp>
        <tr r="K27" s="17"/>
      </tp>
      <tp t="e">
        <v>#N/A</v>
        <stp/>
        <stp>BDH|17775372630686399053</stp>
        <tr r="F24" s="24"/>
      </tp>
      <tp t="e">
        <v>#N/A</v>
        <stp/>
        <stp>BDH|10208529476585719675</stp>
        <tr r="N26" s="21"/>
      </tp>
      <tp t="e">
        <v>#N/A</v>
        <stp/>
        <stp>BDH|12870218808355276453</stp>
        <tr r="E29" s="4"/>
      </tp>
      <tp t="e">
        <v>#N/A</v>
        <stp/>
        <stp>BDH|14886711636438176982</stp>
        <tr r="O42" s="4"/>
      </tp>
      <tp t="e">
        <v>#N/A</v>
        <stp/>
        <stp>BDH|12749086019180435248</stp>
        <tr r="G21" s="24"/>
      </tp>
      <tp t="e">
        <v>#N/A</v>
        <stp/>
        <stp>BDH|13072646691279390402</stp>
        <tr r="D31" s="17"/>
      </tp>
      <tp t="e">
        <v>#N/A</v>
        <stp/>
        <stp>BDH|11862484333863242471</stp>
        <tr r="G9" s="29"/>
      </tp>
      <tp t="e">
        <v>#N/A</v>
        <stp/>
        <stp>BDH|17095051606562051457</stp>
        <tr r="L69" s="17"/>
      </tp>
      <tp t="e">
        <v>#N/A</v>
        <stp/>
        <stp>BDH|13162448175489354851</stp>
        <tr r="V25" s="4"/>
        <tr r="V61" s="10"/>
      </tp>
      <tp t="e">
        <v>#N/A</v>
        <stp/>
        <stp>BDH|16405079824974463158</stp>
        <tr r="V26" s="18"/>
      </tp>
      <tp t="e">
        <v>#N/A</v>
        <stp/>
        <stp>BDH|11197935592343628300</stp>
        <tr r="M7" s="11"/>
      </tp>
      <tp t="e">
        <v>#N/A</v>
        <stp/>
        <stp>BDH|12181619973106653438</stp>
        <tr r="R31" s="10"/>
        <tr r="R29" s="11"/>
      </tp>
      <tp t="e">
        <v>#N/A</v>
        <stp/>
        <stp>BDH|16728295592769832520</stp>
        <tr r="L18" s="30"/>
      </tp>
      <tp t="e">
        <v>#N/A</v>
        <stp/>
        <stp>BDH|15023875045771330970</stp>
        <tr r="Q43" s="17"/>
      </tp>
      <tp t="e">
        <v>#N/A</v>
        <stp/>
        <stp>BDH|11383985178028491617</stp>
        <tr r="L89" s="17"/>
        <tr r="L7" s="27"/>
      </tp>
      <tp t="e">
        <v>#N/A</v>
        <stp/>
        <stp>BDH|11933213176125823000</stp>
        <tr r="Q58" s="17"/>
      </tp>
      <tp t="e">
        <v>#N/A</v>
        <stp/>
        <stp>BDH|12772487632576900226</stp>
        <tr r="Q27" s="5"/>
        <tr r="Q28" s="9"/>
      </tp>
      <tp t="e">
        <v>#N/A</v>
        <stp/>
        <stp>BDH|12004279907170428128</stp>
        <tr r="L8" s="24"/>
      </tp>
      <tp t="e">
        <v>#N/A</v>
        <stp/>
        <stp>BDH|12251473053677509551</stp>
        <tr r="T49" s="10"/>
        <tr r="T47" s="11"/>
        <tr r="T16" s="7"/>
      </tp>
      <tp t="e">
        <v>#N/A</v>
        <stp/>
        <stp>BDH|10000974267277755912</stp>
        <tr r="T16" s="12"/>
      </tp>
      <tp t="e">
        <v>#N/A</v>
        <stp/>
        <stp>BDH|17736355901287035256</stp>
        <tr r="U11" s="3"/>
        <tr r="S46" s="10"/>
        <tr r="S44" s="11"/>
        <tr r="S8" s="7"/>
      </tp>
      <tp t="e">
        <v>#N/A</v>
        <stp/>
        <stp>BDH|15108861144268638030</stp>
        <tr r="M27" s="18"/>
      </tp>
      <tp t="e">
        <v>#N/A</v>
        <stp/>
        <stp>BDH|11531135047505070074</stp>
        <tr r="U15" s="29"/>
        <tr r="U35" s="29"/>
      </tp>
      <tp t="e">
        <v>#N/A</v>
        <stp/>
        <stp>BDH|17767054879514404590</stp>
        <tr r="Q21" s="22"/>
      </tp>
      <tp t="e">
        <v>#N/A</v>
        <stp/>
        <stp>BDH|15515746567605334035</stp>
        <tr r="I12" s="13"/>
      </tp>
      <tp t="e">
        <v>#N/A</v>
        <stp/>
        <stp>BDH|17508990288761355614</stp>
        <tr r="I17" s="10"/>
      </tp>
      <tp t="e">
        <v>#N/A</v>
        <stp/>
        <stp>BDH|11471567144287342630</stp>
        <tr r="Q14" s="21"/>
      </tp>
      <tp t="e">
        <v>#N/A</v>
        <stp/>
        <stp>BDH|10682452467015293605</stp>
        <tr r="Q28" s="26"/>
      </tp>
      <tp t="e">
        <v>#N/A</v>
        <stp/>
        <stp>BDH|12474547372595158456</stp>
        <tr r="X13" s="6"/>
      </tp>
      <tp t="e">
        <v>#N/A</v>
        <stp/>
        <stp>BDH|14318829156491398920</stp>
        <tr r="Q39" s="24"/>
      </tp>
      <tp t="e">
        <v>#N/A</v>
        <stp/>
        <stp>BDH|16714435846693321475</stp>
        <tr r="U23" s="2"/>
        <tr r="W18" s="21"/>
        <tr r="W23" s="3"/>
      </tp>
      <tp t="e">
        <v>#N/A</v>
        <stp/>
        <stp>BDH|14085960130749223628</stp>
        <tr r="S56" s="24"/>
      </tp>
      <tp t="e">
        <v>#N/A</v>
        <stp/>
        <stp>BDH|13146307811209140971</stp>
        <tr r="N12" s="17"/>
      </tp>
      <tp t="e">
        <v>#N/A</v>
        <stp/>
        <stp>BDH|17838411252693898459</stp>
        <tr r="Z59" s="18"/>
      </tp>
      <tp t="e">
        <v>#N/A</v>
        <stp/>
        <stp>BDH|18064755571939472069</stp>
        <tr r="I68" s="10"/>
        <tr r="I66" s="11"/>
      </tp>
      <tp t="e">
        <v>#N/A</v>
        <stp/>
        <stp>BDH|14137590254351873423</stp>
        <tr r="Z103" s="18"/>
      </tp>
      <tp t="e">
        <v>#N/A</v>
        <stp/>
        <stp>BDH|14551392622135027180</stp>
        <tr r="T81" s="17"/>
      </tp>
      <tp t="e">
        <v>#N/A</v>
        <stp/>
        <stp>BDH|15325582906651442009</stp>
        <tr r="Q11" s="13"/>
      </tp>
      <tp t="e">
        <v>#N/A</v>
        <stp/>
        <stp>BDH|12742240858036769259</stp>
        <tr r="H23" s="24"/>
      </tp>
      <tp t="e">
        <v>#N/A</v>
        <stp/>
        <stp>BDH|13913278433204427702</stp>
        <tr r="Y7" s="2"/>
        <tr r="Y7" s="5"/>
        <tr r="Y7" s="9"/>
        <tr r="AA14" s="3"/>
      </tp>
      <tp t="e">
        <v>#N/A</v>
        <stp/>
        <stp>BDH|13696040149342168436</stp>
        <tr r="Y100" s="18"/>
      </tp>
      <tp t="e">
        <v>#N/A</v>
        <stp/>
        <stp>BDH|14128569578597401024</stp>
        <tr r="F23" s="26"/>
      </tp>
      <tp t="e">
        <v>#N/A</v>
        <stp/>
        <stp>BDH|15659192407386367328</stp>
        <tr r="L21" s="5"/>
      </tp>
      <tp t="e">
        <v>#N/A</v>
        <stp/>
        <stp>BDH|16015581604605468719</stp>
        <tr r="H7" s="28"/>
      </tp>
      <tp t="e">
        <v>#N/A</v>
        <stp/>
        <stp>BDH|17378681344915618107</stp>
        <tr r="M25" s="4"/>
        <tr r="M61" s="10"/>
      </tp>
      <tp t="e">
        <v>#N/A</v>
        <stp/>
        <stp>BDH|16069412369840672574</stp>
        <tr r="P28" s="21"/>
      </tp>
      <tp t="e">
        <v>#N/A</v>
        <stp/>
        <stp>BDH|14934003036324151279</stp>
        <tr r="D131" s="18"/>
      </tp>
      <tp t="e">
        <v>#N/A</v>
        <stp/>
        <stp>BDH|10103910858128698577</stp>
        <tr r="I48" s="12"/>
      </tp>
      <tp t="e">
        <v>#N/A</v>
        <stp/>
        <stp>BDH|17546986475908902084</stp>
        <tr r="D43" s="17"/>
      </tp>
      <tp t="e">
        <v>#N/A</v>
        <stp/>
        <stp>BDH|14508481976896457062</stp>
        <tr r="AA74" s="18"/>
      </tp>
      <tp t="e">
        <v>#N/A</v>
        <stp/>
        <stp>BDH|14300718172051163480</stp>
        <tr r="R53" s="17"/>
      </tp>
      <tp t="e">
        <v>#N/A</v>
        <stp/>
        <stp>BDH|11166889176258530730</stp>
        <tr r="K14" s="14"/>
      </tp>
      <tp t="e">
        <v>#N/A</v>
        <stp/>
        <stp>BDH|16121127487669991744</stp>
        <tr r="I31" s="17"/>
      </tp>
      <tp t="e">
        <v>#N/A</v>
        <stp/>
        <stp>BDH|11798781437723860794</stp>
        <tr r="C46" s="24"/>
      </tp>
      <tp t="e">
        <v>#N/A</v>
        <stp/>
        <stp>BDH|11338012155974919175</stp>
        <tr r="J23" s="21"/>
      </tp>
      <tp t="e">
        <v>#N/A</v>
        <stp/>
        <stp>BDH|16466859594466509098</stp>
        <tr r="S30" s="10"/>
        <tr r="S28" s="11"/>
      </tp>
      <tp t="e">
        <v>#N/A</v>
        <stp/>
        <stp>BDH|13203797279851394384</stp>
        <tr r="J59" s="12"/>
      </tp>
      <tp t="e">
        <v>#N/A</v>
        <stp/>
        <stp>BDH|14771581694608528172</stp>
        <tr r="Q11" s="24"/>
      </tp>
      <tp t="e">
        <v>#N/A</v>
        <stp/>
        <stp>BDH|12806281079030361637</stp>
        <tr r="K12" s="10"/>
      </tp>
      <tp t="e">
        <v>#N/A</v>
        <stp/>
        <stp>BDH|16757632228275714624</stp>
        <tr r="N72" s="18"/>
      </tp>
      <tp t="e">
        <v>#N/A</v>
        <stp/>
        <stp>BDH|16860034603103157406</stp>
        <tr r="F37" s="10"/>
        <tr r="F35" s="11"/>
      </tp>
      <tp t="e">
        <v>#N/A</v>
        <stp/>
        <stp>BDH|14130085146235030467</stp>
        <tr r="G26" s="18"/>
      </tp>
      <tp t="e">
        <v>#N/A</v>
        <stp/>
        <stp>BDH|11299493844969766912</stp>
        <tr r="O18" s="23"/>
      </tp>
      <tp t="e">
        <v>#N/A</v>
        <stp/>
        <stp>BDH|17773167458473078105</stp>
        <tr r="W43" s="24"/>
      </tp>
      <tp t="e">
        <v>#N/A</v>
        <stp/>
        <stp>BDH|14682598913623108240</stp>
        <tr r="P18" s="22"/>
      </tp>
      <tp t="e">
        <v>#N/A</v>
        <stp/>
        <stp>BDH|17012654329747106544</stp>
        <tr r="O47" s="17"/>
      </tp>
      <tp t="e">
        <v>#N/A</v>
        <stp/>
        <stp>BDH|15600611266145813105</stp>
        <tr r="AA64" s="18"/>
      </tp>
      <tp t="e">
        <v>#N/A</v>
        <stp/>
        <stp>BDH|10862407743253706257</stp>
        <tr r="O40" s="21"/>
      </tp>
      <tp t="e">
        <v>#N/A</v>
        <stp/>
        <stp>BDH|15648782615082476065</stp>
        <tr r="L17" s="23"/>
      </tp>
      <tp t="e">
        <v>#N/A</v>
        <stp/>
        <stp>BDH|12685288210024656411</stp>
        <tr r="F18" s="25"/>
        <tr r="F10" s="27"/>
      </tp>
      <tp t="e">
        <v>#N/A</v>
        <stp/>
        <stp>BDH|10968774246855251724</stp>
        <tr r="H31" s="26"/>
      </tp>
      <tp t="e">
        <v>#N/A</v>
        <stp/>
        <stp>BDH|16112028164420813177</stp>
        <tr r="Q28" s="21"/>
      </tp>
      <tp t="e">
        <v>#N/A</v>
        <stp/>
        <stp>BDH|16491126646425946715</stp>
        <tr r="U53" s="17"/>
      </tp>
      <tp t="e">
        <v>#N/A</v>
        <stp/>
        <stp>BDH|14167884600865841897</stp>
        <tr r="S15" s="22"/>
      </tp>
      <tp t="e">
        <v>#N/A</v>
        <stp/>
        <stp>BDH|11080397898749981308</stp>
        <tr r="S25" s="22"/>
      </tp>
      <tp t="e">
        <v>#N/A</v>
        <stp/>
        <stp>BDH|12274349904753237382</stp>
        <tr r="Q10" s="30"/>
      </tp>
      <tp t="e">
        <v>#N/A</v>
        <stp/>
        <stp>BDH|13487462058113223001</stp>
        <tr r="K55" s="12"/>
      </tp>
      <tp t="e">
        <v>#N/A</v>
        <stp/>
        <stp>BDH|15387665123576687688</stp>
        <tr r="T51" s="18"/>
      </tp>
      <tp t="e">
        <v>#N/A</v>
        <stp/>
        <stp>BDH|14605385290109182672</stp>
        <tr r="D9" s="27"/>
      </tp>
      <tp t="e">
        <v>#N/A</v>
        <stp/>
        <stp>BDH|11743024232346746589</stp>
        <tr r="F21" s="17"/>
        <tr r="F15" s="3"/>
      </tp>
      <tp t="e">
        <v>#N/A</v>
        <stp/>
        <stp>BDH|17975756940747583213</stp>
        <tr r="M24" s="2"/>
      </tp>
      <tp t="e">
        <v>#N/A</v>
        <stp/>
        <stp>BDH|11732892086769631968</stp>
        <tr r="V14" s="23"/>
      </tp>
      <tp t="e">
        <v>#N/A</v>
        <stp/>
        <stp>BDH|12420704491489588487</stp>
        <tr r="F25" s="3"/>
      </tp>
      <tp t="e">
        <v>#N/A</v>
        <stp/>
        <stp>BDH|16777928784152012492</stp>
        <tr r="W39" s="13"/>
      </tp>
      <tp t="e">
        <v>#N/A</v>
        <stp/>
        <stp>BDH|15124561468665305248</stp>
        <tr r="Y64" s="10"/>
      </tp>
      <tp t="e">
        <v>#N/A</v>
        <stp/>
        <stp>BDH|17027398140543621270</stp>
        <tr r="W120" s="18"/>
      </tp>
      <tp t="e">
        <v>#N/A</v>
        <stp/>
        <stp>BDH|16924713270142075504</stp>
        <tr r="G13" s="12"/>
      </tp>
      <tp t="e">
        <v>#N/A</v>
        <stp/>
        <stp>BDH|14736680231521455120</stp>
        <tr r="H61" s="11"/>
        <tr r="J15" s="23"/>
      </tp>
      <tp t="e">
        <v>#N/A</v>
        <stp/>
        <stp>BDH|15876585559200401453</stp>
        <tr r="D8" s="34"/>
      </tp>
      <tp t="e">
        <v>#N/A</v>
        <stp/>
        <stp>BDH|17128672721382856074</stp>
        <tr r="Z11" s="22"/>
      </tp>
      <tp t="e">
        <v>#N/A</v>
        <stp/>
        <stp>BDH|11828509127810425730</stp>
        <tr r="J47" s="21"/>
      </tp>
      <tp t="e">
        <v>#N/A</v>
        <stp/>
        <stp>BDH|15176767548436617114</stp>
        <tr r="N23" s="17"/>
      </tp>
      <tp t="e">
        <v>#N/A</v>
        <stp/>
        <stp>BDH|12210187265757744304</stp>
        <tr r="X7" s="2"/>
        <tr r="X7" s="5"/>
        <tr r="X7" s="9"/>
        <tr r="Z14" s="3"/>
      </tp>
      <tp t="e">
        <v>#N/A</v>
        <stp/>
        <stp>BDH|13583649150135952404</stp>
        <tr r="N30" s="21"/>
      </tp>
      <tp t="e">
        <v>#N/A</v>
        <stp/>
        <stp>BDH|12743651141696276794</stp>
        <tr r="P26" s="29"/>
      </tp>
      <tp t="e">
        <v>#N/A</v>
        <stp/>
        <stp>BDH|12569593157430113320</stp>
        <tr r="Z25" s="24"/>
      </tp>
      <tp t="e">
        <v>#N/A</v>
        <stp/>
        <stp>BDH|13427804648569430700</stp>
        <tr r="N56" s="12"/>
      </tp>
      <tp t="e">
        <v>#N/A</v>
        <stp/>
        <stp>BDH|14335196636025322277</stp>
        <tr r="P49" s="21"/>
      </tp>
      <tp t="e">
        <v>#N/A</v>
        <stp/>
        <stp>BDH|15699748736183567391</stp>
        <tr r="C42" s="24"/>
      </tp>
      <tp t="e">
        <v>#N/A</v>
        <stp/>
        <stp>BDH|10134393472071726454</stp>
        <tr r="T47" s="24"/>
      </tp>
      <tp t="e">
        <v>#N/A</v>
        <stp/>
        <stp>BDH|12832284877134765285</stp>
        <tr r="N11" s="28"/>
      </tp>
      <tp t="e">
        <v>#N/A</v>
        <stp/>
        <stp>BDH|16259622918509246923</stp>
        <tr r="C33" s="13"/>
      </tp>
      <tp t="e">
        <v>#N/A</v>
        <stp/>
        <stp>BDH|15922734435109075974</stp>
        <tr r="K26" s="6"/>
      </tp>
      <tp t="e">
        <v>#N/A</v>
        <stp/>
        <stp>BDH|15323216322016881237</stp>
        <tr r="W21" s="18"/>
      </tp>
      <tp t="e">
        <v>#N/A</v>
        <stp/>
        <stp>BDH|13223488397767239844</stp>
        <tr r="R13" s="20"/>
      </tp>
      <tp t="e">
        <v>#N/A</v>
        <stp/>
        <stp>BDH|15928737836057261759</stp>
        <tr r="C23" s="2"/>
        <tr r="E18" s="21"/>
        <tr r="E23" s="3"/>
      </tp>
      <tp t="e">
        <v>#N/A</v>
        <stp/>
        <stp>BDH|11096321026249682898</stp>
        <tr r="L38" s="4"/>
        <tr r="L60" s="11"/>
        <tr r="N13" s="23"/>
      </tp>
      <tp t="e">
        <v>#N/A</v>
        <stp/>
        <stp>BDH|16738978377341916851</stp>
        <tr r="E56" s="18"/>
      </tp>
      <tp t="e">
        <v>#N/A</v>
        <stp/>
        <stp>BDH|14047058055962998223</stp>
        <tr r="W86" s="18"/>
        <tr r="W6" s="20"/>
      </tp>
      <tp t="e">
        <v>#N/A</v>
        <stp/>
        <stp>BDH|13832244208257630799</stp>
        <tr r="W17" s="24"/>
      </tp>
      <tp t="e">
        <v>#N/A</v>
        <stp/>
        <stp>BDH|17552164788707719879</stp>
        <tr r="K20" s="22"/>
      </tp>
      <tp t="e">
        <v>#N/A</v>
        <stp/>
        <stp>BDH|18379057681430937159</stp>
        <tr r="J27" s="18"/>
      </tp>
      <tp t="e">
        <v>#N/A</v>
        <stp/>
        <stp>BDH|11828740216021470758</stp>
        <tr r="Y25" s="12"/>
      </tp>
      <tp t="e">
        <v>#N/A</v>
        <stp/>
        <stp>BDH|14388370093107513895</stp>
        <tr r="J31" s="12"/>
      </tp>
      <tp t="e">
        <v>#N/A</v>
        <stp/>
        <stp>BDH|12761641768452489147</stp>
        <tr r="T84" s="17"/>
      </tp>
      <tp t="e">
        <v>#N/A</v>
        <stp/>
        <stp>BDH|12808171315435904686</stp>
        <tr r="Y82" s="18"/>
      </tp>
      <tp t="e">
        <v>#N/A</v>
        <stp/>
        <stp>BDH|13315474689227378952</stp>
        <tr r="U127" s="18"/>
      </tp>
      <tp t="e">
        <v>#N/A</v>
        <stp/>
        <stp>BDH|16039300863182178097</stp>
        <tr r="L67" s="17"/>
      </tp>
      <tp t="e">
        <v>#N/A</v>
        <stp/>
        <stp>BDH|14731227981238772780</stp>
        <tr r="I9" s="29"/>
      </tp>
      <tp t="e">
        <v>#N/A</v>
        <stp/>
        <stp>BDH|15559886935919329609</stp>
        <tr r="Z80" s="18"/>
      </tp>
      <tp t="e">
        <v>#N/A</v>
        <stp/>
        <stp>BDH|15052771826120333197</stp>
        <tr r="E24" s="29"/>
      </tp>
      <tp t="e">
        <v>#N/A</v>
        <stp/>
        <stp>BDH|11625601008102072454</stp>
        <tr r="I20" s="18"/>
      </tp>
      <tp t="e">
        <v>#N/A</v>
        <stp/>
        <stp>BDH|10388716237532892762</stp>
        <tr r="Z65" s="24"/>
      </tp>
      <tp t="e">
        <v>#N/A</v>
        <stp/>
        <stp>BDH|13135653340757826772</stp>
        <tr r="J36" s="18"/>
      </tp>
      <tp t="e">
        <v>#N/A</v>
        <stp/>
        <stp>BDH|10131351062444417090</stp>
        <tr r="S109" s="18"/>
      </tp>
      <tp t="e">
        <v>#N/A</v>
        <stp/>
        <stp>BDH|11965940503180283979</stp>
        <tr r="Q27" s="18"/>
      </tp>
      <tp t="e">
        <v>#N/A</v>
        <stp/>
        <stp>BDH|15650185746269714845</stp>
        <tr r="R20" s="6"/>
      </tp>
      <tp t="e">
        <v>#N/A</v>
        <stp/>
        <stp>BDH|16938124624583763732</stp>
        <tr r="U29" s="10"/>
        <tr r="U27" s="11"/>
      </tp>
      <tp t="e">
        <v>#N/A</v>
        <stp/>
        <stp>BDH|15813076484614771870</stp>
        <tr r="E20" s="20"/>
      </tp>
      <tp t="e">
        <v>#N/A</v>
        <stp/>
        <stp>BDH|17101376697334343897</stp>
        <tr r="L69" s="10"/>
        <tr r="L67" s="11"/>
      </tp>
      <tp t="e">
        <v>#N/A</v>
        <stp/>
        <stp>BDH|15241386350913055118</stp>
        <tr r="E105" s="18"/>
      </tp>
      <tp t="e">
        <v>#N/A</v>
        <stp/>
        <stp>BDH|18382032504358662199</stp>
        <tr r="X8" s="17"/>
      </tp>
      <tp t="e">
        <v>#N/A</v>
        <stp/>
        <stp>BDH|17095166803497671089</stp>
        <tr r="R33" s="13"/>
      </tp>
      <tp t="e">
        <v>#N/A</v>
        <stp/>
        <stp>BDH|11583659891206913936</stp>
        <tr r="N25" s="7"/>
      </tp>
      <tp t="e">
        <v>#N/A</v>
        <stp/>
        <stp>BDH|16800408731951708155</stp>
        <tr r="P48" s="10"/>
        <tr r="P46" s="11"/>
        <tr r="P15" s="7"/>
      </tp>
      <tp t="e">
        <v>#N/A</v>
        <stp/>
        <stp>BDH|13302438483649097783</stp>
        <tr r="R45" s="12"/>
      </tp>
      <tp t="e">
        <v>#N/A</v>
        <stp/>
        <stp>BDH|16539586773997186240</stp>
        <tr r="G12" s="17"/>
      </tp>
      <tp t="e">
        <v>#N/A</v>
        <stp/>
        <stp>BDH|10394471321797978063</stp>
        <tr r="Y122" s="18"/>
      </tp>
      <tp t="e">
        <v>#N/A</v>
        <stp/>
        <stp>BDH|18167418845508719181</stp>
        <tr r="C20" s="6"/>
      </tp>
      <tp t="e">
        <v>#N/A</v>
        <stp/>
        <stp>BDH|13572521306273264499</stp>
        <tr r="Y101" s="18"/>
      </tp>
      <tp t="e">
        <v>#N/A</v>
        <stp/>
        <stp>BDH|10827021421337295431</stp>
        <tr r="G24" s="25"/>
        <tr r="E14" s="5"/>
        <tr r="G17" s="27"/>
      </tp>
      <tp t="e">
        <v>#N/A</v>
        <stp/>
        <stp>BDH|17492090683168506610</stp>
        <tr r="J64" s="18"/>
      </tp>
      <tp t="e">
        <v>#N/A</v>
        <stp/>
        <stp>BDH|10843215027956151755</stp>
        <tr r="Y19" s="9"/>
      </tp>
      <tp t="e">
        <v>#N/A</v>
        <stp/>
        <stp>BDH|16351614288049307039</stp>
        <tr r="K15" s="4"/>
      </tp>
      <tp t="e">
        <v>#N/A</v>
        <stp/>
        <stp>BDH|14199810395853976768</stp>
        <tr r="P53" s="12"/>
      </tp>
      <tp t="e">
        <v>#N/A</v>
        <stp/>
        <stp>BDH|15790938909455534828</stp>
        <tr r="H7" s="30"/>
      </tp>
      <tp t="e">
        <v>#N/A</v>
        <stp/>
        <stp>BDH|13270378719349026960</stp>
        <tr r="I61" s="18"/>
      </tp>
      <tp t="e">
        <v>#N/A</v>
        <stp/>
        <stp>BDH|17086226720065983318</stp>
        <tr r="J95" s="18"/>
      </tp>
      <tp t="e">
        <v>#N/A</v>
        <stp/>
        <stp>BDH|13853006123879213934</stp>
        <tr r="K57" s="12"/>
      </tp>
      <tp t="e">
        <v>#N/A</v>
        <stp/>
        <stp>BDH|15721758379766049214</stp>
        <tr r="S21" s="22"/>
      </tp>
      <tp t="e">
        <v>#N/A</v>
        <stp/>
        <stp>BDH|12194269279491014748</stp>
        <tr r="X69" s="24"/>
      </tp>
      <tp t="e">
        <v>#N/A</v>
        <stp/>
        <stp>BDH|14887396530506852333</stp>
        <tr r="G12" s="7"/>
      </tp>
      <tp t="e">
        <v>#N/A</v>
        <stp/>
        <stp>BDH|12498415778828090871</stp>
        <tr r="D15" s="23"/>
      </tp>
      <tp t="e">
        <v>#N/A</v>
        <stp/>
        <stp>BDH|11310752927562883732</stp>
        <tr r="X70" s="10"/>
        <tr r="X68" s="11"/>
      </tp>
      <tp t="e">
        <v>#N/A</v>
        <stp/>
        <stp>BDH|11666723670754790497</stp>
        <tr r="S124" s="18"/>
      </tp>
      <tp t="e">
        <v>#N/A</v>
        <stp/>
        <stp>BDH|15782444347423826769</stp>
        <tr r="U10" s="23"/>
      </tp>
      <tp t="e">
        <v>#N/A</v>
        <stp/>
        <stp>BDH|14872628678785929118</stp>
        <tr r="G15" s="5"/>
      </tp>
      <tp t="e">
        <v>#N/A</v>
        <stp/>
        <stp>BDH|10971713303597701160</stp>
        <tr r="I65" s="18"/>
      </tp>
      <tp t="e">
        <v>#N/A</v>
        <stp/>
        <stp>BDH|11248544249146362767</stp>
        <tr r="H11" s="11"/>
      </tp>
      <tp t="e">
        <v>#N/A</v>
        <stp/>
        <stp>BDH|13801331293091421964</stp>
        <tr r="K52" s="4"/>
        <tr r="M8" s="3"/>
        <tr r="K40" s="10"/>
        <tr r="K38" s="11"/>
        <tr r="M30" s="13"/>
      </tp>
      <tp t="e">
        <v>#N/A</v>
        <stp/>
        <stp>BDH|11975246407392842081</stp>
        <tr r="O105" s="18"/>
      </tp>
      <tp t="e">
        <v>#N/A</v>
        <stp/>
        <stp>BDH|14438258440684324788</stp>
        <tr r="H26" s="10"/>
      </tp>
      <tp t="e">
        <v>#N/A</v>
        <stp/>
        <stp>BDH|10713736315905896231</stp>
        <tr r="K29" s="34"/>
      </tp>
      <tp t="e">
        <v>#N/A</v>
        <stp/>
        <stp>BDH|17177225618527272236</stp>
        <tr r="I13" s="9"/>
      </tp>
      <tp t="e">
        <v>#N/A</v>
        <stp/>
        <stp>BDH|17278172551414827666</stp>
        <tr r="V25" s="21"/>
      </tp>
      <tp t="e">
        <v>#N/A</v>
        <stp/>
        <stp>BDH|13068712638735529364</stp>
        <tr r="Z82" s="18"/>
      </tp>
      <tp t="e">
        <v>#N/A</v>
        <stp/>
        <stp>BDH|17041771745453909615</stp>
        <tr r="O13" s="22"/>
      </tp>
      <tp t="e">
        <v>#N/A</v>
        <stp/>
        <stp>BDH|14903720112302366101</stp>
        <tr r="V26" s="12"/>
      </tp>
      <tp t="e">
        <v>#N/A</v>
        <stp/>
        <stp>BDH|17361546230076855651</stp>
        <tr r="T15" s="17"/>
        <tr r="T18" s="28"/>
      </tp>
      <tp t="e">
        <v>#N/A</v>
        <stp/>
        <stp>BDH|15036084433901882692</stp>
        <tr r="D87" s="18"/>
        <tr r="D7" s="20"/>
      </tp>
      <tp t="e">
        <v>#N/A</v>
        <stp/>
        <stp>BDH|15374366458911351349</stp>
        <tr r="Z32" s="26"/>
      </tp>
      <tp t="e">
        <v>#N/A</v>
        <stp/>
        <stp>BDH|18243036404049808009</stp>
        <tr r="H48" s="12"/>
      </tp>
      <tp t="e">
        <v>#N/A</v>
        <stp/>
        <stp>BDH|13691043137374853507</stp>
        <tr r="G13" s="6"/>
      </tp>
      <tp t="e">
        <v>#N/A</v>
        <stp/>
        <stp>BDH|16187851989500312734</stp>
        <tr r="Y25" s="26"/>
      </tp>
      <tp t="e">
        <v>#N/A</v>
        <stp/>
        <stp>BDH|12232571764982522290</stp>
        <tr r="Q23" s="10"/>
      </tp>
      <tp t="e">
        <v>#N/A</v>
        <stp/>
        <stp>BDH|12409077979266433239</stp>
        <tr r="G48" s="10"/>
        <tr r="G46" s="11"/>
        <tr r="G15" s="7"/>
      </tp>
      <tp t="e">
        <v>#N/A</v>
        <stp/>
        <stp>BDH|13057952057286899873</stp>
        <tr r="T54" s="18"/>
      </tp>
      <tp t="e">
        <v>#N/A</v>
        <stp/>
        <stp>BDH|13825454245871453314</stp>
        <tr r="U7" s="23"/>
      </tp>
      <tp t="e">
        <v>#N/A</v>
        <stp/>
        <stp>BDH|12070758129303109502</stp>
        <tr r="S90" s="18"/>
      </tp>
      <tp t="e">
        <v>#N/A</v>
        <stp/>
        <stp>BDH|14016359377357934665</stp>
        <tr r="Z11" s="13"/>
      </tp>
      <tp t="e">
        <v>#N/A</v>
        <stp/>
        <stp>BDH|14564377708177249158</stp>
        <tr r="I53" s="10"/>
        <tr r="I51" s="11"/>
        <tr r="I18" s="7"/>
        <tr r="K40" s="13"/>
      </tp>
      <tp t="e">
        <v>#N/A</v>
        <stp/>
        <stp>BDH|15007337568194174572</stp>
        <tr r="R41" s="18"/>
      </tp>
      <tp t="e">
        <v>#N/A</v>
        <stp/>
        <stp>BDH|14641210328032144733</stp>
        <tr r="Q49" s="21"/>
      </tp>
      <tp t="e">
        <v>#N/A</v>
        <stp/>
        <stp>BDH|17748106719134718241</stp>
        <tr r="O20" s="22"/>
      </tp>
      <tp t="e">
        <v>#N/A</v>
        <stp/>
        <stp>BDH|15101026148284045462</stp>
        <tr r="W21" s="26"/>
      </tp>
      <tp t="e">
        <v>#N/A</v>
        <stp/>
        <stp>BDH|16841484762044672196</stp>
        <tr r="S9" s="23"/>
      </tp>
      <tp t="e">
        <v>#N/A</v>
        <stp/>
        <stp>BDH|12492403839472881686</stp>
        <tr r="AA91" s="18"/>
      </tp>
      <tp t="e">
        <v>#N/A</v>
        <stp/>
        <stp>BDH|17833792713481603195</stp>
        <tr r="J17" s="4"/>
        <tr r="L10" s="3"/>
        <tr r="J52" s="10"/>
        <tr r="J50" s="11"/>
        <tr r="J17" s="7"/>
        <tr r="L37" s="13"/>
      </tp>
      <tp t="e">
        <v>#N/A</v>
        <stp/>
        <stp>BDH|12525355344097861311</stp>
        <tr r="H83" s="18"/>
      </tp>
      <tp t="e">
        <v>#N/A</v>
        <stp/>
        <stp>BDH|14338634878357231377</stp>
        <tr r="S86" s="17"/>
      </tp>
      <tp t="e">
        <v>#N/A</v>
        <stp/>
        <stp>BDH|17237805469768555034</stp>
        <tr r="T13" s="24"/>
      </tp>
      <tp t="e">
        <v>#N/A</v>
        <stp/>
        <stp>BDH|11311395997003437940</stp>
        <tr r="G15" s="13"/>
      </tp>
      <tp t="e">
        <v>#N/A</v>
        <stp/>
        <stp>BDH|11340013298490460933</stp>
        <tr r="P87" s="17"/>
        <tr r="P27" s="25"/>
      </tp>
      <tp t="e">
        <v>#N/A</v>
        <stp/>
        <stp>BDH|11054984392398034877</stp>
        <tr r="S125" s="18"/>
      </tp>
      <tp t="e">
        <v>#N/A</v>
        <stp/>
        <stp>BDH|12140545826663724793</stp>
        <tr r="E18" s="25"/>
        <tr r="E10" s="27"/>
      </tp>
      <tp t="e">
        <v>#N/A</v>
        <stp/>
        <stp>BDH|11317302738067663703</stp>
        <tr r="J126" s="18"/>
      </tp>
      <tp t="e">
        <v>#N/A</v>
        <stp/>
        <stp>BDH|13226629753981734094</stp>
        <tr r="Q22" s="10"/>
      </tp>
      <tp t="e">
        <v>#N/A</v>
        <stp/>
        <stp>BDH|10781625674410546098</stp>
        <tr r="N6" s="27"/>
      </tp>
      <tp t="e">
        <v>#N/A</v>
        <stp/>
        <stp>BDH|11830672923636504243</stp>
        <tr r="U36" s="10"/>
        <tr r="U34" s="11"/>
      </tp>
      <tp t="e">
        <v>#N/A</v>
        <stp/>
        <stp>BDH|13466030049116020031</stp>
        <tr r="E10" s="10"/>
      </tp>
      <tp t="e">
        <v>#N/A</v>
        <stp/>
        <stp>BDH|14059341978148543945</stp>
        <tr r="J37" s="18"/>
      </tp>
      <tp t="e">
        <v>#N/A</v>
        <stp/>
        <stp>BDH|17697539025203961240</stp>
        <tr r="O64" s="10"/>
      </tp>
      <tp t="e">
        <v>#N/A</v>
        <stp/>
        <stp>BDH|14816647450151488745</stp>
        <tr r="O66" s="12"/>
      </tp>
      <tp t="e">
        <v>#N/A</v>
        <stp/>
        <stp>BDH|12489823326930927959</stp>
        <tr r="Q20" s="18"/>
      </tp>
      <tp t="e">
        <v>#N/A</v>
        <stp/>
        <stp>BDH|14807271957074306679</stp>
        <tr r="N20" s="26"/>
      </tp>
      <tp t="e">
        <v>#N/A</v>
        <stp/>
        <stp>BDH|17022867689733630559</stp>
        <tr r="Z25" s="12"/>
      </tp>
      <tp t="e">
        <v>#N/A</v>
        <stp/>
        <stp>BDH|11969402282994005872</stp>
        <tr r="S8" s="24"/>
      </tp>
      <tp t="e">
        <v>#N/A</v>
        <stp/>
        <stp>BDH|13785081310393445070</stp>
        <tr r="D54" s="12"/>
      </tp>
      <tp t="e">
        <v>#N/A</v>
        <stp/>
        <stp>BDH|16734793371910637754</stp>
        <tr r="N43" s="10"/>
        <tr r="N41" s="11"/>
      </tp>
      <tp t="e">
        <v>#N/A</v>
        <stp/>
        <stp>BDH|15387675949266315023</stp>
        <tr r="H35" s="12"/>
      </tp>
      <tp t="e">
        <v>#N/A</v>
        <stp/>
        <stp>BDH|13941397710544822449</stp>
        <tr r="T54" s="24"/>
      </tp>
      <tp t="e">
        <v>#N/A</v>
        <stp/>
        <stp>BDH|15694195583678905597</stp>
        <tr r="P40" s="34"/>
      </tp>
      <tp t="e">
        <v>#N/A</v>
        <stp/>
        <stp>BDH|16168638192291867946</stp>
        <tr r="W69" s="18"/>
      </tp>
      <tp t="e">
        <v>#N/A</v>
        <stp/>
        <stp>BDH|11729087738044898730</stp>
        <tr r="Q16" s="24"/>
      </tp>
      <tp t="e">
        <v>#N/A</v>
        <stp/>
        <stp>BDH|16432328351903228293</stp>
        <tr r="M15" s="6"/>
      </tp>
      <tp t="e">
        <v>#N/A</v>
        <stp/>
        <stp>BDH|12471834449056249905</stp>
        <tr r="AA46" s="17"/>
      </tp>
      <tp t="e">
        <v>#N/A</v>
        <stp/>
        <stp>BDH|10365210654843955539</stp>
        <tr r="V88" s="17"/>
      </tp>
      <tp t="e">
        <v>#N/A</v>
        <stp/>
        <stp>BDH|18130271782970834309</stp>
        <tr r="K87" s="17"/>
        <tr r="K27" s="25"/>
      </tp>
      <tp t="e">
        <v>#N/A</v>
        <stp/>
        <stp>BDH|12282801284434242788</stp>
        <tr r="D18" s="26"/>
      </tp>
      <tp t="e">
        <v>#N/A</v>
        <stp/>
        <stp>BDH|14967681207705296688</stp>
        <tr r="H24" s="22"/>
      </tp>
      <tp t="e">
        <v>#N/A</v>
        <stp/>
        <stp>BDH|11232193862473462412</stp>
        <tr r="V13" s="7"/>
      </tp>
      <tp t="e">
        <v>#N/A</v>
        <stp/>
        <stp>BDH|13715446330202971762</stp>
        <tr r="J16" s="24"/>
      </tp>
      <tp t="e">
        <v>#N/A</v>
        <stp/>
        <stp>BDH|16612998379860370996</stp>
        <tr r="J16" s="2"/>
        <tr r="J32" s="4"/>
        <tr r="J58" s="10"/>
        <tr r="L19" s="13"/>
      </tp>
      <tp t="e">
        <v>#N/A</v>
        <stp/>
        <stp>BDH|16328959389510799647</stp>
        <tr r="H35" s="4"/>
      </tp>
      <tp t="e">
        <v>#N/A</v>
        <stp/>
        <stp>BDH|10242291092682118842</stp>
        <tr r="J28" s="10"/>
        <tr r="J26" s="11"/>
      </tp>
      <tp t="e">
        <v>#N/A</v>
        <stp/>
        <stp>BDH|12731238249871258431</stp>
        <tr r="E64" s="24"/>
      </tp>
      <tp t="e">
        <v>#N/A</v>
        <stp/>
        <stp>BDH|18262053538169115322</stp>
        <tr r="M32" s="26"/>
      </tp>
      <tp t="e">
        <v>#N/A</v>
        <stp/>
        <stp>BDH|11909023421907574538</stp>
        <tr r="E13" s="6"/>
      </tp>
      <tp t="e">
        <v>#N/A</v>
        <stp/>
        <stp>BDH|13474569647906801512</stp>
        <tr r="I10" s="22"/>
      </tp>
      <tp t="e">
        <v>#N/A</v>
        <stp/>
        <stp>BDH|13648719568547280414</stp>
        <tr r="F6" s="28"/>
      </tp>
      <tp t="e">
        <v>#N/A</v>
        <stp/>
        <stp>BDH|17620147244166220582</stp>
        <tr r="Z15" s="24"/>
      </tp>
      <tp t="e">
        <v>#N/A</v>
        <stp/>
        <stp>BDH|15441422413532887320</stp>
        <tr r="R26" s="18"/>
      </tp>
      <tp t="e">
        <v>#N/A</v>
        <stp/>
        <stp>BDH|16441460872532927669</stp>
        <tr r="E83" s="18"/>
      </tp>
      <tp t="e">
        <v>#N/A</v>
        <stp/>
        <stp>BDH|10023101907478077889</stp>
        <tr r="T18" s="18"/>
      </tp>
      <tp t="e">
        <v>#N/A</v>
        <stp/>
        <stp>BDH|17755831061098398094</stp>
        <tr r="T20" s="5"/>
        <tr r="T21" s="9"/>
      </tp>
      <tp t="e">
        <v>#N/A</v>
        <stp/>
        <stp>BDH|16237432798828413221</stp>
        <tr r="P63" s="11"/>
      </tp>
      <tp t="e">
        <v>#N/A</v>
        <stp/>
        <stp>BDH|13402235269522816499</stp>
        <tr r="T18" s="2"/>
        <tr r="T53" s="4"/>
        <tr r="T42" s="10"/>
        <tr r="T40" s="11"/>
        <tr r="V34" s="13"/>
      </tp>
      <tp t="e">
        <v>#N/A</v>
        <stp/>
        <stp>BDH|15634119108036955397</stp>
        <tr r="V130" s="18"/>
      </tp>
      <tp t="e">
        <v>#N/A</v>
        <stp/>
        <stp>BDH|17964457074201726409</stp>
        <tr r="J49" s="21"/>
      </tp>
      <tp t="e">
        <v>#N/A</v>
        <stp/>
        <stp>BDH|12381780502493277744</stp>
        <tr r="F18" s="6"/>
      </tp>
      <tp t="e">
        <v>#N/A</v>
        <stp/>
        <stp>BDH|16687404836451946162</stp>
        <tr r="M12" s="13"/>
      </tp>
      <tp t="e">
        <v>#N/A</v>
        <stp/>
        <stp>BDH|14291393855426483558</stp>
        <tr r="K12" s="11"/>
      </tp>
      <tp t="e">
        <v>#N/A</v>
        <stp/>
        <stp>BDH|16965611685280131938</stp>
        <tr r="X22" s="4"/>
      </tp>
      <tp t="e">
        <v>#N/A</v>
        <stp/>
        <stp>BDH|17338547730011824108</stp>
        <tr r="T92" s="18"/>
      </tp>
      <tp t="e">
        <v>#N/A</v>
        <stp/>
        <stp>BDH|16514086731311236519</stp>
        <tr r="K16" s="29"/>
        <tr r="K36" s="29"/>
      </tp>
      <tp t="e">
        <v>#N/A</v>
        <stp/>
        <stp>BDH|15101540142702828708</stp>
        <tr r="V12" s="17"/>
      </tp>
      <tp t="e">
        <v>#N/A</v>
        <stp/>
        <stp>BDH|17904349910266023224</stp>
        <tr r="Z31" s="12"/>
      </tp>
      <tp t="e">
        <v>#N/A</v>
        <stp/>
        <stp>BDH|10505593945123362358</stp>
        <tr r="Q9" s="10"/>
      </tp>
      <tp t="e">
        <v>#N/A</v>
        <stp/>
        <stp>BDH|17817385635781346794</stp>
        <tr r="S19" s="22"/>
      </tp>
      <tp t="e">
        <v>#N/A</v>
        <stp/>
        <stp>BDH|11498924067519625688</stp>
        <tr r="T64" s="12"/>
      </tp>
      <tp t="e">
        <v>#N/A</v>
        <stp/>
        <stp>BDH|17496311625882813570</stp>
        <tr r="R12" s="20"/>
      </tp>
      <tp t="e">
        <v>#N/A</v>
        <stp/>
        <stp>BDH|16590759507248915812</stp>
        <tr r="J65" s="10"/>
      </tp>
      <tp t="e">
        <v>#N/A</v>
        <stp/>
        <stp>BDH|12883956553286182904</stp>
        <tr r="C28" s="21"/>
      </tp>
      <tp t="e">
        <v>#N/A</v>
        <stp/>
        <stp>BDH|10828963533122355915</stp>
        <tr r="Y9" s="13"/>
      </tp>
      <tp t="e">
        <v>#N/A</v>
        <stp/>
        <stp>BDH|16148693807270003105</stp>
        <tr r="O52" s="18"/>
      </tp>
      <tp t="e">
        <v>#N/A</v>
        <stp/>
        <stp>BDH|10276391722064009461</stp>
        <tr r="T32" s="21"/>
      </tp>
      <tp t="e">
        <v>#N/A</v>
        <stp/>
        <stp>BDH|11176690445887601548</stp>
        <tr r="E35" s="10"/>
        <tr r="E33" s="11"/>
      </tp>
      <tp t="e">
        <v>#N/A</v>
        <stp/>
        <stp>BDH|16895575962747482366</stp>
        <tr r="J80" s="17"/>
      </tp>
      <tp t="e">
        <v>#N/A</v>
        <stp/>
        <stp>BDH|15562428477825705283</stp>
        <tr r="T20" s="10"/>
      </tp>
      <tp t="e">
        <v>#N/A</v>
        <stp/>
        <stp>BDH|12069419530813733790</stp>
        <tr r="P15" s="12"/>
      </tp>
      <tp t="e">
        <v>#N/A</v>
        <stp/>
        <stp>BDH|17453577698773468907</stp>
        <tr r="S33" s="17"/>
      </tp>
      <tp t="e">
        <v>#N/A</v>
        <stp/>
        <stp>BDH|12430798330997794042</stp>
        <tr r="Y86" s="18"/>
        <tr r="Y6" s="20"/>
      </tp>
      <tp t="e">
        <v>#N/A</v>
        <stp/>
        <stp>BDH|18362810566977829024</stp>
        <tr r="M30" s="9"/>
      </tp>
      <tp t="e">
        <v>#N/A</v>
        <stp/>
        <stp>BDH|17002591545984162336</stp>
        <tr r="X7" s="24"/>
      </tp>
      <tp t="e">
        <v>#N/A</v>
        <stp/>
        <stp>BDH|12689710340803091391</stp>
        <tr r="H117" s="18"/>
      </tp>
      <tp t="e">
        <v>#N/A</v>
        <stp/>
        <stp>BDH|14037194725826369011</stp>
        <tr r="Z90" s="18"/>
      </tp>
      <tp t="e">
        <v>#N/A</v>
        <stp/>
        <stp>BDH|10882435470220420215</stp>
        <tr r="D18" s="13"/>
      </tp>
      <tp t="e">
        <v>#N/A</v>
        <stp/>
        <stp>BDH|16199460222461871035</stp>
        <tr r="M23" s="24"/>
      </tp>
      <tp t="e">
        <v>#N/A</v>
        <stp/>
        <stp>BDH|17813545376221516518</stp>
        <tr r="J124" s="18"/>
      </tp>
      <tp t="e">
        <v>#N/A</v>
        <stp/>
        <stp>BDH|10293361668656171236</stp>
        <tr r="X83" s="17"/>
      </tp>
      <tp t="e">
        <v>#N/A</v>
        <stp/>
        <stp>BDH|17788697084320515813</stp>
        <tr r="U6" s="28"/>
      </tp>
      <tp t="e">
        <v>#N/A</v>
        <stp/>
        <stp>BDH|10540754912252555599</stp>
        <tr r="Q76" s="18"/>
      </tp>
      <tp t="e">
        <v>#N/A</v>
        <stp/>
        <stp>BDH|15654380737963240756</stp>
        <tr r="O24" s="17"/>
      </tp>
      <tp t="e">
        <v>#N/A</v>
        <stp/>
        <stp>BDH|17376508409716656523</stp>
        <tr r="Y9" s="18"/>
      </tp>
      <tp t="e">
        <v>#N/A</v>
        <stp/>
        <stp>BDH|12039318131370709396</stp>
        <tr r="H11" s="18"/>
      </tp>
      <tp t="e">
        <v>#N/A</v>
        <stp/>
        <stp>BDH|16652338246260500081</stp>
        <tr r="Y50" s="4"/>
      </tp>
      <tp t="e">
        <v>#N/A</v>
        <stp/>
        <stp>BDH|11818797255064326698</stp>
        <tr r="Z67" s="12"/>
      </tp>
      <tp t="e">
        <v>#N/A</v>
        <stp/>
        <stp>BDH|12157498485217464875</stp>
        <tr r="K62" s="12"/>
      </tp>
      <tp t="e">
        <v>#N/A</v>
        <stp/>
        <stp>BDH|17133529734052841212</stp>
        <tr r="E65" s="10"/>
      </tp>
      <tp t="e">
        <v>#N/A</v>
        <stp/>
        <stp>BDH|11955446812315872094</stp>
        <tr r="F38" s="22"/>
      </tp>
      <tp t="e">
        <v>#N/A</v>
        <stp/>
        <stp>BDH|16272021489798675715</stp>
        <tr r="C20" s="20"/>
      </tp>
      <tp t="e">
        <v>#N/A</v>
        <stp/>
        <stp>BDH|13445393702054810595</stp>
        <tr r="T25" s="4"/>
        <tr r="T61" s="10"/>
      </tp>
      <tp t="e">
        <v>#N/A</v>
        <stp/>
        <stp>BDH|13544239411881862011</stp>
        <tr r="E21" s="3"/>
      </tp>
      <tp t="e">
        <v>#N/A</v>
        <stp/>
        <stp>BDH|17974682770641734682</stp>
        <tr r="E42" s="18"/>
      </tp>
      <tp t="e">
        <v>#N/A</v>
        <stp/>
        <stp>BDH|11400363727948298992</stp>
        <tr r="X28" s="17"/>
      </tp>
      <tp t="e">
        <v>#N/A</v>
        <stp/>
        <stp>BDH|16485844867729029098</stp>
        <tr r="AA59" s="17"/>
      </tp>
      <tp t="e">
        <v>#N/A</v>
        <stp/>
        <stp>BDH|17899169700535438246</stp>
        <tr r="P14" s="4"/>
      </tp>
      <tp t="e">
        <v>#N/A</v>
        <stp/>
        <stp>BDH|12421550441642853061</stp>
        <tr r="AA49" s="21"/>
      </tp>
      <tp t="e">
        <v>#N/A</v>
        <stp/>
        <stp>BDH|10977065910176206634</stp>
        <tr r="P24" s="18"/>
      </tp>
      <tp t="e">
        <v>#N/A</v>
        <stp/>
        <stp>BDH|13508094726433404307</stp>
        <tr r="X72" s="18"/>
      </tp>
      <tp t="e">
        <v>#N/A</v>
        <stp/>
        <stp>BDH|13218515906531835635</stp>
        <tr r="J80" s="18"/>
      </tp>
      <tp t="e">
        <v>#N/A</v>
        <stp/>
        <stp>BDH|16211895584710372723</stp>
        <tr r="O17" s="9"/>
      </tp>
      <tp t="e">
        <v>#N/A</v>
        <stp/>
        <stp>BDH|14474000554008759896</stp>
        <tr r="E12" s="3"/>
        <tr r="C51" s="10"/>
        <tr r="C49" s="11"/>
        <tr r="C7" s="7"/>
      </tp>
      <tp t="e">
        <v>#N/A</v>
        <stp/>
        <stp>BDH|10423158122885504079</stp>
        <tr r="Q22" s="17"/>
      </tp>
      <tp t="e">
        <v>#N/A</v>
        <stp/>
        <stp>BDH|12514364369354949529</stp>
        <tr r="AA98" s="18"/>
      </tp>
      <tp t="e">
        <v>#N/A</v>
        <stp/>
        <stp>BDH|11395030071074418443</stp>
        <tr r="G26" s="12"/>
      </tp>
      <tp t="e">
        <v>#N/A</v>
        <stp/>
        <stp>BDH|10579646306012735218</stp>
        <tr r="E27" s="24"/>
      </tp>
      <tp t="e">
        <v>#N/A</v>
        <stp/>
        <stp>BDH|12308299569432407267</stp>
        <tr r="F47" s="17"/>
      </tp>
      <tp t="e">
        <v>#N/A</v>
        <stp/>
        <stp>BDH|17705151212419081817</stp>
        <tr r="D12" s="24"/>
      </tp>
      <tp t="e">
        <v>#N/A</v>
        <stp/>
        <stp>BDH|17480250435791673131</stp>
        <tr r="G15" s="9"/>
      </tp>
      <tp t="e">
        <v>#N/A</v>
        <stp/>
        <stp>BDH|16472643133747544278</stp>
        <tr r="F9" s="18"/>
      </tp>
      <tp t="e">
        <v>#N/A</v>
        <stp/>
        <stp>BDH|11569452853586295006</stp>
        <tr r="E69" s="17"/>
      </tp>
      <tp t="e">
        <v>#N/A</v>
        <stp/>
        <stp>BDH|14475718833715666313</stp>
        <tr r="K10" s="34"/>
      </tp>
      <tp t="e">
        <v>#N/A</v>
        <stp/>
        <stp>BDH|14892461952742835151</stp>
        <tr r="P19" s="18"/>
      </tp>
      <tp t="e">
        <v>#N/A</v>
        <stp/>
        <stp>BDH|10122137203957206021</stp>
        <tr r="X89" s="18"/>
        <tr r="X9" s="20"/>
      </tp>
      <tp t="e">
        <v>#N/A</v>
        <stp/>
        <stp>BDH|11154520842677270128</stp>
        <tr r="U31" s="26"/>
      </tp>
      <tp t="e">
        <v>#N/A</v>
        <stp/>
        <stp>BDH|17400160110167642659</stp>
        <tr r="E12" s="22"/>
      </tp>
      <tp t="e">
        <v>#N/A</v>
        <stp/>
        <stp>BDH|16464836287851933187</stp>
        <tr r="P20" s="24"/>
      </tp>
      <tp t="e">
        <v>#N/A</v>
        <stp/>
        <stp>BDH|10333368883984090977</stp>
        <tr r="F31" s="12"/>
      </tp>
      <tp t="e">
        <v>#N/A</v>
        <stp/>
        <stp>BDH|16776064681648723064</stp>
        <tr r="O31" s="34"/>
      </tp>
      <tp t="e">
        <v>#N/A</v>
        <stp/>
        <stp>BDH|12130127931930088636</stp>
        <tr r="U17" s="18"/>
      </tp>
      <tp t="e">
        <v>#N/A</v>
        <stp/>
        <stp>BDH|12119527052332547653</stp>
        <tr r="V11" s="12"/>
      </tp>
      <tp t="e">
        <v>#N/A</v>
        <stp/>
        <stp>BDH|14955485540123933190</stp>
        <tr r="E31" s="10"/>
        <tr r="E29" s="11"/>
      </tp>
      <tp t="e">
        <v>#N/A</v>
        <stp/>
        <stp>BDH|14448473524412601602</stp>
        <tr r="J58" s="11"/>
      </tp>
      <tp t="e">
        <v>#N/A</v>
        <stp/>
        <stp>BDH|16568084815593945202</stp>
        <tr r="W16" s="6"/>
      </tp>
      <tp t="e">
        <v>#N/A</v>
        <stp/>
        <stp>BDH|14816423661726265682</stp>
        <tr r="C72" s="17"/>
      </tp>
      <tp t="e">
        <v>#N/A</v>
        <stp/>
        <stp>BDH|15404227454523504763</stp>
        <tr r="I54" s="17"/>
      </tp>
      <tp t="e">
        <v>#N/A</v>
        <stp/>
        <stp>BDH|13697646196788011259</stp>
        <tr r="S24" s="22"/>
      </tp>
      <tp t="e">
        <v>#N/A</v>
        <stp/>
        <stp>BDH|11434836684392752553</stp>
        <tr r="M44" s="21"/>
      </tp>
      <tp t="e">
        <v>#N/A</v>
        <stp/>
        <stp>BDH|13003427374224026277</stp>
        <tr r="Q74" s="18"/>
      </tp>
      <tp t="e">
        <v>#N/A</v>
        <stp/>
        <stp>BDH|13566708541514483213</stp>
        <tr r="O33" s="17"/>
      </tp>
      <tp t="e">
        <v>#N/A</v>
        <stp/>
        <stp>BDH|16711016453781459402</stp>
        <tr r="L65" s="10"/>
      </tp>
      <tp t="e">
        <v>#N/A</v>
        <stp/>
        <stp>BDH|16277662567696217604</stp>
        <tr r="Q17" s="5"/>
        <tr r="P25" s="6"/>
      </tp>
      <tp t="e">
        <v>#N/A</v>
        <stp/>
        <stp>BDH|17366258978171814578</stp>
        <tr r="Z74" s="17"/>
        <tr r="Z19" s="3"/>
      </tp>
      <tp t="e">
        <v>#N/A</v>
        <stp/>
        <stp>BDH|15391640746850026105</stp>
        <tr r="H85" s="17"/>
      </tp>
      <tp t="e">
        <v>#N/A</v>
        <stp/>
        <stp>BDH|14512373735483149176</stp>
        <tr r="U88" s="17"/>
      </tp>
      <tp t="e">
        <v>#N/A</v>
        <stp/>
        <stp>BDH|14635150926489720831</stp>
        <tr r="D41" s="13"/>
      </tp>
      <tp t="e">
        <v>#N/A</v>
        <stp/>
        <stp>BDH|16552510538851978750</stp>
        <tr r="G28" s="4"/>
      </tp>
      <tp t="e">
        <v>#N/A</v>
        <stp/>
        <stp>BDH|17614588440649826967</stp>
        <tr r="U22" s="4"/>
      </tp>
      <tp t="e">
        <v>#N/A</v>
        <stp/>
        <stp>BDH|16055511849886978712</stp>
        <tr r="R13" s="7"/>
      </tp>
      <tp t="e">
        <v>#N/A</v>
        <stp/>
        <stp>BDH|16541634970860031163</stp>
        <tr r="F11" s="17"/>
      </tp>
      <tp t="e">
        <v>#N/A</v>
        <stp/>
        <stp>BDH|12925780552863458577</stp>
        <tr r="R40" s="24"/>
      </tp>
      <tp t="e">
        <v>#N/A</v>
        <stp/>
        <stp>BDH|15619593677058033989</stp>
        <tr r="F41" s="12"/>
      </tp>
      <tp t="e">
        <v>#N/A</v>
        <stp/>
        <stp>BDH|14429305003626310748</stp>
        <tr r="X72" s="17"/>
      </tp>
      <tp t="e">
        <v>#N/A</v>
        <stp/>
        <stp>BDH|18435745906971479820</stp>
        <tr r="T18" s="13"/>
      </tp>
      <tp t="e">
        <v>#N/A</v>
        <stp/>
        <stp>BDH|10431541523290672158</stp>
        <tr r="X11" s="22"/>
      </tp>
      <tp t="e">
        <v>#N/A</v>
        <stp/>
        <stp>BDH|11487011331671603520</stp>
        <tr r="F18" s="10"/>
      </tp>
      <tp t="e">
        <v>#N/A</v>
        <stp/>
        <stp>BDH|11787841127945461809</stp>
        <tr r="C26" s="10"/>
      </tp>
      <tp t="e">
        <v>#N/A</v>
        <stp/>
        <stp>BDH|17219135713332580371</stp>
        <tr r="V13" s="24"/>
      </tp>
      <tp t="e">
        <v>#N/A</v>
        <stp/>
        <stp>BDH|11493332061422467027</stp>
        <tr r="O95" s="18"/>
      </tp>
      <tp t="e">
        <v>#N/A</v>
        <stp/>
        <stp>BDH|13708034826631561679</stp>
        <tr r="O59" s="24"/>
      </tp>
      <tp t="e">
        <v>#N/A</v>
        <stp/>
        <stp>BDH|14855698975997090441</stp>
        <tr r="I33" s="18"/>
      </tp>
      <tp t="e">
        <v>#N/A</v>
        <stp/>
        <stp>BDH|17690457949990916135</stp>
        <tr r="U12" s="18"/>
      </tp>
      <tp t="e">
        <v>#N/A</v>
        <stp/>
        <stp>BDH|12211342443914595700</stp>
        <tr r="W10" s="17"/>
      </tp>
      <tp t="e">
        <v>#N/A</v>
        <stp/>
        <stp>BDH|16556636234775547072</stp>
        <tr r="U29" s="21"/>
      </tp>
      <tp t="e">
        <v>#N/A</v>
        <stp/>
        <stp>BDH|14908347312072611297</stp>
        <tr r="C29" s="17"/>
      </tp>
      <tp t="e">
        <v>#N/A</v>
        <stp/>
        <stp>BDH|14576444270561629075</stp>
        <tr r="E58" s="17"/>
      </tp>
      <tp t="e">
        <v>#N/A</v>
        <stp/>
        <stp>BDH|14478972353268449642</stp>
        <tr r="U32" s="12"/>
      </tp>
      <tp t="e">
        <v>#N/A</v>
        <stp/>
        <stp>BDH|13906483214446507606</stp>
        <tr r="P27" s="21"/>
      </tp>
      <tp t="e">
        <v>#N/A</v>
        <stp/>
        <stp>BDH|17612154874402607511</stp>
        <tr r="S9" s="28"/>
      </tp>
      <tp t="e">
        <v>#N/A</v>
        <stp/>
        <stp>BDH|14688293097209093080</stp>
        <tr r="D78" s="18"/>
      </tp>
      <tp t="e">
        <v>#N/A</v>
        <stp/>
        <stp>BDH|11571520693468477304</stp>
        <tr r="J130" s="18"/>
      </tp>
      <tp t="e">
        <v>#N/A</v>
        <stp/>
        <stp>BDH|14443830257206983999</stp>
        <tr r="I26" s="29"/>
      </tp>
      <tp t="e">
        <v>#N/A</v>
        <stp/>
        <stp>BDH|10936103603483968437</stp>
        <tr r="U22" s="27"/>
      </tp>
      <tp t="e">
        <v>#N/A</v>
        <stp/>
        <stp>BDH|15751935282843555138</stp>
        <tr r="K19" s="17"/>
      </tp>
      <tp t="e">
        <v>#N/A</v>
        <stp/>
        <stp>BDH|14948975255016317884</stp>
        <tr r="D13" s="5"/>
      </tp>
      <tp t="e">
        <v>#N/A</v>
        <stp/>
        <stp>BDH|13872004561995869618</stp>
        <tr r="K24" s="24"/>
      </tp>
      <tp t="e">
        <v>#N/A</v>
        <stp/>
        <stp>BDH|10507511007261211216</stp>
        <tr r="G31" s="22"/>
      </tp>
      <tp t="e">
        <v>#N/A</v>
        <stp/>
        <stp>BDH|17678087695690040889</stp>
        <tr r="N32" s="24"/>
      </tp>
      <tp t="e">
        <v>#N/A</v>
        <stp/>
        <stp>BDH|14171744057973276336</stp>
        <tr r="H48" s="18"/>
      </tp>
      <tp t="e">
        <v>#N/A</v>
        <stp/>
        <stp>BDH|16382653684117746964</stp>
        <tr r="E46" s="34"/>
      </tp>
      <tp t="e">
        <v>#N/A</v>
        <stp/>
        <stp>BDH|13417359873198814992</stp>
        <tr r="P60" s="18"/>
      </tp>
      <tp t="e">
        <v>#N/A</v>
        <stp/>
        <stp>BDH|11374361902933623724</stp>
        <tr r="T10" s="28"/>
      </tp>
      <tp t="e">
        <v>#N/A</v>
        <stp/>
        <stp>BDH|11252345925065284321</stp>
        <tr r="D17" s="23"/>
      </tp>
      <tp t="e">
        <v>#N/A</v>
        <stp/>
        <stp>BDH|15905046329468529929</stp>
        <tr r="AA123" s="18"/>
      </tp>
      <tp t="e">
        <v>#N/A</v>
        <stp/>
        <stp>BDH|18134646590400588130</stp>
        <tr r="G29" s="10"/>
        <tr r="G27" s="11"/>
      </tp>
      <tp t="e">
        <v>#N/A</v>
        <stp/>
        <stp>BDH|11536367658420987111</stp>
        <tr r="N41" s="24"/>
      </tp>
      <tp t="e">
        <v>#N/A</v>
        <stp/>
        <stp>BDH|15637326621960417224</stp>
        <tr r="S34" s="18"/>
      </tp>
      <tp t="e">
        <v>#N/A</v>
        <stp/>
        <stp>BDH|12843588617715069542</stp>
        <tr r="W129" s="18"/>
      </tp>
      <tp t="e">
        <v>#N/A</v>
        <stp/>
        <stp>BDH|11284842467478618140</stp>
        <tr r="I32" s="12"/>
      </tp>
      <tp t="e">
        <v>#N/A</v>
        <stp/>
        <stp>BDH|12618488144031813517</stp>
        <tr r="U53" s="12"/>
      </tp>
      <tp t="e">
        <v>#N/A</v>
        <stp/>
        <stp>BDH|14720559455140459201</stp>
        <tr r="S20" s="30"/>
      </tp>
      <tp t="e">
        <v>#N/A</v>
        <stp/>
        <stp>BDH|17594009278451635789</stp>
        <tr r="F24" s="26"/>
        <tr r="D14" s="9"/>
      </tp>
      <tp t="e">
        <v>#N/A</v>
        <stp/>
        <stp>BDH|12138166574852448047</stp>
        <tr r="D71" s="17"/>
      </tp>
      <tp t="e">
        <v>#N/A</v>
        <stp/>
        <stp>BDH|10253172333611347568</stp>
        <tr r="U17" s="24"/>
      </tp>
      <tp t="e">
        <v>#N/A</v>
        <stp/>
        <stp>BDH|17429731740364507613</stp>
        <tr r="X12" s="3"/>
        <tr r="V51" s="10"/>
        <tr r="V49" s="11"/>
        <tr r="V7" s="7"/>
      </tp>
      <tp t="e">
        <v>#N/A</v>
        <stp/>
        <stp>BDH|16117267134800298125</stp>
        <tr r="P28" s="25"/>
      </tp>
      <tp t="e">
        <v>#N/A</v>
        <stp/>
        <stp>BDH|10981829623428227495</stp>
        <tr r="S14" s="23"/>
      </tp>
      <tp t="e">
        <v>#N/A</v>
        <stp/>
        <stp>BDH|15028977034341162811</stp>
        <tr r="K22" s="4"/>
      </tp>
      <tp t="e">
        <v>#N/A</v>
        <stp/>
        <stp>BDH|10917281513156557345</stp>
        <tr r="Z24" s="26"/>
        <tr r="X14" s="9"/>
      </tp>
      <tp t="e">
        <v>#N/A</v>
        <stp/>
        <stp>BDH|16877573084234833905</stp>
        <tr r="F115" s="18"/>
      </tp>
      <tp t="e">
        <v>#N/A</v>
        <stp/>
        <stp>BDH|13374797145433510595</stp>
        <tr r="J18" s="24"/>
      </tp>
      <tp t="e">
        <v>#N/A</v>
        <stp/>
        <stp>BDH|13715313816474329304</stp>
        <tr r="S35" s="22"/>
      </tp>
      <tp t="e">
        <v>#N/A</v>
        <stp/>
        <stp>BDH|10446352435314304242</stp>
        <tr r="P11" s="17"/>
      </tp>
      <tp t="e">
        <v>#N/A</v>
        <stp/>
        <stp>BDH|12261461404200555066</stp>
        <tr r="K66" s="18"/>
      </tp>
      <tp t="e">
        <v>#N/A</v>
        <stp/>
        <stp>BDH|11319433209616935532</stp>
        <tr r="Q10" s="21"/>
      </tp>
      <tp t="e">
        <v>#N/A</v>
        <stp/>
        <stp>BDH|17109896118129636150</stp>
        <tr r="V36" s="22"/>
      </tp>
      <tp t="e">
        <v>#N/A</v>
        <stp/>
        <stp>BDH|13228667003043745035</stp>
        <tr r="U61" s="12"/>
      </tp>
      <tp t="e">
        <v>#N/A</v>
        <stp/>
        <stp>BDH|13040450806178077906</stp>
        <tr r="U125" s="18"/>
      </tp>
      <tp t="e">
        <v>#N/A</v>
        <stp/>
        <stp>BDH|13689369026733520700</stp>
        <tr r="U21" s="17"/>
        <tr r="U15" s="3"/>
      </tp>
      <tp t="e">
        <v>#N/A</v>
        <stp/>
        <stp>BDH|12866547308405785416</stp>
        <tr r="AA13" s="24"/>
      </tp>
      <tp t="e">
        <v>#N/A</v>
        <stp/>
        <stp>BDH|12070175225580347739</stp>
        <tr r="H12" s="17"/>
      </tp>
      <tp t="e">
        <v>#N/A</v>
        <stp/>
        <stp>BDH|15959547525716886227</stp>
        <tr r="E12" s="14"/>
      </tp>
      <tp t="e">
        <v>#N/A</v>
        <stp/>
        <stp>BDH|17125145003205092546</stp>
        <tr r="P12" s="7"/>
      </tp>
      <tp t="e">
        <v>#N/A</v>
        <stp/>
        <stp>BDH|10502348032752538445</stp>
        <tr r="X129" s="18"/>
      </tp>
      <tp t="e">
        <v>#N/A</v>
        <stp/>
        <stp>BDH|11372513871140890594</stp>
        <tr r="R91" s="18"/>
      </tp>
      <tp t="e">
        <v>#N/A</v>
        <stp/>
        <stp>BDH|13690844430259934794</stp>
        <tr r="L63" s="12"/>
      </tp>
      <tp t="e">
        <v>#N/A</v>
        <stp/>
        <stp>BDH|17454229501116731526</stp>
        <tr r="W20" s="29"/>
      </tp>
      <tp t="e">
        <v>#N/A</v>
        <stp/>
        <stp>BDH|15599078671281257539</stp>
        <tr r="F23" s="2"/>
        <tr r="H18" s="21"/>
        <tr r="H23" s="3"/>
      </tp>
      <tp t="e">
        <v>#N/A</v>
        <stp/>
        <stp>BDH|11090514685288002261</stp>
        <tr r="V15" s="21"/>
      </tp>
      <tp t="e">
        <v>#N/A</v>
        <stp/>
        <stp>BDH|10935790222795126618</stp>
        <tr r="G22" s="17"/>
      </tp>
      <tp t="e">
        <v>#N/A</v>
        <stp/>
        <stp>BDH|11029642352817743332</stp>
        <tr r="W6" s="6"/>
      </tp>
      <tp t="e">
        <v>#N/A</v>
        <stp/>
        <stp>BDH|17069952291268206948</stp>
        <tr r="Y9" s="3"/>
        <tr r="W47" s="10"/>
        <tr r="W45" s="11"/>
        <tr r="W14" s="7"/>
      </tp>
      <tp t="e">
        <v>#N/A</v>
        <stp/>
        <stp>BDH|13355479907235675474</stp>
        <tr r="O116" s="18"/>
      </tp>
      <tp t="e">
        <v>#N/A</v>
        <stp/>
        <stp>BDH|15835216030160309289</stp>
        <tr r="L43" s="34"/>
      </tp>
      <tp t="e">
        <v>#N/A</v>
        <stp/>
        <stp>BDH|12793806231679123656</stp>
        <tr r="S23" s="2"/>
        <tr r="U18" s="21"/>
        <tr r="U23" s="3"/>
      </tp>
      <tp t="e">
        <v>#N/A</v>
        <stp/>
        <stp>BDH|12494104185615236815</stp>
        <tr r="G59" s="17"/>
      </tp>
      <tp t="e">
        <v>#N/A</v>
        <stp/>
        <stp>BDH|16567939611660755821</stp>
        <tr r="I64" s="12"/>
      </tp>
      <tp t="e">
        <v>#N/A</v>
        <stp/>
        <stp>BDH|17995551307035024196</stp>
        <tr r="I51" s="12"/>
      </tp>
      <tp t="e">
        <v>#N/A</v>
        <stp/>
        <stp>BDH|11301851535419937585</stp>
        <tr r="Y62" s="21"/>
      </tp>
      <tp t="e">
        <v>#N/A</v>
        <stp/>
        <stp>BDH|16946200351811993634</stp>
        <tr r="U14" s="8"/>
      </tp>
      <tp t="e">
        <v>#N/A</v>
        <stp/>
        <stp>BDH|12053579097511767958</stp>
        <tr r="Y18" s="25"/>
        <tr r="Y10" s="27"/>
      </tp>
      <tp t="e">
        <v>#N/A</v>
        <stp/>
        <stp>BDH|11490066650533983195</stp>
        <tr r="L8" s="23"/>
      </tp>
      <tp t="e">
        <v>#N/A</v>
        <stp/>
        <stp>BDH|12072534860382232534</stp>
        <tr r="N28" s="5"/>
      </tp>
      <tp t="e">
        <v>#N/A</v>
        <stp/>
        <stp>BDH|15577239736252128038</stp>
        <tr r="L21" s="24"/>
      </tp>
      <tp t="e">
        <v>#N/A</v>
        <stp/>
        <stp>BDH|16613157087501173872</stp>
        <tr r="K61" s="17"/>
      </tp>
      <tp t="e">
        <v>#N/A</v>
        <stp/>
        <stp>BDH|18059862402910024669</stp>
        <tr r="X15" s="21"/>
      </tp>
      <tp t="e">
        <v>#N/A</v>
        <stp/>
        <stp>BDH|17336303488779689384</stp>
        <tr r="S10" s="28"/>
      </tp>
      <tp t="e">
        <v>#N/A</v>
        <stp/>
        <stp>BDH|18191060890427313017</stp>
        <tr r="I23" s="25"/>
        <tr r="I16" s="27"/>
      </tp>
      <tp t="e">
        <v>#N/A</v>
        <stp/>
        <stp>BDH|12050159451795259535</stp>
        <tr r="N25" s="26"/>
      </tp>
      <tp t="e">
        <v>#N/A</v>
        <stp/>
        <stp>BDH|10602974605879843693</stp>
        <tr r="J20" s="17"/>
      </tp>
      <tp t="e">
        <v>#N/A</v>
        <stp/>
        <stp>BDH|15288133375346122300</stp>
        <tr r="Q22" s="5"/>
      </tp>
      <tp t="e">
        <v>#N/A</v>
        <stp/>
        <stp>BDH|10202039968344841444</stp>
        <tr r="H21" s="12"/>
      </tp>
      <tp t="e">
        <v>#N/A</v>
        <stp/>
        <stp>BDH|18371756590532167228</stp>
        <tr r="M39" s="6"/>
      </tp>
      <tp t="e">
        <v>#N/A</v>
        <stp/>
        <stp>BDH|13522429442967835288</stp>
        <tr r="J64" s="17"/>
        <tr r="J18" s="3"/>
      </tp>
      <tp t="e">
        <v>#N/A</v>
        <stp/>
        <stp>BDH|15078133602844434607</stp>
        <tr r="R38" s="10"/>
        <tr r="R36" s="11"/>
      </tp>
      <tp t="e">
        <v>#N/A</v>
        <stp/>
        <stp>BDH|11230020542630739309</stp>
        <tr r="AA35" s="22"/>
      </tp>
      <tp t="e">
        <v>#N/A</v>
        <stp/>
        <stp>BDH|15170778146435216575</stp>
        <tr r="R24" s="22"/>
      </tp>
      <tp t="e">
        <v>#N/A</v>
        <stp/>
        <stp>BDH|10294733600375443402</stp>
        <tr r="M35" s="4"/>
      </tp>
      <tp t="e">
        <v>#N/A</v>
        <stp/>
        <stp>BDH|10633571080708387373</stp>
        <tr r="J33" s="22"/>
      </tp>
      <tp t="e">
        <v>#N/A</v>
        <stp/>
        <stp>BDH|10422806522149393502</stp>
        <tr r="K45" s="12"/>
      </tp>
      <tp t="e">
        <v>#N/A</v>
        <stp/>
        <stp>BDH|11299504691643614807</stp>
        <tr r="AA10" s="28"/>
      </tp>
      <tp t="e">
        <v>#N/A</v>
        <stp/>
        <stp>BDH|13865701746624997225</stp>
        <tr r="K17" s="9"/>
      </tp>
      <tp t="e">
        <v>#N/A</v>
        <stp/>
        <stp>BDH|15555903806133389953</stp>
        <tr r="G73" s="18"/>
      </tp>
      <tp t="e">
        <v>#N/A</v>
        <stp/>
        <stp>BDH|14955035150952710584</stp>
        <tr r="O9" s="23"/>
      </tp>
      <tp t="e">
        <v>#N/A</v>
        <stp/>
        <stp>BDH|16592633031321210404</stp>
        <tr r="W32" s="25"/>
        <tr r="W7" s="3"/>
        <tr r="U19" s="11"/>
        <tr r="W22" s="13"/>
        <tr r="W7" s="13"/>
      </tp>
      <tp t="e">
        <v>#N/A</v>
        <stp/>
        <stp>BDH|16132001105281988184</stp>
        <tr r="K54" s="12"/>
      </tp>
      <tp t="e">
        <v>#N/A</v>
        <stp/>
        <stp>BDH|11996019768971288072</stp>
        <tr r="G109" s="18"/>
      </tp>
      <tp t="e">
        <v>#N/A</v>
        <stp/>
        <stp>BDH|14729702160910782352</stp>
        <tr r="S32" s="25"/>
        <tr r="S7" s="3"/>
        <tr r="Q19" s="11"/>
        <tr r="S22" s="13"/>
        <tr r="S7" s="13"/>
      </tp>
      <tp t="e">
        <v>#N/A</v>
        <stp/>
        <stp>BDH|10976470719693029021</stp>
        <tr r="N46" s="12"/>
      </tp>
      <tp t="e">
        <v>#N/A</v>
        <stp/>
        <stp>BDH|17541399630201947009</stp>
        <tr r="W10" s="4"/>
        <tr r="V6" s="16"/>
        <tr r="Y6" s="3"/>
        <tr r="W6" s="11"/>
      </tp>
      <tp t="e">
        <v>#N/A</v>
        <stp/>
        <stp>BDH|12645774781413551803</stp>
        <tr r="Q64" s="10"/>
      </tp>
      <tp t="e">
        <v>#N/A</v>
        <stp/>
        <stp>BDH|15674334403967192722</stp>
        <tr r="I84" s="17"/>
      </tp>
      <tp t="e">
        <v>#N/A</v>
        <stp/>
        <stp>BDH|12042001425494578257</stp>
        <tr r="V17" s="12"/>
      </tp>
      <tp t="e">
        <v>#N/A</v>
        <stp/>
        <stp>BDH|12177523013326041653</stp>
        <tr r="E24" s="10"/>
      </tp>
      <tp t="e">
        <v>#N/A</v>
        <stp/>
        <stp>BDH|15671888488133475079</stp>
        <tr r="R52" s="21"/>
      </tp>
      <tp t="e">
        <v>#N/A</v>
        <stp/>
        <stp>BDH|16685726567103587230</stp>
        <tr r="T42" s="12"/>
      </tp>
      <tp t="e">
        <v>#N/A</v>
        <stp/>
        <stp>BDH|11006673535736533420</stp>
        <tr r="P46" s="4"/>
        <tr r="P25" s="10"/>
        <tr r="R27" s="13"/>
      </tp>
      <tp t="e">
        <v>#N/A</v>
        <stp/>
        <stp>BDH|10891496407793670159</stp>
        <tr r="AA31" s="25"/>
      </tp>
      <tp t="e">
        <v>#N/A</v>
        <stp/>
        <stp>BDH|11349367051446252734</stp>
        <tr r="K50" s="17"/>
        <tr r="K10" s="25"/>
      </tp>
      <tp t="e">
        <v>#N/A</v>
        <stp/>
        <stp>BDH|16500488238095175219</stp>
        <tr r="P69" s="10"/>
        <tr r="P67" s="11"/>
      </tp>
      <tp t="e">
        <v>#N/A</v>
        <stp/>
        <stp>BDH|15748631944438641933</stp>
        <tr r="H7" s="34"/>
      </tp>
      <tp t="e">
        <v>#N/A</v>
        <stp/>
        <stp>BDH|15823689340059195847</stp>
        <tr r="H65" s="24"/>
      </tp>
      <tp t="e">
        <v>#N/A</v>
        <stp/>
        <stp>BDH|12623975280023109653</stp>
        <tr r="W30" s="10"/>
        <tr r="W28" s="11"/>
      </tp>
      <tp t="e">
        <v>#N/A</v>
        <stp/>
        <stp>BDH|11404172656937081407</stp>
        <tr r="T9" s="3"/>
        <tr r="R47" s="10"/>
        <tr r="R45" s="11"/>
        <tr r="R14" s="7"/>
      </tp>
      <tp t="e">
        <v>#N/A</v>
        <stp/>
        <stp>BDH|17932054739624357630</stp>
        <tr r="Q19" s="6"/>
      </tp>
      <tp t="e">
        <v>#N/A</v>
        <stp/>
        <stp>BDH|13810493153833790707</stp>
        <tr r="R80" s="17"/>
      </tp>
      <tp t="e">
        <v>#N/A</v>
        <stp/>
        <stp>BDH|10781448266122895692</stp>
        <tr r="S75" s="17"/>
      </tp>
      <tp t="e">
        <v>#N/A</v>
        <stp/>
        <stp>BDH|11559847487812668545</stp>
        <tr r="S15" s="20"/>
      </tp>
      <tp t="e">
        <v>#N/A</v>
        <stp/>
        <stp>BDH|13518120925134200249</stp>
        <tr r="N64" s="24"/>
      </tp>
      <tp t="e">
        <v>#N/A</v>
        <stp/>
        <stp>BDH|17291707837121613476</stp>
        <tr r="T67" s="17"/>
      </tp>
      <tp t="e">
        <v>#N/A</v>
        <stp/>
        <stp>BDH|18343535798940409287</stp>
        <tr r="R32" s="10"/>
        <tr r="R44" s="10"/>
        <tr r="R30" s="11"/>
        <tr r="R42" s="11"/>
      </tp>
      <tp t="e">
        <v>#N/A</v>
        <stp/>
        <stp>BDH|10893053329377763370</stp>
        <tr r="D64" s="18"/>
      </tp>
      <tp t="e">
        <v>#N/A</v>
        <stp/>
        <stp>BDH|12820132558178296857</stp>
        <tr r="W28" s="22"/>
      </tp>
      <tp t="e">
        <v>#N/A</v>
        <stp/>
        <stp>BDH|14218675923363490561</stp>
        <tr r="S38" s="17"/>
      </tp>
      <tp t="e">
        <v>#N/A</v>
        <stp/>
        <stp>BDH|14790858008178684287</stp>
        <tr r="P8" s="21"/>
      </tp>
      <tp t="e">
        <v>#N/A</v>
        <stp/>
        <stp>BDH|15608085017011524389</stp>
        <tr r="D12" s="13"/>
      </tp>
      <tp t="e">
        <v>#N/A</v>
        <stp/>
        <stp>BDH|15450197253461800628</stp>
        <tr r="D26" s="22"/>
      </tp>
      <tp t="e">
        <v>#N/A</v>
        <stp/>
        <stp>BDH|16511477637605563248</stp>
        <tr r="Z18" s="22"/>
      </tp>
      <tp t="e">
        <v>#N/A</v>
        <stp/>
        <stp>BDH|14240627374404795772</stp>
        <tr r="W8" s="10"/>
      </tp>
      <tp t="e">
        <v>#N/A</v>
        <stp/>
        <stp>BDH|17253376124365168545</stp>
        <tr r="Y130" s="18"/>
      </tp>
      <tp t="e">
        <v>#N/A</v>
        <stp/>
        <stp>BDH|11006371822281038713</stp>
        <tr r="S8" s="22"/>
      </tp>
      <tp t="e">
        <v>#N/A</v>
        <stp/>
        <stp>BDH|11361237620942031548</stp>
        <tr r="C47" s="21"/>
      </tp>
      <tp t="e">
        <v>#N/A</v>
        <stp/>
        <stp>BDH|10668122307514624311</stp>
        <tr r="Z120" s="18"/>
      </tp>
      <tp t="e">
        <v>#N/A</v>
        <stp/>
        <stp>BDH|13210274273408678844</stp>
        <tr r="E26" s="29"/>
      </tp>
      <tp t="e">
        <v>#N/A</v>
        <stp/>
        <stp>BDH|13232216211643680509</stp>
        <tr r="S43" s="24"/>
      </tp>
      <tp t="e">
        <v>#N/A</v>
        <stp/>
        <stp>BDH|16127727869541994078</stp>
        <tr r="V35" s="24"/>
      </tp>
      <tp t="e">
        <v>#N/A</v>
        <stp/>
        <stp>BDH|16436876922598749225</stp>
        <tr r="L36" s="21"/>
      </tp>
      <tp t="e">
        <v>#N/A</v>
        <stp/>
        <stp>BDH|16477957717580167832</stp>
        <tr r="R59" s="21"/>
        <tr r="P57" s="11"/>
      </tp>
      <tp t="e">
        <v>#N/A</v>
        <stp/>
        <stp>BDH|13059679252267964189</stp>
        <tr r="J31" s="18"/>
      </tp>
      <tp t="e">
        <v>#N/A</v>
        <stp/>
        <stp>BDH|15657270097599153135</stp>
        <tr r="D53" s="18"/>
      </tp>
      <tp t="e">
        <v>#N/A</v>
        <stp/>
        <stp>BDH|15369698103716587381</stp>
        <tr r="S59" s="10"/>
      </tp>
      <tp t="e">
        <v>#N/A</v>
        <stp/>
        <stp>BDH|15279472649134146790</stp>
        <tr r="P23" s="17"/>
      </tp>
      <tp t="e">
        <v>#N/A</v>
        <stp/>
        <stp>BDH|14196926580961601210</stp>
        <tr r="P8" s="2"/>
      </tp>
      <tp t="e">
        <v>#N/A</v>
        <stp/>
        <stp>BDH|16512528420027689055</stp>
        <tr r="AA64" s="12"/>
      </tp>
      <tp t="e">
        <v>#N/A</v>
        <stp/>
        <stp>BDH|15264734654398427957</stp>
        <tr r="S28" s="10"/>
        <tr r="S26" s="11"/>
      </tp>
      <tp t="e">
        <v>#N/A</v>
        <stp/>
        <stp>BDH|14026021002883387148</stp>
        <tr r="C9" s="17"/>
      </tp>
      <tp t="e">
        <v>#N/A</v>
        <stp/>
        <stp>BDH|14283044473644584179</stp>
        <tr r="K22" s="18"/>
      </tp>
      <tp t="e">
        <v>#N/A</v>
        <stp/>
        <stp>BDH|17235324531320694106</stp>
        <tr r="L11" s="14"/>
      </tp>
      <tp t="e">
        <v>#N/A</v>
        <stp/>
        <stp>BDH|10773768300239760811</stp>
        <tr r="L38" s="17"/>
      </tp>
      <tp t="e">
        <v>#N/A</v>
        <stp/>
        <stp>BDH|10146659732497162406</stp>
        <tr r="H20" s="10"/>
      </tp>
      <tp t="e">
        <v>#N/A</v>
        <stp/>
        <stp>BDH|13096700145180089628</stp>
        <tr r="X69" s="17"/>
      </tp>
      <tp t="e">
        <v>#N/A</v>
        <stp/>
        <stp>BDH|14669614384664190852</stp>
        <tr r="W33" s="6"/>
        <tr r="Y6" s="8"/>
      </tp>
      <tp t="e">
        <v>#N/A</v>
        <stp/>
        <stp>BDH|16655174153041486517</stp>
        <tr r="J10" s="6"/>
      </tp>
      <tp t="e">
        <v>#N/A</v>
        <stp/>
        <stp>BDH|18031302853690083841</stp>
        <tr r="U9" s="27"/>
      </tp>
      <tp t="e">
        <v>#N/A</v>
        <stp/>
        <stp>BDH|11678507471922112714</stp>
        <tr r="C20" s="17"/>
      </tp>
      <tp t="e">
        <v>#N/A</v>
        <stp/>
        <stp>BDH|11159018125642743753</stp>
        <tr r="S21" s="18"/>
      </tp>
      <tp t="e">
        <v>#N/A</v>
        <stp/>
        <stp>BDH|11941441819827389509</stp>
        <tr r="U46" s="17"/>
      </tp>
      <tp t="e">
        <v>#N/A</v>
        <stp/>
        <stp>BDH|13005285109403351457</stp>
        <tr r="P10" s="26"/>
      </tp>
      <tp t="e">
        <v>#N/A</v>
        <stp/>
        <stp>BDH|14555342121616111563</stp>
        <tr r="G25" s="26"/>
      </tp>
      <tp t="e">
        <v>#N/A</v>
        <stp/>
        <stp>BDH|14824519372279930959</stp>
        <tr r="R14" s="28"/>
      </tp>
      <tp t="e">
        <v>#N/A</v>
        <stp/>
        <stp>BDH|11889692504171082021</stp>
        <tr r="AA59" s="21"/>
        <tr r="Y57" s="11"/>
      </tp>
      <tp t="e">
        <v>#N/A</v>
        <stp/>
        <stp>BDH|14721651597854218908</stp>
        <tr r="Q18" s="22"/>
      </tp>
      <tp t="e">
        <v>#N/A</v>
        <stp/>
        <stp>BDH|18056729966019697657</stp>
        <tr r="R39" s="6"/>
      </tp>
      <tp t="e">
        <v>#N/A</v>
        <stp/>
        <stp>BDH|13191748211305664656</stp>
        <tr r="R30" s="10"/>
        <tr r="R28" s="11"/>
      </tp>
      <tp t="e">
        <v>#N/A</v>
        <stp/>
        <stp>BDH|17930104861467839172</stp>
        <tr r="L18" s="26"/>
      </tp>
      <tp t="e">
        <v>#N/A</v>
        <stp/>
        <stp>BDH|16762947542319309452</stp>
        <tr r="W7" s="14"/>
      </tp>
      <tp t="e">
        <v>#N/A</v>
        <stp/>
        <stp>BDH|15766809408918152393</stp>
        <tr r="O10" s="4"/>
        <tr r="N6" s="16"/>
        <tr r="Q6" s="3"/>
        <tr r="O6" s="11"/>
      </tp>
      <tp t="e">
        <v>#N/A</v>
        <stp/>
        <stp>BDH|15538743940473236347</stp>
        <tr r="H9" s="6"/>
      </tp>
      <tp t="e">
        <v>#N/A</v>
        <stp/>
        <stp>BDH|17301542806631209544</stp>
        <tr r="M14" s="13"/>
      </tp>
      <tp t="e">
        <v>#N/A</v>
        <stp/>
        <stp>BDH|16805504151439959972</stp>
        <tr r="H67" s="12"/>
      </tp>
      <tp t="e">
        <v>#N/A</v>
        <stp/>
        <stp>BDH|11875494730178008867</stp>
        <tr r="U39" s="13"/>
      </tp>
      <tp t="e">
        <v>#N/A</v>
        <stp/>
        <stp>BDH|17467013652076029202</stp>
        <tr r="P10" s="12"/>
      </tp>
      <tp t="e">
        <v>#N/A</v>
        <stp/>
        <stp>BDH|11228102025770524450</stp>
        <tr r="S43" s="17"/>
      </tp>
      <tp t="e">
        <v>#N/A</v>
        <stp/>
        <stp>BDH|15931854649037310813</stp>
        <tr r="K11" s="24"/>
      </tp>
      <tp t="e">
        <v>#N/A</v>
        <stp/>
        <stp>BDH|13531171440643621333</stp>
        <tr r="W18" s="25"/>
        <tr r="W10" s="27"/>
      </tp>
      <tp t="e">
        <v>#N/A</v>
        <stp/>
        <stp>BDH|14581698370640814332</stp>
        <tr r="G20" s="29"/>
      </tp>
      <tp t="e">
        <v>#N/A</v>
        <stp/>
        <stp>BDH|14168887851037765883</stp>
        <tr r="O54" s="18"/>
      </tp>
      <tp t="e">
        <v>#N/A</v>
        <stp/>
        <stp>BDH|12514837956791285842</stp>
        <tr r="Z73" s="17"/>
        <tr r="X9" s="5"/>
        <tr r="X9" s="9"/>
      </tp>
      <tp t="e">
        <v>#N/A</v>
        <stp/>
        <stp>BDH|16681632616931007658</stp>
        <tr r="C15" s="23"/>
      </tp>
      <tp t="e">
        <v>#N/A</v>
        <stp/>
        <stp>BDH|16828377051120889607</stp>
        <tr r="F24" s="22"/>
      </tp>
      <tp t="e">
        <v>#N/A</v>
        <stp/>
        <stp>BDH|16324013658390809549</stp>
        <tr r="S63" s="17"/>
      </tp>
      <tp t="e">
        <v>#N/A</v>
        <stp/>
        <stp>BDH|14100623340001685131</stp>
        <tr r="M89" s="17"/>
        <tr r="M7" s="27"/>
      </tp>
      <tp t="e">
        <v>#N/A</v>
        <stp/>
        <stp>BDH|15170563402555399301</stp>
        <tr r="P33" s="22"/>
      </tp>
      <tp t="e">
        <v>#N/A</v>
        <stp/>
        <stp>BDH|13460859254509256116</stp>
        <tr r="N45" s="17"/>
      </tp>
      <tp t="e">
        <v>#N/A</v>
        <stp/>
        <stp>BDH|12744061276720285333</stp>
        <tr r="M47" s="21"/>
      </tp>
      <tp t="e">
        <v>#N/A</v>
        <stp/>
        <stp>BDH|12550278273521472037</stp>
        <tr r="O42" s="24"/>
      </tp>
      <tp t="e">
        <v>#N/A</v>
        <stp/>
        <stp>BDH|15733471486426498940</stp>
        <tr r="AA85" s="18"/>
      </tp>
      <tp t="e">
        <v>#N/A</v>
        <stp/>
        <stp>BDH|18147504874248059438</stp>
        <tr r="C39" s="29"/>
        <tr r="C31" s="29"/>
      </tp>
      <tp t="e">
        <v>#N/A</v>
        <stp/>
        <stp>BDH|11615149639290848550</stp>
        <tr r="U18" s="9"/>
      </tp>
      <tp t="e">
        <v>#N/A</v>
        <stp/>
        <stp>BDH|13348912959851505883</stp>
        <tr r="J47" s="17"/>
      </tp>
      <tp t="e">
        <v>#N/A</v>
        <stp/>
        <stp>BDH|14177258735140556327</stp>
        <tr r="X43" s="21"/>
      </tp>
      <tp t="e">
        <v>#N/A</v>
        <stp/>
        <stp>BDH|13766125466480717225</stp>
        <tr r="V16" s="26"/>
      </tp>
      <tp t="e">
        <v>#N/A</v>
        <stp/>
        <stp>BDH|13212067156675639521</stp>
        <tr r="H10" s="2"/>
        <tr r="H11" s="5"/>
        <tr r="G37" s="6"/>
        <tr r="J31" s="29"/>
        <tr r="J39" s="29"/>
      </tp>
      <tp t="e">
        <v>#N/A</v>
        <stp/>
        <stp>BDH|15920194877946857398</stp>
        <tr r="C63" s="21"/>
      </tp>
      <tp t="e">
        <v>#N/A</v>
        <stp/>
        <stp>BDH|13299489264666038187</stp>
        <tr r="R9" s="13"/>
      </tp>
      <tp t="e">
        <v>#N/A</v>
        <stp/>
        <stp>BDH|15566207201668721954</stp>
        <tr r="S23" s="9"/>
      </tp>
      <tp t="e">
        <v>#N/A</v>
        <stp/>
        <stp>BDH|16524051303239746924</stp>
        <tr r="N14" s="13"/>
      </tp>
      <tp t="e">
        <v>#N/A</v>
        <stp/>
        <stp>BDH|13527228131063024708</stp>
        <tr r="C9" s="23"/>
      </tp>
      <tp t="e">
        <v>#N/A</v>
        <stp/>
        <stp>BDH|13436797530118972922</stp>
        <tr r="J12" s="17"/>
      </tp>
      <tp t="e">
        <v>#N/A</v>
        <stp/>
        <stp>BDH|11319577943022823493</stp>
        <tr r="E7" s="28"/>
      </tp>
      <tp t="e">
        <v>#N/A</v>
        <stp/>
        <stp>BDH|11589552744463414569</stp>
        <tr r="U82" s="18"/>
      </tp>
      <tp t="e">
        <v>#N/A</v>
        <stp/>
        <stp>BDH|13558214182748521752</stp>
        <tr r="L22" s="24"/>
      </tp>
      <tp t="e">
        <v>#N/A</v>
        <stp/>
        <stp>BDH|16846840758134218902</stp>
        <tr r="J31" s="24"/>
      </tp>
      <tp t="e">
        <v>#N/A</v>
        <stp/>
        <stp>BDH|16061527391625123943</stp>
        <tr r="C12" s="13"/>
      </tp>
      <tp t="e">
        <v>#N/A</v>
        <stp/>
        <stp>BDH|15557870581876206578</stp>
        <tr r="K36" s="4"/>
      </tp>
      <tp t="e">
        <v>#N/A</v>
        <stp/>
        <stp>BDH|15540439773996224612</stp>
        <tr r="Y55" s="18"/>
      </tp>
      <tp t="e">
        <v>#N/A</v>
        <stp/>
        <stp>BDH|13066923566133275907</stp>
        <tr r="R30" s="26"/>
      </tp>
      <tp t="e">
        <v>#N/A</v>
        <stp/>
        <stp>BDH|17873377439246657763</stp>
        <tr r="V21" s="24"/>
      </tp>
      <tp t="e">
        <v>#N/A</v>
        <stp/>
        <stp>BDH|12830786800281713212</stp>
        <tr r="D60" s="10"/>
      </tp>
      <tp t="e">
        <v>#N/A</v>
        <stp/>
        <stp>BDH|16905209657883322448</stp>
        <tr r="AA6" s="19"/>
        <tr r="AA34" s="17"/>
        <tr r="AA16" s="3"/>
      </tp>
      <tp t="e">
        <v>#N/A</v>
        <stp/>
        <stp>BDH|17792077940605003091</stp>
        <tr r="O13" s="29"/>
        <tr r="O22" s="29"/>
        <tr r="O33" s="29"/>
      </tp>
      <tp t="e">
        <v>#N/A</v>
        <stp/>
        <stp>BDH|14882025572470161506</stp>
        <tr r="N14" s="30"/>
      </tp>
      <tp t="e">
        <v>#N/A</v>
        <stp/>
        <stp>BDH|17182658445846112590</stp>
        <tr r="S123" s="18"/>
      </tp>
      <tp t="e">
        <v>#N/A</v>
        <stp/>
        <stp>BDH|15737660667550873379</stp>
        <tr r="W13" s="12"/>
      </tp>
      <tp t="e">
        <v>#N/A</v>
        <stp/>
        <stp>BDH|13926379571024013562</stp>
        <tr r="D21" s="18"/>
      </tp>
      <tp t="e">
        <v>#N/A</v>
        <stp/>
        <stp>BDH|16755090285338719059</stp>
        <tr r="M57" s="24"/>
      </tp>
      <tp t="e">
        <v>#N/A</v>
        <stp/>
        <stp>BDH|15789660938665168316</stp>
        <tr r="J16" s="29"/>
        <tr r="J36" s="29"/>
      </tp>
      <tp t="e">
        <v>#N/A</v>
        <stp/>
        <stp>BDH|16663588792568408415</stp>
        <tr r="M42" s="4"/>
      </tp>
      <tp t="e">
        <v>#N/A</v>
        <stp/>
        <stp>BDH|11751115480408794683</stp>
        <tr r="T25" s="21"/>
      </tp>
      <tp t="e">
        <v>#N/A</v>
        <stp/>
        <stp>BDH|10663009822326945245</stp>
        <tr r="D37" s="17"/>
      </tp>
      <tp t="e">
        <v>#N/A</v>
        <stp/>
        <stp>BDH|11236486841842272507</stp>
        <tr r="Y16" s="14"/>
      </tp>
      <tp t="e">
        <v>#N/A</v>
        <stp/>
        <stp>BDH|10947264144351366118</stp>
        <tr r="W8" s="13"/>
      </tp>
      <tp t="e">
        <v>#N/A</v>
        <stp/>
        <stp>BDH|17848674116294394236</stp>
        <tr r="S6" s="2"/>
        <tr r="S6" s="5"/>
        <tr r="S6" s="9"/>
        <tr r="T12" s="8"/>
        <tr r="U10" s="29"/>
        <tr r="U19" s="29"/>
        <tr r="U25" s="29"/>
      </tp>
      <tp t="e">
        <v>#N/A</v>
        <stp/>
        <stp>BDH|12564400404715951519</stp>
        <tr r="W42" s="24"/>
      </tp>
      <tp t="e">
        <v>#N/A</v>
        <stp/>
        <stp>BDH|15157414890847068992</stp>
        <tr r="K18" s="20"/>
      </tp>
      <tp t="e">
        <v>#N/A</v>
        <stp/>
        <stp>BDH|13602643657603519598</stp>
        <tr r="J9" s="28"/>
      </tp>
      <tp t="e">
        <v>#N/A</v>
        <stp/>
        <stp>BDH|10278584017857015546</stp>
        <tr r="K46" s="24"/>
      </tp>
      <tp t="e">
        <v>#N/A</v>
        <stp/>
        <stp>BDH|12205187400300158522</stp>
        <tr r="J27" s="17"/>
      </tp>
      <tp t="e">
        <v>#N/A</v>
        <stp/>
        <stp>BDH|16637907888870460139</stp>
        <tr r="AA16" s="30"/>
      </tp>
      <tp t="e">
        <v>#N/A</v>
        <stp/>
        <stp>BDH|11726662862021316692</stp>
        <tr r="V30" s="10"/>
        <tr r="V28" s="11"/>
      </tp>
      <tp t="e">
        <v>#N/A</v>
        <stp/>
        <stp>BDH|13053482299009864102</stp>
        <tr r="Z12" s="24"/>
      </tp>
      <tp t="e">
        <v>#N/A</v>
        <stp/>
        <stp>BDH|13982417343257770259</stp>
        <tr r="J70" s="18"/>
      </tp>
      <tp t="e">
        <v>#N/A</v>
        <stp/>
        <stp>BDH|16784552480398990522</stp>
        <tr r="F40" s="29"/>
      </tp>
      <tp t="e">
        <v>#N/A</v>
        <stp/>
        <stp>BDH|11335616762057111086</stp>
        <tr r="P90" s="17"/>
        <tr r="P13" s="28"/>
      </tp>
      <tp t="e">
        <v>#N/A</v>
        <stp/>
        <stp>BDH|13273889182043298636</stp>
        <tr r="T29" s="21"/>
      </tp>
      <tp t="e">
        <v>#N/A</v>
        <stp/>
        <stp>BDH|14594343099891934981</stp>
        <tr r="E27" s="21"/>
      </tp>
      <tp t="e">
        <v>#N/A</v>
        <stp/>
        <stp>BDH|17699388008081937362</stp>
        <tr r="I62" s="18"/>
      </tp>
      <tp t="e">
        <v>#N/A</v>
        <stp/>
        <stp>BDH|10162582970703468745</stp>
        <tr r="N8" s="6"/>
      </tp>
      <tp t="e">
        <v>#N/A</v>
        <stp/>
        <stp>BDH|13218387357030734332</stp>
        <tr r="V116" s="18"/>
      </tp>
      <tp t="e">
        <v>#N/A</v>
        <stp/>
        <stp>BDH|14330675015196077387</stp>
        <tr r="R9" s="6"/>
      </tp>
      <tp t="e">
        <v>#N/A</v>
        <stp/>
        <stp>BDH|14172181324562313375</stp>
        <tr r="G19" s="14"/>
      </tp>
      <tp t="e">
        <v>#N/A</v>
        <stp/>
        <stp>BDH|15770627043575720480</stp>
        <tr r="AA18" s="30"/>
      </tp>
      <tp t="e">
        <v>#N/A</v>
        <stp/>
        <stp>BDH|17050264919483011163</stp>
        <tr r="M7" s="30"/>
      </tp>
      <tp t="e">
        <v>#N/A</v>
        <stp/>
        <stp>BDH|14882500975417287762</stp>
        <tr r="C66" s="10"/>
        <tr r="C64" s="11"/>
        <tr r="C20" s="7"/>
      </tp>
      <tp t="e">
        <v>#N/A</v>
        <stp/>
        <stp>BDH|15590869539578166025</stp>
        <tr r="T33" s="22"/>
      </tp>
      <tp t="e">
        <v>#N/A</v>
        <stp/>
        <stp>BDH|16256405412621150485</stp>
        <tr r="E16" s="22"/>
      </tp>
      <tp t="e">
        <v>#N/A</v>
        <stp/>
        <stp>BDH|11975272332034707223</stp>
        <tr r="T38" s="4"/>
        <tr r="T60" s="11"/>
        <tr r="V13" s="23"/>
      </tp>
      <tp t="e">
        <v>#N/A</v>
        <stp/>
        <stp>BDH|15259036227416978766</stp>
        <tr r="L77" s="18"/>
      </tp>
      <tp t="e">
        <v>#N/A</v>
        <stp/>
        <stp>BDH|13445673300813829028</stp>
        <tr r="U14" s="10"/>
      </tp>
      <tp t="e">
        <v>#N/A</v>
        <stp/>
        <stp>BDH|18341844205706831031</stp>
        <tr r="P8" s="8"/>
      </tp>
      <tp t="e">
        <v>#N/A</v>
        <stp/>
        <stp>BDH|11823277126865919287</stp>
        <tr r="AA48" s="12"/>
      </tp>
      <tp t="e">
        <v>#N/A</v>
        <stp/>
        <stp>BDH|10346381857793418308</stp>
        <tr r="N35" s="24"/>
      </tp>
      <tp t="e">
        <v>#N/A</v>
        <stp/>
        <stp>BDH|14238371236327223598</stp>
        <tr r="V38" s="17"/>
      </tp>
      <tp t="e">
        <v>#N/A</v>
        <stp/>
        <stp>BDH|13256288352212800084</stp>
        <tr r="R10" s="11"/>
      </tp>
      <tp t="e">
        <v>#N/A</v>
        <stp/>
        <stp>BDH|16823063331963407033</stp>
        <tr r="G10" s="24"/>
      </tp>
      <tp t="e">
        <v>#N/A</v>
        <stp/>
        <stp>BDH|15678295092888088058</stp>
        <tr r="G23" s="22"/>
      </tp>
      <tp t="e">
        <v>#N/A</v>
        <stp/>
        <stp>BDH|16508840149458064408</stp>
        <tr r="G83" s="18"/>
      </tp>
      <tp t="e">
        <v>#N/A</v>
        <stp/>
        <stp>BDH|12844340705267294035</stp>
        <tr r="AA29" s="21"/>
      </tp>
      <tp t="e">
        <v>#N/A</v>
        <stp/>
        <stp>BDH|16169231410376298587</stp>
        <tr r="V21" s="4"/>
      </tp>
      <tp t="e">
        <v>#N/A</v>
        <stp/>
        <stp>BDH|16565118928736008540</stp>
        <tr r="M12" s="22"/>
      </tp>
      <tp t="e">
        <v>#N/A</v>
        <stp/>
        <stp>BDH|16923793546953944074</stp>
        <tr r="Z11" s="29"/>
      </tp>
      <tp t="e">
        <v>#N/A</v>
        <stp/>
        <stp>BDH|11764593216811117214</stp>
        <tr r="V9" s="17"/>
      </tp>
      <tp t="e">
        <v>#N/A</v>
        <stp/>
        <stp>BDH|17279601812952946414</stp>
        <tr r="C60" s="12"/>
      </tp>
      <tp t="e">
        <v>#N/A</v>
        <stp/>
        <stp>BDH|15469837019642211848</stp>
        <tr r="W13" s="20"/>
      </tp>
      <tp t="e">
        <v>#N/A</v>
        <stp/>
        <stp>BDH|17505699432822045668</stp>
        <tr r="V24" s="10"/>
      </tp>
      <tp t="e">
        <v>#N/A</v>
        <stp/>
        <stp>BDH|13467169157905526489</stp>
        <tr r="S33" s="13"/>
      </tp>
      <tp t="e">
        <v>#N/A</v>
        <stp/>
        <stp>BDH|14413619387769814523</stp>
        <tr r="N43" s="18"/>
      </tp>
      <tp t="e">
        <v>#N/A</v>
        <stp/>
        <stp>BDH|17011786076730040169</stp>
        <tr r="D25" s="21"/>
      </tp>
      <tp t="e">
        <v>#N/A</v>
        <stp/>
        <stp>BDH|11081810592370855632</stp>
        <tr r="C21" s="27"/>
      </tp>
      <tp t="e">
        <v>#N/A</v>
        <stp/>
        <stp>BDH|10237075474341079091</stp>
        <tr r="V29" s="22"/>
      </tp>
      <tp t="e">
        <v>#N/A</v>
        <stp/>
        <stp>BDH|12215869140828809042</stp>
        <tr r="Y18" s="24"/>
      </tp>
      <tp t="e">
        <v>#N/A</v>
        <stp/>
        <stp>BDH|10484741032947873525</stp>
        <tr r="T114" s="18"/>
      </tp>
      <tp t="e">
        <v>#N/A</v>
        <stp/>
        <stp>BDH|11874245445297764667</stp>
        <tr r="R11" s="24"/>
      </tp>
      <tp t="e">
        <v>#N/A</v>
        <stp/>
        <stp>BDH|10654106338882623608</stp>
        <tr r="L32" s="21"/>
      </tp>
      <tp t="e">
        <v>#N/A</v>
        <stp/>
        <stp>BDH|16958183171700112691</stp>
        <tr r="N74" s="18"/>
      </tp>
      <tp t="e">
        <v>#N/A</v>
        <stp/>
        <stp>BDH|13061654119613415105</stp>
        <tr r="P42" s="24"/>
      </tp>
      <tp t="e">
        <v>#N/A</v>
        <stp/>
        <stp>BDH|13449085292985511939</stp>
        <tr r="D14" s="2"/>
        <tr r="D11" s="10"/>
      </tp>
      <tp t="e">
        <v>#N/A</v>
        <stp/>
        <stp>BDH|13804260770759156975</stp>
        <tr r="E63" s="24"/>
      </tp>
      <tp t="e">
        <v>#N/A</v>
        <stp/>
        <stp>BDH|12036380913524542267</stp>
        <tr r="L25" s="12"/>
      </tp>
      <tp t="e">
        <v>#N/A</v>
        <stp/>
        <stp>BDH|15352742798264517921</stp>
        <tr r="Y23" s="11"/>
      </tp>
      <tp t="e">
        <v>#N/A</v>
        <stp/>
        <stp>BDH|15455193981333711930</stp>
        <tr r="AA90" s="18"/>
      </tp>
      <tp t="e">
        <v>#N/A</v>
        <stp/>
        <stp>BDH|10848932299624941230</stp>
        <tr r="J34" s="12"/>
      </tp>
      <tp t="e">
        <v>#N/A</v>
        <stp/>
        <stp>BDH|11605529468240793436</stp>
        <tr r="T57" s="24"/>
      </tp>
      <tp t="e">
        <v>#N/A</v>
        <stp/>
        <stp>BDH|13744453184141713893</stp>
        <tr r="O60" s="17"/>
      </tp>
      <tp t="e">
        <v>#N/A</v>
        <stp/>
        <stp>BDH|17420067176302647499</stp>
        <tr r="Q114" s="18"/>
      </tp>
      <tp t="e">
        <v>#N/A</v>
        <stp/>
        <stp>BDH|15587362841631121584</stp>
        <tr r="F114" s="18"/>
      </tp>
      <tp t="e">
        <v>#N/A</v>
        <stp/>
        <stp>BDH|12096048547621898104</stp>
        <tr r="P41" s="21"/>
      </tp>
      <tp t="e">
        <v>#N/A</v>
        <stp/>
        <stp>BDH|16412709671175820561</stp>
        <tr r="K41" s="12"/>
      </tp>
      <tp t="e">
        <v>#N/A</v>
        <stp/>
        <stp>BDH|12363751605794199790</stp>
        <tr r="V61" s="17"/>
      </tp>
      <tp t="e">
        <v>#N/A</v>
        <stp/>
        <stp>BDH|16497721585006164997</stp>
        <tr r="S57" s="18"/>
      </tp>
      <tp t="e">
        <v>#N/A</v>
        <stp/>
        <stp>BDH|16739381802971029261</stp>
        <tr r="J19" s="24"/>
      </tp>
      <tp t="e">
        <v>#N/A</v>
        <stp/>
        <stp>BDH|13241929317198445580</stp>
        <tr r="Q18" s="12"/>
      </tp>
      <tp t="e">
        <v>#N/A</v>
        <stp/>
        <stp>BDH|16073303284672892973</stp>
        <tr r="C44" s="24"/>
      </tp>
      <tp t="e">
        <v>#N/A</v>
        <stp/>
        <stp>BDH|14394967167579800413</stp>
        <tr r="O82" s="17"/>
      </tp>
      <tp t="e">
        <v>#N/A</v>
        <stp/>
        <stp>BDH|16707308000705979656</stp>
        <tr r="J7" s="14"/>
      </tp>
      <tp t="e">
        <v>#N/A</v>
        <stp/>
        <stp>BDH|18185166880952402589</stp>
        <tr r="W31" s="18"/>
      </tp>
      <tp t="e">
        <v>#N/A</v>
        <stp/>
        <stp>BDH|16323497055100597113</stp>
        <tr r="Q55" s="24"/>
      </tp>
      <tp t="e">
        <v>#N/A</v>
        <stp/>
        <stp>BDH|11634291564264088705</stp>
        <tr r="V14" s="10"/>
      </tp>
      <tp t="e">
        <v>#N/A</v>
        <stp/>
        <stp>BDH|10517840908017196935</stp>
        <tr r="I102" s="18"/>
      </tp>
      <tp t="e">
        <v>#N/A</v>
        <stp/>
        <stp>BDH|10178043244597355599</stp>
        <tr r="H26" s="18"/>
      </tp>
      <tp t="e">
        <v>#N/A</v>
        <stp/>
        <stp>BDH|11529587146132691461</stp>
        <tr r="I56" s="12"/>
      </tp>
      <tp t="e">
        <v>#N/A</v>
        <stp/>
        <stp>BDH|13606668718533769148</stp>
        <tr r="R41" s="24"/>
      </tp>
      <tp t="e">
        <v>#N/A</v>
        <stp/>
        <stp>BDH|11800610218482840222</stp>
        <tr r="K10" s="22"/>
      </tp>
      <tp t="e">
        <v>#N/A</v>
        <stp/>
        <stp>BDH|14158791521295442263</stp>
        <tr r="R69" s="24"/>
      </tp>
      <tp t="e">
        <v>#N/A</v>
        <stp/>
        <stp>BDH|11305041300750832744</stp>
        <tr r="C38" s="6"/>
      </tp>
      <tp t="e">
        <v>#N/A</v>
        <stp/>
        <stp>BDH|18426798264199341618</stp>
        <tr r="S7" s="4"/>
      </tp>
      <tp t="e">
        <v>#N/A</v>
        <stp/>
        <stp>BDH|16149789905160480733</stp>
        <tr r="N14" s="23"/>
      </tp>
      <tp t="e">
        <v>#N/A</v>
        <stp/>
        <stp>BDH|16154872759428042540</stp>
        <tr r="N14" s="8"/>
      </tp>
      <tp t="e">
        <v>#N/A</v>
        <stp/>
        <stp>BDH|11897158915353004434</stp>
        <tr r="O118" s="18"/>
      </tp>
      <tp t="e">
        <v>#N/A</v>
        <stp/>
        <stp>BDH|14033695381444743840</stp>
        <tr r="D31" s="24"/>
      </tp>
      <tp t="e">
        <v>#N/A</v>
        <stp/>
        <stp>BDH|14064654537104063393</stp>
        <tr r="D18" s="6"/>
      </tp>
      <tp t="e">
        <v>#N/A</v>
        <stp/>
        <stp>BDH|11244396606322119674</stp>
        <tr r="V17" s="13"/>
      </tp>
      <tp t="e">
        <v>#N/A</v>
        <stp/>
        <stp>BDH|17821720711843694467</stp>
        <tr r="U11" s="6"/>
      </tp>
      <tp t="e">
        <v>#N/A</v>
        <stp/>
        <stp>BDH|11885568841764749237</stp>
        <tr r="T9" s="26"/>
      </tp>
      <tp t="e">
        <v>#N/A</v>
        <stp/>
        <stp>BDH|14389196406295353652</stp>
        <tr r="Q62" s="24"/>
      </tp>
      <tp t="e">
        <v>#N/A</v>
        <stp/>
        <stp>BDH|13674597075257400049</stp>
        <tr r="X14" s="10"/>
      </tp>
      <tp t="e">
        <v>#N/A</v>
        <stp/>
        <stp>BDH|13636628225571367082</stp>
        <tr r="I34" s="18"/>
      </tp>
      <tp t="e">
        <v>#N/A</v>
        <stp/>
        <stp>BDH|18053642180071792197</stp>
        <tr r="U35" s="21"/>
      </tp>
      <tp t="e">
        <v>#N/A</v>
        <stp/>
        <stp>BDH|16388538954819916970</stp>
        <tr r="AA41" s="18"/>
      </tp>
      <tp t="e">
        <v>#N/A</v>
        <stp/>
        <stp>BDH|13660512776953311484</stp>
        <tr r="E25" s="2"/>
        <tr r="G61" s="21"/>
      </tp>
      <tp t="e">
        <v>#N/A</v>
        <stp/>
        <stp>BDH|12798064120062346486</stp>
        <tr r="K68" s="10"/>
        <tr r="K66" s="11"/>
      </tp>
      <tp t="e">
        <v>#N/A</v>
        <stp/>
        <stp>BDH|13793089823135570238</stp>
        <tr r="T54" s="17"/>
      </tp>
      <tp t="e">
        <v>#N/A</v>
        <stp/>
        <stp>BDH|11688493949780441785</stp>
        <tr r="W80" s="18"/>
      </tp>
      <tp t="e">
        <v>#N/A</v>
        <stp/>
        <stp>BDH|18225717181956184799</stp>
        <tr r="L63" s="11"/>
      </tp>
      <tp t="e">
        <v>#N/A</v>
        <stp/>
        <stp>BDH|17723780218631515689</stp>
        <tr r="W47" s="12"/>
      </tp>
      <tp t="e">
        <v>#N/A</v>
        <stp/>
        <stp>BDH|14725930116252950819</stp>
        <tr r="K11" s="14"/>
      </tp>
      <tp t="e">
        <v>#N/A</v>
        <stp/>
        <stp>BDH|16919239379456085397</stp>
        <tr r="P113" s="18"/>
      </tp>
      <tp t="e">
        <v>#N/A</v>
        <stp/>
        <stp>BDH|17832324331194565542</stp>
        <tr r="G20" s="5"/>
        <tr r="G21" s="9"/>
      </tp>
      <tp t="e">
        <v>#N/A</v>
        <stp/>
        <stp>BDH|16383507513804867023</stp>
        <tr r="V21" s="18"/>
      </tp>
      <tp t="e">
        <v>#N/A</v>
        <stp/>
        <stp>BDH|10144481050990081735</stp>
        <tr r="M74" s="17"/>
        <tr r="M19" s="3"/>
      </tp>
      <tp t="e">
        <v>#N/A</v>
        <stp/>
        <stp>BDH|14307535074488637882</stp>
        <tr r="F29" s="24"/>
      </tp>
      <tp t="e">
        <v>#N/A</v>
        <stp/>
        <stp>BDH|12183636624873499388</stp>
        <tr r="V24" s="12"/>
      </tp>
      <tp t="e">
        <v>#N/A</v>
        <stp/>
        <stp>BDH|11122945914027902821</stp>
        <tr r="Q38" s="4"/>
        <tr r="Q60" s="11"/>
        <tr r="S13" s="23"/>
      </tp>
      <tp t="e">
        <v>#N/A</v>
        <stp/>
        <stp>BDH|16854152687319937091</stp>
        <tr r="Z32" s="12"/>
      </tp>
      <tp t="e">
        <v>#N/A</v>
        <stp/>
        <stp>BDH|16101214628714331416</stp>
        <tr r="J55" s="17"/>
      </tp>
      <tp t="e">
        <v>#N/A</v>
        <stp/>
        <stp>BDH|11921870402066300954</stp>
        <tr r="O29" s="24"/>
      </tp>
      <tp t="e">
        <v>#N/A</v>
        <stp/>
        <stp>BDH|18272181204387294868</stp>
        <tr r="AA10" s="30"/>
      </tp>
      <tp t="e">
        <v>#N/A</v>
        <stp/>
        <stp>BDH|12476020969153412113</stp>
        <tr r="Z21" s="24"/>
      </tp>
      <tp t="e">
        <v>#N/A</v>
        <stp/>
        <stp>BDH|11972713940684145032</stp>
        <tr r="X39" s="24"/>
      </tp>
      <tp t="e">
        <v>#N/A</v>
        <stp/>
        <stp>BDH|12839051832464716323</stp>
        <tr r="S6" s="28"/>
      </tp>
      <tp t="e">
        <v>#N/A</v>
        <stp/>
        <stp>BDH|16168548269035013614</stp>
        <tr r="L122" s="18"/>
      </tp>
      <tp t="e">
        <v>#N/A</v>
        <stp/>
        <stp>BDH|17558194132140598362</stp>
        <tr r="L9" s="17"/>
      </tp>
      <tp t="e">
        <v>#N/A</v>
        <stp/>
        <stp>BDH|17842606955843793179</stp>
        <tr r="D52" s="24"/>
      </tp>
      <tp t="e">
        <v>#N/A</v>
        <stp/>
        <stp>BDH|10931767545835458033</stp>
        <tr r="D18" s="30"/>
      </tp>
      <tp t="e">
        <v>#N/A</v>
        <stp/>
        <stp>BDH|12569006609967156306</stp>
        <tr r="I16" s="22"/>
      </tp>
      <tp t="e">
        <v>#N/A</v>
        <stp/>
        <stp>BDH|16916576312315459158</stp>
        <tr r="L48" s="10"/>
        <tr r="L46" s="11"/>
        <tr r="L15" s="7"/>
      </tp>
      <tp t="e">
        <v>#N/A</v>
        <stp/>
        <stp>BDH|13079822414228873439</stp>
        <tr r="W54" s="24"/>
      </tp>
      <tp t="e">
        <v>#N/A</v>
        <stp/>
        <stp>BDH|10046490302213587137</stp>
        <tr r="H65" s="18"/>
      </tp>
      <tp t="e">
        <v>#N/A</v>
        <stp/>
        <stp>BDH|17743387532573569258</stp>
        <tr r="AA47" s="12"/>
      </tp>
      <tp t="e">
        <v>#N/A</v>
        <stp/>
        <stp>BDH|11125278286649563482</stp>
        <tr r="I97" s="18"/>
      </tp>
      <tp t="e">
        <v>#N/A</v>
        <stp/>
        <stp>BDH|11024753933506893532</stp>
        <tr r="W44" s="21"/>
      </tp>
      <tp t="e">
        <v>#N/A</v>
        <stp/>
        <stp>BDH|11411188661028136815</stp>
        <tr r="S9" s="2"/>
        <tr r="U8" s="25"/>
        <tr r="S10" s="5"/>
      </tp>
      <tp t="e">
        <v>#N/A</v>
        <stp/>
        <stp>BDH|14067892292247483421</stp>
        <tr r="U8" s="8"/>
      </tp>
      <tp t="e">
        <v>#N/A</v>
        <stp/>
        <stp>BDH|13698877179108619230</stp>
        <tr r="K16" s="24"/>
      </tp>
      <tp t="e">
        <v>#N/A</v>
        <stp/>
        <stp>BDH|16943667744143593136</stp>
        <tr r="Q38" s="17"/>
      </tp>
      <tp t="e">
        <v>#N/A</v>
        <stp/>
        <stp>BDH|14821738687134646972</stp>
        <tr r="R9" s="28"/>
      </tp>
      <tp t="e">
        <v>#N/A</v>
        <stp/>
        <stp>BDH|16822187444096816318</stp>
        <tr r="G40" s="17"/>
        <tr r="G9" s="25"/>
      </tp>
      <tp t="e">
        <v>#N/A</v>
        <stp/>
        <stp>BDH|13898763560235038139</stp>
        <tr r="W54" s="17"/>
      </tp>
      <tp t="e">
        <v>#N/A</v>
        <stp/>
        <stp>BDH|16510297934535179446</stp>
        <tr r="M111" s="18"/>
      </tp>
      <tp t="e">
        <v>#N/A</v>
        <stp/>
        <stp>BDH|13784553211728841969</stp>
        <tr r="D92" s="18"/>
      </tp>
      <tp t="e">
        <v>#N/A</v>
        <stp/>
        <stp>BDH|16931053643711402566</stp>
        <tr r="T13" s="8"/>
      </tp>
      <tp t="e">
        <v>#N/A</v>
        <stp/>
        <stp>BDH|17330679068328992981</stp>
        <tr r="T87" s="17"/>
        <tr r="T27" s="25"/>
      </tp>
      <tp t="e">
        <v>#N/A</v>
        <stp/>
        <stp>BDH|13436836583642935701</stp>
        <tr r="V61" s="12"/>
      </tp>
      <tp t="e">
        <v>#N/A</v>
        <stp/>
        <stp>BDH|15359091616570837292</stp>
        <tr r="P129" s="18"/>
      </tp>
      <tp t="e">
        <v>#N/A</v>
        <stp/>
        <stp>BDH|16079024109528475821</stp>
        <tr r="N54" s="24"/>
      </tp>
      <tp t="e">
        <v>#N/A</v>
        <stp/>
        <stp>BDH|13572332106690871654</stp>
        <tr r="U6" s="27"/>
      </tp>
      <tp t="e">
        <v>#N/A</v>
        <stp/>
        <stp>BDH|16720263651127881058</stp>
        <tr r="R9" s="24"/>
      </tp>
      <tp t="e">
        <v>#N/A</v>
        <stp/>
        <stp>BDH|13243146467624824646</stp>
        <tr r="P14" s="29"/>
        <tr r="P34" s="29"/>
        <tr r="P23" s="29"/>
      </tp>
      <tp t="e">
        <v>#N/A</v>
        <stp/>
        <stp>BDH|10401282840037363723</stp>
        <tr r="H21" s="24"/>
      </tp>
      <tp t="e">
        <v>#N/A</v>
        <stp/>
        <stp>BDH|14891303750166459219</stp>
        <tr r="Q15" s="21"/>
      </tp>
      <tp t="e">
        <v>#N/A</v>
        <stp/>
        <stp>BDH|16482529035330673682</stp>
        <tr r="N125" s="18"/>
      </tp>
      <tp t="e">
        <v>#N/A</v>
        <stp/>
        <stp>BDH|13271529940843410791</stp>
        <tr r="E18" s="18"/>
      </tp>
      <tp t="e">
        <v>#N/A</v>
        <stp/>
        <stp>BDH|14058557330576028283</stp>
        <tr r="X35" s="21"/>
      </tp>
      <tp t="e">
        <v>#N/A</v>
        <stp/>
        <stp>BDH|13555765651025652293</stp>
        <tr r="J57" s="24"/>
      </tp>
      <tp t="e">
        <v>#N/A</v>
        <stp/>
        <stp>BDH|11590858207487988838</stp>
        <tr r="M20" s="25"/>
        <tr r="M13" s="27"/>
      </tp>
      <tp t="e">
        <v>#N/A</v>
        <stp/>
        <stp>BDH|16048937765778870737</stp>
        <tr r="F32" s="25"/>
        <tr r="F7" s="3"/>
        <tr r="D19" s="11"/>
        <tr r="F22" s="13"/>
        <tr r="F7" s="13"/>
      </tp>
      <tp t="e">
        <v>#N/A</v>
        <stp/>
        <stp>BDH|17093208198548782228</stp>
        <tr r="U24" s="4"/>
        <tr r="U59" s="11"/>
      </tp>
      <tp t="e">
        <v>#N/A</v>
        <stp/>
        <stp>BDH|12006146679617532557</stp>
        <tr r="Q41" s="12"/>
      </tp>
      <tp t="e">
        <v>#N/A</v>
        <stp/>
        <stp>BDH|17353003271713631589</stp>
        <tr r="X38" s="10"/>
        <tr r="X36" s="11"/>
      </tp>
      <tp t="e">
        <v>#N/A</v>
        <stp/>
        <stp>BDH|15353894322079238068</stp>
        <tr r="J19" s="22"/>
      </tp>
      <tp t="e">
        <v>#N/A</v>
        <stp/>
        <stp>BDH|15690444568284267543</stp>
        <tr r="L29" s="18"/>
      </tp>
      <tp t="e">
        <v>#N/A</v>
        <stp/>
        <stp>BDH|12099422919105370447</stp>
        <tr r="V28" s="18"/>
      </tp>
      <tp t="e">
        <v>#N/A</v>
        <stp/>
        <stp>BDH|14086997224658412152</stp>
        <tr r="S49" s="24"/>
      </tp>
      <tp t="e">
        <v>#N/A</v>
        <stp/>
        <stp>BDH|10105364920060845739</stp>
        <tr r="F32" s="22"/>
      </tp>
      <tp t="e">
        <v>#N/A</v>
        <stp/>
        <stp>BDH|17265666418995226322</stp>
        <tr r="I49" s="24"/>
      </tp>
      <tp t="e">
        <v>#N/A</v>
        <stp/>
        <stp>BDH|15300156159400299712</stp>
        <tr r="K23" s="25"/>
        <tr r="K16" s="27"/>
      </tp>
      <tp t="e">
        <v>#N/A</v>
        <stp/>
        <stp>BDH|16264687600642790417</stp>
        <tr r="N38" s="6"/>
      </tp>
      <tp t="e">
        <v>#N/A</v>
        <stp/>
        <stp>BDH|11526864586946975100</stp>
        <tr r="E17" s="12"/>
      </tp>
      <tp t="e">
        <v>#N/A</v>
        <stp/>
        <stp>BDH|16518795021221478459</stp>
        <tr r="L27" s="17"/>
      </tp>
      <tp t="e">
        <v>#N/A</v>
        <stp/>
        <stp>BDH|12903439977062225536</stp>
        <tr r="Q16" s="14"/>
      </tp>
      <tp t="e">
        <v>#N/A</v>
        <stp/>
        <stp>BDH|16197725783259830640</stp>
        <tr r="F57" s="17"/>
      </tp>
      <tp t="e">
        <v>#N/A</v>
        <stp/>
        <stp>BDH|13898178579872901135</stp>
        <tr r="K14" s="17"/>
        <tr r="K17" s="28"/>
      </tp>
      <tp t="e">
        <v>#N/A</v>
        <stp/>
        <stp>BDH|13664795384172769807</stp>
        <tr r="Q30" s="22"/>
      </tp>
      <tp t="e">
        <v>#N/A</v>
        <stp/>
        <stp>BDH|12809322917032314420</stp>
        <tr r="C25" s="25"/>
        <tr r="C18" s="27"/>
      </tp>
      <tp t="e">
        <v>#N/A</v>
        <stp/>
        <stp>BDH|12381491166776686065</stp>
        <tr r="C36" s="4"/>
      </tp>
      <tp t="e">
        <v>#N/A</v>
        <stp/>
        <stp>BDH|16513243353532640581</stp>
        <tr r="AA10" s="29"/>
        <tr r="AA19" s="29"/>
        <tr r="AA25" s="29"/>
        <tr r="Y6" s="2"/>
        <tr r="Y6" s="5"/>
        <tr r="Y6" s="9"/>
        <tr r="Z12" s="8"/>
      </tp>
      <tp t="e">
        <v>#N/A</v>
        <stp/>
        <stp>BDH|11436083720196065306</stp>
        <tr r="F24" s="29"/>
      </tp>
      <tp t="e">
        <v>#N/A</v>
        <stp/>
        <stp>BDH|10731623848936213239</stp>
        <tr r="O27" s="12"/>
      </tp>
      <tp t="e">
        <v>#N/A</v>
        <stp/>
        <stp>BDH|16423395821217632667</stp>
        <tr r="V40" s="24"/>
      </tp>
      <tp t="e">
        <v>#N/A</v>
        <stp/>
        <stp>BDH|13196397690527534819</stp>
        <tr r="P9" s="28"/>
      </tp>
      <tp t="e">
        <v>#N/A</v>
        <stp/>
        <stp>BDH|17064657105746809146</stp>
        <tr r="P61" s="12"/>
      </tp>
      <tp t="e">
        <v>#N/A</v>
        <stp/>
        <stp>BDH|10127003638077742225</stp>
        <tr r="R31" s="21"/>
      </tp>
      <tp t="e">
        <v>#N/A</v>
        <stp/>
        <stp>BDH|14545198257061485734</stp>
        <tr r="X59" s="12"/>
      </tp>
      <tp t="e">
        <v>#N/A</v>
        <stp/>
        <stp>BDH|12281105967335198687</stp>
        <tr r="T53" s="12"/>
      </tp>
      <tp t="e">
        <v>#N/A</v>
        <stp/>
        <stp>BDH|13803587438051650222</stp>
        <tr r="T18" s="10"/>
      </tp>
      <tp t="e">
        <v>#N/A</v>
        <stp/>
        <stp>BDH|16618889671757784840</stp>
        <tr r="O18" s="26"/>
      </tp>
      <tp t="e">
        <v>#N/A</v>
        <stp/>
        <stp>BDH|14731883777429029440</stp>
        <tr r="E46" s="24"/>
      </tp>
      <tp t="e">
        <v>#N/A</v>
        <stp/>
        <stp>BDH|13351710328581443122</stp>
        <tr r="E16" s="25"/>
        <tr r="C22" s="11"/>
      </tp>
      <tp t="e">
        <v>#N/A</v>
        <stp/>
        <stp>BDH|16706793560407671646</stp>
        <tr r="M34" s="12"/>
      </tp>
      <tp t="e">
        <v>#N/A</v>
        <stp/>
        <stp>BDH|18066092455219903292</stp>
        <tr r="E89" s="18"/>
        <tr r="E9" s="20"/>
      </tp>
      <tp t="e">
        <v>#N/A</v>
        <stp/>
        <stp>BDH|13475654483458897355</stp>
        <tr r="Y14" s="18"/>
      </tp>
      <tp t="e">
        <v>#N/A</v>
        <stp/>
        <stp>BDH|16248181175113294527</stp>
        <tr r="J6" s="19"/>
        <tr r="J34" s="17"/>
        <tr r="J16" s="3"/>
      </tp>
      <tp t="e">
        <v>#N/A</v>
        <stp/>
        <stp>BDH|12879958672382619867</stp>
        <tr r="E44" s="17"/>
      </tp>
      <tp t="e">
        <v>#N/A</v>
        <stp/>
        <stp>BDH|12338888896093692648</stp>
        <tr r="O16" s="28"/>
        <tr r="O13" s="17"/>
      </tp>
      <tp t="e">
        <v>#N/A</v>
        <stp/>
        <stp>BDH|17031459298405246903</stp>
        <tr r="T14" s="2"/>
        <tr r="T11" s="10"/>
      </tp>
      <tp t="e">
        <v>#N/A</v>
        <stp/>
        <stp>BDH|17426344304524988623</stp>
        <tr r="I11" s="13"/>
      </tp>
      <tp t="e">
        <v>#N/A</v>
        <stp/>
        <stp>BDH|14867514716907838180</stp>
        <tr r="M91" s="17"/>
      </tp>
      <tp t="e">
        <v>#N/A</v>
        <stp/>
        <stp>BDH|10965009046264545651</stp>
        <tr r="W52" s="24"/>
      </tp>
      <tp t="e">
        <v>#N/A</v>
        <stp/>
        <stp>BDH|16563512963932969113</stp>
        <tr r="C105" s="18"/>
      </tp>
      <tp t="e">
        <v>#N/A</v>
        <stp/>
        <stp>BDH|10981133275409713971</stp>
        <tr r="C43" s="18"/>
      </tp>
      <tp t="e">
        <v>#N/A</v>
        <stp/>
        <stp>BDH|12481487720030156225</stp>
        <tr r="S13" s="12"/>
      </tp>
      <tp t="e">
        <v>#N/A</v>
        <stp/>
        <stp>BDH|14454073024794099486</stp>
        <tr r="W70" s="24"/>
      </tp>
      <tp t="e">
        <v>#N/A</v>
        <stp/>
        <stp>BDH|15816642341337466668</stp>
        <tr r="V15" s="11"/>
      </tp>
      <tp t="e">
        <v>#N/A</v>
        <stp/>
        <stp>BDH|17720076636992003090</stp>
        <tr r="N8" s="21"/>
      </tp>
      <tp t="e">
        <v>#N/A</v>
        <stp/>
        <stp>BDH|16809166074843472514</stp>
        <tr r="Z49" s="24"/>
      </tp>
      <tp t="e">
        <v>#N/A</v>
        <stp/>
        <stp>BDH|13491584964411617715</stp>
        <tr r="X29" s="24"/>
      </tp>
      <tp t="e">
        <v>#N/A</v>
        <stp/>
        <stp>BDH|17087112889571006972</stp>
        <tr r="P92" s="18"/>
      </tp>
      <tp t="e">
        <v>#N/A</v>
        <stp/>
        <stp>BDH|16319785568001517098</stp>
        <tr r="M47" s="17"/>
      </tp>
      <tp t="e">
        <v>#N/A</v>
        <stp/>
        <stp>BDH|11415539219906287534</stp>
        <tr r="Q30" s="17"/>
      </tp>
      <tp t="e">
        <v>#N/A</v>
        <stp/>
        <stp>BDH|13901121341570137044</stp>
        <tr r="U91" s="17"/>
      </tp>
      <tp t="e">
        <v>#N/A</v>
        <stp/>
        <stp>BDH|12518861799486465310</stp>
        <tr r="X23" s="25"/>
        <tr r="X16" s="27"/>
      </tp>
      <tp t="e">
        <v>#N/A</v>
        <stp/>
        <stp>BDH|17600628958814780649</stp>
        <tr r="E111" s="18"/>
      </tp>
      <tp t="e">
        <v>#N/A</v>
        <stp/>
        <stp>BDH|12005390207627204037</stp>
        <tr r="N16" s="11"/>
      </tp>
      <tp t="e">
        <v>#N/A</v>
        <stp/>
        <stp>BDH|14507135958456588048</stp>
        <tr r="V25" s="17"/>
      </tp>
      <tp t="e">
        <v>#N/A</v>
        <stp/>
        <stp>BDH|11993556364820325445</stp>
        <tr r="R12" s="22"/>
      </tp>
      <tp t="e">
        <v>#N/A</v>
        <stp/>
        <stp>BDH|16832090707610972002</stp>
        <tr r="I11" s="6"/>
      </tp>
      <tp t="e">
        <v>#N/A</v>
        <stp/>
        <stp>BDH|14033985086565776663</stp>
        <tr r="M58" s="18"/>
      </tp>
      <tp t="e">
        <v>#N/A</v>
        <stp/>
        <stp>BDH|10691331496104570898</stp>
        <tr r="V63" s="10"/>
      </tp>
      <tp t="e">
        <v>#N/A</v>
        <stp/>
        <stp>BDH|17353908728432584817</stp>
        <tr r="G7" s="23"/>
      </tp>
      <tp t="e">
        <v>#N/A</v>
        <stp/>
        <stp>BDH|14024615722475921354</stp>
        <tr r="C40" s="18"/>
      </tp>
      <tp t="e">
        <v>#N/A</v>
        <stp/>
        <stp>BDH|10759733953104161094</stp>
        <tr r="M48" s="18"/>
      </tp>
      <tp t="e">
        <v>#N/A</v>
        <stp/>
        <stp>BDH|10979977686742238551</stp>
        <tr r="Z15" s="29"/>
        <tr r="Z35" s="29"/>
      </tp>
      <tp t="e">
        <v>#N/A</v>
        <stp/>
        <stp>BDH|11199056663040884103</stp>
        <tr r="I23" s="26"/>
      </tp>
      <tp t="e">
        <v>#N/A</v>
        <stp/>
        <stp>BDH|15838765075374367777</stp>
        <tr r="Y69" s="10"/>
        <tr r="Y67" s="11"/>
      </tp>
      <tp t="e">
        <v>#N/A</v>
        <stp/>
        <stp>BDH|10532071764140031094</stp>
        <tr r="R46" s="12"/>
      </tp>
      <tp t="e">
        <v>#N/A</v>
        <stp/>
        <stp>BDH|17470026058751165504</stp>
        <tr r="T78" s="18"/>
      </tp>
      <tp t="e">
        <v>#N/A</v>
        <stp/>
        <stp>BDH|14468595764283405225</stp>
        <tr r="P8" s="18"/>
      </tp>
      <tp t="e">
        <v>#N/A</v>
        <stp/>
        <stp>BDH|16635191403613293207</stp>
        <tr r="M47" s="12"/>
      </tp>
      <tp t="e">
        <v>#N/A</v>
        <stp/>
        <stp>BDH|17743721791837371895</stp>
        <tr r="P70" s="17"/>
      </tp>
      <tp t="e">
        <v>#N/A</v>
        <stp/>
        <stp>BDH|12870018278603843072</stp>
        <tr r="L17" s="22"/>
      </tp>
      <tp t="e">
        <v>#N/A</v>
        <stp/>
        <stp>BDH|16119486300737340349</stp>
        <tr r="C11" s="24"/>
      </tp>
      <tp t="e">
        <v>#N/A</v>
        <stp/>
        <stp>BDH|10873657102850610074</stp>
        <tr r="Z118" s="18"/>
      </tp>
      <tp t="e">
        <v>#N/A</v>
        <stp/>
        <stp>BDH|17687790555674622721</stp>
        <tr r="D15" s="18"/>
      </tp>
      <tp t="e">
        <v>#N/A</v>
        <stp/>
        <stp>BDH|11660289461770300325</stp>
        <tr r="I89" s="17"/>
        <tr r="I7" s="27"/>
      </tp>
      <tp t="e">
        <v>#N/A</v>
        <stp/>
        <stp>BDH|14780560454050842230</stp>
        <tr r="R43" s="10"/>
        <tr r="R41" s="11"/>
      </tp>
      <tp t="e">
        <v>#N/A</v>
        <stp/>
        <stp>BDH|11329755422445250785</stp>
        <tr r="J32" s="12"/>
      </tp>
      <tp t="e">
        <v>#N/A</v>
        <stp/>
        <stp>BDH|13160716168444248042</stp>
        <tr r="S11" s="12"/>
      </tp>
      <tp t="e">
        <v>#N/A</v>
        <stp/>
        <stp>BDH|13656586927051130361</stp>
        <tr r="W13" s="22"/>
      </tp>
      <tp t="e">
        <v>#N/A</v>
        <stp/>
        <stp>BDH|16033094510647411631</stp>
        <tr r="Z13" s="21"/>
      </tp>
      <tp t="e">
        <v>#N/A</v>
        <stp/>
        <stp>BDH|14035191820513669211</stp>
        <tr r="I100" s="18"/>
      </tp>
      <tp t="e">
        <v>#N/A</v>
        <stp/>
        <stp>BDH|16256864566666863841</stp>
        <tr r="AA48" s="17"/>
      </tp>
      <tp t="e">
        <v>#N/A</v>
        <stp/>
        <stp>BDH|15958766980788846497</stp>
        <tr r="E27" s="5"/>
        <tr r="E28" s="9"/>
      </tp>
      <tp t="e">
        <v>#N/A</v>
        <stp/>
        <stp>BDH|13340422200227625691</stp>
        <tr r="AA51" s="12"/>
      </tp>
      <tp t="e">
        <v>#N/A</v>
        <stp/>
        <stp>BDH|16683264169723287754</stp>
        <tr r="H9" s="21"/>
      </tp>
      <tp t="e">
        <v>#N/A</v>
        <stp/>
        <stp>BDH|16765131356467541390</stp>
        <tr r="D15" s="29"/>
        <tr r="D35" s="29"/>
      </tp>
      <tp t="e">
        <v>#N/A</v>
        <stp/>
        <stp>BDH|18079721696277820720</stp>
        <tr r="Q59" s="10"/>
      </tp>
      <tp t="e">
        <v>#N/A</v>
        <stp/>
        <stp>BDH|11209896981304227361</stp>
        <tr r="W19" s="24"/>
      </tp>
      <tp t="e">
        <v>#N/A</v>
        <stp/>
        <stp>BDH|13004625775925993103</stp>
        <tr r="T50" s="12"/>
      </tp>
      <tp t="e">
        <v>#N/A</v>
        <stp/>
        <stp>BDH|14908130634535130513</stp>
        <tr r="O20" s="10"/>
      </tp>
      <tp t="e">
        <v>#N/A</v>
        <stp/>
        <stp>BDH|10775168444512385187</stp>
        <tr r="Z58" s="12"/>
      </tp>
      <tp t="e">
        <v>#N/A</v>
        <stp/>
        <stp>BDH|16849152701723164233</stp>
        <tr r="N8" s="4"/>
      </tp>
      <tp t="e">
        <v>#N/A</v>
        <stp/>
        <stp>BDH|10862525097623335902</stp>
        <tr r="H8" s="27"/>
      </tp>
      <tp t="e">
        <v>#N/A</v>
        <stp/>
        <stp>BDH|13005912541809544045</stp>
        <tr r="C35" s="12"/>
      </tp>
      <tp t="e">
        <v>#N/A</v>
        <stp/>
        <stp>BDH|10219618675691714704</stp>
        <tr r="X87" s="17"/>
        <tr r="X27" s="25"/>
      </tp>
      <tp t="e">
        <v>#N/A</v>
        <stp/>
        <stp>BDH|10796413722474278570</stp>
        <tr r="O114" s="18"/>
      </tp>
      <tp t="e">
        <v>#N/A</v>
        <stp/>
        <stp>BDH|13392317256924467618</stp>
        <tr r="L16" s="10"/>
      </tp>
      <tp t="e">
        <v>#N/A</v>
        <stp/>
        <stp>BDH|12317302937283200678</stp>
        <tr r="U63" s="12"/>
      </tp>
      <tp t="e">
        <v>#N/A</v>
        <stp/>
        <stp>BDH|13774976942910710941</stp>
        <tr r="N25" s="3"/>
      </tp>
      <tp t="e">
        <v>#N/A</v>
        <stp/>
        <stp>BDH|12579189426747201181</stp>
        <tr r="V37" s="21"/>
        <tr r="V24" s="3"/>
      </tp>
      <tp t="e">
        <v>#N/A</v>
        <stp/>
        <stp>BDH|17141802604849310177</stp>
        <tr r="L20" s="30"/>
      </tp>
      <tp t="e">
        <v>#N/A</v>
        <stp/>
        <stp>BDH|15334769014632049607</stp>
        <tr r="G7" s="17"/>
      </tp>
      <tp t="e">
        <v>#N/A</v>
        <stp/>
        <stp>BDH|16991074149560243543</stp>
        <tr r="J19" s="6"/>
      </tp>
      <tp t="e">
        <v>#N/A</v>
        <stp/>
        <stp>BDH|13815581124737683430</stp>
        <tr r="R39" s="13"/>
      </tp>
      <tp t="e">
        <v>#N/A</v>
        <stp/>
        <stp>BDH|15565769730723416566</stp>
        <tr r="U13" s="9"/>
      </tp>
      <tp t="e">
        <v>#N/A</v>
        <stp/>
        <stp>BDH|17327335050883640575</stp>
        <tr r="E14" s="13"/>
      </tp>
      <tp t="e">
        <v>#N/A</v>
        <stp/>
        <stp>BDH|14922587312310289700</stp>
        <tr r="C36" s="18"/>
      </tp>
      <tp t="e">
        <v>#N/A</v>
        <stp/>
        <stp>BDH|10330430708576092591</stp>
        <tr r="I38" s="34"/>
      </tp>
      <tp t="e">
        <v>#N/A</v>
        <stp/>
        <stp>BDH|15011418331280026515</stp>
        <tr r="AA19" s="26"/>
      </tp>
      <tp t="e">
        <v>#N/A</v>
        <stp/>
        <stp>BDH|10828116726777667389</stp>
        <tr r="G69" s="10"/>
        <tr r="G67" s="11"/>
      </tp>
      <tp t="e">
        <v>#N/A</v>
        <stp/>
        <stp>BDH|17886658029411507506</stp>
        <tr r="G47" s="12"/>
      </tp>
      <tp t="e">
        <v>#N/A</v>
        <stp/>
        <stp>BDH|10498036517275598346</stp>
        <tr r="H49" s="4"/>
      </tp>
      <tp t="e">
        <v>#N/A</v>
        <stp/>
        <stp>BDH|10554519267994350011</stp>
        <tr r="AA83" s="18"/>
      </tp>
      <tp t="e">
        <v>#N/A</v>
        <stp/>
        <stp>BDH|18356411533809358138</stp>
        <tr r="U126" s="18"/>
      </tp>
      <tp t="e">
        <v>#N/A</v>
        <stp/>
        <stp>BDH|15000061389522959871</stp>
        <tr r="E49" s="24"/>
      </tp>
      <tp t="e">
        <v>#N/A</v>
        <stp/>
        <stp>BDH|17721062562040200600</stp>
        <tr r="Y24" s="11"/>
      </tp>
      <tp t="e">
        <v>#N/A</v>
        <stp/>
        <stp>BDH|10470428227050664169</stp>
        <tr r="G16" s="12"/>
      </tp>
      <tp t="e">
        <v>#N/A</v>
        <stp/>
        <stp>BDH|13256606215374641704</stp>
        <tr r="AA53" s="18"/>
      </tp>
      <tp t="e">
        <v>#N/A</v>
        <stp/>
        <stp>BDH|15462842427401567931</stp>
        <tr r="H8" s="2"/>
      </tp>
      <tp t="e">
        <v>#N/A</v>
        <stp/>
        <stp>BDH|13550222577415666472</stp>
        <tr r="L7" s="17"/>
      </tp>
      <tp t="e">
        <v>#N/A</v>
        <stp/>
        <stp>BDH|14557771223891499743</stp>
        <tr r="AA21" s="27"/>
      </tp>
      <tp t="e">
        <v>#N/A</v>
        <stp/>
        <stp>BDH|10711083127564165187</stp>
        <tr r="M125" s="18"/>
      </tp>
      <tp t="e">
        <v>#N/A</v>
        <stp/>
        <stp>BDH|16809640715254034284</stp>
        <tr r="C21" s="12"/>
      </tp>
      <tp t="e">
        <v>#N/A</v>
        <stp/>
        <stp>BDH|13197649110953759039</stp>
        <tr r="D57" s="24"/>
      </tp>
      <tp t="e">
        <v>#N/A</v>
        <stp/>
        <stp>BDH|13623454932582144112</stp>
        <tr r="V81" s="17"/>
      </tp>
      <tp t="e">
        <v>#N/A</v>
        <stp/>
        <stp>BDH|14127703157128000974</stp>
        <tr r="J14" s="27"/>
        <tr r="J21" s="25"/>
      </tp>
      <tp t="e">
        <v>#N/A</v>
        <stp/>
        <stp>BDH|13295859513379435414</stp>
        <tr r="O24" s="29"/>
      </tp>
      <tp t="e">
        <v>#N/A</v>
        <stp/>
        <stp>BDH|16151788543220368292</stp>
        <tr r="P57" s="24"/>
      </tp>
      <tp t="e">
        <v>#N/A</v>
        <stp/>
        <stp>BDH|10192436603582807191</stp>
        <tr r="W122" s="18"/>
      </tp>
      <tp t="e">
        <v>#N/A</v>
        <stp/>
        <stp>BDH|13797526074217143102</stp>
        <tr r="AA83" s="17"/>
      </tp>
      <tp t="e">
        <v>#N/A</v>
        <stp/>
        <stp>BDH|10898605777624699298</stp>
        <tr r="N24" s="2"/>
      </tp>
      <tp t="e">
        <v>#N/A</v>
        <stp/>
        <stp>BDH|10264095834832849674</stp>
        <tr r="R24" s="2"/>
      </tp>
      <tp t="e">
        <v>#N/A</v>
        <stp/>
        <stp>BDH|13674066864674157658</stp>
        <tr r="Z47" s="12"/>
      </tp>
      <tp t="e">
        <v>#N/A</v>
        <stp/>
        <stp>BDH|13293667176914388115</stp>
        <tr r="U69" s="24"/>
      </tp>
      <tp t="e">
        <v>#N/A</v>
        <stp/>
        <stp>BDH|10039828407288350766</stp>
        <tr r="H42" s="12"/>
      </tp>
      <tp t="e">
        <v>#N/A</v>
        <stp/>
        <stp>BDH|14277020724557691621</stp>
        <tr r="H9" s="3"/>
        <tr r="F47" s="10"/>
        <tr r="F45" s="11"/>
        <tr r="F14" s="7"/>
      </tp>
      <tp t="e">
        <v>#N/A</v>
        <stp/>
        <stp>BDH|10564202147316192734</stp>
        <tr r="O7" s="23"/>
      </tp>
      <tp t="e">
        <v>#N/A</v>
        <stp/>
        <stp>BDH|15349858054976644948</stp>
        <tr r="R49" s="10"/>
        <tr r="R47" s="11"/>
        <tr r="R16" s="7"/>
      </tp>
      <tp t="e">
        <v>#N/A</v>
        <stp/>
        <stp>BDH|16951412368227244428</stp>
        <tr r="O31" s="18"/>
      </tp>
      <tp t="e">
        <v>#N/A</v>
        <stp/>
        <stp>BDH|10547538453352477510</stp>
        <tr r="W72" s="17"/>
      </tp>
      <tp t="e">
        <v>#N/A</v>
        <stp/>
        <stp>BDH|10067806923238743549</stp>
        <tr r="Y22" s="4"/>
      </tp>
      <tp t="e">
        <v>#N/A</v>
        <stp/>
        <stp>BDH|14406241709091891017</stp>
        <tr r="K7" s="14"/>
      </tp>
      <tp t="e">
        <v>#N/A</v>
        <stp/>
        <stp>BDH|14177977844308187634</stp>
        <tr r="I20" s="24"/>
      </tp>
      <tp t="e">
        <v>#N/A</v>
        <stp/>
        <stp>BDH|11758601396488572148</stp>
        <tr r="I52" s="18"/>
      </tp>
      <tp t="e">
        <v>#N/A</v>
        <stp/>
        <stp>BDH|15490457433994122138</stp>
        <tr r="Y70" s="17"/>
      </tp>
      <tp t="e">
        <v>#N/A</v>
        <stp/>
        <stp>BDH|15407884650847412880</stp>
        <tr r="AA120" s="18"/>
      </tp>
      <tp t="e">
        <v>#N/A</v>
        <stp/>
        <stp>BDH|13898409305345429592</stp>
        <tr r="I58" s="24"/>
      </tp>
      <tp t="e">
        <v>#N/A</v>
        <stp/>
        <stp>BDH|18216373062778760200</stp>
        <tr r="L23" s="11"/>
      </tp>
      <tp t="e">
        <v>#N/A</v>
        <stp/>
        <stp>BDH|16863370461214745093</stp>
        <tr r="X51" s="12"/>
      </tp>
      <tp t="e">
        <v>#N/A</v>
        <stp/>
        <stp>BDH|16520150697221223850</stp>
        <tr r="C9" s="8"/>
      </tp>
      <tp t="e">
        <v>#N/A</v>
        <stp/>
        <stp>BDH|12967480924646495518</stp>
        <tr r="Y39" s="13"/>
      </tp>
      <tp t="e">
        <v>#N/A</v>
        <stp/>
        <stp>BDH|14231186538676377715</stp>
        <tr r="S9" s="17"/>
      </tp>
      <tp t="e">
        <v>#N/A</v>
        <stp/>
        <stp>BDH|15888703329436598147</stp>
        <tr r="V28" s="4"/>
      </tp>
      <tp t="e">
        <v>#N/A</v>
        <stp/>
        <stp>BDH|13542646273870195533</stp>
        <tr r="T13" s="18"/>
      </tp>
      <tp t="e">
        <v>#N/A</v>
        <stp/>
        <stp>BDH|16042794573384951531</stp>
        <tr r="G45" s="18"/>
      </tp>
      <tp t="e">
        <v>#N/A</v>
        <stp/>
        <stp>BDH|13667083016422119796</stp>
        <tr r="K8" s="12"/>
      </tp>
      <tp t="e">
        <v>#N/A</v>
        <stp/>
        <stp>BDH|13139630810514275707</stp>
        <tr r="X86" s="18"/>
        <tr r="X6" s="20"/>
      </tp>
      <tp t="e">
        <v>#N/A</v>
        <stp/>
        <stp>BDH|16305161828817543588</stp>
        <tr r="K22" s="24"/>
      </tp>
      <tp t="e">
        <v>#N/A</v>
        <stp/>
        <stp>BDH|14082708885464185849</stp>
        <tr r="L64" s="24"/>
      </tp>
      <tp t="e">
        <v>#N/A</v>
        <stp/>
        <stp>BDH|17501825907401343930</stp>
        <tr r="T21" s="5"/>
      </tp>
      <tp t="e">
        <v>#N/A</v>
        <stp/>
        <stp>BDH|16120324169784243080</stp>
        <tr r="C37" s="22"/>
      </tp>
      <tp t="e">
        <v>#N/A</v>
        <stp/>
        <stp>BDH|17304844146099099518</stp>
        <tr r="S28" s="6"/>
      </tp>
      <tp t="e">
        <v>#N/A</v>
        <stp/>
        <stp>BDH|11544261302393277735</stp>
        <tr r="H10" s="6"/>
      </tp>
      <tp t="e">
        <v>#N/A</v>
        <stp/>
        <stp>BDH|11657170928590865512</stp>
        <tr r="V50" s="21"/>
      </tp>
      <tp t="e">
        <v>#N/A</v>
        <stp/>
        <stp>BDH|13962418337136780583</stp>
        <tr r="N67" s="24"/>
      </tp>
      <tp t="e">
        <v>#N/A</v>
        <stp/>
        <stp>BDH|12692669616296780421</stp>
        <tr r="H17" s="23"/>
      </tp>
      <tp t="e">
        <v>#N/A</v>
        <stp/>
        <stp>BDH|17983414710426264395</stp>
        <tr r="W61" s="17"/>
      </tp>
      <tp t="e">
        <v>#N/A</v>
        <stp/>
        <stp>BDH|18336227255351058978</stp>
        <tr r="J85" s="17"/>
      </tp>
      <tp t="e">
        <v>#N/A</v>
        <stp/>
        <stp>BDH|11322644281969314164</stp>
        <tr r="X61" s="18"/>
      </tp>
      <tp t="e">
        <v>#N/A</v>
        <stp/>
        <stp>BDH|11484543206365662634</stp>
        <tr r="P16" s="22"/>
      </tp>
      <tp t="e">
        <v>#N/A</v>
        <stp/>
        <stp>BDH|14097361363190203640</stp>
        <tr r="J17" s="28"/>
        <tr r="J14" s="17"/>
      </tp>
      <tp t="e">
        <v>#N/A</v>
        <stp/>
        <stp>BDH|10069108755201767213</stp>
        <tr r="S64" s="24"/>
      </tp>
      <tp t="e">
        <v>#N/A</v>
        <stp/>
        <stp>BDH|11554117027784490144</stp>
        <tr r="N12" s="7"/>
      </tp>
      <tp t="e">
        <v>#N/A</v>
        <stp/>
        <stp>BDH|12966716978390394502</stp>
        <tr r="T23" s="25"/>
        <tr r="T16" s="27"/>
      </tp>
      <tp t="e">
        <v>#N/A</v>
        <stp/>
        <stp>BDH|14394961451659562627</stp>
        <tr r="I59" s="24"/>
      </tp>
      <tp t="e">
        <v>#N/A</v>
        <stp/>
        <stp>BDH|14181259114720684051</stp>
        <tr r="E35" s="22"/>
      </tp>
      <tp t="e">
        <v>#N/A</v>
        <stp/>
        <stp>BDH|17640242422322286213</stp>
        <tr r="N88" s="18"/>
        <tr r="N8" s="20"/>
      </tp>
      <tp t="e">
        <v>#N/A</v>
        <stp/>
        <stp>BDH|16176419902591433455</stp>
        <tr r="G11" s="29"/>
      </tp>
      <tp t="e">
        <v>#N/A</v>
        <stp/>
        <stp>BDH|15778126160630204544</stp>
        <tr r="L63" s="17"/>
      </tp>
      <tp t="e">
        <v>#N/A</v>
        <stp/>
        <stp>BDH|13941274666159805933</stp>
        <tr r="N43" s="4"/>
      </tp>
      <tp t="e">
        <v>#N/A</v>
        <stp/>
        <stp>BDH|15481387268161182664</stp>
        <tr r="R26" s="17"/>
      </tp>
      <tp t="e">
        <v>#N/A</v>
        <stp/>
        <stp>BDH|12068815581195072037</stp>
        <tr r="H9" s="17"/>
      </tp>
      <tp t="e">
        <v>#N/A</v>
        <stp/>
        <stp>BDH|17013577725556421150</stp>
        <tr r="C89" s="18"/>
        <tr r="C9" s="20"/>
      </tp>
      <tp t="e">
        <v>#N/A</v>
        <stp/>
        <stp>BDH|17958896492075078415</stp>
        <tr r="V28" s="5"/>
      </tp>
      <tp t="e">
        <v>#N/A</v>
        <stp/>
        <stp>BDH|13827746519003070162</stp>
        <tr r="J10" s="12"/>
      </tp>
      <tp t="e">
        <v>#N/A</v>
        <stp/>
        <stp>BDH|12132274234486313222</stp>
        <tr r="M17" s="14"/>
      </tp>
      <tp t="e">
        <v>#N/A</v>
        <stp/>
        <stp>BDH|15579966032789165130</stp>
        <tr r="T16" s="23"/>
      </tp>
      <tp t="e">
        <v>#N/A</v>
        <stp/>
        <stp>BDH|10259777702578468801</stp>
        <tr r="V18" s="5"/>
        <tr r="U31" s="6"/>
      </tp>
      <tp t="e">
        <v>#N/A</v>
        <stp/>
        <stp>BDH|12208579937880778366</stp>
        <tr r="Y10" s="17"/>
      </tp>
      <tp t="e">
        <v>#N/A</v>
        <stp/>
        <stp>BDH|13842084565434127676</stp>
        <tr r="I15" s="5"/>
      </tp>
      <tp t="e">
        <v>#N/A</v>
        <stp/>
        <stp>BDH|16489165501151986193</stp>
        <tr r="I27" s="7"/>
      </tp>
      <tp t="e">
        <v>#N/A</v>
        <stp/>
        <stp>BDH|18003840552101619337</stp>
        <tr r="C32" s="26"/>
      </tp>
      <tp t="e">
        <v>#N/A</v>
        <stp/>
        <stp>BDH|14860881404092266956</stp>
        <tr r="Y27" s="7"/>
      </tp>
      <tp t="e">
        <v>#N/A</v>
        <stp/>
        <stp>BDH|16422949012138450158</stp>
        <tr r="R15" s="22"/>
      </tp>
      <tp t="e">
        <v>#N/A</v>
        <stp/>
        <stp>BDH|17756325873756104241</stp>
        <tr r="U81" s="17"/>
      </tp>
      <tp t="e">
        <v>#N/A</v>
        <stp/>
        <stp>BDH|11962798476896726022</stp>
        <tr r="Q42" s="17"/>
      </tp>
      <tp t="e">
        <v>#N/A</v>
        <stp/>
        <stp>BDH|10613313651560038152</stp>
        <tr r="I59" s="10"/>
      </tp>
      <tp t="e">
        <v>#N/A</v>
        <stp/>
        <stp>BDH|10739847611388359627</stp>
        <tr r="S47" s="17"/>
      </tp>
      <tp t="e">
        <v>#N/A</v>
        <stp/>
        <stp>BDH|17043193102432947312</stp>
        <tr r="O49" s="18"/>
      </tp>
      <tp t="e">
        <v>#N/A</v>
        <stp/>
        <stp>BDH|17749750251084295629</stp>
        <tr r="P43" s="17"/>
      </tp>
      <tp t="e">
        <v>#N/A</v>
        <stp/>
        <stp>BDH|11564574014432346066</stp>
        <tr r="J31" s="22"/>
      </tp>
      <tp t="e">
        <v>#N/A</v>
        <stp/>
        <stp>BDH|10289441590639606324</stp>
        <tr r="I39" s="22"/>
      </tp>
      <tp t="e">
        <v>#N/A</v>
        <stp/>
        <stp>BDH|13908078304570860402</stp>
        <tr r="E19" s="28"/>
        <tr r="E16" s="17"/>
      </tp>
      <tp t="e">
        <v>#N/A</v>
        <stp/>
        <stp>BDH|14038072086028485370</stp>
        <tr r="AA54" s="17"/>
      </tp>
      <tp t="e">
        <v>#N/A</v>
        <stp/>
        <stp>BDH|10688295783175842861</stp>
        <tr r="F8" s="28"/>
      </tp>
      <tp t="e">
        <v>#N/A</v>
        <stp/>
        <stp>BDH|16092537455361150051</stp>
        <tr r="Z18" s="12"/>
      </tp>
      <tp t="e">
        <v>#N/A</v>
        <stp/>
        <stp>BDH|17383155599420979846</stp>
        <tr r="Y58" s="18"/>
      </tp>
      <tp t="e">
        <v>#N/A</v>
        <stp/>
        <stp>BDH|18107315155128590122</stp>
        <tr r="K45" s="34"/>
      </tp>
      <tp t="e">
        <v>#N/A</v>
        <stp/>
        <stp>BDH|16114008247243510614</stp>
        <tr r="J37" s="17"/>
      </tp>
      <tp t="e">
        <v>#N/A</v>
        <stp/>
        <stp>BDH|14823812174768782482</stp>
        <tr r="U121" s="18"/>
      </tp>
      <tp t="e">
        <v>#N/A</v>
        <stp/>
        <stp>BDH|13351531563287892093</stp>
        <tr r="T17" s="29"/>
        <tr r="T37" s="29"/>
      </tp>
      <tp t="e">
        <v>#N/A</v>
        <stp/>
        <stp>BDH|14159176047615355303</stp>
        <tr r="T49" s="12"/>
      </tp>
      <tp t="e">
        <v>#N/A</v>
        <stp/>
        <stp>BDH|11137855562150425806</stp>
        <tr r="T13" s="12"/>
      </tp>
      <tp t="e">
        <v>#N/A</v>
        <stp/>
        <stp>BDH|16128328240401090715</stp>
        <tr r="T11" s="3"/>
        <tr r="R46" s="10"/>
        <tr r="R44" s="11"/>
        <tr r="R8" s="7"/>
      </tp>
      <tp t="e">
        <v>#N/A</v>
        <stp/>
        <stp>BDH|15970160927641247084</stp>
        <tr r="N23" s="24"/>
      </tp>
      <tp t="e">
        <v>#N/A</v>
        <stp/>
        <stp>BDH|13177606111714326715</stp>
        <tr r="R13" s="12"/>
      </tp>
      <tp t="e">
        <v>#N/A</v>
        <stp/>
        <stp>BDH|15595763878497889516</stp>
        <tr r="G32" s="26"/>
      </tp>
      <tp t="e">
        <v>#N/A</v>
        <stp/>
        <stp>BDH|17143309260795281012</stp>
        <tr r="F20" s="2"/>
        <tr r="F18" s="4"/>
        <tr r="F54" s="10"/>
        <tr r="F52" s="11"/>
        <tr r="F19" s="7"/>
        <tr r="H41" s="13"/>
      </tp>
      <tp t="e">
        <v>#N/A</v>
        <stp/>
        <stp>BDH|13104292667504459492</stp>
        <tr r="P95" s="18"/>
      </tp>
      <tp t="e">
        <v>#N/A</v>
        <stp/>
        <stp>BDH|16800947080249858967</stp>
        <tr r="U55" s="18"/>
      </tp>
      <tp t="e">
        <v>#N/A</v>
        <stp/>
        <stp>BDH|10835303935980883776</stp>
        <tr r="H37" s="22"/>
      </tp>
      <tp t="e">
        <v>#N/A</v>
        <stp/>
        <stp>BDH|15008965972965395952</stp>
        <tr r="X21" s="5"/>
      </tp>
      <tp t="e">
        <v>#N/A</v>
        <stp/>
        <stp>BDH|14819764348924196453</stp>
        <tr r="R71" s="18"/>
      </tp>
      <tp t="e">
        <v>#N/A</v>
        <stp/>
        <stp>BDH|16058522334431541611</stp>
        <tr r="G8" s="26"/>
        <tr r="E10" s="9"/>
      </tp>
      <tp t="e">
        <v>#N/A</v>
        <stp/>
        <stp>BDH|11422484698632550933</stp>
        <tr r="Q55" s="12"/>
      </tp>
      <tp t="e">
        <v>#N/A</v>
        <stp/>
        <stp>BDH|14650164826595677525</stp>
        <tr r="Y61" s="17"/>
      </tp>
      <tp t="e">
        <v>#N/A</v>
        <stp/>
        <stp>BDH|12925110758217402666</stp>
        <tr r="R7" s="24"/>
      </tp>
      <tp t="e">
        <v>#N/A</v>
        <stp/>
        <stp>BDH|11500066890038941787</stp>
        <tr r="F16" s="10"/>
      </tp>
      <tp t="e">
        <v>#N/A</v>
        <stp/>
        <stp>BDH|14294147925977210733</stp>
        <tr r="R38" s="24"/>
      </tp>
      <tp t="e">
        <v>#N/A</v>
        <stp/>
        <stp>BDH|13398288077352908377</stp>
        <tr r="R18" s="22"/>
      </tp>
      <tp t="e">
        <v>#N/A</v>
        <stp/>
        <stp>BDH|16463322739026467797</stp>
        <tr r="O18" s="14"/>
      </tp>
      <tp t="e">
        <v>#N/A</v>
        <stp/>
        <stp>BDH|10469701864192660444</stp>
        <tr r="O24" s="21"/>
      </tp>
      <tp t="e">
        <v>#N/A</v>
        <stp/>
        <stp>BDH|16819163937632336183</stp>
        <tr r="P22" s="24"/>
      </tp>
      <tp t="e">
        <v>#N/A</v>
        <stp/>
        <stp>BDH|17528487449790714017</stp>
        <tr r="C8" s="25"/>
      </tp>
      <tp t="e">
        <v>#N/A</v>
        <stp/>
        <stp>BDH|10311813156802559844</stp>
        <tr r="U11" s="28"/>
      </tp>
      <tp t="e">
        <v>#N/A</v>
        <stp/>
        <stp>BDH|18382938927557363319</stp>
        <tr r="AA12" s="14"/>
      </tp>
      <tp t="e">
        <v>#N/A</v>
        <stp/>
        <stp>BDH|10046279729995360288</stp>
        <tr r="L7" s="30"/>
      </tp>
      <tp t="e">
        <v>#N/A</v>
        <stp/>
        <stp>BDH|10024809819286830840</stp>
        <tr r="O6" s="28"/>
      </tp>
      <tp t="e">
        <v>#N/A</v>
        <stp/>
        <stp>BDH|10025352031760193704</stp>
        <tr r="F130" s="18"/>
      </tp>
      <tp t="e">
        <v>#N/A</v>
        <stp/>
        <stp>BDH|13560898898435970084</stp>
        <tr r="C25" s="17"/>
      </tp>
      <tp t="e">
        <v>#N/A</v>
        <stp/>
        <stp>BDH|11215712275307787141</stp>
        <tr r="Z57" s="18"/>
      </tp>
      <tp t="e">
        <v>#N/A</v>
        <stp/>
        <stp>BDH|15124659235475366271</stp>
        <tr r="K10" s="6"/>
      </tp>
      <tp t="e">
        <v>#N/A</v>
        <stp/>
        <stp>BDH|18313259895694475024</stp>
        <tr r="T8" s="23"/>
      </tp>
      <tp t="e">
        <v>#N/A</v>
        <stp/>
        <stp>BDH|16686671243681444237</stp>
        <tr r="I90" s="18"/>
      </tp>
      <tp t="e">
        <v>#N/A</v>
        <stp/>
        <stp>BDH|11916177979192222206</stp>
        <tr r="M31" s="21"/>
      </tp>
      <tp t="e">
        <v>#N/A</v>
        <stp/>
        <stp>BDH|17908191174320295639</stp>
        <tr r="E6" s="28"/>
      </tp>
      <tp t="e">
        <v>#N/A</v>
        <stp/>
        <stp>BDH|12145247756596221446</stp>
        <tr r="H18" s="12"/>
      </tp>
      <tp t="e">
        <v>#N/A</v>
        <stp/>
        <stp>BDH|15829422747885097783</stp>
        <tr r="P6" s="28"/>
      </tp>
      <tp t="e">
        <v>#N/A</v>
        <stp/>
        <stp>BDH|16592763532614580115</stp>
        <tr r="K48" s="12"/>
      </tp>
      <tp t="e">
        <v>#N/A</v>
        <stp/>
        <stp>BDH|10874321649835280547</stp>
        <tr r="H45" s="12"/>
      </tp>
      <tp t="e">
        <v>#N/A</v>
        <stp/>
        <stp>BDH|12498020163696085507</stp>
        <tr r="M34" s="22"/>
      </tp>
      <tp t="e">
        <v>#N/A</v>
        <stp/>
        <stp>BDH|12296994212925826846</stp>
        <tr r="H70" s="24"/>
      </tp>
      <tp t="e">
        <v>#N/A</v>
        <stp/>
        <stp>BDH|14971095366472029733</stp>
        <tr r="T23" s="22"/>
      </tp>
      <tp t="e">
        <v>#N/A</v>
        <stp/>
        <stp>BDH|15579170592568231276</stp>
        <tr r="E37" s="17"/>
      </tp>
      <tp t="e">
        <v>#N/A</v>
        <stp/>
        <stp>BDH|10106312003304410027</stp>
        <tr r="V54" s="21"/>
      </tp>
      <tp t="e">
        <v>#N/A</v>
        <stp/>
        <stp>BDH|17250763671121055105</stp>
        <tr r="S43" s="4"/>
      </tp>
      <tp t="e">
        <v>#N/A</v>
        <stp/>
        <stp>BDH|13313752096679747327</stp>
        <tr r="H32" s="26"/>
      </tp>
      <tp t="e">
        <v>#N/A</v>
        <stp/>
        <stp>BDH|14440633747713358260</stp>
        <tr r="H58" s="11"/>
      </tp>
      <tp t="e">
        <v>#N/A</v>
        <stp/>
        <stp>BDH|12427910652100476961</stp>
        <tr r="R103" s="18"/>
      </tp>
      <tp t="e">
        <v>#N/A</v>
        <stp/>
        <stp>BDH|14338696729012309550</stp>
        <tr r="V111" s="18"/>
      </tp>
      <tp t="e">
        <v>#N/A</v>
        <stp/>
        <stp>BDH|11521258760914618636</stp>
        <tr r="R77" s="18"/>
      </tp>
      <tp t="e">
        <v>#N/A</v>
        <stp/>
        <stp>BDH|10801937598652149571</stp>
        <tr r="X80" s="18"/>
      </tp>
      <tp t="e">
        <v>#N/A</v>
        <stp/>
        <stp>BDH|10581523926089484907</stp>
        <tr r="G42" s="21"/>
      </tp>
      <tp t="e">
        <v>#N/A</v>
        <stp/>
        <stp>BDH|16564738657361420214</stp>
        <tr r="T32" s="12"/>
      </tp>
      <tp t="e">
        <v>#N/A</v>
        <stp/>
        <stp>BDH|16433281524827495688</stp>
        <tr r="D37" s="21"/>
        <tr r="D24" s="3"/>
      </tp>
      <tp t="e">
        <v>#N/A</v>
        <stp/>
        <stp>BDH|10297021721261435412</stp>
        <tr r="H27" s="18"/>
      </tp>
      <tp t="e">
        <v>#N/A</v>
        <stp/>
        <stp>BDH|17638103942155330038</stp>
        <tr r="F13" s="5"/>
      </tp>
      <tp t="e">
        <v>#N/A</v>
        <stp/>
        <stp>BDH|16436596140096059699</stp>
        <tr r="L34" s="22"/>
      </tp>
      <tp t="e">
        <v>#N/A</v>
        <stp/>
        <stp>BDH|14589150912192217140</stp>
        <tr r="I18" s="20"/>
      </tp>
      <tp t="e">
        <v>#N/A</v>
        <stp/>
        <stp>BDH|10781964365031721976</stp>
        <tr r="S74" s="18"/>
      </tp>
      <tp t="e">
        <v>#N/A</v>
        <stp/>
        <stp>BDH|12723129052578679956</stp>
        <tr r="I66" s="17"/>
      </tp>
      <tp t="e">
        <v>#N/A</v>
        <stp/>
        <stp>BDH|14370385066183097595</stp>
        <tr r="R15" s="12"/>
      </tp>
      <tp t="e">
        <v>#N/A</v>
        <stp/>
        <stp>BDH|15351014028207896764</stp>
        <tr r="G21" s="26"/>
      </tp>
      <tp t="e">
        <v>#N/A</v>
        <stp/>
        <stp>BDH|16467842513878694018</stp>
        <tr r="C121" s="18"/>
      </tp>
      <tp t="e">
        <v>#N/A</v>
        <stp/>
        <stp>BDH|17037216979875936052</stp>
        <tr r="N9" s="6"/>
      </tp>
      <tp t="e">
        <v>#N/A</v>
        <stp/>
        <stp>BDH|11008599066343805636</stp>
        <tr r="F61" s="24"/>
      </tp>
      <tp t="e">
        <v>#N/A</v>
        <stp/>
        <stp>BDH|14689208707849353861</stp>
        <tr r="I29" s="18"/>
      </tp>
      <tp t="e">
        <v>#N/A</v>
        <stp/>
        <stp>BDH|13280877977972794913</stp>
        <tr r="E8" s="8"/>
      </tp>
      <tp t="e">
        <v>#N/A</v>
        <stp/>
        <stp>BDH|13197021248441679198</stp>
        <tr r="M45" s="18"/>
      </tp>
      <tp t="e">
        <v>#N/A</v>
        <stp/>
        <stp>BDH|11691407590269669249</stp>
        <tr r="C33" s="6"/>
        <tr r="E6" s="8"/>
      </tp>
      <tp t="e">
        <v>#N/A</v>
        <stp/>
        <stp>BDH|10027467103710394328</stp>
        <tr r="M15" s="9"/>
      </tp>
      <tp t="e">
        <v>#N/A</v>
        <stp/>
        <stp>BDH|17549788328744293130</stp>
        <tr r="C38" s="34"/>
      </tp>
      <tp t="e">
        <v>#N/A</v>
        <stp/>
        <stp>BDH|12945752972064302197</stp>
        <tr r="J49" s="10"/>
        <tr r="J47" s="11"/>
        <tr r="J16" s="7"/>
      </tp>
      <tp t="e">
        <v>#N/A</v>
        <stp/>
        <stp>BDH|14425903607038710201</stp>
        <tr r="F33" s="10"/>
        <tr r="F31" s="11"/>
        <tr r="H31" s="13"/>
      </tp>
      <tp t="e">
        <v>#N/A</v>
        <stp/>
        <stp>BDH|17648352483733171856</stp>
        <tr r="C27" s="12"/>
      </tp>
      <tp t="e">
        <v>#N/A</v>
        <stp/>
        <stp>BDH|17243259220829608955</stp>
        <tr r="U14" s="20"/>
      </tp>
      <tp t="e">
        <v>#N/A</v>
        <stp/>
        <stp>BDH|10668322771091500244</stp>
        <tr r="P40" s="29"/>
      </tp>
      <tp t="e">
        <v>#N/A</v>
        <stp/>
        <stp>BDH|18120994063042995269</stp>
        <tr r="F39" s="13"/>
      </tp>
      <tp t="e">
        <v>#N/A</v>
        <stp/>
        <stp>BDH|16116351786838572239</stp>
        <tr r="N17" s="17"/>
        <tr r="N20" s="28"/>
      </tp>
      <tp t="e">
        <v>#N/A</v>
        <stp/>
        <stp>BDH|18100215914755642963</stp>
        <tr r="M43" s="17"/>
      </tp>
      <tp t="e">
        <v>#N/A</v>
        <stp/>
        <stp>BDH|18364976881099702765</stp>
        <tr r="AA24" s="17"/>
      </tp>
      <tp t="e">
        <v>#N/A</v>
        <stp/>
        <stp>BDH|13657322920686875382</stp>
        <tr r="P62" s="17"/>
      </tp>
      <tp t="e">
        <v>#N/A</v>
        <stp/>
        <stp>BDH|15705753993878646404</stp>
        <tr r="AA47" s="24"/>
      </tp>
      <tp t="e">
        <v>#N/A</v>
        <stp/>
        <stp>BDH|13690154641286452711</stp>
        <tr r="C13" s="34"/>
      </tp>
      <tp t="e">
        <v>#N/A</v>
        <stp/>
        <stp>BDH|13609301422192180722</stp>
        <tr r="N19" s="22"/>
      </tp>
      <tp t="e">
        <v>#N/A</v>
        <stp/>
        <stp>BDH|11930276746542884276</stp>
        <tr r="J27" s="12"/>
      </tp>
      <tp t="e">
        <v>#N/A</v>
        <stp/>
        <stp>BDH|12207775758615803220</stp>
        <tr r="J83" s="18"/>
      </tp>
      <tp t="e">
        <v>#N/A</v>
        <stp/>
        <stp>BDH|16870515345048338883</stp>
        <tr r="Y26" s="10"/>
      </tp>
      <tp t="e">
        <v>#N/A</v>
        <stp/>
        <stp>BDH|16361079263622983593</stp>
        <tr r="E10" s="23"/>
      </tp>
      <tp t="e">
        <v>#N/A</v>
        <stp/>
        <stp>BDH|17272208596572029939</stp>
        <tr r="S8" s="21"/>
      </tp>
      <tp t="e">
        <v>#N/A</v>
        <stp/>
        <stp>BDH|16295071340981549474</stp>
        <tr r="R13" s="29"/>
        <tr r="R22" s="29"/>
        <tr r="R33" s="29"/>
      </tp>
      <tp t="e">
        <v>#N/A</v>
        <stp/>
        <stp>BDH|15158415263153679327</stp>
        <tr r="O42" s="17"/>
      </tp>
      <tp t="e">
        <v>#N/A</v>
        <stp/>
        <stp>BDH|16504220924016766736</stp>
        <tr r="Q7" s="11"/>
      </tp>
      <tp t="e">
        <v>#N/A</v>
        <stp/>
        <stp>BDH|15456642772896799521</stp>
        <tr r="I20" s="22"/>
      </tp>
      <tp t="e">
        <v>#N/A</v>
        <stp/>
        <stp>BDH|16514438975160778238</stp>
        <tr r="Z63" s="21"/>
        <tr r="X23" s="7"/>
      </tp>
      <tp t="e">
        <v>#N/A</v>
        <stp/>
        <stp>BDH|11369731707423303235</stp>
        <tr r="K40" s="17"/>
        <tr r="K9" s="25"/>
      </tp>
      <tp t="e">
        <v>#N/A</v>
        <stp/>
        <stp>BDH|11103554903016835581</stp>
        <tr r="J115" s="18"/>
      </tp>
      <tp t="e">
        <v>#N/A</v>
        <stp/>
        <stp>BDH|17077298525897345785</stp>
        <tr r="X20" s="10"/>
      </tp>
      <tp t="e">
        <v>#N/A</v>
        <stp/>
        <stp>BDH|17735988608908508154</stp>
        <tr r="K44" s="17"/>
      </tp>
      <tp t="e">
        <v>#N/A</v>
        <stp/>
        <stp>BDH|17469883038438009337</stp>
        <tr r="V50" s="4"/>
      </tp>
      <tp t="e">
        <v>#N/A</v>
        <stp/>
        <stp>BDH|15271472297539459610</stp>
        <tr r="AA77" s="18"/>
      </tp>
      <tp t="e">
        <v>#N/A</v>
        <stp/>
        <stp>BDH|17815285005433143130</stp>
        <tr r="E18" s="12"/>
      </tp>
      <tp t="e">
        <v>#N/A</v>
        <stp/>
        <stp>BDH|12218427903036604722</stp>
        <tr r="L7" s="11"/>
      </tp>
      <tp t="e">
        <v>#N/A</v>
        <stp/>
        <stp>BDH|17972685141946095476</stp>
        <tr r="AA9" s="3"/>
        <tr r="Y47" s="10"/>
        <tr r="Y45" s="11"/>
        <tr r="Y14" s="7"/>
      </tp>
      <tp t="e">
        <v>#N/A</v>
        <stp/>
        <stp>BDH|14583064454605689378</stp>
        <tr r="L12" s="22"/>
      </tp>
      <tp t="e">
        <v>#N/A</v>
        <stp/>
        <stp>BDH|14612110483359114339</stp>
        <tr r="Y18" s="17"/>
      </tp>
      <tp t="e">
        <v>#N/A</v>
        <stp/>
        <stp>BDH|14717581246761653398</stp>
        <tr r="N25" s="4"/>
        <tr r="N61" s="10"/>
      </tp>
      <tp t="e">
        <v>#N/A</v>
        <stp/>
        <stp>BDH|17632300983102518969</stp>
        <tr r="U9" s="13"/>
      </tp>
      <tp t="e">
        <v>#N/A</v>
        <stp/>
        <stp>BDH|12202203060378637929</stp>
        <tr r="U43" s="12"/>
      </tp>
      <tp t="e">
        <v>#N/A</v>
        <stp/>
        <stp>BDH|10389057400216456141</stp>
        <tr r="V17" s="14"/>
      </tp>
      <tp t="e">
        <v>#N/A</v>
        <stp/>
        <stp>BDH|11440475088938820252</stp>
        <tr r="Y13" s="7"/>
      </tp>
      <tp t="e">
        <v>#N/A</v>
        <stp/>
        <stp>BDH|10970670027797899476</stp>
        <tr r="O24" s="18"/>
      </tp>
      <tp t="e">
        <v>#N/A</v>
        <stp/>
        <stp>BDH|15565804563648096403</stp>
        <tr r="X52" s="12"/>
      </tp>
      <tp t="e">
        <v>#N/A</v>
        <stp/>
        <stp>BDH|10931566406647998567</stp>
        <tr r="N46" s="34"/>
      </tp>
      <tp t="e">
        <v>#N/A</v>
        <stp/>
        <stp>BDH|13154833693325599021</stp>
        <tr r="N16" s="14"/>
      </tp>
      <tp t="e">
        <v>#N/A</v>
        <stp/>
        <stp>BDH|14295800167165340800</stp>
        <tr r="O8" s="27"/>
      </tp>
      <tp t="e">
        <v>#N/A</v>
        <stp/>
        <stp>BDH|17017202347182990488</stp>
        <tr r="H18" s="14"/>
      </tp>
      <tp t="e">
        <v>#N/A</v>
        <stp/>
        <stp>BDH|15508245200577334740</stp>
        <tr r="U16" s="22"/>
      </tp>
      <tp t="e">
        <v>#N/A</v>
        <stp/>
        <stp>BDH|17412700123591851492</stp>
        <tr r="U21" s="11"/>
      </tp>
      <tp t="e">
        <v>#N/A</v>
        <stp/>
        <stp>BDH|13029904695147476371</stp>
        <tr r="Y11" s="24"/>
      </tp>
      <tp t="e">
        <v>#N/A</v>
        <stp/>
        <stp>BDH|15643289023807242590</stp>
        <tr r="H38" s="22"/>
      </tp>
      <tp t="e">
        <v>#N/A</v>
        <stp/>
        <stp>BDH|15022105506701267227</stp>
        <tr r="C78" s="18"/>
      </tp>
      <tp t="e">
        <v>#N/A</v>
        <stp/>
        <stp>BDH|14224753670852614179</stp>
        <tr r="J69" s="24"/>
      </tp>
      <tp t="e">
        <v>#N/A</v>
        <stp/>
        <stp>BDH|17999084160953706504</stp>
        <tr r="C31" s="25"/>
      </tp>
      <tp t="e">
        <v>#N/A</v>
        <stp/>
        <stp>BDH|11050572361261950490</stp>
        <tr r="I9" s="21"/>
      </tp>
      <tp t="e">
        <v>#N/A</v>
        <stp/>
        <stp>BDH|12484624173421492571</stp>
        <tr r="K26" s="7"/>
      </tp>
      <tp t="e">
        <v>#N/A</v>
        <stp/>
        <stp>BDH|11751369474214180626</stp>
        <tr r="H71" s="17"/>
      </tp>
      <tp t="e">
        <v>#N/A</v>
        <stp/>
        <stp>BDH|10349263650130017030</stp>
        <tr r="M77" s="18"/>
      </tp>
      <tp t="e">
        <v>#N/A</v>
        <stp/>
        <stp>BDH|10381793947916832236</stp>
        <tr r="L28" s="5"/>
      </tp>
      <tp t="e">
        <v>#N/A</v>
        <stp/>
        <stp>BDH|15600601551614732563</stp>
        <tr r="D38" s="10"/>
        <tr r="D36" s="11"/>
      </tp>
      <tp t="e">
        <v>#N/A</v>
        <stp/>
        <stp>BDH|12835024003415677093</stp>
        <tr r="N7" s="21"/>
      </tp>
      <tp t="e">
        <v>#N/A</v>
        <stp/>
        <stp>BDH|12004547910260796159</stp>
        <tr r="N53" s="17"/>
      </tp>
      <tp t="e">
        <v>#N/A</v>
        <stp/>
        <stp>BDH|13111287812094876354</stp>
        <tr r="I36" s="34"/>
      </tp>
      <tp t="e">
        <v>#N/A</v>
        <stp/>
        <stp>BDH|10079764590770764976</stp>
        <tr r="Q11" s="22"/>
      </tp>
      <tp t="e">
        <v>#N/A</v>
        <stp/>
        <stp>BDH|10826588903762393060</stp>
        <tr r="N31" s="26"/>
      </tp>
      <tp t="e">
        <v>#N/A</v>
        <stp/>
        <stp>BDH|11175555331161711146</stp>
        <tr r="X30" s="22"/>
      </tp>
      <tp t="e">
        <v>#N/A</v>
        <stp/>
        <stp>BDH|13245006932847825013</stp>
        <tr r="D85" s="18"/>
      </tp>
      <tp t="e">
        <v>#N/A</v>
        <stp/>
        <stp>BDH|17841729037396601225</stp>
        <tr r="F15" s="6"/>
      </tp>
      <tp t="e">
        <v>#N/A</v>
        <stp/>
        <stp>BDH|13076617608754257629</stp>
        <tr r="T10" s="6"/>
      </tp>
      <tp t="e">
        <v>#N/A</v>
        <stp/>
        <stp>BDH|16570868624959756299</stp>
        <tr r="G21" s="22"/>
      </tp>
      <tp t="e">
        <v>#N/A</v>
        <stp/>
        <stp>BDH|11030883120789596547</stp>
        <tr r="U19" s="6"/>
      </tp>
      <tp t="e">
        <v>#N/A</v>
        <stp/>
        <stp>BDH|17988163338051915373</stp>
        <tr r="J22" s="7"/>
      </tp>
      <tp t="e">
        <v>#N/A</v>
        <stp/>
        <stp>BDH|10898062825625768052</stp>
        <tr r="L20" s="24"/>
      </tp>
      <tp t="e">
        <v>#N/A</v>
        <stp/>
        <stp>BDH|17922079794689336006</stp>
        <tr r="L11" s="11"/>
      </tp>
      <tp t="e">
        <v>#N/A</v>
        <stp/>
        <stp>BDH|16709001724890352394</stp>
        <tr r="D38" s="13"/>
      </tp>
      <tp t="e">
        <v>#N/A</v>
        <stp/>
        <stp>BDH|11619909939605356953</stp>
        <tr r="N22" s="7"/>
      </tp>
      <tp t="e">
        <v>#N/A</v>
        <stp/>
        <stp>BDH|14090280060761099618</stp>
        <tr r="D22" s="10"/>
      </tp>
      <tp t="e">
        <v>#N/A</v>
        <stp/>
        <stp>BDH|11223509965985882065</stp>
        <tr r="Y13" s="20"/>
      </tp>
      <tp t="e">
        <v>#N/A</v>
        <stp/>
        <stp>BDH|10891605894511400917</stp>
        <tr r="X11" s="6"/>
      </tp>
      <tp t="e">
        <v>#N/A</v>
        <stp/>
        <stp>BDH|16972268812177600523</stp>
        <tr r="G17" s="18"/>
      </tp>
      <tp t="e">
        <v>#N/A</v>
        <stp/>
        <stp>BDH|11556117323771911479</stp>
        <tr r="W10" s="24"/>
      </tp>
      <tp t="e">
        <v>#N/A</v>
        <stp/>
        <stp>BDH|13405694240842355475</stp>
        <tr r="G64" s="18"/>
      </tp>
      <tp t="e">
        <v>#N/A</v>
        <stp/>
        <stp>BDH|16724539645359955911</stp>
        <tr r="I22" s="10"/>
      </tp>
      <tp t="e">
        <v>#N/A</v>
        <stp/>
        <stp>BDH|17902100653612041631</stp>
        <tr r="N9" s="22"/>
      </tp>
      <tp t="e">
        <v>#N/A</v>
        <stp/>
        <stp>BDH|18050584670628252531</stp>
        <tr r="P63" s="21"/>
        <tr r="N23" s="7"/>
      </tp>
      <tp t="e">
        <v>#N/A</v>
        <stp/>
        <stp>BDH|12262067924302832513</stp>
        <tr r="Z15" s="12"/>
      </tp>
      <tp t="e">
        <v>#N/A</v>
        <stp/>
        <stp>BDH|15097119957280731680</stp>
        <tr r="C35" s="22"/>
      </tp>
      <tp t="e">
        <v>#N/A</v>
        <stp/>
        <stp>BDH|16930783079346834790</stp>
        <tr r="Y7" s="23"/>
      </tp>
      <tp t="e">
        <v>#N/A</v>
        <stp/>
        <stp>BDH|17940172781728257144</stp>
        <tr r="AA32" s="25"/>
        <tr r="AA7" s="3"/>
        <tr r="Y19" s="11"/>
        <tr r="AA22" s="13"/>
        <tr r="AA7" s="13"/>
      </tp>
      <tp t="e">
        <v>#N/A</v>
        <stp/>
        <stp>BDH|11616105840014862775</stp>
        <tr r="S16" s="12"/>
      </tp>
      <tp t="e">
        <v>#N/A</v>
        <stp/>
        <stp>BDH|11168267804164269081</stp>
        <tr r="T91" s="18"/>
      </tp>
      <tp t="e">
        <v>#N/A</v>
        <stp/>
        <stp>BDH|16103289612844507676</stp>
        <tr r="K8" s="27"/>
      </tp>
      <tp t="e">
        <v>#N/A</v>
        <stp/>
        <stp>BDH|15976254243942653608</stp>
        <tr r="K18" s="30"/>
      </tp>
      <tp t="e">
        <v>#N/A</v>
        <stp/>
        <stp>BDH|16825281924902946348</stp>
        <tr r="C26" s="12"/>
      </tp>
      <tp t="e">
        <v>#N/A</v>
        <stp/>
        <stp>BDH|16434625628051420432</stp>
        <tr r="L33" s="21"/>
      </tp>
      <tp t="e">
        <v>#N/A</v>
        <stp/>
        <stp>BDH|15149459629951346575</stp>
        <tr r="Y14" s="30"/>
      </tp>
      <tp t="e">
        <v>#N/A</v>
        <stp/>
        <stp>BDH|12387693502440622378</stp>
        <tr r="M123" s="18"/>
      </tp>
      <tp t="e">
        <v>#N/A</v>
        <stp/>
        <stp>BDH|16428326171882908767</stp>
        <tr r="G9" s="10"/>
      </tp>
      <tp t="e">
        <v>#N/A</v>
        <stp/>
        <stp>BDH|15437161006791883247</stp>
        <tr r="AA45" s="18"/>
      </tp>
      <tp t="e">
        <v>#N/A</v>
        <stp/>
        <stp>BDH|13926070562127794530</stp>
        <tr r="D21" s="25"/>
        <tr r="D14" s="27"/>
      </tp>
      <tp t="e">
        <v>#N/A</v>
        <stp/>
        <stp>BDH|11047042159774587703</stp>
        <tr r="N29" s="17"/>
      </tp>
      <tp t="e">
        <v>#N/A</v>
        <stp/>
        <stp>BDH|17896543081614453910</stp>
        <tr r="H18" s="23"/>
      </tp>
      <tp t="e">
        <v>#N/A</v>
        <stp/>
        <stp>BDH|14007917508933504946</stp>
        <tr r="V76" s="18"/>
      </tp>
      <tp t="e">
        <v>#N/A</v>
        <stp/>
        <stp>BDH|14298676745319843807</stp>
        <tr r="K21" s="10"/>
      </tp>
      <tp t="e">
        <v>#N/A</v>
        <stp/>
        <stp>BDH|11994039675794600518</stp>
        <tr r="V61" s="18"/>
      </tp>
      <tp t="e">
        <v>#N/A</v>
        <stp/>
        <stp>BDH|18287965368319218962</stp>
        <tr r="W11" s="24"/>
      </tp>
      <tp t="e">
        <v>#N/A</v>
        <stp/>
        <stp>BDH|12557281265481656069</stp>
        <tr r="P8" s="11"/>
      </tp>
      <tp t="e">
        <v>#N/A</v>
        <stp/>
        <stp>BDH|12012797710202902188</stp>
        <tr r="F19" s="14"/>
      </tp>
      <tp t="e">
        <v>#N/A</v>
        <stp/>
        <stp>BDH|13510659435255426494</stp>
        <tr r="V18" s="24"/>
      </tp>
      <tp t="e">
        <v>#N/A</v>
        <stp/>
        <stp>BDH|10029018066423968264</stp>
        <tr r="K20" s="28"/>
        <tr r="K17" s="17"/>
      </tp>
      <tp t="e">
        <v>#N/A</v>
        <stp/>
        <stp>BDH|14873204440781652462</stp>
        <tr r="M18" s="17"/>
      </tp>
      <tp t="e">
        <v>#N/A</v>
        <stp/>
        <stp>BDH|14933666090864263859</stp>
        <tr r="J58" s="24"/>
      </tp>
      <tp t="e">
        <v>#N/A</v>
        <stp/>
        <stp>BDH|16452013197511944935</stp>
        <tr r="J52" s="18"/>
      </tp>
      <tp t="e">
        <v>#N/A</v>
        <stp/>
        <stp>BDH|17459624455096302583</stp>
        <tr r="P49" s="4"/>
      </tp>
      <tp t="e">
        <v>#N/A</v>
        <stp/>
        <stp>BDH|10001461238171739112</stp>
        <tr r="I31" s="18"/>
      </tp>
      <tp t="e">
        <v>#N/A</v>
        <stp/>
        <stp>BDH|14065221892539956116</stp>
        <tr r="M11" s="17"/>
      </tp>
      <tp t="e">
        <v>#N/A</v>
        <stp/>
        <stp>BDH|16113521844397852777</stp>
        <tr r="Z42" s="18"/>
      </tp>
      <tp t="e">
        <v>#N/A</v>
        <stp/>
        <stp>BDH|14614193356985298232</stp>
        <tr r="D22" s="9"/>
      </tp>
      <tp t="e">
        <v>#N/A</v>
        <stp/>
        <stp>BDH|12836173056516667774</stp>
        <tr r="O124" s="18"/>
      </tp>
      <tp t="e">
        <v>#N/A</v>
        <stp/>
        <stp>BDH|14590029234720382088</stp>
        <tr r="V20" s="23"/>
      </tp>
      <tp t="e">
        <v>#N/A</v>
        <stp/>
        <stp>BDH|10848556329286968650</stp>
        <tr r="W92" s="18"/>
      </tp>
      <tp t="e">
        <v>#N/A</v>
        <stp/>
        <stp>BDH|15059646581965591986</stp>
        <tr r="X13" s="11"/>
      </tp>
      <tp t="e">
        <v>#N/A</v>
        <stp/>
        <stp>BDH|12896206834683188755</stp>
        <tr r="Q24" s="26"/>
        <tr r="O14" s="9"/>
      </tp>
      <tp t="e">
        <v>#N/A</v>
        <stp/>
        <stp>BDH|17676082826003750174</stp>
        <tr r="G31" s="26"/>
      </tp>
      <tp t="e">
        <v>#N/A</v>
        <stp/>
        <stp>BDH|15650785056074162412</stp>
        <tr r="S24" s="4"/>
        <tr r="S59" s="11"/>
      </tp>
      <tp t="e">
        <v>#N/A</v>
        <stp/>
        <stp>BDH|14683240643914957100</stp>
        <tr r="Z54" s="17"/>
      </tp>
      <tp t="e">
        <v>#N/A</v>
        <stp/>
        <stp>BDH|12414489701932789312</stp>
        <tr r="T25" s="26"/>
      </tp>
      <tp t="e">
        <v>#N/A</v>
        <stp/>
        <stp>BDH|10635316562846674481</stp>
        <tr r="I11" s="9"/>
      </tp>
      <tp t="e">
        <v>#N/A</v>
        <stp/>
        <stp>BDH|10658127172601594087</stp>
        <tr r="U13" s="22"/>
      </tp>
      <tp t="e">
        <v>#N/A</v>
        <stp/>
        <stp>BDH|10864838523649451477</stp>
        <tr r="J27" s="7"/>
      </tp>
      <tp t="e">
        <v>#N/A</v>
        <stp/>
        <stp>BDH|11385633728506160422</stp>
        <tr r="U18" s="25"/>
        <tr r="U10" s="27"/>
      </tp>
      <tp t="e">
        <v>#N/A</v>
        <stp/>
        <stp>BDH|10943968365918143008</stp>
        <tr r="F18" s="2"/>
        <tr r="F53" s="4"/>
        <tr r="F42" s="10"/>
        <tr r="F40" s="11"/>
        <tr r="H34" s="13"/>
      </tp>
      <tp t="e">
        <v>#N/A</v>
        <stp/>
        <stp>BDH|14810003857515799336</stp>
        <tr r="E21" s="25"/>
        <tr r="E14" s="27"/>
      </tp>
      <tp t="e">
        <v>#N/A</v>
        <stp/>
        <stp>BDH|14166689777360724226</stp>
        <tr r="Q12" s="7"/>
      </tp>
      <tp t="e">
        <v>#N/A</v>
        <stp/>
        <stp>BDH|10334674701998935972</stp>
        <tr r="P28" s="4"/>
      </tp>
      <tp t="e">
        <v>#N/A</v>
        <stp/>
        <stp>BDH|11685842258479911280</stp>
        <tr r="U67" s="24"/>
      </tp>
      <tp t="e">
        <v>#N/A</v>
        <stp/>
        <stp>BDH|10989417937364374474</stp>
        <tr r="C32" s="24"/>
      </tp>
      <tp t="e">
        <v>#N/A</v>
        <stp/>
        <stp>BDH|10947225830821568751</stp>
        <tr r="Q35" s="22"/>
      </tp>
      <tp t="e">
        <v>#N/A</v>
        <stp/>
        <stp>BDH|17095405602143952706</stp>
        <tr r="O10" s="21"/>
      </tp>
      <tp t="e">
        <v>#N/A</v>
        <stp/>
        <stp>BDH|14495471733913277798</stp>
        <tr r="U25" s="2"/>
        <tr r="W61" s="21"/>
      </tp>
      <tp t="e">
        <v>#N/A</v>
        <stp/>
        <stp>BDH|17155284837526039759</stp>
        <tr r="T25" s="3"/>
      </tp>
      <tp t="e">
        <v>#N/A</v>
        <stp/>
        <stp>BDH|16194190185430474824</stp>
        <tr r="Z20" s="28"/>
        <tr r="Z17" s="17"/>
      </tp>
      <tp t="e">
        <v>#N/A</v>
        <stp/>
        <stp>BDH|10838267625532551559</stp>
        <tr r="S65" s="12"/>
      </tp>
      <tp t="e">
        <v>#N/A</v>
        <stp/>
        <stp>BDH|14882527167381482128</stp>
        <tr r="G39" s="6"/>
      </tp>
      <tp t="e">
        <v>#N/A</v>
        <stp/>
        <stp>BDH|16717079246753458699</stp>
        <tr r="E17" s="17"/>
        <tr r="E20" s="28"/>
      </tp>
      <tp t="e">
        <v>#N/A</v>
        <stp/>
        <stp>BDH|14607697958770571095</stp>
        <tr r="L16" s="6"/>
      </tp>
      <tp t="e">
        <v>#N/A</v>
        <stp/>
        <stp>BDH|18444834533330679496</stp>
        <tr r="G10" s="21"/>
      </tp>
      <tp t="e">
        <v>#N/A</v>
        <stp/>
        <stp>BDH|14986025332974027427</stp>
        <tr r="F30" s="22"/>
      </tp>
      <tp t="e">
        <v>#N/A</v>
        <stp/>
        <stp>BDH|10181674225835900615</stp>
        <tr r="J9" s="6"/>
      </tp>
      <tp t="e">
        <v>#N/A</v>
        <stp/>
        <stp>BDH|13154433962376927027</stp>
        <tr r="P28" s="5"/>
      </tp>
      <tp t="e">
        <v>#N/A</v>
        <stp/>
        <stp>BDH|16972060356070211406</stp>
        <tr r="P29" s="12"/>
      </tp>
      <tp t="e">
        <v>#N/A</v>
        <stp/>
        <stp>BDH|12748697800060600333</stp>
        <tr r="Z26" s="22"/>
      </tp>
      <tp t="e">
        <v>#N/A</v>
        <stp/>
        <stp>BDH|10903435770696677273</stp>
        <tr r="Q8" s="8"/>
      </tp>
      <tp t="e">
        <v>#N/A</v>
        <stp/>
        <stp>BDH|17789398189449433281</stp>
        <tr r="E42" s="24"/>
      </tp>
      <tp t="e">
        <v>#N/A</v>
        <stp/>
        <stp>BDH|11778336428292356540</stp>
        <tr r="X77" s="18"/>
      </tp>
      <tp t="e">
        <v>#N/A</v>
        <stp/>
        <stp>BDH|13949290168740711047</stp>
        <tr r="O98" s="18"/>
      </tp>
      <tp t="e">
        <v>#N/A</v>
        <stp/>
        <stp>BDH|17385214455812970556</stp>
        <tr r="N11" s="24"/>
      </tp>
      <tp t="e">
        <v>#N/A</v>
        <stp/>
        <stp>BDH|12503147795868830579</stp>
        <tr r="D52" s="12"/>
      </tp>
      <tp t="e">
        <v>#N/A</v>
        <stp/>
        <stp>BDH|16655376368337268302</stp>
        <tr r="C11" s="12"/>
      </tp>
      <tp t="e">
        <v>#N/A</v>
        <stp/>
        <stp>BDH|14095196382812058806</stp>
        <tr r="V35" s="21"/>
      </tp>
      <tp t="e">
        <v>#N/A</v>
        <stp/>
        <stp>BDH|16089599950901549078</stp>
        <tr r="L29" s="22"/>
      </tp>
      <tp t="e">
        <v>#N/A</v>
        <stp/>
        <stp>BDH|10831659031047164577</stp>
        <tr r="Y49" s="4"/>
      </tp>
      <tp t="e">
        <v>#N/A</v>
        <stp/>
        <stp>BDH|15618377198160342809</stp>
        <tr r="H89" s="17"/>
        <tr r="H7" s="27"/>
      </tp>
      <tp t="e">
        <v>#N/A</v>
        <stp/>
        <stp>BDH|13289521500036336790</stp>
        <tr r="W11" s="18"/>
      </tp>
      <tp t="e">
        <v>#N/A</v>
        <stp/>
        <stp>BDH|10203880775338317068</stp>
        <tr r="M88" s="17"/>
      </tp>
      <tp t="e">
        <v>#N/A</v>
        <stp/>
        <stp>BDH|13033602126341433188</stp>
        <tr r="V86" s="18"/>
        <tr r="V6" s="20"/>
      </tp>
      <tp t="e">
        <v>#N/A</v>
        <stp/>
        <stp>BDH|10067606601457858639</stp>
        <tr r="Y67" s="18"/>
      </tp>
      <tp t="e">
        <v>#N/A</v>
        <stp/>
        <stp>BDH|12252368534316937335</stp>
        <tr r="M64" s="24"/>
      </tp>
      <tp t="e">
        <v>#N/A</v>
        <stp/>
        <stp>BDH|10804568603082632015</stp>
        <tr r="V11" s="14"/>
      </tp>
      <tp t="e">
        <v>#N/A</v>
        <stp/>
        <stp>BDH|12326849249909391075</stp>
        <tr r="S22" s="24"/>
      </tp>
      <tp t="e">
        <v>#N/A</v>
        <stp/>
        <stp>BDH|15397554453563758180</stp>
        <tr r="V7" s="28"/>
      </tp>
      <tp t="e">
        <v>#N/A</v>
        <stp/>
        <stp>BDH|15338506330955973107</stp>
        <tr r="L14" s="23"/>
      </tp>
      <tp t="e">
        <v>#N/A</v>
        <stp/>
        <stp>BDH|14239477233051411589</stp>
        <tr r="L64" s="12"/>
      </tp>
      <tp t="e">
        <v>#N/A</v>
        <stp/>
        <stp>BDH|10281217239686712074</stp>
        <tr r="G17" s="23"/>
      </tp>
      <tp t="e">
        <v>#N/A</v>
        <stp/>
        <stp>BDH|12265327704996673083</stp>
        <tr r="L37" s="24"/>
      </tp>
      <tp t="e">
        <v>#N/A</v>
        <stp/>
        <stp>BDH|16321650456012262088</stp>
        <tr r="C50" s="12"/>
      </tp>
      <tp t="e">
        <v>#N/A</v>
        <stp/>
        <stp>BDH|10886869521475315868</stp>
        <tr r="Z89" s="17"/>
        <tr r="Z7" s="27"/>
      </tp>
      <tp t="e">
        <v>#N/A</v>
        <stp/>
        <stp>BDH|13432622868940028449</stp>
        <tr r="AA30" s="12"/>
      </tp>
      <tp t="e">
        <v>#N/A</v>
        <stp/>
        <stp>BDH|13406886236009638667</stp>
        <tr r="V53" s="10"/>
        <tr r="V51" s="11"/>
        <tr r="V18" s="7"/>
        <tr r="X40" s="13"/>
      </tp>
      <tp t="e">
        <v>#N/A</v>
        <stp/>
        <stp>BDH|12615303766533328397</stp>
        <tr r="Q17" s="22"/>
      </tp>
      <tp t="e">
        <v>#N/A</v>
        <stp/>
        <stp>BDH|12014431369101762675</stp>
        <tr r="G16" s="2"/>
        <tr r="G32" s="4"/>
        <tr r="G58" s="10"/>
        <tr r="I19" s="13"/>
      </tp>
      <tp t="e">
        <v>#N/A</v>
        <stp/>
        <stp>BDH|15600042832041248084</stp>
        <tr r="R14" s="17"/>
        <tr r="R17" s="28"/>
      </tp>
      <tp t="e">
        <v>#N/A</v>
        <stp/>
        <stp>BDH|15794239115728304985</stp>
        <tr r="M55" s="18"/>
      </tp>
      <tp t="e">
        <v>#N/A</v>
        <stp/>
        <stp>BDH|10859224987208251557</stp>
        <tr r="C21" s="24"/>
      </tp>
      <tp t="e">
        <v>#N/A</v>
        <stp/>
        <stp>BDH|15280250383469995174</stp>
        <tr r="O16" s="11"/>
      </tp>
      <tp t="e">
        <v>#N/A</v>
        <stp/>
        <stp>BDH|12948231513160377604</stp>
        <tr r="J132" s="18"/>
      </tp>
      <tp t="e">
        <v>#N/A</v>
        <stp/>
        <stp>BDH|11782110598996254863</stp>
        <tr r="R24" s="11"/>
      </tp>
      <tp t="e">
        <v>#N/A</v>
        <stp/>
        <stp>BDH|10830966725848494453</stp>
        <tr r="T10" s="24"/>
      </tp>
      <tp t="e">
        <v>#N/A</v>
        <stp/>
        <stp>BDH|10910136170620810187</stp>
        <tr r="L42" s="34"/>
      </tp>
      <tp t="e">
        <v>#N/A</v>
        <stp/>
        <stp>BDH|16260304579596762364</stp>
        <tr r="Z104" s="18"/>
      </tp>
      <tp t="e">
        <v>#N/A</v>
        <stp/>
        <stp>BDH|14320192841222256433</stp>
        <tr r="AA90" s="17"/>
        <tr r="AA13" s="28"/>
      </tp>
      <tp t="e">
        <v>#N/A</v>
        <stp/>
        <stp>BDH|17185379506657942437</stp>
        <tr r="Z22" s="18"/>
      </tp>
      <tp t="e">
        <v>#N/A</v>
        <stp/>
        <stp>BDH|17824205600703154131</stp>
        <tr r="AA56" s="17"/>
      </tp>
      <tp t="e">
        <v>#N/A</v>
        <stp/>
        <stp>BDH|13179417418546173749</stp>
        <tr r="N50" s="12"/>
      </tp>
      <tp t="e">
        <v>#N/A</v>
        <stp/>
        <stp>BDH|10296451605500905366</stp>
        <tr r="K17" s="12"/>
      </tp>
      <tp t="e">
        <v>#N/A</v>
        <stp/>
        <stp>BDH|16089330451793601494</stp>
        <tr r="F81" s="17"/>
      </tp>
      <tp t="e">
        <v>#N/A</v>
        <stp/>
        <stp>BDH|11422244675920846300</stp>
        <tr r="R83" s="17"/>
      </tp>
      <tp t="e">
        <v>#N/A</v>
        <stp/>
        <stp>BDH|13836491305866121683</stp>
        <tr r="N36" s="34"/>
      </tp>
      <tp t="e">
        <v>#N/A</v>
        <stp/>
        <stp>BDH|14680395244575517133</stp>
        <tr r="O25" s="4"/>
        <tr r="O61" s="10"/>
      </tp>
      <tp t="e">
        <v>#N/A</v>
        <stp/>
        <stp>BDH|16068172609034752448</stp>
        <tr r="K40" s="18"/>
      </tp>
      <tp t="e">
        <v>#N/A</v>
        <stp/>
        <stp>BDH|16939097829785423608</stp>
        <tr r="Y36" s="4"/>
      </tp>
      <tp t="e">
        <v>#N/A</v>
        <stp/>
        <stp>BDH|16958444817770382447</stp>
        <tr r="O59" s="12"/>
      </tp>
      <tp t="e">
        <v>#N/A</v>
        <stp/>
        <stp>BDH|10495162426160032491</stp>
        <tr r="Q11" s="21"/>
      </tp>
      <tp t="e">
        <v>#N/A</v>
        <stp/>
        <stp>BDH|14608180313547622468</stp>
        <tr r="J8" s="4"/>
      </tp>
      <tp t="e">
        <v>#N/A</v>
        <stp/>
        <stp>BDH|13292041154147720684</stp>
        <tr r="W33" s="13"/>
      </tp>
      <tp t="e">
        <v>#N/A</v>
        <stp/>
        <stp>BDH|15810834489735790784</stp>
        <tr r="M48" s="10"/>
        <tr r="M46" s="11"/>
        <tr r="M15" s="7"/>
      </tp>
      <tp t="e">
        <v>#N/A</v>
        <stp/>
        <stp>BDH|12044584190649211079</stp>
        <tr r="E21" s="17"/>
        <tr r="E15" s="3"/>
      </tp>
      <tp t="e">
        <v>#N/A</v>
        <stp/>
        <stp>BDH|11395359947869422887</stp>
        <tr r="T44" s="24"/>
      </tp>
      <tp t="e">
        <v>#N/A</v>
        <stp/>
        <stp>BDH|14536868439489242156</stp>
        <tr r="W56" s="24"/>
      </tp>
      <tp t="e">
        <v>#N/A</v>
        <stp/>
        <stp>BDH|17337660269884266431</stp>
        <tr r="Z40" s="29"/>
      </tp>
      <tp t="e">
        <v>#N/A</v>
        <stp/>
        <stp>BDH|10286798837914128707</stp>
        <tr r="Y33" s="17"/>
      </tp>
      <tp t="e">
        <v>#N/A</v>
        <stp/>
        <stp>BDH|11911277920274065231</stp>
        <tr r="T40" s="6"/>
      </tp>
      <tp t="e">
        <v>#N/A</v>
        <stp/>
        <stp>BDH|17024782914083873595</stp>
        <tr r="F52" s="24"/>
      </tp>
      <tp t="e">
        <v>#N/A</v>
        <stp/>
        <stp>BDH|15715666181369532585</stp>
        <tr r="V63" s="18"/>
      </tp>
      <tp t="e">
        <v>#N/A</v>
        <stp/>
        <stp>BDH|10547407358683911595</stp>
        <tr r="X20" s="20"/>
      </tp>
      <tp t="e">
        <v>#N/A</v>
        <stp/>
        <stp>BDH|11628964697082211486</stp>
        <tr r="K35" s="6"/>
        <tr r="M10" s="8"/>
      </tp>
      <tp t="e">
        <v>#N/A</v>
        <stp/>
        <stp>BDH|12383914897080052589</stp>
        <tr r="G56" s="18"/>
      </tp>
      <tp t="e">
        <v>#N/A</v>
        <stp/>
        <stp>BDH|16667481122007428052</stp>
        <tr r="N22" s="27"/>
      </tp>
      <tp t="e">
        <v>#N/A</v>
        <stp/>
        <stp>BDH|15954584879038555803</stp>
        <tr r="P14" s="28"/>
      </tp>
      <tp t="e">
        <v>#N/A</v>
        <stp/>
        <stp>BDH|12016757308764960690</stp>
        <tr r="S14" s="10"/>
      </tp>
      <tp t="e">
        <v>#N/A</v>
        <stp/>
        <stp>BDH|11217664403434272481</stp>
        <tr r="K106" s="18"/>
      </tp>
      <tp t="e">
        <v>#N/A</v>
        <stp/>
        <stp>BDH|10126914522318657496</stp>
        <tr r="Z15" s="17"/>
        <tr r="Z18" s="28"/>
      </tp>
      <tp t="e">
        <v>#N/A</v>
        <stp/>
        <stp>BDH|14896124515567196437</stp>
        <tr r="Y13" s="8"/>
      </tp>
      <tp t="e">
        <v>#N/A</v>
        <stp/>
        <stp>BDH|18339181192617678026</stp>
        <tr r="Y64" s="18"/>
      </tp>
      <tp t="e">
        <v>#N/A</v>
        <stp/>
        <stp>BDH|15559899493717365419</stp>
        <tr r="V16" s="29"/>
        <tr r="V36" s="29"/>
      </tp>
      <tp t="e">
        <v>#N/A</v>
        <stp/>
        <stp>BDH|11486204235300548780</stp>
        <tr r="R30" s="17"/>
      </tp>
      <tp t="e">
        <v>#N/A</v>
        <stp/>
        <stp>BDH|12509066759802512235</stp>
        <tr r="N26" s="18"/>
      </tp>
      <tp t="e">
        <v>#N/A</v>
        <stp/>
        <stp>BDH|13747355489038735708</stp>
        <tr r="M35" s="34"/>
      </tp>
      <tp t="e">
        <v>#N/A</v>
        <stp/>
        <stp>BDH|17970673630980026526</stp>
        <tr r="W45" s="12"/>
      </tp>
      <tp t="e">
        <v>#N/A</v>
        <stp/>
        <stp>BDH|14932703421735171359</stp>
        <tr r="K34" s="6"/>
        <tr r="M9" s="8"/>
      </tp>
      <tp t="e">
        <v>#N/A</v>
        <stp/>
        <stp>BDH|13091533128265285659</stp>
        <tr r="W9" s="29"/>
      </tp>
      <tp t="e">
        <v>#N/A</v>
        <stp/>
        <stp>BDH|16139015346803353693</stp>
        <tr r="G18" s="23"/>
      </tp>
      <tp t="e">
        <v>#N/A</v>
        <stp/>
        <stp>BDH|12809294606280284796</stp>
        <tr r="V9" s="6"/>
      </tp>
      <tp t="e">
        <v>#N/A</v>
        <stp/>
        <stp>BDH|14561615639070182603</stp>
        <tr r="K39" s="17"/>
      </tp>
      <tp t="e">
        <v>#N/A</v>
        <stp/>
        <stp>BDH|14853881789126530509</stp>
        <tr r="Y17" s="9"/>
      </tp>
      <tp t="e">
        <v>#N/A</v>
        <stp/>
        <stp>BDH|17060117289298059148</stp>
        <tr r="D12" s="30"/>
      </tp>
      <tp t="e">
        <v>#N/A</v>
        <stp/>
        <stp>BDH|11640779765063827402</stp>
        <tr r="X54" s="18"/>
      </tp>
      <tp t="e">
        <v>#N/A</v>
        <stp/>
        <stp>BDH|16751375886758381293</stp>
        <tr r="S10" s="13"/>
      </tp>
      <tp t="e">
        <v>#N/A</v>
        <stp/>
        <stp>BDH|13543285773699721859</stp>
        <tr r="X29" s="12"/>
      </tp>
      <tp t="e">
        <v>#N/A</v>
        <stp/>
        <stp>BDH|13961718265506830394</stp>
        <tr r="U18" s="5"/>
        <tr r="T31" s="6"/>
      </tp>
      <tp t="e">
        <v>#N/A</v>
        <stp/>
        <stp>BDH|15749432899589985689</stp>
        <tr r="C83" s="18"/>
      </tp>
      <tp t="e">
        <v>#N/A</v>
        <stp/>
        <stp>BDH|13979177126665671223</stp>
        <tr r="W49" s="17"/>
        <tr r="W17" s="3"/>
      </tp>
      <tp t="e">
        <v>#N/A</v>
        <stp/>
        <stp>BDH|17159512112943779798</stp>
        <tr r="T66" s="10"/>
        <tr r="T64" s="11"/>
        <tr r="T20" s="7"/>
      </tp>
      <tp t="e">
        <v>#N/A</v>
        <stp/>
        <stp>BDH|13537510300014851506</stp>
        <tr r="D9" s="23"/>
      </tp>
      <tp t="e">
        <v>#N/A</v>
        <stp/>
        <stp>BDH|18240626827148833337</stp>
        <tr r="W18" s="6"/>
      </tp>
      <tp t="e">
        <v>#N/A</v>
        <stp/>
        <stp>BDH|12820065359766218697</stp>
        <tr r="H60" s="10"/>
      </tp>
      <tp t="e">
        <v>#N/A</v>
        <stp/>
        <stp>BDH|10831061338106378292</stp>
        <tr r="E132" s="18"/>
      </tp>
      <tp t="e">
        <v>#N/A</v>
        <stp/>
        <stp>BDH|11468724718039651942</stp>
        <tr r="U52" s="21"/>
      </tp>
      <tp t="e">
        <v>#N/A</v>
        <stp/>
        <stp>BDH|11250110757375170794</stp>
        <tr r="L13" s="8"/>
      </tp>
      <tp t="e">
        <v>#N/A</v>
        <stp/>
        <stp>BDH|11904766433712802084</stp>
        <tr r="Q8" s="21"/>
      </tp>
      <tp t="e">
        <v>#N/A</v>
        <stp/>
        <stp>BDH|12225436150102506680</stp>
        <tr r="D25" s="7"/>
      </tp>
      <tp t="e">
        <v>#N/A</v>
        <stp/>
        <stp>BDH|16525088615413729338</stp>
        <tr r="R68" s="10"/>
        <tr r="R66" s="11"/>
      </tp>
      <tp t="e">
        <v>#N/A</v>
        <stp/>
        <stp>BDH|16869220945880729777</stp>
        <tr r="H14" s="11"/>
      </tp>
      <tp t="e">
        <v>#N/A</v>
        <stp/>
        <stp>BDH|17990014724042750043</stp>
        <tr r="W9" s="11"/>
      </tp>
      <tp t="e">
        <v>#N/A</v>
        <stp/>
        <stp>BDH|13635084148845109585</stp>
        <tr r="Q60" s="21"/>
      </tp>
      <tp t="e">
        <v>#N/A</v>
        <stp/>
        <stp>BDH|14044486476843174307</stp>
        <tr r="X71" s="17"/>
      </tp>
      <tp t="e">
        <v>#N/A</v>
        <stp/>
        <stp>BDH|15209418148290709232</stp>
        <tr r="O16" s="30"/>
      </tp>
      <tp t="e">
        <v>#N/A</v>
        <stp/>
        <stp>BDH|14031949145376627883</stp>
        <tr r="Z53" s="17"/>
      </tp>
      <tp t="e">
        <v>#N/A</v>
        <stp/>
        <stp>BDH|14691101720444977404</stp>
        <tr r="I8" s="14"/>
      </tp>
      <tp t="e">
        <v>#N/A</v>
        <stp/>
        <stp>BDH|10059612157464949008</stp>
        <tr r="Q21" s="27"/>
      </tp>
      <tp t="e">
        <v>#N/A</v>
        <stp/>
        <stp>BDH|10495664937277809522</stp>
        <tr r="V19" s="14"/>
      </tp>
      <tp t="e">
        <v>#N/A</v>
        <stp/>
        <stp>BDH|13968005366475693762</stp>
        <tr r="X58" s="21"/>
        <tr r="X30" s="25"/>
        <tr r="V31" s="4"/>
        <tr r="V56" s="11"/>
      </tp>
      <tp t="e">
        <v>#N/A</v>
        <stp/>
        <stp>BDH|14777246648947654221</stp>
        <tr r="H7" s="4"/>
      </tp>
      <tp t="e">
        <v>#N/A</v>
        <stp/>
        <stp>BDH|11699166223816943350</stp>
        <tr r="W63" s="24"/>
      </tp>
      <tp t="e">
        <v>#N/A</v>
        <stp/>
        <stp>BDH|12146399855865053623</stp>
        <tr r="V11" s="22"/>
      </tp>
      <tp t="e">
        <v>#N/A</v>
        <stp/>
        <stp>BDH|16938542808661251581</stp>
        <tr r="F17" s="9"/>
      </tp>
      <tp t="e">
        <v>#N/A</v>
        <stp/>
        <stp>BDH|11660349939113359578</stp>
        <tr r="I57" s="17"/>
      </tp>
      <tp t="e">
        <v>#N/A</v>
        <stp/>
        <stp>BDH|16366832006550961904</stp>
        <tr r="H63" s="17"/>
      </tp>
      <tp t="e">
        <v>#N/A</v>
        <stp/>
        <stp>BDH|15916427676152539376</stp>
        <tr r="Z54" s="21"/>
      </tp>
      <tp t="e">
        <v>#N/A</v>
        <stp/>
        <stp>BDH|17579594293175713971</stp>
        <tr r="Z20" s="17"/>
      </tp>
      <tp t="e">
        <v>#N/A</v>
        <stp/>
        <stp>BDH|16392129053602554781</stp>
        <tr r="N103" s="18"/>
      </tp>
      <tp t="e">
        <v>#N/A</v>
        <stp/>
        <stp>BDH|13620443102523772381</stp>
        <tr r="D112" s="18"/>
      </tp>
      <tp t="e">
        <v>#N/A</v>
        <stp/>
        <stp>BDH|16609082779696052080</stp>
        <tr r="G18" s="6"/>
      </tp>
      <tp t="e">
        <v>#N/A</v>
        <stp/>
        <stp>BDH|12984285234165986135</stp>
        <tr r="O20" s="18"/>
      </tp>
      <tp t="e">
        <v>#N/A</v>
        <stp/>
        <stp>BDH|10012587765494577075</stp>
        <tr r="J26" s="17"/>
      </tp>
      <tp t="e">
        <v>#N/A</v>
        <stp/>
        <stp>BDH|16246859195131851159</stp>
        <tr r="M24" s="11"/>
      </tp>
      <tp t="e">
        <v>#N/A</v>
        <stp/>
        <stp>BDH|10481815417888469693</stp>
        <tr r="H43" s="21"/>
      </tp>
      <tp t="e">
        <v>#N/A</v>
        <stp/>
        <stp>BDH|17996688848546550436</stp>
        <tr r="D34" s="10"/>
        <tr r="D32" s="11"/>
        <tr r="F32" s="13"/>
      </tp>
      <tp t="e">
        <v>#N/A</v>
        <stp/>
        <stp>BDH|11938773576411430731</stp>
        <tr r="T15" s="10"/>
      </tp>
      <tp t="e">
        <v>#N/A</v>
        <stp/>
        <stp>BDH|16300783527894580065</stp>
        <tr r="T57" s="17"/>
      </tp>
      <tp t="e">
        <v>#N/A</v>
        <stp/>
        <stp>BDH|13450036648241358132</stp>
        <tr r="R29" s="18"/>
      </tp>
      <tp t="e">
        <v>#N/A</v>
        <stp/>
        <stp>BDH|12793302310306091187</stp>
        <tr r="Z61" s="18"/>
      </tp>
      <tp t="e">
        <v>#N/A</v>
        <stp/>
        <stp>BDH|14178103394789303297</stp>
        <tr r="D62" s="17"/>
      </tp>
      <tp t="e">
        <v>#N/A</v>
        <stp/>
        <stp>BDH|10812799008159629910</stp>
        <tr r="I13" s="10"/>
      </tp>
      <tp t="e">
        <v>#N/A</v>
        <stp/>
        <stp>BDH|17139127253561833569</stp>
        <tr r="R116" s="18"/>
      </tp>
      <tp t="e">
        <v>#N/A</v>
        <stp/>
        <stp>BDH|12590415706064807547</stp>
        <tr r="V53" s="18"/>
      </tp>
      <tp t="e">
        <v>#N/A</v>
        <stp/>
        <stp>BDH|11267958222484320982</stp>
        <tr r="L9" s="21"/>
      </tp>
      <tp t="e">
        <v>#N/A</v>
        <stp/>
        <stp>BDH|14042728454753921213</stp>
        <tr r="C48" s="18"/>
      </tp>
      <tp t="e">
        <v>#N/A</v>
        <stp/>
        <stp>BDH|14660105636709748899</stp>
        <tr r="X111" s="18"/>
      </tp>
      <tp t="e">
        <v>#N/A</v>
        <stp/>
        <stp>BDH|11563295513100630579</stp>
        <tr r="P45" s="4"/>
        <tr r="P27" s="10"/>
        <tr r="P25" s="11"/>
        <tr r="R26" s="13"/>
      </tp>
      <tp t="e">
        <v>#N/A</v>
        <stp/>
        <stp>BDH|11689653667164356291</stp>
        <tr r="X79" s="17"/>
        <tr r="X20" s="3"/>
        <tr r="V6" s="7"/>
      </tp>
      <tp t="e">
        <v>#N/A</v>
        <stp/>
        <stp>BDH|15961169925367250667</stp>
        <tr r="X15" s="22"/>
      </tp>
      <tp t="e">
        <v>#N/A</v>
        <stp/>
        <stp>BDH|14788840073779773595</stp>
        <tr r="O59" s="10"/>
      </tp>
      <tp t="e">
        <v>#N/A</v>
        <stp/>
        <stp>BDH|11992464910317633471</stp>
        <tr r="P39" s="17"/>
      </tp>
      <tp t="e">
        <v>#N/A</v>
        <stp/>
        <stp>BDH|13076304856156062487</stp>
        <tr r="E40" s="24"/>
      </tp>
      <tp t="e">
        <v>#N/A</v>
        <stp/>
        <stp>BDH|13990418797261713861</stp>
        <tr r="V32" s="25"/>
        <tr r="V7" s="3"/>
        <tr r="T19" s="11"/>
        <tr r="V22" s="13"/>
        <tr r="V7" s="13"/>
      </tp>
      <tp t="e">
        <v>#N/A</v>
        <stp/>
        <stp>BDH|14046527903462874472</stp>
        <tr r="J34" s="22"/>
      </tp>
      <tp t="e">
        <v>#N/A</v>
        <stp/>
        <stp>BDH|17599623472118884932</stp>
        <tr r="AA33" s="18"/>
      </tp>
      <tp t="e">
        <v>#N/A</v>
        <stp/>
        <stp>BDH|16708170839161771206</stp>
        <tr r="F22" s="5"/>
      </tp>
      <tp t="e">
        <v>#N/A</v>
        <stp/>
        <stp>BDH|14754940228171417912</stp>
        <tr r="W15" s="17"/>
        <tr r="W18" s="28"/>
      </tp>
      <tp t="e">
        <v>#N/A</v>
        <stp/>
        <stp>BDH|14830959803233186916</stp>
        <tr r="H9" s="10"/>
      </tp>
      <tp t="e">
        <v>#N/A</v>
        <stp/>
        <stp>BDH|14895503428780795492</stp>
        <tr r="L58" s="11"/>
      </tp>
      <tp t="e">
        <v>#N/A</v>
        <stp/>
        <stp>BDH|14613805991753027194</stp>
        <tr r="C41" s="24"/>
      </tp>
      <tp t="e">
        <v>#N/A</v>
        <stp/>
        <stp>BDH|18174696161488036773</stp>
        <tr r="H22" s="9"/>
      </tp>
      <tp t="e">
        <v>#N/A</v>
        <stp/>
        <stp>BDH|16841040004328675904</stp>
        <tr r="Y44" s="21"/>
      </tp>
      <tp t="e">
        <v>#N/A</v>
        <stp/>
        <stp>BDH|14157333834900166062</stp>
        <tr r="AA81" s="17"/>
      </tp>
      <tp t="e">
        <v>#N/A</v>
        <stp/>
        <stp>BDH|11218002226322680533</stp>
        <tr r="X20" s="6"/>
      </tp>
      <tp t="e">
        <v>#N/A</v>
        <stp/>
        <stp>BDH|16060327044201105468</stp>
        <tr r="N45" s="24"/>
      </tp>
      <tp t="e">
        <v>#N/A</v>
        <stp/>
        <stp>BDH|10206533913233584363</stp>
        <tr r="P27" s="24"/>
      </tp>
      <tp t="e">
        <v>#N/A</v>
        <stp/>
        <stp>BDH|11664861987471782411</stp>
        <tr r="J86" s="17"/>
      </tp>
      <tp t="e">
        <v>#N/A</v>
        <stp/>
        <stp>BDH|10547272233386085304</stp>
        <tr r="D44" s="12"/>
      </tp>
      <tp t="e">
        <v>#N/A</v>
        <stp/>
        <stp>BDH|13990547899658027353</stp>
        <tr r="D14" s="23"/>
      </tp>
      <tp t="e">
        <v>#N/A</v>
        <stp/>
        <stp>BDH|12207803362371513948</stp>
        <tr r="G13" s="17"/>
        <tr r="G16" s="28"/>
      </tp>
      <tp t="e">
        <v>#N/A</v>
        <stp/>
        <stp>BDH|13672679070617947194</stp>
        <tr r="V69" s="17"/>
      </tp>
      <tp t="e">
        <v>#N/A</v>
        <stp/>
        <stp>BDH|14833958721769447297</stp>
        <tr r="Q19" s="9"/>
      </tp>
      <tp t="e">
        <v>#N/A</v>
        <stp/>
        <stp>BDH|16494062033482269326</stp>
        <tr r="M31" s="29"/>
        <tr r="M39" s="29"/>
        <tr r="K10" s="2"/>
        <tr r="K11" s="5"/>
        <tr r="J37" s="6"/>
      </tp>
      <tp t="e">
        <v>#N/A</v>
        <stp/>
        <stp>BDH|11548063233410993684</stp>
        <tr r="Y46" s="4"/>
        <tr r="Y25" s="10"/>
        <tr r="AA27" s="13"/>
      </tp>
      <tp t="e">
        <v>#N/A</v>
        <stp/>
        <stp>BDH|10473021153279332879</stp>
        <tr r="S35" s="24"/>
      </tp>
      <tp t="e">
        <v>#N/A</v>
        <stp/>
        <stp>BDH|15209237028737885605</stp>
        <tr r="D30" s="24"/>
      </tp>
      <tp t="e">
        <v>#N/A</v>
        <stp/>
        <stp>BDH|14589505053019062976</stp>
        <tr r="K58" s="18"/>
      </tp>
      <tp t="e">
        <v>#N/A</v>
        <stp/>
        <stp>BDH|14770329636041418162</stp>
        <tr r="D76" s="18"/>
      </tp>
      <tp t="e">
        <v>#N/A</v>
        <stp/>
        <stp>BDH|13273671390871164955</stp>
        <tr r="H51" s="18"/>
      </tp>
      <tp t="e">
        <v>#N/A</v>
        <stp/>
        <stp>BDH|17704404990539143776</stp>
        <tr r="S24" s="25"/>
        <tr r="Q14" s="5"/>
        <tr r="S17" s="27"/>
      </tp>
      <tp t="e">
        <v>#N/A</v>
        <stp/>
        <stp>BDH|14020961095731416166</stp>
        <tr r="H14" s="28"/>
      </tp>
      <tp t="e">
        <v>#N/A</v>
        <stp/>
        <stp>BDH|15975318861331072589</stp>
        <tr r="R16" s="29"/>
        <tr r="R36" s="29"/>
      </tp>
      <tp t="e">
        <v>#N/A</v>
        <stp/>
        <stp>BDH|13621977793894795346</stp>
        <tr r="O23" s="25"/>
        <tr r="O16" s="27"/>
      </tp>
      <tp t="e">
        <v>#N/A</v>
        <stp/>
        <stp>BDH|11543760273335903086</stp>
        <tr r="V27" s="24"/>
      </tp>
      <tp t="e">
        <v>#N/A</v>
        <stp/>
        <stp>BDH|17925338039272084120</stp>
        <tr r="T62" s="18"/>
      </tp>
      <tp t="e">
        <v>#N/A</v>
        <stp/>
        <stp>BDH|17702804087011971283</stp>
        <tr r="E26" s="21"/>
      </tp>
      <tp t="e">
        <v>#N/A</v>
        <stp/>
        <stp>BDH|12349445715763683059</stp>
        <tr r="Z44" s="24"/>
      </tp>
      <tp t="e">
        <v>#N/A</v>
        <stp/>
        <stp>BDH|14399014105101082163</stp>
        <tr r="C17" s="9"/>
      </tp>
      <tp t="e">
        <v>#N/A</v>
        <stp/>
        <stp>BDH|13346343062933291160</stp>
        <tr r="M28" s="10"/>
        <tr r="M26" s="11"/>
      </tp>
      <tp t="e">
        <v>#N/A</v>
        <stp/>
        <stp>BDH|10924288738775991012</stp>
        <tr r="O127" s="18"/>
      </tp>
      <tp t="e">
        <v>#N/A</v>
        <stp/>
        <stp>BDH|14618958714339674108</stp>
        <tr r="L25" s="3"/>
      </tp>
      <tp t="e">
        <v>#N/A</v>
        <stp/>
        <stp>BDH|11779418173253198550</stp>
        <tr r="Z78" s="18"/>
      </tp>
      <tp t="e">
        <v>#N/A</v>
        <stp/>
        <stp>BDH|11733937257330556976</stp>
        <tr r="G9" s="6"/>
      </tp>
      <tp t="e">
        <v>#N/A</v>
        <stp/>
        <stp>BDH|10130300070370570053</stp>
        <tr r="V17" s="11"/>
      </tp>
      <tp t="e">
        <v>#N/A</v>
        <stp/>
        <stp>BDH|14247545362026357560</stp>
        <tr r="W14" s="13"/>
      </tp>
      <tp t="e">
        <v>#N/A</v>
        <stp/>
        <stp>BDH|17306054312215355767</stp>
        <tr r="D20" s="10"/>
      </tp>
      <tp t="e">
        <v>#N/A</v>
        <stp/>
        <stp>BDH|12145577361602026763</stp>
        <tr r="T24" s="22"/>
      </tp>
      <tp t="e">
        <v>#N/A</v>
        <stp/>
        <stp>BDH|13168056254850436240</stp>
        <tr r="M9" s="24"/>
      </tp>
      <tp t="e">
        <v>#N/A</v>
        <stp/>
        <stp>BDH|14638629259472962141</stp>
        <tr r="R33" s="21"/>
      </tp>
      <tp t="e">
        <v>#N/A</v>
        <stp/>
        <stp>BDH|12442937846872153907</stp>
        <tr r="C59" s="17"/>
      </tp>
      <tp t="e">
        <v>#N/A</v>
        <stp/>
        <stp>BDH|10100088479325846686</stp>
        <tr r="Y54" s="18"/>
      </tp>
      <tp t="e">
        <v>#N/A</v>
        <stp/>
        <stp>BDH|10991798343835733243</stp>
        <tr r="J28" s="17"/>
      </tp>
      <tp t="e">
        <v>#N/A</v>
        <stp/>
        <stp>BDH|12634198207316147193</stp>
        <tr r="M40" s="17"/>
        <tr r="M9" s="25"/>
      </tp>
      <tp t="e">
        <v>#N/A</v>
        <stp/>
        <stp>BDH|13482548666563732719</stp>
        <tr r="V11" s="6"/>
      </tp>
      <tp t="e">
        <v>#N/A</v>
        <stp/>
        <stp>BDH|10797474226633100175</stp>
        <tr r="M89" s="18"/>
        <tr r="M9" s="20"/>
      </tp>
      <tp t="e">
        <v>#N/A</v>
        <stp/>
        <stp>BDH|15301870776806600845</stp>
        <tr r="U28" s="18"/>
      </tp>
      <tp t="e">
        <v>#N/A</v>
        <stp/>
        <stp>BDH|11442866074139763318</stp>
        <tr r="K10" s="13"/>
      </tp>
      <tp t="e">
        <v>#N/A</v>
        <stp/>
        <stp>BDH|15563979961778120626</stp>
        <tr r="I60" s="12"/>
      </tp>
      <tp t="e">
        <v>#N/A</v>
        <stp/>
        <stp>BDH|16661875729329951119</stp>
        <tr r="Y80" s="18"/>
      </tp>
      <tp t="e">
        <v>#N/A</v>
        <stp/>
        <stp>BDH|14708208003063649120</stp>
        <tr r="X114" s="18"/>
      </tp>
      <tp t="e">
        <v>#N/A</v>
        <stp/>
        <stp>BDH|15925527583388061483</stp>
        <tr r="Z46" s="17"/>
      </tp>
      <tp t="e">
        <v>#N/A</v>
        <stp/>
        <stp>BDH|12008745166262735557</stp>
        <tr r="W13" s="10"/>
      </tp>
      <tp t="e">
        <v>#N/A</v>
        <stp/>
        <stp>BDH|12847897400216943886</stp>
        <tr r="I9" s="23"/>
      </tp>
      <tp t="e">
        <v>#N/A</v>
        <stp/>
        <stp>BDH|10548187614154936003</stp>
        <tr r="H34" s="22"/>
      </tp>
      <tp t="e">
        <v>#N/A</v>
        <stp/>
        <stp>BDH|16302832855419003654</stp>
        <tr r="L24" s="22"/>
      </tp>
      <tp t="e">
        <v>#N/A</v>
        <stp/>
        <stp>BDH|15638675355483198159</stp>
        <tr r="X9" s="2"/>
        <tr r="Z8" s="25"/>
        <tr r="X10" s="5"/>
      </tp>
      <tp t="e">
        <v>#N/A</v>
        <stp/>
        <stp>BDH|17536834838949641188</stp>
        <tr r="Y57" s="24"/>
      </tp>
      <tp t="e">
        <v>#N/A</v>
        <stp/>
        <stp>BDH|10020759661025611028</stp>
        <tr r="K88" s="17"/>
      </tp>
      <tp t="e">
        <v>#N/A</v>
        <stp/>
        <stp>BDH|15163224373067356335</stp>
        <tr r="G29" s="34"/>
      </tp>
      <tp t="e">
        <v>#N/A</v>
        <stp/>
        <stp>BDH|14707753642572015105</stp>
        <tr r="H19" s="10"/>
        <tr r="J16" s="13"/>
        <tr r="J23" s="13"/>
      </tp>
      <tp t="e">
        <v>#N/A</v>
        <stp/>
        <stp>BDH|11148151327575235312</stp>
        <tr r="E46" s="12"/>
      </tp>
      <tp t="e">
        <v>#N/A</v>
        <stp/>
        <stp>BDH|16737739382368718519</stp>
        <tr r="R18" s="2"/>
        <tr r="R53" s="4"/>
        <tr r="R42" s="10"/>
        <tr r="R40" s="11"/>
        <tr r="T34" s="13"/>
      </tp>
      <tp t="e">
        <v>#N/A</v>
        <stp/>
        <stp>BDH|11019374105384535274</stp>
        <tr r="F10" s="29"/>
        <tr r="F19" s="29"/>
        <tr r="F25" s="29"/>
        <tr r="D6" s="2"/>
        <tr r="D6" s="5"/>
        <tr r="D6" s="9"/>
        <tr r="E12" s="8"/>
      </tp>
      <tp t="e">
        <v>#N/A</v>
        <stp/>
        <stp>BDH|15993697521894036115</stp>
        <tr r="AA7" s="21"/>
      </tp>
      <tp t="e">
        <v>#N/A</v>
        <stp/>
        <stp>BDH|12127683122652365081</stp>
        <tr r="M11" s="29"/>
      </tp>
      <tp t="e">
        <v>#N/A</v>
        <stp/>
        <stp>BDH|14948087750126930386</stp>
        <tr r="T62" s="24"/>
      </tp>
      <tp t="e">
        <v>#N/A</v>
        <stp/>
        <stp>BDH|12174372122821088642</stp>
        <tr r="P25" s="25"/>
        <tr r="P18" s="27"/>
      </tp>
      <tp t="e">
        <v>#N/A</v>
        <stp/>
        <stp>BDH|16020631835151478622</stp>
        <tr r="S21" s="24"/>
      </tp>
      <tp t="e">
        <v>#N/A</v>
        <stp/>
        <stp>BDH|12542806970628338160</stp>
        <tr r="J17" s="29"/>
        <tr r="J37" s="29"/>
      </tp>
      <tp t="e">
        <v>#N/A</v>
        <stp/>
        <stp>BDH|12855388393358786440</stp>
        <tr r="O8" s="22"/>
      </tp>
      <tp t="e">
        <v>#N/A</v>
        <stp/>
        <stp>BDH|14119231120086706656</stp>
        <tr r="Y17" s="29"/>
        <tr r="Y37" s="29"/>
      </tp>
      <tp t="e">
        <v>#N/A</v>
        <stp/>
        <stp>BDH|14137179404652020328</stp>
        <tr r="G13" s="7"/>
      </tp>
      <tp t="e">
        <v>#N/A</v>
        <stp/>
        <stp>BDH|10161881558399226033</stp>
        <tr r="Y17" s="22"/>
      </tp>
      <tp t="e">
        <v>#N/A</v>
        <stp/>
        <stp>BDH|10626707607364703762</stp>
        <tr r="F9" s="24"/>
      </tp>
      <tp t="e">
        <v>#N/A</v>
        <stp/>
        <stp>BDH|10552011621863314569</stp>
        <tr r="Y15" s="20"/>
      </tp>
      <tp t="e">
        <v>#N/A</v>
        <stp/>
        <stp>BDH|12416385058606747632</stp>
        <tr r="G88" s="17"/>
      </tp>
      <tp t="e">
        <v>#N/A</v>
        <stp/>
        <stp>BDH|11616416543892003774</stp>
        <tr r="Q14" s="20"/>
      </tp>
      <tp t="e">
        <v>#N/A</v>
        <stp/>
        <stp>BDH|18183245701869788707</stp>
        <tr r="X7" s="21"/>
      </tp>
      <tp t="e">
        <v>#N/A</v>
        <stp/>
        <stp>BDH|13071094759834648656</stp>
        <tr r="S52" s="12"/>
      </tp>
      <tp t="e">
        <v>#N/A</v>
        <stp/>
        <stp>BDH|14409907386216182704</stp>
        <tr r="X21" s="4"/>
      </tp>
      <tp t="e">
        <v>#N/A</v>
        <stp/>
        <stp>BDH|11476763251896556150</stp>
        <tr r="P111" s="18"/>
      </tp>
      <tp t="e">
        <v>#N/A</v>
        <stp/>
        <stp>BDH|14861368755154125294</stp>
        <tr r="Y103" s="18"/>
      </tp>
      <tp t="e">
        <v>#N/A</v>
        <stp/>
        <stp>BDH|17017657561537283452</stp>
        <tr r="G11" s="28"/>
      </tp>
      <tp t="e">
        <v>#N/A</v>
        <stp/>
        <stp>BDH|17962424590808042686</stp>
        <tr r="Z123" s="18"/>
      </tp>
      <tp t="e">
        <v>#N/A</v>
        <stp/>
        <stp>BDH|12797460117012276171</stp>
        <tr r="W16" s="26"/>
      </tp>
      <tp t="e">
        <v>#N/A</v>
        <stp/>
        <stp>BDH|15095571155187430656</stp>
        <tr r="C9" s="6"/>
      </tp>
      <tp t="e">
        <v>#N/A</v>
        <stp/>
        <stp>BDH|10890018851860370182</stp>
        <tr r="I43" s="18"/>
      </tp>
      <tp t="e">
        <v>#N/A</v>
        <stp/>
        <stp>BDH|16091487618615048230</stp>
        <tr r="R10" s="30"/>
      </tp>
      <tp t="e">
        <v>#N/A</v>
        <stp/>
        <stp>BDH|12652990715079007799</stp>
        <tr r="M14" s="20"/>
      </tp>
      <tp t="e">
        <v>#N/A</v>
        <stp/>
        <stp>BDH|13611604037455344719</stp>
        <tr r="Z31" s="22"/>
      </tp>
      <tp t="e">
        <v>#N/A</v>
        <stp/>
        <stp>BDH|11751293461613848247</stp>
        <tr r="V90" s="17"/>
        <tr r="V13" s="28"/>
      </tp>
      <tp t="e">
        <v>#N/A</v>
        <stp/>
        <stp>BDH|10159011783579849586</stp>
        <tr r="H69" s="17"/>
      </tp>
      <tp t="e">
        <v>#N/A</v>
        <stp/>
        <stp>BDH|17139663146216774757</stp>
        <tr r="E41" s="17"/>
      </tp>
      <tp t="e">
        <v>#N/A</v>
        <stp/>
        <stp>BDH|10867983685467273244</stp>
        <tr r="W22" s="21"/>
      </tp>
      <tp t="e">
        <v>#N/A</v>
        <stp/>
        <stp>BDH|13707448020915361435</stp>
        <tr r="R21" s="4"/>
      </tp>
      <tp t="e">
        <v>#N/A</v>
        <stp/>
        <stp>BDH|15872054102188426981</stp>
        <tr r="F71" s="18"/>
      </tp>
      <tp t="e">
        <v>#N/A</v>
        <stp/>
        <stp>BDH|18428574264069242663</stp>
        <tr r="S37" s="24"/>
      </tp>
      <tp t="e">
        <v>#N/A</v>
        <stp/>
        <stp>BDH|10987275930036445398</stp>
        <tr r="G84" s="17"/>
      </tp>
      <tp t="e">
        <v>#N/A</v>
        <stp/>
        <stp>BDH|15862611996656534893</stp>
        <tr r="G8" s="14"/>
      </tp>
      <tp t="e">
        <v>#N/A</v>
        <stp/>
        <stp>BDH|12800721021146004581</stp>
        <tr r="H39" s="18"/>
      </tp>
      <tp t="e">
        <v>#N/A</v>
        <stp/>
        <stp>BDH|14722160453991981583</stp>
        <tr r="L15" s="18"/>
      </tp>
      <tp t="e">
        <v>#N/A</v>
        <stp/>
        <stp>BDH|14647585874547002594</stp>
        <tr r="J98" s="18"/>
      </tp>
      <tp t="e">
        <v>#N/A</v>
        <stp/>
        <stp>BDH|18068870538117834044</stp>
        <tr r="G83" s="17"/>
      </tp>
      <tp t="e">
        <v>#N/A</v>
        <stp/>
        <stp>BDH|17119239651903899788</stp>
        <tr r="AA7" s="30"/>
      </tp>
      <tp t="e">
        <v>#N/A</v>
        <stp/>
        <stp>BDH|13433636977403209511</stp>
        <tr r="L37" s="18"/>
      </tp>
      <tp t="e">
        <v>#N/A</v>
        <stp/>
        <stp>BDH|15642721963625335577</stp>
        <tr r="I55" s="17"/>
      </tp>
      <tp t="e">
        <v>#N/A</v>
        <stp/>
        <stp>BDH|12621402061313447700</stp>
        <tr r="J41" s="12"/>
      </tp>
      <tp t="e">
        <v>#N/A</v>
        <stp/>
        <stp>BDH|18159532334418651230</stp>
        <tr r="O60" s="10"/>
      </tp>
      <tp t="e">
        <v>#N/A</v>
        <stp/>
        <stp>BDH|11767326174884378519</stp>
        <tr r="U14" s="21"/>
      </tp>
      <tp t="e">
        <v>#N/A</v>
        <stp/>
        <stp>BDH|17887563349515106758</stp>
        <tr r="W24" s="21"/>
      </tp>
      <tp t="e">
        <v>#N/A</v>
        <stp/>
        <stp>BDH|15405141479195800225</stp>
        <tr r="J70" s="24"/>
      </tp>
      <tp t="e">
        <v>#N/A</v>
        <stp/>
        <stp>BDH|10380520913430810098</stp>
        <tr r="G51" s="18"/>
      </tp>
      <tp t="e">
        <v>#N/A</v>
        <stp/>
        <stp>BDH|18302233737959487407</stp>
        <tr r="S26" s="10"/>
      </tp>
      <tp t="e">
        <v>#N/A</v>
        <stp/>
        <stp>BDH|13496027484918503742</stp>
        <tr r="N63" s="10"/>
      </tp>
      <tp t="e">
        <v>#N/A</v>
        <stp/>
        <stp>BDH|14337747315625724365</stp>
        <tr r="Q8" s="14"/>
      </tp>
      <tp t="e">
        <v>#N/A</v>
        <stp/>
        <stp>BDH|16323570556032418057</stp>
        <tr r="F52" s="17"/>
      </tp>
      <tp t="e">
        <v>#N/A</v>
        <stp/>
        <stp>BDH|15592288234267331794</stp>
        <tr r="W25" s="25"/>
        <tr r="W18" s="27"/>
      </tp>
      <tp t="e">
        <v>#N/A</v>
        <stp/>
        <stp>BDH|18117044681702417637</stp>
        <tr r="K27" s="7"/>
      </tp>
      <tp t="e">
        <v>#N/A</v>
        <stp/>
        <stp>BDH|11929831001228896512</stp>
        <tr r="K13" s="14"/>
      </tp>
      <tp t="e">
        <v>#N/A</v>
        <stp/>
        <stp>BDH|12593895240798682289</stp>
        <tr r="N73" s="18"/>
      </tp>
      <tp t="e">
        <v>#N/A</v>
        <stp/>
        <stp>BDH|15934842379809707713</stp>
        <tr r="K13" s="22"/>
      </tp>
      <tp t="e">
        <v>#N/A</v>
        <stp/>
        <stp>BDH|13648851757333363959</stp>
        <tr r="Q16" s="29"/>
        <tr r="Q36" s="29"/>
      </tp>
      <tp t="e">
        <v>#N/A</v>
        <stp/>
        <stp>BDH|15765272501362669158</stp>
        <tr r="J11" s="28"/>
      </tp>
      <tp t="e">
        <v>#N/A</v>
        <stp/>
        <stp>BDH|11254778367387441343</stp>
        <tr r="J8" s="6"/>
      </tp>
      <tp t="e">
        <v>#N/A</v>
        <stp/>
        <stp>BDH|11809587281811304906</stp>
        <tr r="F20" s="27"/>
      </tp>
      <tp t="e">
        <v>#N/A</v>
        <stp/>
        <stp>BDH|14143639196629319653</stp>
        <tr r="Q9" s="12"/>
      </tp>
      <tp t="e">
        <v>#N/A</v>
        <stp/>
        <stp>BDH|11882349256982138192</stp>
        <tr r="W58" s="21"/>
        <tr r="W30" s="25"/>
        <tr r="U31" s="4"/>
        <tr r="U56" s="11"/>
      </tp>
      <tp t="e">
        <v>#N/A</v>
        <stp/>
        <stp>BDH|16063539670258178802</stp>
        <tr r="P62" s="24"/>
      </tp>
      <tp t="e">
        <v>#N/A</v>
        <stp/>
        <stp>BDH|16661105630271184151</stp>
        <tr r="G27" s="7"/>
      </tp>
      <tp t="e">
        <v>#N/A</v>
        <stp/>
        <stp>BDH|15417505595354385907</stp>
        <tr r="R87" s="17"/>
        <tr r="R27" s="25"/>
      </tp>
      <tp t="e">
        <v>#N/A</v>
        <stp/>
        <stp>BDH|11721065005124718118</stp>
        <tr r="Y29" s="9"/>
      </tp>
      <tp t="e">
        <v>#N/A</v>
        <stp/>
        <stp>BDH|15125335529838017891</stp>
        <tr r="Y21" s="3"/>
      </tp>
      <tp t="e">
        <v>#N/A</v>
        <stp/>
        <stp>BDH|11596662153620472665</stp>
        <tr r="T11" s="13"/>
      </tp>
      <tp t="e">
        <v>#N/A</v>
        <stp/>
        <stp>BDH|15223594249831782179</stp>
        <tr r="K21" s="3"/>
      </tp>
      <tp t="e">
        <v>#N/A</v>
        <stp/>
        <stp>BDH|11424758894679064274</stp>
        <tr r="AA12" s="3"/>
        <tr r="Y51" s="10"/>
        <tr r="Y49" s="11"/>
        <tr r="Y7" s="7"/>
      </tp>
      <tp t="e">
        <v>#N/A</v>
        <stp/>
        <stp>BDH|13309318234477307072</stp>
        <tr r="T46" s="24"/>
      </tp>
      <tp t="e">
        <v>#N/A</v>
        <stp/>
        <stp>BDH|11155640427261786071</stp>
        <tr r="R9" s="23"/>
      </tp>
      <tp t="e">
        <v>#N/A</v>
        <stp/>
        <stp>BDH|16450703833514788225</stp>
        <tr r="M17" s="24"/>
      </tp>
      <tp t="e">
        <v>#N/A</v>
        <stp/>
        <stp>BDH|14572048841327064327</stp>
        <tr r="W31" s="17"/>
      </tp>
      <tp t="e">
        <v>#N/A</v>
        <stp/>
        <stp>BDH|17151812350196155830</stp>
        <tr r="Y9" s="24"/>
      </tp>
      <tp t="e">
        <v>#N/A</v>
        <stp/>
        <stp>BDH|14805424158024327535</stp>
        <tr r="Z11" s="14"/>
      </tp>
      <tp t="e">
        <v>#N/A</v>
        <stp/>
        <stp>BDH|15292674343633790031</stp>
        <tr r="W9" s="6"/>
      </tp>
      <tp t="e">
        <v>#N/A</v>
        <stp/>
        <stp>BDH|13052352161162438027</stp>
        <tr r="J38" s="34"/>
      </tp>
      <tp t="e">
        <v>#N/A</v>
        <stp/>
        <stp>BDH|16082119037255719530</stp>
        <tr r="C70" s="18"/>
      </tp>
      <tp t="e">
        <v>#N/A</v>
        <stp/>
        <stp>BDH|12837673948464760020</stp>
        <tr r="S40" s="21"/>
      </tp>
      <tp t="e">
        <v>#N/A</v>
        <stp/>
        <stp>BDH|17041116803843780173</stp>
        <tr r="X18" s="10"/>
      </tp>
      <tp t="e">
        <v>#N/A</v>
        <stp/>
        <stp>BDH|13184839887771725605</stp>
        <tr r="V22" s="9"/>
      </tp>
      <tp t="e">
        <v>#N/A</v>
        <stp/>
        <stp>BDH|10352967185145313013</stp>
        <tr r="K58" s="11"/>
      </tp>
      <tp t="e">
        <v>#N/A</v>
        <stp/>
        <stp>BDH|14391592226870809763</stp>
        <tr r="O41" s="21"/>
      </tp>
      <tp t="e">
        <v>#N/A</v>
        <stp/>
        <stp>BDH|17840859069345589836</stp>
        <tr r="P30" s="9"/>
      </tp>
      <tp t="e">
        <v>#N/A</v>
        <stp/>
        <stp>BDH|11436530246243708741</stp>
        <tr r="J21" s="12"/>
      </tp>
      <tp t="e">
        <v>#N/A</v>
        <stp/>
        <stp>BDH|15664161312507540656</stp>
        <tr r="X31" s="25"/>
      </tp>
      <tp t="e">
        <v>#N/A</v>
        <stp/>
        <stp>BDH|14410422006746178234</stp>
        <tr r="F61" s="17"/>
      </tp>
      <tp t="e">
        <v>#N/A</v>
        <stp/>
        <stp>BDH|15975985387275274560</stp>
        <tr r="Q8" s="28"/>
      </tp>
      <tp t="e">
        <v>#N/A</v>
        <stp/>
        <stp>BDH|16934494456093493008</stp>
        <tr r="P53" s="10"/>
        <tr r="P51" s="11"/>
        <tr r="P18" s="7"/>
        <tr r="R40" s="13"/>
      </tp>
      <tp t="e">
        <v>#N/A</v>
        <stp/>
        <stp>BDH|10454327625710970584</stp>
        <tr r="C17" s="22"/>
      </tp>
      <tp t="e">
        <v>#N/A</v>
        <stp/>
        <stp>BDH|11551443112544260430</stp>
        <tr r="G6" s="27"/>
      </tp>
      <tp t="e">
        <v>#N/A</v>
        <stp/>
        <stp>BDH|14885593703777009208</stp>
        <tr r="W41" s="24"/>
      </tp>
      <tp t="e">
        <v>#N/A</v>
        <stp/>
        <stp>BDH|14308725925244040167</stp>
        <tr r="S29" s="9"/>
      </tp>
      <tp t="e">
        <v>#N/A</v>
        <stp/>
        <stp>BDH|15013727773818721948</stp>
        <tr r="O16" s="24"/>
      </tp>
      <tp t="e">
        <v>#N/A</v>
        <stp/>
        <stp>BDH|15722708745893458143</stp>
        <tr r="V6" s="6"/>
      </tp>
      <tp t="e">
        <v>#N/A</v>
        <stp/>
        <stp>BDH|16157636544417633720</stp>
        <tr r="K38" s="18"/>
      </tp>
      <tp t="e">
        <v>#N/A</v>
        <stp/>
        <stp>BDH|16730514472332973289</stp>
        <tr r="M9" s="6"/>
      </tp>
      <tp t="e">
        <v>#N/A</v>
        <stp/>
        <stp>BDH|15384078070643041518</stp>
        <tr r="R21" s="10"/>
      </tp>
      <tp t="e">
        <v>#N/A</v>
        <stp/>
        <stp>BDH|10246754247345110248</stp>
        <tr r="G86" s="17"/>
      </tp>
      <tp t="e">
        <v>#N/A</v>
        <stp/>
        <stp>BDH|15988390958763865453</stp>
        <tr r="N60" s="21"/>
      </tp>
      <tp t="e">
        <v>#N/A</v>
        <stp/>
        <stp>BDH|13683572817212062137</stp>
        <tr r="I117" s="18"/>
      </tp>
      <tp t="e">
        <v>#N/A</v>
        <stp/>
        <stp>BDH|15920808279126211873</stp>
        <tr r="O22" s="4"/>
      </tp>
      <tp t="e">
        <v>#N/A</v>
        <stp/>
        <stp>BDH|18033733683783064059</stp>
        <tr r="M13" s="20"/>
      </tp>
      <tp t="e">
        <v>#N/A</v>
        <stp/>
        <stp>BDH|15701058414621242114</stp>
        <tr r="E50" s="21"/>
      </tp>
      <tp t="e">
        <v>#N/A</v>
        <stp/>
        <stp>BDH|10666738136882336258</stp>
        <tr r="P38" s="17"/>
      </tp>
      <tp t="e">
        <v>#N/A</v>
        <stp/>
        <stp>BDH|13721566077277025239</stp>
        <tr r="W119" s="18"/>
      </tp>
      <tp t="e">
        <v>#N/A</v>
        <stp/>
        <stp>BDH|11358789371073781688</stp>
        <tr r="U50" s="17"/>
        <tr r="U10" s="25"/>
      </tp>
      <tp t="e">
        <v>#N/A</v>
        <stp/>
        <stp>BDH|10634837440091795971</stp>
        <tr r="E9" s="23"/>
      </tp>
      <tp t="e">
        <v>#N/A</v>
        <stp/>
        <stp>BDH|11555607861522526746</stp>
        <tr r="Q20" s="17"/>
      </tp>
      <tp t="e">
        <v>#N/A</v>
        <stp/>
        <stp>BDH|17491575696039485647</stp>
        <tr r="U10" s="2"/>
        <tr r="U11" s="5"/>
        <tr r="T37" s="6"/>
        <tr r="W31" s="29"/>
        <tr r="W39" s="29"/>
      </tp>
      <tp t="e">
        <v>#N/A</v>
        <stp/>
        <stp>BDH|10688048421981692701</stp>
        <tr r="V46" s="18"/>
      </tp>
      <tp t="e">
        <v>#N/A</v>
        <stp/>
        <stp>BDH|12697445231487190671</stp>
        <tr r="R17" s="22"/>
      </tp>
      <tp t="e">
        <v>#N/A</v>
        <stp/>
        <stp>BDH|15588808086417415625</stp>
        <tr r="K119" s="18"/>
      </tp>
      <tp t="e">
        <v>#N/A</v>
        <stp/>
        <stp>BDH|10076483269981046749</stp>
        <tr r="Q20" s="22"/>
      </tp>
      <tp t="e">
        <v>#N/A</v>
        <stp/>
        <stp>BDH|11993730340936960066</stp>
        <tr r="K13" s="34"/>
      </tp>
      <tp t="e">
        <v>#N/A</v>
        <stp/>
        <stp>BDH|14858903648915094851</stp>
        <tr r="O19" s="14"/>
      </tp>
      <tp t="e">
        <v>#N/A</v>
        <stp/>
        <stp>BDH|10285988848559552027</stp>
        <tr r="N10" s="12"/>
      </tp>
      <tp t="e">
        <v>#N/A</v>
        <stp/>
        <stp>BDH|14335446360640036227</stp>
        <tr r="Y10" s="22"/>
      </tp>
      <tp t="e">
        <v>#N/A</v>
        <stp/>
        <stp>BDH|15585535800692599664</stp>
        <tr r="K43" s="4"/>
      </tp>
      <tp t="e">
        <v>#N/A</v>
        <stp/>
        <stp>BDH|12283275846253282341</stp>
        <tr r="J13" s="8"/>
      </tp>
      <tp t="e">
        <v>#N/A</v>
        <stp/>
        <stp>BDH|15484451181924547902</stp>
        <tr r="L30" s="26"/>
      </tp>
      <tp t="e">
        <v>#N/A</v>
        <stp/>
        <stp>BDH|11625206355566718415</stp>
        <tr r="S7" s="28"/>
      </tp>
      <tp t="e">
        <v>#N/A</v>
        <stp/>
        <stp>BDH|16201657672165534650</stp>
        <tr r="X24" s="25"/>
        <tr r="X17" s="27"/>
        <tr r="V14" s="5"/>
      </tp>
      <tp t="e">
        <v>#N/A</v>
        <stp/>
        <stp>BDH|13038282615395950112</stp>
        <tr r="J31" s="21"/>
      </tp>
      <tp t="e">
        <v>#N/A</v>
        <stp/>
        <stp>BDH|17283239917850183025</stp>
        <tr r="T65" s="12"/>
      </tp>
      <tp t="e">
        <v>#N/A</v>
        <stp/>
        <stp>BDH|16187822512582434908</stp>
        <tr r="U42" s="4"/>
      </tp>
      <tp t="e">
        <v>#N/A</v>
        <stp/>
        <stp>BDH|17879760406542542682</stp>
        <tr r="G57" s="17"/>
      </tp>
      <tp t="e">
        <v>#N/A</v>
        <stp/>
        <stp>BDH|13616672626181272201</stp>
        <tr r="K20" s="11"/>
      </tp>
      <tp t="e">
        <v>#N/A</v>
        <stp/>
        <stp>BDH|14039618255555624678</stp>
        <tr r="O23" s="26"/>
      </tp>
      <tp t="e">
        <v>#N/A</v>
        <stp/>
        <stp>BDH|10126252755565022643</stp>
        <tr r="N33" s="18"/>
      </tp>
      <tp t="e">
        <v>#N/A</v>
        <stp/>
        <stp>BDH|11613035454735352572</stp>
        <tr r="T73" s="18"/>
      </tp>
      <tp t="e">
        <v>#N/A</v>
        <stp/>
        <stp>BDH|12516775045534553170</stp>
        <tr r="S116" s="18"/>
      </tp>
      <tp t="e">
        <v>#N/A</v>
        <stp/>
        <stp>BDH|11999485271675123353</stp>
        <tr r="K38" s="24"/>
      </tp>
      <tp t="e">
        <v>#N/A</v>
        <stp/>
        <stp>BDH|13178179332345926094</stp>
        <tr r="D18" s="21"/>
        <tr r="D23" s="3"/>
      </tp>
      <tp t="e">
        <v>#N/A</v>
        <stp/>
        <stp>BDH|15125613554845871787</stp>
        <tr r="E49" s="17"/>
        <tr r="E17" s="3"/>
      </tp>
      <tp t="e">
        <v>#N/A</v>
        <stp/>
        <stp>BDH|13980591027603714347</stp>
        <tr r="J93" s="18"/>
      </tp>
      <tp t="e">
        <v>#N/A</v>
        <stp/>
        <stp>BDH|12744927414717093955</stp>
        <tr r="Y58" s="17"/>
      </tp>
      <tp t="e">
        <v>#N/A</v>
        <stp/>
        <stp>BDH|17545950192726792514</stp>
        <tr r="E45" s="24"/>
      </tp>
      <tp t="e">
        <v>#N/A</v>
        <stp/>
        <stp>BDH|10723738327098246953</stp>
        <tr r="M13" s="34"/>
      </tp>
      <tp t="e">
        <v>#N/A</v>
        <stp/>
        <stp>BDH|14398004395139620042</stp>
        <tr r="O26" s="17"/>
      </tp>
      <tp t="e">
        <v>#N/A</v>
        <stp/>
        <stp>BDH|14611183025994960761</stp>
        <tr r="K63" s="11"/>
      </tp>
      <tp t="e">
        <v>#N/A</v>
        <stp/>
        <stp>BDH|13522308070162502147</stp>
        <tr r="H64" s="10"/>
      </tp>
      <tp t="e">
        <v>#N/A</v>
        <stp/>
        <stp>BDH|14737945942668358569</stp>
        <tr r="N17" s="10"/>
      </tp>
      <tp t="e">
        <v>#N/A</v>
        <stp/>
        <stp>BDH|17324056857277570102</stp>
        <tr r="T62" s="12"/>
      </tp>
      <tp t="e">
        <v>#N/A</v>
        <stp/>
        <stp>BDH|13038533565252208601</stp>
        <tr r="Z7" s="28"/>
      </tp>
      <tp t="e">
        <v>#N/A</v>
        <stp/>
        <stp>BDH|11773047570336379446</stp>
        <tr r="S20" s="22"/>
      </tp>
      <tp t="e">
        <v>#N/A</v>
        <stp/>
        <stp>BDH|14752813443195076911</stp>
        <tr r="J29" s="12"/>
      </tp>
      <tp t="e">
        <v>#N/A</v>
        <stp/>
        <stp>BDH|10034079943004225429</stp>
        <tr r="T13" s="20"/>
      </tp>
      <tp t="e">
        <v>#N/A</v>
        <stp/>
        <stp>BDH|17197776612925659062</stp>
        <tr r="U25" s="3"/>
      </tp>
      <tp t="e">
        <v>#N/A</v>
        <stp/>
        <stp>BDH|17435457496386509866</stp>
        <tr r="T17" s="22"/>
      </tp>
      <tp t="e">
        <v>#N/A</v>
        <stp/>
        <stp>BDH|14525745657867689547</stp>
        <tr r="E59" s="24"/>
      </tp>
      <tp t="e">
        <v>#N/A</v>
        <stp/>
        <stp>BDH|17029354430666046513</stp>
        <tr r="C102" s="18"/>
      </tp>
      <tp t="e">
        <v>#N/A</v>
        <stp/>
        <stp>BDH|15651601032392866686</stp>
        <tr r="Q13" s="8"/>
      </tp>
      <tp t="e">
        <v>#N/A</v>
        <stp/>
        <stp>BDH|15291526521476551009</stp>
        <tr r="U42" s="17"/>
      </tp>
      <tp t="e">
        <v>#N/A</v>
        <stp/>
        <stp>BDH|16892448248273659160</stp>
        <tr r="R47" s="12"/>
      </tp>
      <tp t="e">
        <v>#N/A</v>
        <stp/>
        <stp>BDH|10730246790376741904</stp>
        <tr r="V12" s="3"/>
        <tr r="T51" s="10"/>
        <tr r="T49" s="11"/>
        <tr r="T7" s="7"/>
      </tp>
      <tp t="e">
        <v>#N/A</v>
        <stp/>
        <stp>BDH|16723553724837795256</stp>
        <tr r="W15" s="6"/>
      </tp>
      <tp t="e">
        <v>#N/A</v>
        <stp/>
        <stp>BDH|14954809497847993638</stp>
        <tr r="M8" s="26"/>
        <tr r="K10" s="9"/>
      </tp>
      <tp t="e">
        <v>#N/A</v>
        <stp/>
        <stp>BDH|10791130077807769503</stp>
        <tr r="U8" s="18"/>
      </tp>
      <tp t="e">
        <v>#N/A</v>
        <stp/>
        <stp>BDH|10374340105282157574</stp>
        <tr r="AA8" s="12"/>
      </tp>
      <tp t="e">
        <v>#N/A</v>
        <stp/>
        <stp>BDH|10288210969815845560</stp>
        <tr r="F9" s="34"/>
      </tp>
      <tp t="e">
        <v>#N/A</v>
        <stp/>
        <stp>BDH|13553959288127883141</stp>
        <tr r="M30" s="26"/>
      </tp>
      <tp t="e">
        <v>#N/A</v>
        <stp/>
        <stp>BDH|18342361123118098516</stp>
        <tr r="P61" s="11"/>
        <tr r="R15" s="23"/>
      </tp>
      <tp t="e">
        <v>#N/A</v>
        <stp/>
        <stp>BDH|18209821456554175509</stp>
        <tr r="T24" s="25"/>
        <tr r="R14" s="5"/>
        <tr r="T17" s="27"/>
      </tp>
      <tp t="e">
        <v>#N/A</v>
        <stp/>
        <stp>BDH|17203987717969269282</stp>
        <tr r="F44" s="21"/>
      </tp>
      <tp t="e">
        <v>#N/A</v>
        <stp/>
        <stp>BDH|10351496122840771286</stp>
        <tr r="AA8" s="14"/>
      </tp>
      <tp t="e">
        <v>#N/A</v>
        <stp/>
        <stp>BDH|11381248421037830299</stp>
        <tr r="N34" s="21"/>
      </tp>
      <tp t="e">
        <v>#N/A</v>
        <stp/>
        <stp>BDH|11080281505723364492</stp>
        <tr r="V43" s="18"/>
      </tp>
      <tp t="e">
        <v>#N/A</v>
        <stp/>
        <stp>BDH|16466301310802426277</stp>
        <tr r="X18" s="13"/>
      </tp>
      <tp t="e">
        <v>#N/A</v>
        <stp/>
        <stp>BDH|10501461965502891495</stp>
        <tr r="H127" s="18"/>
      </tp>
      <tp t="e">
        <v>#N/A</v>
        <stp/>
        <stp>BDH|18322138646431668876</stp>
        <tr r="M35" s="22"/>
      </tp>
      <tp t="e">
        <v>#N/A</v>
        <stp/>
        <stp>BDH|17293064696259443315</stp>
        <tr r="Z53" s="12"/>
      </tp>
      <tp t="e">
        <v>#N/A</v>
        <stp/>
        <stp>BDH|13994601243722866757</stp>
        <tr r="D47" s="12"/>
      </tp>
      <tp t="e">
        <v>#N/A</v>
        <stp/>
        <stp>BDH|12707582056822847463</stp>
        <tr r="M20" s="18"/>
      </tp>
      <tp t="e">
        <v>#N/A</v>
        <stp/>
        <stp>BDH|15689860795473447364</stp>
        <tr r="S27" s="12"/>
      </tp>
      <tp t="e">
        <v>#N/A</v>
        <stp/>
        <stp>BDH|10977795437392093204</stp>
        <tr r="O47" s="12"/>
      </tp>
      <tp t="e">
        <v>#N/A</v>
        <stp/>
        <stp>BDH|16838692124303160538</stp>
        <tr r="H32" s="22"/>
      </tp>
      <tp t="e">
        <v>#N/A</v>
        <stp/>
        <stp>BDH|15730068316694190418</stp>
        <tr r="F49" s="21"/>
      </tp>
      <tp t="e">
        <v>#N/A</v>
        <stp/>
        <stp>BDH|17419872054588859680</stp>
        <tr r="R18" s="20"/>
      </tp>
      <tp t="e">
        <v>#N/A</v>
        <stp/>
        <stp>BDH|17462178519891429297</stp>
        <tr r="P81" s="18"/>
      </tp>
      <tp t="e">
        <v>#N/A</v>
        <stp/>
        <stp>BDH|13741321986585351976</stp>
        <tr r="W20" s="24"/>
      </tp>
      <tp t="e">
        <v>#N/A</v>
        <stp/>
        <stp>BDH|13093704342710491410</stp>
        <tr r="S29" s="4"/>
      </tp>
      <tp t="e">
        <v>#N/A</v>
        <stp/>
        <stp>BDH|13168959990331196627</stp>
        <tr r="F14" s="30"/>
      </tp>
      <tp t="e">
        <v>#N/A</v>
        <stp/>
        <stp>BDH|17021600676387349527</stp>
        <tr r="J15" s="18"/>
      </tp>
      <tp t="e">
        <v>#N/A</v>
        <stp/>
        <stp>BDH|17304517216650629752</stp>
        <tr r="X38" s="22"/>
      </tp>
      <tp t="e">
        <v>#N/A</v>
        <stp/>
        <stp>BDH|18256608099513486081</stp>
        <tr r="H68" s="24"/>
      </tp>
      <tp t="e">
        <v>#N/A</v>
        <stp/>
        <stp>BDH|15828392042603261560</stp>
        <tr r="P18" s="13"/>
      </tp>
      <tp t="e">
        <v>#N/A</v>
        <stp/>
        <stp>BDH|13721759050435588007</stp>
        <tr r="I7" s="8"/>
      </tp>
      <tp t="e">
        <v>#N/A</v>
        <stp/>
        <stp>BDH|15238176616197279664</stp>
        <tr r="X10" s="12"/>
      </tp>
      <tp t="e">
        <v>#N/A</v>
        <stp/>
        <stp>BDH|10174002256287175617</stp>
        <tr r="V93" s="18"/>
      </tp>
      <tp t="e">
        <v>#N/A</v>
        <stp/>
        <stp>BDH|11445206071535554575</stp>
        <tr r="I25" s="18"/>
      </tp>
      <tp t="e">
        <v>#N/A</v>
        <stp/>
        <stp>BDH|16362630464486421476</stp>
        <tr r="S64" s="18"/>
      </tp>
      <tp t="e">
        <v>#N/A</v>
        <stp/>
        <stp>BDH|10968093004405445170</stp>
        <tr r="N18" s="6"/>
      </tp>
      <tp t="e">
        <v>#N/A</v>
        <stp/>
        <stp>BDH|11147033516093502762</stp>
        <tr r="Z17" s="18"/>
      </tp>
      <tp t="e">
        <v>#N/A</v>
        <stp/>
        <stp>BDH|14441659263993593308</stp>
        <tr r="R58" s="18"/>
      </tp>
      <tp t="e">
        <v>#N/A</v>
        <stp/>
        <stp>BDH|14426176785198783168</stp>
        <tr r="X21" s="21"/>
      </tp>
      <tp t="e">
        <v>#N/A</v>
        <stp/>
        <stp>BDH|13124526354924307338</stp>
        <tr r="V18" s="14"/>
      </tp>
      <tp t="e">
        <v>#N/A</v>
        <stp/>
        <stp>BDH|13651026823402515752</stp>
        <tr r="X42" s="24"/>
      </tp>
      <tp t="e">
        <v>#N/A</v>
        <stp/>
        <stp>BDH|17105026955121908783</stp>
        <tr r="G39" s="24"/>
      </tp>
      <tp t="e">
        <v>#N/A</v>
        <stp/>
        <stp>BDH|11490418823185960682</stp>
        <tr r="C50" s="21"/>
      </tp>
      <tp t="e">
        <v>#N/A</v>
        <stp/>
        <stp>BDH|14490434872240664352</stp>
        <tr r="N28" s="12"/>
      </tp>
      <tp t="e">
        <v>#N/A</v>
        <stp/>
        <stp>BDH|17532382167710497685</stp>
        <tr r="H8" s="21"/>
      </tp>
      <tp t="e">
        <v>#N/A</v>
        <stp/>
        <stp>BDH|18113005122439089751</stp>
        <tr r="F34" s="34"/>
      </tp>
      <tp t="e">
        <v>#N/A</v>
        <stp/>
        <stp>BDH|10538318469016850736</stp>
        <tr r="O36" s="4"/>
      </tp>
      <tp t="e">
        <v>#N/A</v>
        <stp/>
        <stp>BDH|14627607175027558608</stp>
        <tr r="F8" s="21"/>
      </tp>
      <tp t="e">
        <v>#N/A</v>
        <stp/>
        <stp>BDH|11787250046545326617</stp>
        <tr r="F92" s="18"/>
      </tp>
      <tp t="e">
        <v>#N/A</v>
        <stp/>
        <stp>BDH|11792657807247269412</stp>
        <tr r="C16" s="29"/>
        <tr r="C36" s="29"/>
      </tp>
      <tp t="e">
        <v>#N/A</v>
        <stp/>
        <stp>BDH|15175054620841541277</stp>
        <tr r="Z30" s="26"/>
      </tp>
      <tp t="e">
        <v>#N/A</v>
        <stp/>
        <stp>BDH|12681343276056739456</stp>
        <tr r="X19" s="22"/>
      </tp>
      <tp t="e">
        <v>#N/A</v>
        <stp/>
        <stp>BDH|11406133132310260718</stp>
        <tr r="L19" s="18"/>
      </tp>
      <tp t="e">
        <v>#N/A</v>
        <stp/>
        <stp>BDH|10214137309930911573</stp>
        <tr r="I15" s="29"/>
        <tr r="I35" s="29"/>
      </tp>
      <tp t="e">
        <v>#N/A</v>
        <stp/>
        <stp>BDH|14353238020279641906</stp>
        <tr r="C31" s="34"/>
      </tp>
      <tp t="e">
        <v>#N/A</v>
        <stp/>
        <stp>BDH|12187201336057207034</stp>
        <tr r="Y91" s="17"/>
      </tp>
      <tp t="e">
        <v>#N/A</v>
        <stp/>
        <stp>BDH|11780083431535847307</stp>
        <tr r="L65" s="24"/>
      </tp>
      <tp t="e">
        <v>#N/A</v>
        <stp/>
        <stp>BDH|13763492894209838348</stp>
        <tr r="N46" s="21"/>
      </tp>
      <tp t="e">
        <v>#N/A</v>
        <stp/>
        <stp>BDH|11008908736367541853</stp>
        <tr r="E88" s="17"/>
      </tp>
      <tp t="e">
        <v>#N/A</v>
        <stp/>
        <stp>BDH|17409672964626313529</stp>
        <tr r="T121" s="18"/>
      </tp>
      <tp t="e">
        <v>#N/A</v>
        <stp/>
        <stp>BDH|11528117518443875625</stp>
        <tr r="Q24" s="22"/>
      </tp>
      <tp t="e">
        <v>#N/A</v>
        <stp/>
        <stp>BDH|11547104725054727211</stp>
        <tr r="N65" s="17"/>
        <tr r="L8" s="5"/>
        <tr r="L8" s="9"/>
      </tp>
      <tp t="e">
        <v>#N/A</v>
        <stp/>
        <stp>BDH|16730668744423289315</stp>
        <tr r="E43" s="34"/>
      </tp>
      <tp t="e">
        <v>#N/A</v>
        <stp/>
        <stp>BDH|16358335868684707394</stp>
        <tr r="J39" s="34"/>
      </tp>
      <tp t="e">
        <v>#N/A</v>
        <stp/>
        <stp>BDH|14190155807354283575</stp>
        <tr r="Q43" s="18"/>
      </tp>
      <tp t="e">
        <v>#N/A</v>
        <stp/>
        <stp>BDH|14308254348443866504</stp>
        <tr r="L31" s="34"/>
      </tp>
      <tp t="e">
        <v>#N/A</v>
        <stp/>
        <stp>BDH|10001757465875099064</stp>
        <tr r="J18" s="22"/>
      </tp>
      <tp t="e">
        <v>#N/A</v>
        <stp/>
        <stp>BDH|10259164082434711976</stp>
        <tr r="Y111" s="18"/>
      </tp>
      <tp t="e">
        <v>#N/A</v>
        <stp/>
        <stp>BDH|15612293757470956671</stp>
        <tr r="T73" s="17"/>
        <tr r="R9" s="5"/>
        <tr r="R9" s="9"/>
      </tp>
      <tp t="e">
        <v>#N/A</v>
        <stp/>
        <stp>BDH|12079530867536661346</stp>
        <tr r="AA23" s="26"/>
      </tp>
      <tp t="e">
        <v>#N/A</v>
        <stp/>
        <stp>BDH|15858064728314843787</stp>
        <tr r="L10" s="18"/>
      </tp>
      <tp t="e">
        <v>#N/A</v>
        <stp/>
        <stp>BDH|16131292839597208455</stp>
        <tr r="W63" s="17"/>
      </tp>
      <tp t="e">
        <v>#N/A</v>
        <stp/>
        <stp>BDH|17138559805452290456</stp>
        <tr r="Z79" s="17"/>
        <tr r="Z20" s="3"/>
        <tr r="X6" s="7"/>
      </tp>
      <tp t="e">
        <v>#N/A</v>
        <stp/>
        <stp>BDH|17312617275115229735</stp>
        <tr r="K112" s="18"/>
      </tp>
      <tp t="e">
        <v>#N/A</v>
        <stp/>
        <stp>BDH|10541518444124456128</stp>
        <tr r="AA32" s="12"/>
      </tp>
      <tp t="e">
        <v>#N/A</v>
        <stp/>
        <stp>BDH|15906612099318626613</stp>
        <tr r="P10" s="28"/>
      </tp>
      <tp t="e">
        <v>#N/A</v>
        <stp/>
        <stp>BDH|11094879424227317864</stp>
        <tr r="R23" s="26"/>
      </tp>
      <tp t="e">
        <v>#N/A</v>
        <stp/>
        <stp>BDH|18029944851477631756</stp>
        <tr r="Q31" s="24"/>
      </tp>
      <tp t="e">
        <v>#N/A</v>
        <stp/>
        <stp>BDH|16155212333980008359</stp>
        <tr r="V68" s="18"/>
      </tp>
      <tp t="e">
        <v>#N/A</v>
        <stp/>
        <stp>BDH|16828784085989191421</stp>
        <tr r="D8" s="11"/>
      </tp>
      <tp t="e">
        <v>#N/A</v>
        <stp/>
        <stp>BDH|10642814990283867692</stp>
        <tr r="Y37" s="21"/>
        <tr r="Y24" s="3"/>
      </tp>
      <tp t="e">
        <v>#N/A</v>
        <stp/>
        <stp>BDH|14068500633813423518</stp>
        <tr r="C10" s="13"/>
      </tp>
      <tp t="e">
        <v>#N/A</v>
        <stp/>
        <stp>BDH|11108020274637047516</stp>
        <tr r="U13" s="20"/>
      </tp>
      <tp t="e">
        <v>#N/A</v>
        <stp/>
        <stp>BDH|12523135441407769461</stp>
        <tr r="K28" s="12"/>
      </tp>
      <tp t="e">
        <v>#N/A</v>
        <stp/>
        <stp>BDH|12528195903551011697</stp>
        <tr r="Z52" s="21"/>
      </tp>
      <tp t="e">
        <v>#N/A</v>
        <stp/>
        <stp>BDH|13015508267561005518</stp>
        <tr r="O8" s="6"/>
      </tp>
      <tp t="e">
        <v>#N/A</v>
        <stp/>
        <stp>BDH|17860839465389627415</stp>
        <tr r="X26" s="7"/>
      </tp>
      <tp t="e">
        <v>#N/A</v>
        <stp/>
        <stp>BDH|17058518159426606573</stp>
        <tr r="K16" s="10"/>
      </tp>
      <tp t="e">
        <v>#N/A</v>
        <stp/>
        <stp>BDH|10881621982459225335</stp>
        <tr r="Z73" s="18"/>
      </tp>
      <tp t="e">
        <v>#N/A</v>
        <stp/>
        <stp>BDH|16882607829643868505</stp>
        <tr r="Z19" s="14"/>
      </tp>
      <tp t="e">
        <v>#N/A</v>
        <stp/>
        <stp>BDH|13040545370307529289</stp>
        <tr r="L94" s="18"/>
      </tp>
      <tp t="e">
        <v>#N/A</v>
        <stp/>
        <stp>BDH|14257609805666739090</stp>
        <tr r="H24" s="25"/>
        <tr r="H17" s="27"/>
        <tr r="F14" s="5"/>
      </tp>
      <tp t="e">
        <v>#N/A</v>
        <stp/>
        <stp>BDH|14577515669520566319</stp>
        <tr r="Z25" s="25"/>
        <tr r="Z18" s="27"/>
      </tp>
      <tp t="e">
        <v>#N/A</v>
        <stp/>
        <stp>BDH|15414427059850250043</stp>
        <tr r="T21" s="25"/>
        <tr r="T14" s="27"/>
      </tp>
      <tp t="e">
        <v>#N/A</v>
        <stp/>
        <stp>BDH|11424778541721219793</stp>
        <tr r="F74" s="18"/>
      </tp>
      <tp t="e">
        <v>#N/A</v>
        <stp/>
        <stp>BDH|16950234102521336128</stp>
        <tr r="AA12" s="30"/>
      </tp>
      <tp t="e">
        <v>#N/A</v>
        <stp/>
        <stp>BDH|16739594434802555664</stp>
        <tr r="D22" s="24"/>
      </tp>
      <tp t="e">
        <v>#N/A</v>
        <stp/>
        <stp>BDH|11347035118045963189</stp>
        <tr r="U19" s="9"/>
      </tp>
      <tp t="e">
        <v>#N/A</v>
        <stp/>
        <stp>BDH|16590732335236331094</stp>
        <tr r="R58" s="17"/>
      </tp>
      <tp t="e">
        <v>#N/A</v>
        <stp/>
        <stp>BDH|17502220550032975679</stp>
        <tr r="W57" s="12"/>
      </tp>
      <tp t="e">
        <v>#N/A</v>
        <stp/>
        <stp>BDH|16456366156824577081</stp>
        <tr r="C79" s="17"/>
        <tr r="C20" s="3"/>
      </tp>
      <tp t="e">
        <v>#N/A</v>
        <stp/>
        <stp>BDH|16531423134926340390</stp>
        <tr r="Q29" s="17"/>
      </tp>
      <tp t="e">
        <v>#N/A</v>
        <stp/>
        <stp>BDH|16043381477513089564</stp>
        <tr r="N33" s="17"/>
      </tp>
      <tp t="e">
        <v>#N/A</v>
        <stp/>
        <stp>BDH|13874357105487574340</stp>
        <tr r="P17" s="22"/>
      </tp>
      <tp t="e">
        <v>#N/A</v>
        <stp/>
        <stp>BDH|14441375792968095282</stp>
        <tr r="J7" s="21"/>
      </tp>
      <tp t="e">
        <v>#N/A</v>
        <stp/>
        <stp>BDH|12111930468510713946</stp>
        <tr r="K28" s="17"/>
      </tp>
      <tp t="e">
        <v>#N/A</v>
        <stp/>
        <stp>BDH|11892193446742992277</stp>
        <tr r="U65" s="12"/>
      </tp>
      <tp t="e">
        <v>#N/A</v>
        <stp/>
        <stp>BDH|11125268839951565527</stp>
        <tr r="N13" s="8"/>
      </tp>
      <tp t="e">
        <v>#N/A</v>
        <stp/>
        <stp>BDH|13519696960531784628</stp>
        <tr r="C13" s="5"/>
      </tp>
      <tp t="e">
        <v>#N/A</v>
        <stp/>
        <stp>BDH|15216673277027866736</stp>
        <tr r="R61" s="17"/>
      </tp>
      <tp t="e">
        <v>#N/A</v>
        <stp/>
        <stp>BDH|13566816358272612832</stp>
        <tr r="S63" s="10"/>
      </tp>
      <tp t="e">
        <v>#N/A</v>
        <stp/>
        <stp>BDH|13618104568398078871</stp>
        <tr r="C20" s="24"/>
      </tp>
      <tp t="e">
        <v>#N/A</v>
        <stp/>
        <stp>BDH|11307534058872751769</stp>
        <tr r="Y18" s="14"/>
      </tp>
      <tp t="e">
        <v>#N/A</v>
        <stp/>
        <stp>BDH|10744493355591773452</stp>
        <tr r="D8" s="17"/>
      </tp>
      <tp t="e">
        <v>#N/A</v>
        <stp/>
        <stp>BDH|16619745556824420499</stp>
        <tr r="U69" s="18"/>
      </tp>
      <tp t="e">
        <v>#N/A</v>
        <stp/>
        <stp>BDH|14550612967350215082</stp>
        <tr r="L34" s="21"/>
      </tp>
      <tp t="e">
        <v>#N/A</v>
        <stp/>
        <stp>BDH|13229428736805724587</stp>
        <tr r="L55" s="12"/>
      </tp>
      <tp t="e">
        <v>#N/A</v>
        <stp/>
        <stp>BDH|16288684433241507658</stp>
        <tr r="C6" s="19"/>
        <tr r="C34" s="17"/>
        <tr r="C16" s="3"/>
      </tp>
      <tp t="e">
        <v>#N/A</v>
        <stp/>
        <stp>BDH|15263690673666734665</stp>
        <tr r="E40" s="18"/>
      </tp>
      <tp t="e">
        <v>#N/A</v>
        <stp/>
        <stp>BDH|16536656559731768071</stp>
        <tr r="L59" s="12"/>
      </tp>
      <tp t="e">
        <v>#N/A</v>
        <stp/>
        <stp>BDH|13335636567646874161</stp>
        <tr r="AA116" s="18"/>
      </tp>
      <tp t="e">
        <v>#N/A</v>
        <stp/>
        <stp>BDH|10133546200078855945</stp>
        <tr r="Q26" s="21"/>
      </tp>
      <tp t="e">
        <v>#N/A</v>
        <stp/>
        <stp>BDH|16201966783454850762</stp>
        <tr r="Z11" s="24"/>
      </tp>
      <tp t="e">
        <v>#N/A</v>
        <stp/>
        <stp>BDH|17169542603593923578</stp>
        <tr r="D28" s="12"/>
      </tp>
      <tp t="e">
        <v>#N/A</v>
        <stp/>
        <stp>BDH|14183912596466621686</stp>
        <tr r="K17" s="22"/>
      </tp>
      <tp t="e">
        <v>#N/A</v>
        <stp/>
        <stp>BDH|13816502365271402519</stp>
        <tr r="V69" s="24"/>
      </tp>
      <tp t="e">
        <v>#N/A</v>
        <stp/>
        <stp>BDH|15507493992345588930</stp>
        <tr r="X8" s="14"/>
      </tp>
      <tp t="e">
        <v>#N/A</v>
        <stp/>
        <stp>BDH|12786166554082590088</stp>
        <tr r="O13" s="11"/>
      </tp>
      <tp t="e">
        <v>#N/A</v>
        <stp/>
        <stp>BDH|15114231977981434595</stp>
        <tr r="Q78" s="18"/>
      </tp>
      <tp t="e">
        <v>#N/A</v>
        <stp/>
        <stp>BDH|13982424117445304777</stp>
        <tr r="N81" s="17"/>
      </tp>
      <tp t="e">
        <v>#N/A</v>
        <stp/>
        <stp>BDH|15729096369847932061</stp>
        <tr r="V8" s="18"/>
      </tp>
      <tp t="e">
        <v>#N/A</v>
        <stp/>
        <stp>BDH|13957827961959500075</stp>
        <tr r="N31" s="17"/>
      </tp>
      <tp t="e">
        <v>#N/A</v>
        <stp/>
        <stp>BDH|14610986563977658835</stp>
        <tr r="X58" s="11"/>
      </tp>
      <tp t="e">
        <v>#N/A</v>
        <stp/>
        <stp>BDH|10790681881189764311</stp>
        <tr r="J14" s="21"/>
      </tp>
      <tp t="e">
        <v>#N/A</v>
        <stp/>
        <stp>BDH|13795130004114912217</stp>
        <tr r="C15" s="24"/>
      </tp>
      <tp t="e">
        <v>#N/A</v>
        <stp/>
        <stp>BDH|13509995015986102902</stp>
        <tr r="AA85" s="17"/>
      </tp>
      <tp t="e">
        <v>#N/A</v>
        <stp/>
        <stp>BDH|12495515474941097591</stp>
        <tr r="C50" s="18"/>
      </tp>
      <tp t="e">
        <v>#N/A</v>
        <stp/>
        <stp>BDH|14383261755356173190</stp>
        <tr r="O27" s="24"/>
      </tp>
      <tp t="e">
        <v>#N/A</v>
        <stp/>
        <stp>BDH|14827279657545247227</stp>
        <tr r="P86" s="18"/>
        <tr r="P6" s="20"/>
      </tp>
      <tp t="e">
        <v>#N/A</v>
        <stp/>
        <stp>BDH|16388597066765514415</stp>
        <tr r="AA55" s="24"/>
      </tp>
      <tp t="e">
        <v>#N/A</v>
        <stp/>
        <stp>BDH|10985204050434065712</stp>
        <tr r="F31" s="24"/>
      </tp>
      <tp t="e">
        <v>#N/A</v>
        <stp/>
        <stp>BDH|17569183475554947197</stp>
        <tr r="R11" s="13"/>
      </tp>
      <tp t="e">
        <v>#N/A</v>
        <stp/>
        <stp>BDH|14346791465116024775</stp>
        <tr r="Z53" s="18"/>
      </tp>
      <tp t="e">
        <v>#N/A</v>
        <stp/>
        <stp>BDH|11821677955660725653</stp>
        <tr r="C12" s="11"/>
      </tp>
      <tp t="e">
        <v>#N/A</v>
        <stp/>
        <stp>BDH|18265330781296871101</stp>
        <tr r="T22" s="27"/>
      </tp>
      <tp t="e">
        <v>#N/A</v>
        <stp/>
        <stp>BDH|17535967331798929133</stp>
        <tr r="U91" s="18"/>
      </tp>
      <tp t="e">
        <v>#N/A</v>
        <stp/>
        <stp>BDH|18158613395316510585</stp>
        <tr r="V15" s="17"/>
        <tr r="V18" s="28"/>
      </tp>
      <tp t="e">
        <v>#N/A</v>
        <stp/>
        <stp>BDH|13444281352335620505</stp>
        <tr r="N14" s="28"/>
      </tp>
      <tp t="e">
        <v>#N/A</v>
        <stp/>
        <stp>BDH|15217433034720544681</stp>
        <tr r="H87" s="17"/>
        <tr r="H27" s="25"/>
      </tp>
      <tp t="e">
        <v>#N/A</v>
        <stp/>
        <stp>BDH|11376764828872139248</stp>
        <tr r="H15" s="13"/>
      </tp>
      <tp t="e">
        <v>#N/A</v>
        <stp/>
        <stp>BDH|14139428825113992573</stp>
        <tr r="Q9" s="13"/>
      </tp>
      <tp t="e">
        <v>#N/A</v>
        <stp/>
        <stp>BDH|18385200846869422395</stp>
        <tr r="L52" s="21"/>
      </tp>
      <tp t="e">
        <v>#N/A</v>
        <stp/>
        <stp>BDH|11633821246440290988</stp>
        <tr r="Y48" s="21"/>
      </tp>
      <tp t="e">
        <v>#N/A</v>
        <stp/>
        <stp>BDH|10904590224011855242</stp>
        <tr r="L6" s="28"/>
      </tp>
      <tp t="e">
        <v>#N/A</v>
        <stp/>
        <stp>BDH|10671713916353811110</stp>
        <tr r="AA8" s="13"/>
      </tp>
      <tp t="e">
        <v>#N/A</v>
        <stp/>
        <stp>BDH|15038137060343370586</stp>
        <tr r="AA62" s="18"/>
      </tp>
      <tp t="e">
        <v>#N/A</v>
        <stp/>
        <stp>BDH|15498764423723191785</stp>
        <tr r="L75" s="17"/>
      </tp>
      <tp t="e">
        <v>#N/A</v>
        <stp/>
        <stp>BDH|10498257640534083695</stp>
        <tr r="G8" s="27"/>
      </tp>
      <tp t="e">
        <v>#N/A</v>
        <stp/>
        <stp>BDH|17312945448626545823</stp>
        <tr r="Q115" s="18"/>
      </tp>
      <tp t="e">
        <v>#N/A</v>
        <stp/>
        <stp>BDH|14834764221430318546</stp>
        <tr r="L10" s="21"/>
      </tp>
      <tp t="e">
        <v>#N/A</v>
        <stp/>
        <stp>BDH|10546438614999976836</stp>
        <tr r="E50" s="18"/>
      </tp>
      <tp t="e">
        <v>#N/A</v>
        <stp/>
        <stp>BDH|13900143804577778165</stp>
        <tr r="V55" s="12"/>
      </tp>
      <tp t="e">
        <v>#N/A</v>
        <stp/>
        <stp>BDH|14453099000920683039</stp>
        <tr r="P79" s="17"/>
        <tr r="P20" s="3"/>
        <tr r="N6" s="7"/>
      </tp>
      <tp t="e">
        <v>#N/A</v>
        <stp/>
        <stp>BDH|16801731944133230268</stp>
        <tr r="O75" s="18"/>
      </tp>
      <tp t="e">
        <v>#N/A</v>
        <stp/>
        <stp>BDH|17990307133906557549</stp>
        <tr r="D17" s="29"/>
        <tr r="D37" s="29"/>
      </tp>
      <tp t="e">
        <v>#N/A</v>
        <stp/>
        <stp>BDH|15182215655462603482</stp>
        <tr r="T57" s="18"/>
      </tp>
      <tp t="e">
        <v>#N/A</v>
        <stp/>
        <stp>BDH|14446610784228352699</stp>
        <tr r="N25" s="25"/>
        <tr r="N18" s="27"/>
      </tp>
      <tp t="e">
        <v>#N/A</v>
        <stp/>
        <stp>BDH|18027754683870469391</stp>
        <tr r="Q67" s="12"/>
      </tp>
      <tp t="e">
        <v>#N/A</v>
        <stp/>
        <stp>BDH|10049299733261471451</stp>
        <tr r="V32" s="22"/>
      </tp>
      <tp t="e">
        <v>#N/A</v>
        <stp/>
        <stp>BDH|10859649157996997195</stp>
        <tr r="F97" s="18"/>
      </tp>
      <tp t="e">
        <v>#N/A</v>
        <stp/>
        <stp>BDH|12403134166152388395</stp>
        <tr r="E130" s="18"/>
      </tp>
      <tp t="e">
        <v>#N/A</v>
        <stp/>
        <stp>BDH|17099437620785853002</stp>
        <tr r="C30" s="9"/>
      </tp>
      <tp t="e">
        <v>#N/A</v>
        <stp/>
        <stp>BDH|17100092307512004149</stp>
        <tr r="S27" s="7"/>
      </tp>
      <tp t="e">
        <v>#N/A</v>
        <stp/>
        <stp>BDH|15546364241963110586</stp>
        <tr r="H34" s="21"/>
      </tp>
      <tp t="e">
        <v>#N/A</v>
        <stp/>
        <stp>BDH|12287605628747839594</stp>
        <tr r="D60" s="18"/>
      </tp>
      <tp t="e">
        <v>#N/A</v>
        <stp/>
        <stp>BDH|11023785028617859739</stp>
        <tr r="L33" s="22"/>
      </tp>
      <tp t="e">
        <v>#N/A</v>
        <stp/>
        <stp>BDH|14419569959407827783</stp>
        <tr r="J54" s="17"/>
      </tp>
      <tp t="e">
        <v>#N/A</v>
        <stp/>
        <stp>BDH|14745153739917402543</stp>
        <tr r="E17" s="20"/>
      </tp>
      <tp t="e">
        <v>#N/A</v>
        <stp/>
        <stp>BDH|15134299051890481666</stp>
        <tr r="W19" s="14"/>
      </tp>
      <tp t="e">
        <v>#N/A</v>
        <stp/>
        <stp>BDH|12403544375967919370</stp>
        <tr r="K19" s="20"/>
      </tp>
      <tp t="e">
        <v>#N/A</v>
        <stp/>
        <stp>BDH|11837813257908199043</stp>
        <tr r="W21" s="2"/>
      </tp>
      <tp t="e">
        <v>#N/A</v>
        <stp/>
        <stp>BDH|17473385120391715303</stp>
        <tr r="P14" s="6"/>
      </tp>
      <tp t="e">
        <v>#N/A</v>
        <stp/>
        <stp>BDH|13385689973231140725</stp>
        <tr r="C17" s="20"/>
      </tp>
      <tp t="e">
        <v>#N/A</v>
        <stp/>
        <stp>BDH|15108494541490533171</stp>
        <tr r="X46" s="18"/>
      </tp>
      <tp t="e">
        <v>#N/A</v>
        <stp/>
        <stp>BDH|12005597502406311530</stp>
        <tr r="R29" s="10"/>
        <tr r="R27" s="11"/>
      </tp>
      <tp t="e">
        <v>#N/A</v>
        <stp/>
        <stp>BDH|13948245465521451270</stp>
        <tr r="E30" s="17"/>
      </tp>
      <tp t="e">
        <v>#N/A</v>
        <stp/>
        <stp>BDH|10992023973626487575</stp>
        <tr r="K19" s="6"/>
      </tp>
      <tp t="e">
        <v>#N/A</v>
        <stp/>
        <stp>BDH|12490892637879920480</stp>
        <tr r="H18" s="6"/>
      </tp>
      <tp t="e">
        <v>#N/A</v>
        <stp/>
        <stp>BDH|12089868616518839736</stp>
        <tr r="M63" s="24"/>
      </tp>
      <tp t="e">
        <v>#N/A</v>
        <stp/>
        <stp>BDH|13677475089402774941</stp>
        <tr r="X37" s="22"/>
      </tp>
      <tp t="e">
        <v>#N/A</v>
        <stp/>
        <stp>BDH|11535711779505196079</stp>
        <tr r="Q11" s="12"/>
      </tp>
      <tp t="e">
        <v>#N/A</v>
        <stp/>
        <stp>BDH|12067881511076095929</stp>
        <tr r="AA14" s="21"/>
      </tp>
      <tp t="e">
        <v>#N/A</v>
        <stp/>
        <stp>BDH|14851642024874700049</stp>
        <tr r="J44" s="34"/>
      </tp>
      <tp t="e">
        <v>#N/A</v>
        <stp/>
        <stp>BDH|17119010163287830206</stp>
        <tr r="E44" s="21"/>
      </tp>
      <tp t="e">
        <v>#N/A</v>
        <stp/>
        <stp>BDH|12976477022851580126</stp>
        <tr r="C17" s="24"/>
      </tp>
      <tp t="e">
        <v>#N/A</v>
        <stp/>
        <stp>BDH|16802336488360169996</stp>
        <tr r="X39" s="22"/>
      </tp>
      <tp t="e">
        <v>#N/A</v>
        <stp/>
        <stp>BDH|15730048793958318086</stp>
        <tr r="L18" s="6"/>
      </tp>
      <tp t="e">
        <v>#N/A</v>
        <stp/>
        <stp>BDH|11566675198902287837</stp>
        <tr r="F40" s="18"/>
      </tp>
      <tp t="e">
        <v>#N/A</v>
        <stp/>
        <stp>BDH|12782454276736771389</stp>
        <tr r="Z20" s="22"/>
      </tp>
      <tp t="e">
        <v>#N/A</v>
        <stp/>
        <stp>BDH|16986011737666010755</stp>
        <tr r="C90" s="18"/>
      </tp>
      <tp t="e">
        <v>#N/A</v>
        <stp/>
        <stp>BDH|15683113208230720020</stp>
        <tr r="V65" s="24"/>
      </tp>
      <tp t="e">
        <v>#N/A</v>
        <stp/>
        <stp>BDH|16011987446288458709</stp>
        <tr r="AA8" s="26"/>
        <tr r="Y10" s="9"/>
      </tp>
      <tp t="e">
        <v>#N/A</v>
        <stp/>
        <stp>BDH|11224035764226740589</stp>
        <tr r="M32" s="17"/>
      </tp>
      <tp t="e">
        <v>#N/A</v>
        <stp/>
        <stp>BDH|15004209099322564864</stp>
        <tr r="O41" s="24"/>
      </tp>
      <tp t="e">
        <v>#N/A</v>
        <stp/>
        <stp>BDH|16190848764958958422</stp>
        <tr r="G62" s="18"/>
      </tp>
      <tp t="e">
        <v>#N/A</v>
        <stp/>
        <stp>BDH|12485199937196795276</stp>
        <tr r="I63" s="24"/>
      </tp>
      <tp t="e">
        <v>#N/A</v>
        <stp/>
        <stp>BDH|12208178708755793208</stp>
        <tr r="X48" s="18"/>
      </tp>
      <tp t="e">
        <v>#N/A</v>
        <stp/>
        <stp>BDH|16051798943289589859</stp>
        <tr r="C16" s="22"/>
      </tp>
      <tp t="e">
        <v>#N/A</v>
        <stp/>
        <stp>BDH|14111508519083121736</stp>
        <tr r="X8" s="24"/>
      </tp>
      <tp t="e">
        <v>#N/A</v>
        <stp/>
        <stp>BDH|11945615135986014674</stp>
        <tr r="L66" s="18"/>
      </tp>
      <tp t="e">
        <v>#N/A</v>
        <stp/>
        <stp>BDH|10035130005921517496</stp>
        <tr r="Y13" s="9"/>
      </tp>
      <tp t="e">
        <v>#N/A</v>
        <stp/>
        <stp>BDH|13170380605765151179</stp>
        <tr r="G10" s="12"/>
      </tp>
      <tp t="e">
        <v>#N/A</v>
        <stp/>
        <stp>BDH|12934060524295406152</stp>
        <tr r="P46" s="12"/>
      </tp>
      <tp t="e">
        <v>#N/A</v>
        <stp/>
        <stp>BDH|18291599061427649863</stp>
        <tr r="L22" s="5"/>
      </tp>
      <tp t="e">
        <v>#N/A</v>
        <stp/>
        <stp>BDH|12297444837577911628</stp>
        <tr r="Y59" s="24"/>
      </tp>
      <tp t="e">
        <v>#N/A</v>
        <stp/>
        <stp>BDH|14700610648083495108</stp>
        <tr r="E24" s="25"/>
        <tr r="C14" s="5"/>
        <tr r="E17" s="27"/>
      </tp>
      <tp t="e">
        <v>#N/A</v>
        <stp/>
        <stp>BDH|18054505111660866831</stp>
        <tr r="I70" s="17"/>
      </tp>
      <tp t="e">
        <v>#N/A</v>
        <stp/>
        <stp>BDH|11616536015217373692</stp>
        <tr r="T89" s="17"/>
        <tr r="T7" s="27"/>
      </tp>
      <tp t="e">
        <v>#N/A</v>
        <stp/>
        <stp>BDH|17536083325409167832</stp>
        <tr r="L55" s="24"/>
      </tp>
      <tp t="e">
        <v>#N/A</v>
        <stp/>
        <stp>BDH|13699450517657680580</stp>
        <tr r="M20" s="23"/>
      </tp>
      <tp t="e">
        <v>#N/A</v>
        <stp/>
        <stp>BDH|15297042317977202794</stp>
        <tr r="I18" s="18"/>
      </tp>
      <tp t="e">
        <v>#N/A</v>
        <stp/>
        <stp>BDH|11315650921111975042</stp>
        <tr r="Q10" s="12"/>
      </tp>
      <tp t="e">
        <v>#N/A</v>
        <stp/>
        <stp>BDH|15076382550474727356</stp>
        <tr r="E10" s="12"/>
      </tp>
      <tp t="e">
        <v>#N/A</v>
        <stp/>
        <stp>BDH|15728350212690931332</stp>
        <tr r="I21" s="3"/>
      </tp>
      <tp t="e">
        <v>#N/A</v>
        <stp/>
        <stp>BDH|13806346112144218162</stp>
        <tr r="T29" s="22"/>
      </tp>
      <tp t="e">
        <v>#N/A</v>
        <stp/>
        <stp>BDH|16026552312371904747</stp>
        <tr r="V43" s="21"/>
      </tp>
      <tp t="e">
        <v>#N/A</v>
        <stp/>
        <stp>BDH|13664423317100187288</stp>
        <tr r="C70" s="17"/>
      </tp>
      <tp t="e">
        <v>#N/A</v>
        <stp/>
        <stp>BDH|13944611610139141934</stp>
        <tr r="R44" s="21"/>
      </tp>
      <tp t="e">
        <v>#N/A</v>
        <stp/>
        <stp>BDH|15827084212266151695</stp>
        <tr r="F44" s="24"/>
      </tp>
      <tp t="e">
        <v>#N/A</v>
        <stp/>
        <stp>BDH|11862569806073655331</stp>
        <tr r="R12" s="7"/>
      </tp>
      <tp t="e">
        <v>#N/A</v>
        <stp/>
        <stp>BDH|18301955468901205217</stp>
        <tr r="AA13" s="14"/>
      </tp>
      <tp t="e">
        <v>#N/A</v>
        <stp/>
        <stp>BDH|16218572906806663186</stp>
        <tr r="H74" s="17"/>
        <tr r="H19" s="3"/>
      </tp>
      <tp t="e">
        <v>#N/A</v>
        <stp/>
        <stp>BDH|13659754248691549539</stp>
        <tr r="W54" s="18"/>
      </tp>
      <tp t="e">
        <v>#N/A</v>
        <stp/>
        <stp>BDH|15282244411501321392</stp>
        <tr r="Y18" s="23"/>
      </tp>
      <tp t="e">
        <v>#N/A</v>
        <stp/>
        <stp>BDH|10890563065090713715</stp>
        <tr r="L81" s="18"/>
      </tp>
      <tp t="e">
        <v>#N/A</v>
        <stp/>
        <stp>BDH|15082180717662261306</stp>
        <tr r="N40" s="21"/>
      </tp>
      <tp t="e">
        <v>#N/A</v>
        <stp/>
        <stp>BDH|13144909519718529705</stp>
        <tr r="Z12" s="3"/>
        <tr r="X51" s="10"/>
        <tr r="X49" s="11"/>
        <tr r="X7" s="7"/>
      </tp>
      <tp t="e">
        <v>#N/A</v>
        <stp/>
        <stp>BDH|17687717956809526898</stp>
        <tr r="L53" s="12"/>
      </tp>
      <tp t="e">
        <v>#N/A</v>
        <stp/>
        <stp>BDH|15721695423911933490</stp>
        <tr r="O10" s="34"/>
      </tp>
      <tp t="e">
        <v>#N/A</v>
        <stp/>
        <stp>BDH|14700499046134628439</stp>
        <tr r="R37" s="10"/>
        <tr r="R35" s="11"/>
      </tp>
      <tp t="e">
        <v>#N/A</v>
        <stp/>
        <stp>BDH|13455919740258991214</stp>
        <tr r="Z50" s="17"/>
        <tr r="Z10" s="25"/>
      </tp>
      <tp t="e">
        <v>#N/A</v>
        <stp/>
        <stp>BDH|12562992103006502977</stp>
        <tr r="M8" s="18"/>
      </tp>
      <tp t="e">
        <v>#N/A</v>
        <stp/>
        <stp>BDH|15008592544295357536</stp>
        <tr r="N70" s="17"/>
      </tp>
      <tp t="e">
        <v>#N/A</v>
        <stp/>
        <stp>BDH|13644451659771182768</stp>
        <tr r="K9" s="2"/>
        <tr r="M8" s="25"/>
        <tr r="K10" s="5"/>
      </tp>
      <tp t="e">
        <v>#N/A</v>
        <stp/>
        <stp>BDH|17364987383873097152</stp>
        <tr r="T80" s="17"/>
      </tp>
      <tp t="e">
        <v>#N/A</v>
        <stp/>
        <stp>BDH|10186262836074818149</stp>
        <tr r="F78" s="18"/>
      </tp>
      <tp t="e">
        <v>#N/A</v>
        <stp/>
        <stp>BDH|16569673644077334787</stp>
        <tr r="N84" s="17"/>
      </tp>
      <tp t="e">
        <v>#N/A</v>
        <stp/>
        <stp>BDH|11746086705014545126</stp>
        <tr r="J57" s="17"/>
      </tp>
      <tp t="e">
        <v>#N/A</v>
        <stp/>
        <stp>BDH|12805742522143122021</stp>
        <tr r="Q40" s="29"/>
      </tp>
      <tp t="e">
        <v>#N/A</v>
        <stp/>
        <stp>BDH|15982400920815570210</stp>
        <tr r="U30" s="17"/>
      </tp>
      <tp t="e">
        <v>#N/A</v>
        <stp/>
        <stp>BDH|14113711319320705634</stp>
        <tr r="F94" s="18"/>
      </tp>
      <tp t="e">
        <v>#N/A</v>
        <stp/>
        <stp>BDH|17978404920010127557</stp>
        <tr r="T9" s="13"/>
      </tp>
      <tp t="e">
        <v>#N/A</v>
        <stp/>
        <stp>BDH|14916436795058032522</stp>
        <tr r="Z24" s="18"/>
      </tp>
      <tp t="e">
        <v>#N/A</v>
        <stp/>
        <stp>BDH|16578213723336805422</stp>
        <tr r="I28" s="4"/>
      </tp>
      <tp t="e">
        <v>#N/A</v>
        <stp/>
        <stp>BDH|14889623562256183644</stp>
        <tr r="G113" s="18"/>
      </tp>
      <tp t="e">
        <v>#N/A</v>
        <stp/>
        <stp>BDH|13089365156975433493</stp>
        <tr r="Q24" s="12"/>
      </tp>
      <tp t="e">
        <v>#N/A</v>
        <stp/>
        <stp>BDH|17998754967272139078</stp>
        <tr r="F8" s="27"/>
      </tp>
      <tp t="e">
        <v>#N/A</v>
        <stp/>
        <stp>BDH|12536787372067278107</stp>
        <tr r="C51" s="12"/>
      </tp>
      <tp t="e">
        <v>#N/A</v>
        <stp/>
        <stp>BDH|14568103247060796588</stp>
        <tr r="X19" s="18"/>
      </tp>
      <tp t="e">
        <v>#N/A</v>
        <stp/>
        <stp>BDH|13303781237805593644</stp>
        <tr r="G98" s="18"/>
      </tp>
      <tp t="e">
        <v>#N/A</v>
        <stp/>
        <stp>BDH|12411357289364369978</stp>
        <tr r="T8" s="11"/>
      </tp>
      <tp t="e">
        <v>#N/A</v>
        <stp/>
        <stp>BDH|15307460558963875395</stp>
        <tr r="N59" s="12"/>
      </tp>
      <tp t="e">
        <v>#N/A</v>
        <stp/>
        <stp>BDH|16165038428209175971</stp>
        <tr r="R124" s="18"/>
      </tp>
      <tp t="e">
        <v>#N/A</v>
        <stp/>
        <stp>BDH|16678791263403798071</stp>
        <tr r="G28" s="22"/>
      </tp>
      <tp t="e">
        <v>#N/A</v>
        <stp/>
        <stp>BDH|13302293930003082562</stp>
        <tr r="K32" s="26"/>
      </tp>
      <tp t="e">
        <v>#N/A</v>
        <stp/>
        <stp>BDH|13293340669617235515</stp>
        <tr r="N106" s="18"/>
      </tp>
      <tp t="e">
        <v>#N/A</v>
        <stp/>
        <stp>BDH|12953538553470761626</stp>
        <tr r="P9" s="26"/>
      </tp>
      <tp t="e">
        <v>#N/A</v>
        <stp/>
        <stp>BDH|11371342638935413072</stp>
        <tr r="X65" s="24"/>
      </tp>
      <tp t="e">
        <v>#N/A</v>
        <stp/>
        <stp>BDH|10484474609399519931</stp>
        <tr r="H13" s="22"/>
      </tp>
      <tp t="e">
        <v>#N/A</v>
        <stp/>
        <stp>BDH|14392078108550129018</stp>
        <tr r="T38" s="13"/>
      </tp>
      <tp t="e">
        <v>#N/A</v>
        <stp/>
        <stp>BDH|10983794608183514010</stp>
        <tr r="C20" s="26"/>
      </tp>
      <tp t="e">
        <v>#N/A</v>
        <stp/>
        <stp>BDH|17018649608102064703</stp>
        <tr r="T30" s="24"/>
      </tp>
      <tp t="e">
        <v>#N/A</v>
        <stp/>
        <stp>BDH|16945654321426401058</stp>
        <tr r="Q45" s="12"/>
      </tp>
      <tp t="e">
        <v>#N/A</v>
        <stp/>
        <stp>BDH|17071548281357955905</stp>
        <tr r="I40" s="29"/>
      </tp>
      <tp t="e">
        <v>#N/A</v>
        <stp/>
        <stp>BDH|10446181855500423011</stp>
        <tr r="H8" s="8"/>
      </tp>
      <tp t="e">
        <v>#N/A</v>
        <stp/>
        <stp>BDH|17364287440223670617</stp>
        <tr r="S66" s="12"/>
      </tp>
      <tp t="e">
        <v>#N/A</v>
        <stp/>
        <stp>BDH|11009659342930856737</stp>
        <tr r="I32" s="10"/>
        <tr r="I44" s="10"/>
        <tr r="I30" s="11"/>
        <tr r="I42" s="11"/>
      </tp>
      <tp t="e">
        <v>#N/A</v>
        <stp/>
        <stp>BDH|14335611068067352755</stp>
        <tr r="X58" s="18"/>
      </tp>
      <tp t="e">
        <v>#N/A</v>
        <stp/>
        <stp>BDH|17747596722110836481</stp>
        <tr r="K113" s="18"/>
      </tp>
      <tp t="e">
        <v>#N/A</v>
        <stp/>
        <stp>BDH|16849617543707459721</stp>
        <tr r="C62" s="17"/>
      </tp>
      <tp t="e">
        <v>#N/A</v>
        <stp/>
        <stp>BDH|13586646885710163999</stp>
        <tr r="L85" s="17"/>
      </tp>
      <tp t="e">
        <v>#N/A</v>
        <stp/>
        <stp>BDH|18002826999518321547</stp>
        <tr r="X126" s="18"/>
      </tp>
      <tp t="e">
        <v>#N/A</v>
        <stp/>
        <stp>BDH|10595642033139655889</stp>
        <tr r="C18" s="25"/>
        <tr r="C10" s="27"/>
      </tp>
      <tp t="e">
        <v>#N/A</v>
        <stp/>
        <stp>BDH|12055371728195618252</stp>
        <tr r="Q34" s="21"/>
      </tp>
      <tp t="e">
        <v>#N/A</v>
        <stp/>
        <stp>BDH|13009161529662721640</stp>
        <tr r="T46" s="12"/>
      </tp>
      <tp t="e">
        <v>#N/A</v>
        <stp/>
        <stp>BDH|12633607921613361180</stp>
        <tr r="I27" s="12"/>
      </tp>
      <tp t="e">
        <v>#N/A</v>
        <stp/>
        <stp>BDH|15460614419765353334</stp>
        <tr r="G62" s="11"/>
        <tr r="I19" s="23"/>
      </tp>
      <tp t="e">
        <v>#N/A</v>
        <stp/>
        <stp>BDH|14433071919339091853</stp>
        <tr r="W14" s="23"/>
      </tp>
      <tp t="e">
        <v>#N/A</v>
        <stp/>
        <stp>BDH|15187912419419204045</stp>
        <tr r="C66" s="17"/>
      </tp>
      <tp t="e">
        <v>#N/A</v>
        <stp/>
        <stp>BDH|14249778051714394688</stp>
        <tr r="P86" s="17"/>
      </tp>
      <tp t="e">
        <v>#N/A</v>
        <stp/>
        <stp>BDH|14010849881557817726</stp>
        <tr r="U14" s="6"/>
      </tp>
      <tp t="e">
        <v>#N/A</v>
        <stp/>
        <stp>BDH|12502122569612381326</stp>
        <tr r="S19" s="17"/>
      </tp>
      <tp t="e">
        <v>#N/A</v>
        <stp/>
        <stp>BDH|13988305290329579433</stp>
        <tr r="AA8" s="17"/>
      </tp>
      <tp t="e">
        <v>#N/A</v>
        <stp/>
        <stp>BDH|15249093745861415456</stp>
        <tr r="N62" s="17"/>
      </tp>
      <tp t="e">
        <v>#N/A</v>
        <stp/>
        <stp>BDH|11074915021896722880</stp>
        <tr r="W54" s="21"/>
      </tp>
      <tp t="e">
        <v>#N/A</v>
        <stp/>
        <stp>BDH|10520969076949822328</stp>
        <tr r="J38" s="24"/>
      </tp>
      <tp t="e">
        <v>#N/A</v>
        <stp/>
        <stp>BDH|16559798131391222704</stp>
        <tr r="D52" s="4"/>
        <tr r="F8" s="3"/>
        <tr r="D40" s="10"/>
        <tr r="D38" s="11"/>
        <tr r="F30" s="13"/>
      </tp>
      <tp t="e">
        <v>#N/A</v>
        <stp/>
        <stp>BDH|11062064893215392997</stp>
        <tr r="Z25" s="3"/>
      </tp>
      <tp t="e">
        <v>#N/A</v>
        <stp/>
        <stp>BDH|17195785565305304701</stp>
        <tr r="C49" s="12"/>
      </tp>
      <tp t="e">
        <v>#N/A</v>
        <stp/>
        <stp>BDH|12202773188600198931</stp>
        <tr r="D19" s="26"/>
      </tp>
      <tp t="e">
        <v>#N/A</v>
        <stp/>
        <stp>BDH|18086229289076343079</stp>
        <tr r="Q59" s="17"/>
      </tp>
      <tp t="e">
        <v>#N/A</v>
        <stp/>
        <stp>BDH|17103681916115436140</stp>
        <tr r="G17" s="14"/>
      </tp>
      <tp t="e">
        <v>#N/A</v>
        <stp/>
        <stp>BDH|17880956792395467648</stp>
        <tr r="V21" s="2"/>
      </tp>
      <tp t="e">
        <v>#N/A</v>
        <stp/>
        <stp>BDH|15145404210420804467</stp>
        <tr r="T30" s="10"/>
        <tr r="T28" s="11"/>
      </tp>
      <tp t="e">
        <v>#N/A</v>
        <stp/>
        <stp>BDH|13682575839501520028</stp>
        <tr r="U129" s="18"/>
      </tp>
      <tp t="e">
        <v>#N/A</v>
        <stp/>
        <stp>BDH|10703927138517270907</stp>
        <tr r="T25" s="17"/>
      </tp>
      <tp t="e">
        <v>#N/A</v>
        <stp/>
        <stp>BDH|16310405549003109145</stp>
        <tr r="E76" s="18"/>
      </tp>
      <tp t="e">
        <v>#N/A</v>
        <stp/>
        <stp>BDH|14261372142440984718</stp>
        <tr r="K65" s="24"/>
      </tp>
      <tp t="e">
        <v>#N/A</v>
        <stp/>
        <stp>BDH|17931727769131966343</stp>
        <tr r="D29" s="17"/>
      </tp>
      <tp t="e">
        <v>#N/A</v>
        <stp/>
        <stp>BDH|13214913918696227961</stp>
        <tr r="U52" s="17"/>
      </tp>
      <tp t="e">
        <v>#N/A</v>
        <stp/>
        <stp>BDH|17931541978901391094</stp>
        <tr r="R54" s="12"/>
      </tp>
      <tp t="e">
        <v>#N/A</v>
        <stp/>
        <stp>BDH|11973800647401845891</stp>
        <tr r="S59" s="17"/>
      </tp>
      <tp t="e">
        <v>#N/A</v>
        <stp/>
        <stp>BDH|13455527954222573582</stp>
        <tr r="U39" s="22"/>
      </tp>
      <tp t="e">
        <v>#N/A</v>
        <stp/>
        <stp>BDH|10106471214357900647</stp>
        <tr r="V63" s="17"/>
      </tp>
      <tp t="e">
        <v>#N/A</v>
        <stp/>
        <stp>BDH|15014151739590589368</stp>
        <tr r="F26" s="12"/>
      </tp>
      <tp t="e">
        <v>#N/A</v>
        <stp/>
        <stp>BDH|14200365756330449689</stp>
        <tr r="W15" s="9"/>
      </tp>
      <tp t="e">
        <v>#N/A</v>
        <stp/>
        <stp>BDH|10541025739115399232</stp>
        <tr r="M54" s="17"/>
      </tp>
      <tp t="e">
        <v>#N/A</v>
        <stp/>
        <stp>BDH|14663103563190397786</stp>
        <tr r="T13" s="6"/>
      </tp>
      <tp t="e">
        <v>#N/A</v>
        <stp/>
        <stp>BDH|14998397875362944623</stp>
        <tr r="Y14" s="11"/>
      </tp>
      <tp t="e">
        <v>#N/A</v>
        <stp/>
        <stp>BDH|11538472505921017091</stp>
        <tr r="AA14" s="23"/>
      </tp>
      <tp t="e">
        <v>#N/A</v>
        <stp/>
        <stp>BDH|16993611340121164177</stp>
        <tr r="K79" s="17"/>
        <tr r="K20" s="3"/>
        <tr r="I6" s="7"/>
      </tp>
      <tp t="e">
        <v>#N/A</v>
        <stp/>
        <stp>BDH|12767618979371462654</stp>
        <tr r="E43" s="4"/>
      </tp>
      <tp t="e">
        <v>#N/A</v>
        <stp/>
        <stp>BDH|12953550948411981637</stp>
        <tr r="Y23" s="26"/>
      </tp>
      <tp t="e">
        <v>#N/A</v>
        <stp/>
        <stp>BDH|12959542287682665929</stp>
        <tr r="F11" s="7"/>
      </tp>
      <tp t="e">
        <v>#N/A</v>
        <stp/>
        <stp>BDH|13737919092860251789</stp>
        <tr r="K44" s="18"/>
      </tp>
      <tp t="e">
        <v>#N/A</v>
        <stp/>
        <stp>BDH|12331143310090041697</stp>
        <tr r="AA26" s="21"/>
      </tp>
      <tp t="e">
        <v>#N/A</v>
        <stp/>
        <stp>BDH|15826503681224425832</stp>
        <tr r="G25" s="4"/>
        <tr r="G61" s="10"/>
      </tp>
      <tp t="e">
        <v>#N/A</v>
        <stp/>
        <stp>BDH|11053099675046587477</stp>
        <tr r="P61" s="17"/>
      </tp>
      <tp t="e">
        <v>#N/A</v>
        <stp/>
        <stp>BDH|17410411168849423879</stp>
        <tr r="O83" s="17"/>
      </tp>
      <tp t="e">
        <v>#N/A</v>
        <stp/>
        <stp>BDH|10947304824291627453</stp>
        <tr r="G19" s="25"/>
        <tr r="G12" s="27"/>
      </tp>
      <tp t="e">
        <v>#N/A</v>
        <stp/>
        <stp>BDH|14974335564462816784</stp>
        <tr r="W114" s="18"/>
      </tp>
      <tp t="e">
        <v>#N/A</v>
        <stp/>
        <stp>BDH|17646033411302378091</stp>
        <tr r="D16" s="11"/>
      </tp>
      <tp t="e">
        <v>#N/A</v>
        <stp/>
        <stp>BDH|15610991830603010816</stp>
        <tr r="Y48" s="17"/>
      </tp>
      <tp t="e">
        <v>#N/A</v>
        <stp/>
        <stp>BDH|12397396815113665779</stp>
        <tr r="N78" s="18"/>
      </tp>
      <tp t="e">
        <v>#N/A</v>
        <stp/>
        <stp>BDH|12899429425818207839</stp>
        <tr r="R22" s="24"/>
      </tp>
      <tp t="e">
        <v>#N/A</v>
        <stp/>
        <stp>BDH|10739061361553819167</stp>
        <tr r="O34" s="34"/>
      </tp>
      <tp t="e">
        <v>#N/A</v>
        <stp/>
        <stp>BDH|14710850688666642622</stp>
        <tr r="L79" s="17"/>
        <tr r="L20" s="3"/>
        <tr r="J6" s="7"/>
      </tp>
      <tp t="e">
        <v>#N/A</v>
        <stp/>
        <stp>BDH|17862115767787669362</stp>
        <tr r="L22" s="29"/>
        <tr r="L33" s="29"/>
        <tr r="L13" s="29"/>
      </tp>
      <tp t="e">
        <v>#N/A</v>
        <stp/>
        <stp>BDH|12524059445957854537</stp>
        <tr r="P8" s="17"/>
      </tp>
      <tp t="e">
        <v>#N/A</v>
        <stp/>
        <stp>BDH|18158594603631397869</stp>
        <tr r="K46" s="34"/>
      </tp>
      <tp t="e">
        <v>#N/A</v>
        <stp/>
        <stp>BDH|16262221918762345352</stp>
        <tr r="K42" s="21"/>
      </tp>
      <tp t="e">
        <v>#N/A</v>
        <stp/>
        <stp>BDH|15061571869993125119</stp>
        <tr r="E59" s="18"/>
      </tp>
      <tp t="e">
        <v>#N/A</v>
        <stp/>
        <stp>BDH|13108557557885520289</stp>
        <tr r="C15" s="29"/>
        <tr r="C35" s="29"/>
      </tp>
      <tp t="e">
        <v>#N/A</v>
        <stp/>
        <stp>BDH|16980784619361027569</stp>
        <tr r="U68" s="18"/>
      </tp>
      <tp t="e">
        <v>#N/A</v>
        <stp/>
        <stp>BDH|13567710706859437876</stp>
        <tr r="D24" s="29"/>
      </tp>
      <tp t="e">
        <v>#N/A</v>
        <stp/>
        <stp>BDH|15001137830875300715</stp>
        <tr r="D48" s="21"/>
      </tp>
      <tp t="e">
        <v>#N/A</v>
        <stp/>
        <stp>BDH|10756149457225774420</stp>
        <tr r="F46" s="12"/>
      </tp>
      <tp t="e">
        <v>#N/A</v>
        <stp/>
        <stp>BDH|12289868734805499958</stp>
        <tr r="N23" s="2"/>
        <tr r="P18" s="21"/>
        <tr r="P23" s="3"/>
      </tp>
      <tp t="e">
        <v>#N/A</v>
        <stp/>
        <stp>BDH|16894470269090718101</stp>
        <tr r="D12" s="7"/>
      </tp>
      <tp t="e">
        <v>#N/A</v>
        <stp/>
        <stp>BDH|11249768114022426056</stp>
        <tr r="F47" s="21"/>
      </tp>
      <tp t="e">
        <v>#N/A</v>
        <stp/>
        <stp>BDH|10178925823406761868</stp>
        <tr r="AA50" s="21"/>
      </tp>
      <tp t="e">
        <v>#N/A</v>
        <stp/>
        <stp>BDH|13330963812937778916</stp>
        <tr r="G17" s="9"/>
      </tp>
      <tp t="e">
        <v>#N/A</v>
        <stp/>
        <stp>BDH|15012613372662292302</stp>
        <tr r="D27" s="12"/>
      </tp>
      <tp t="e">
        <v>#N/A</v>
        <stp/>
        <stp>BDH|18184294836405731985</stp>
        <tr r="R23" s="2"/>
        <tr r="T18" s="21"/>
        <tr r="T23" s="3"/>
      </tp>
      <tp t="e">
        <v>#N/A</v>
        <stp/>
        <stp>BDH|11006007849970006080</stp>
        <tr r="K56" s="17"/>
      </tp>
      <tp t="e">
        <v>#N/A</v>
        <stp/>
        <stp>BDH|14253039243613008634</stp>
        <tr r="M90" s="17"/>
        <tr r="M13" s="28"/>
      </tp>
      <tp t="e">
        <v>#N/A</v>
        <stp/>
        <stp>BDH|14155854024872875990</stp>
        <tr r="Y43" s="10"/>
        <tr r="Y41" s="11"/>
      </tp>
      <tp t="e">
        <v>#N/A</v>
        <stp/>
        <stp>BDH|17601109056012117406</stp>
        <tr r="X38" s="6"/>
      </tp>
      <tp t="e">
        <v>#N/A</v>
        <stp/>
        <stp>BDH|15796657044672467033</stp>
        <tr r="U33" s="22"/>
      </tp>
      <tp t="e">
        <v>#N/A</v>
        <stp/>
        <stp>BDH|17497465202371123700</stp>
        <tr r="Z63" s="17"/>
      </tp>
      <tp t="e">
        <v>#N/A</v>
        <stp/>
        <stp>BDH|17261165823307057669</stp>
        <tr r="E21" s="4"/>
      </tp>
      <tp t="e">
        <v>#N/A</v>
        <stp/>
        <stp>BDH|18334486744624678988</stp>
        <tr r="P29" s="4"/>
      </tp>
      <tp t="e">
        <v>#N/A</v>
        <stp/>
        <stp>BDH|14526604897267392901</stp>
        <tr r="U9" s="21"/>
      </tp>
      <tp t="e">
        <v>#N/A</v>
        <stp/>
        <stp>BDH|10605731321574014459</stp>
        <tr r="R18" s="9"/>
      </tp>
      <tp t="e">
        <v>#N/A</v>
        <stp/>
        <stp>BDH|14265858293229103940</stp>
        <tr r="Q16" s="12"/>
      </tp>
      <tp t="e">
        <v>#N/A</v>
        <stp/>
        <stp>BDH|18163917025404102259</stp>
        <tr r="Y36" s="18"/>
      </tp>
      <tp t="e">
        <v>#N/A</v>
        <stp/>
        <stp>BDH|12161479535208354814</stp>
        <tr r="T59" s="12"/>
      </tp>
      <tp t="e">
        <v>#N/A</v>
        <stp/>
        <stp>BDH|13887299880564734874</stp>
        <tr r="P38" s="4"/>
        <tr r="P60" s="11"/>
        <tr r="R13" s="23"/>
      </tp>
      <tp t="e">
        <v>#N/A</v>
        <stp/>
        <stp>BDH|13320189056354991652</stp>
        <tr r="X19" s="20"/>
      </tp>
      <tp t="e">
        <v>#N/A</v>
        <stp/>
        <stp>BDH|18132874269740925371</stp>
        <tr r="Y29" s="4"/>
      </tp>
      <tp t="e">
        <v>#N/A</v>
        <stp/>
        <stp>BDH|14464617172008733810</stp>
        <tr r="P12" s="18"/>
      </tp>
      <tp t="e">
        <v>#N/A</v>
        <stp/>
        <stp>BDH|16142652244199228837</stp>
        <tr r="D8" s="18"/>
      </tp>
      <tp t="e">
        <v>#N/A</v>
        <stp/>
        <stp>BDH|14304737120265121105</stp>
        <tr r="K13" s="20"/>
      </tp>
      <tp t="e">
        <v>#N/A</v>
        <stp/>
        <stp>BDH|12287337255038379969</stp>
        <tr r="R14" s="29"/>
        <tr r="R23" s="29"/>
        <tr r="R34" s="29"/>
      </tp>
      <tp t="e">
        <v>#N/A</v>
        <stp/>
        <stp>BDH|16147649995169287535</stp>
        <tr r="D9" s="22"/>
      </tp>
      <tp t="e">
        <v>#N/A</v>
        <stp/>
        <stp>BDH|15158444566611617347</stp>
        <tr r="J21" s="3"/>
      </tp>
      <tp t="e">
        <v>#N/A</v>
        <stp/>
        <stp>BDH|15378163876241243702</stp>
        <tr r="U9" s="29"/>
      </tp>
      <tp t="e">
        <v>#N/A</v>
        <stp/>
        <stp>BDH|11783679100147720562</stp>
        <tr r="X91" s="18"/>
      </tp>
      <tp t="e">
        <v>#N/A</v>
        <stp/>
        <stp>BDH|10945267705527950023</stp>
        <tr r="U10" s="24"/>
      </tp>
      <tp t="e">
        <v>#N/A</v>
        <stp/>
        <stp>BDH|10938881042070443961</stp>
        <tr r="E65" s="24"/>
      </tp>
      <tp t="e">
        <v>#N/A</v>
        <stp/>
        <stp>BDH|10801566212694913547</stp>
        <tr r="D24" s="26"/>
      </tp>
      <tp t="e">
        <v>#N/A</v>
        <stp/>
        <stp>BDH|10331423046120462521</stp>
        <tr r="P9" s="12"/>
      </tp>
      <tp t="e">
        <v>#N/A</v>
        <stp/>
        <stp>BDH|16801927036099417093</stp>
        <tr r="P22" s="9"/>
      </tp>
      <tp t="e">
        <v>#N/A</v>
        <stp/>
        <stp>BDH|10898419674551937752</stp>
        <tr r="K38" s="17"/>
      </tp>
      <tp t="e">
        <v>#N/A</v>
        <stp/>
        <stp>BDH|11945497100586176605</stp>
        <tr r="O25" s="2"/>
        <tr r="Q61" s="21"/>
      </tp>
      <tp t="e">
        <v>#N/A</v>
        <stp/>
        <stp>BDH|18118083870159061381</stp>
        <tr r="W8" s="8"/>
      </tp>
      <tp t="e">
        <v>#N/A</v>
        <stp/>
        <stp>BDH|10348274024427458255</stp>
        <tr r="Z82" s="17"/>
      </tp>
      <tp t="e">
        <v>#N/A</v>
        <stp/>
        <stp>BDH|14503817487429277800</stp>
        <tr r="H123" s="18"/>
      </tp>
      <tp t="e">
        <v>#N/A</v>
        <stp/>
        <stp>BDH|17695945780043569071</stp>
        <tr r="N46" s="17"/>
      </tp>
      <tp t="e">
        <v>#N/A</v>
        <stp/>
        <stp>BDH|12447363545063356349</stp>
        <tr r="O8" s="23"/>
      </tp>
      <tp t="e">
        <v>#N/A</v>
        <stp/>
        <stp>BDH|15629789696467966913</stp>
        <tr r="O6" s="6"/>
      </tp>
      <tp t="e">
        <v>#N/A</v>
        <stp/>
        <stp>BDH|14342144743420189456</stp>
        <tr r="C15" s="4"/>
      </tp>
      <tp t="e">
        <v>#N/A</v>
        <stp/>
        <stp>BDH|17934158552632659480</stp>
        <tr r="H7" s="11"/>
      </tp>
      <tp t="e">
        <v>#N/A</v>
        <stp/>
        <stp>BDH|17624348593729602175</stp>
        <tr r="Q13" s="11"/>
      </tp>
      <tp t="e">
        <v>#N/A</v>
        <stp/>
        <stp>BDH|14185749624797886391</stp>
        <tr r="C53" s="18"/>
      </tp>
      <tp t="e">
        <v>#N/A</v>
        <stp/>
        <stp>BDH|11264744537319868999</stp>
        <tr r="K41" s="21"/>
      </tp>
      <tp t="e">
        <v>#N/A</v>
        <stp/>
        <stp>BDH|17108605928703154589</stp>
        <tr r="AA97" s="18"/>
      </tp>
      <tp t="e">
        <v>#N/A</v>
        <stp/>
        <stp>BDH|17478452510200083712</stp>
        <tr r="T43" s="10"/>
        <tr r="T41" s="11"/>
      </tp>
      <tp t="e">
        <v>#N/A</v>
        <stp/>
        <stp>BDH|12261052143733465008</stp>
        <tr r="G24" s="17"/>
      </tp>
      <tp t="e">
        <v>#N/A</v>
        <stp/>
        <stp>BDH|14420812914671985982</stp>
        <tr r="E22" s="24"/>
      </tp>
      <tp t="e">
        <v>#N/A</v>
        <stp/>
        <stp>BDH|12187608077157153178</stp>
        <tr r="Y7" s="24"/>
      </tp>
      <tp t="e">
        <v>#N/A</v>
        <stp/>
        <stp>BDH|14157658029696500388</stp>
        <tr r="V31" s="26"/>
      </tp>
      <tp t="e">
        <v>#N/A</v>
        <stp/>
        <stp>BDH|12694734543376294244</stp>
        <tr r="J11" s="12"/>
      </tp>
      <tp t="e">
        <v>#N/A</v>
        <stp/>
        <stp>BDH|16125522009474918237</stp>
        <tr r="E22" s="17"/>
      </tp>
      <tp t="e">
        <v>#N/A</v>
        <stp/>
        <stp>BDH|14290858293636344671</stp>
        <tr r="I39" s="18"/>
      </tp>
      <tp t="e">
        <v>#N/A</v>
        <stp/>
        <stp>BDH|11459675536740038156</stp>
        <tr r="S55" s="24"/>
      </tp>
      <tp t="e">
        <v>#N/A</v>
        <stp/>
        <stp>BDH|11828038722861989708</stp>
        <tr r="V22" s="21"/>
      </tp>
      <tp t="e">
        <v>#N/A</v>
        <stp/>
        <stp>BDH|12630675766331138667</stp>
        <tr r="M61" s="18"/>
      </tp>
      <tp t="e">
        <v>#N/A</v>
        <stp/>
        <stp>BDH|15005773501232216541</stp>
        <tr r="R74" s="18"/>
      </tp>
      <tp t="e">
        <v>#N/A</v>
        <stp/>
        <stp>BDH|11066670257151259622</stp>
        <tr r="R44" s="18"/>
      </tp>
      <tp t="e">
        <v>#N/A</v>
        <stp/>
        <stp>BDH|11975821835917988870</stp>
        <tr r="T19" s="20"/>
      </tp>
      <tp t="e">
        <v>#N/A</v>
        <stp/>
        <stp>BDH|12620339403064384054</stp>
        <tr r="W41" s="18"/>
      </tp>
      <tp t="e">
        <v>#N/A</v>
        <stp/>
        <stp>BDH|10320503020733532162</stp>
        <tr r="V20" s="24"/>
      </tp>
      <tp t="e">
        <v>#N/A</v>
        <stp/>
        <stp>BDH|15276176063642680508</stp>
        <tr r="X39" s="4"/>
        <tr r="X62" s="10"/>
      </tp>
      <tp t="e">
        <v>#N/A</v>
        <stp/>
        <stp>BDH|15387299155427837070</stp>
        <tr r="T7" s="10"/>
      </tp>
      <tp t="e">
        <v>#N/A</v>
        <stp/>
        <stp>BDH|16840198200057010519</stp>
        <tr r="K10" s="21"/>
      </tp>
      <tp t="e">
        <v>#N/A</v>
        <stp/>
        <stp>BDH|10532834603938691533</stp>
        <tr r="D65" s="17"/>
      </tp>
      <tp t="e">
        <v>#N/A</v>
        <stp/>
        <stp>BDH|10489614928673997247</stp>
        <tr r="X33" s="18"/>
      </tp>
      <tp t="e">
        <v>#N/A</v>
        <stp/>
        <stp>BDH|13145170663233781214</stp>
        <tr r="K132" s="18"/>
      </tp>
      <tp t="e">
        <v>#N/A</v>
        <stp/>
        <stp>BDH|13968796017877722732</stp>
        <tr r="F35" s="10"/>
        <tr r="F33" s="11"/>
      </tp>
      <tp t="e">
        <v>#N/A</v>
        <stp/>
        <stp>BDH|14374501601952658672</stp>
        <tr r="AA105" s="18"/>
      </tp>
      <tp t="e">
        <v>#N/A</v>
        <stp/>
        <stp>BDH|12430824760951623834</stp>
        <tr r="U15" s="10"/>
      </tp>
      <tp t="e">
        <v>#N/A</v>
        <stp/>
        <stp>BDH|17606360010526581662</stp>
        <tr r="Z14" s="8"/>
      </tp>
      <tp t="e">
        <v>#N/A</v>
        <stp/>
        <stp>BDH|11185705407966781523</stp>
        <tr r="I30" s="21"/>
      </tp>
      <tp t="e">
        <v>#N/A</v>
        <stp/>
        <stp>BDH|11861444859136347359</stp>
        <tr r="G28" s="12"/>
      </tp>
      <tp t="e">
        <v>#N/A</v>
        <stp/>
        <stp>BDH|13107443811883717004</stp>
        <tr r="C11" s="29"/>
      </tp>
      <tp t="e">
        <v>#N/A</v>
        <stp/>
        <stp>BDH|15998300059862286414</stp>
        <tr r="R24" s="26"/>
        <tr r="P14" s="9"/>
      </tp>
      <tp t="e">
        <v>#N/A</v>
        <stp/>
        <stp>BDH|15984140999599210151</stp>
        <tr r="E52" s="24"/>
      </tp>
      <tp t="e">
        <v>#N/A</v>
        <stp/>
        <stp>BDH|11754708505914396720</stp>
        <tr r="J89" s="17"/>
        <tr r="J7" s="27"/>
      </tp>
      <tp t="e">
        <v>#N/A</v>
        <stp/>
        <stp>BDH|18428916897318831599</stp>
        <tr r="E7" s="2"/>
        <tr r="E7" s="5"/>
        <tr r="E7" s="9"/>
        <tr r="G14" s="3"/>
      </tp>
      <tp t="e">
        <v>#N/A</v>
        <stp/>
        <stp>BDH|15780352656103002577</stp>
        <tr r="T7" s="30"/>
      </tp>
      <tp t="e">
        <v>#N/A</v>
        <stp/>
        <stp>BDH|13241350920075538214</stp>
        <tr r="N40" s="29"/>
      </tp>
      <tp t="e">
        <v>#N/A</v>
        <stp/>
        <stp>BDH|18346941651929475818</stp>
        <tr r="M37" s="34"/>
      </tp>
      <tp t="e">
        <v>#N/A</v>
        <stp/>
        <stp>BDH|12211439535520399046</stp>
        <tr r="Y25" s="22"/>
      </tp>
      <tp t="e">
        <v>#N/A</v>
        <stp/>
        <stp>BDH|12848190769641252195</stp>
        <tr r="AA102" s="18"/>
      </tp>
      <tp t="e">
        <v>#N/A</v>
        <stp/>
        <stp>BDH|14354653577639317913</stp>
        <tr r="X35" s="6"/>
        <tr r="Z10" s="8"/>
      </tp>
      <tp t="e">
        <v>#N/A</v>
        <stp/>
        <stp>BDH|14498474239380186684</stp>
        <tr r="N9" s="21"/>
      </tp>
      <tp t="e">
        <v>#N/A</v>
        <stp/>
        <stp>BDH|13284326842083892295</stp>
        <tr r="G21" s="6"/>
      </tp>
      <tp t="e">
        <v>#N/A</v>
        <stp/>
        <stp>BDH|18422521994559614876</stp>
        <tr r="P28" s="26"/>
      </tp>
      <tp t="e">
        <v>#N/A</v>
        <stp/>
        <stp>BDH|14816535340534117490</stp>
        <tr r="S21" s="12"/>
      </tp>
      <tp t="e">
        <v>#N/A</v>
        <stp/>
        <stp>BDH|11603120930116054073</stp>
        <tr r="T30" s="29"/>
        <tr r="T8" s="29"/>
      </tp>
      <tp t="e">
        <v>#N/A</v>
        <stp/>
        <stp>BDH|10821598476835118254</stp>
        <tr r="F42" s="34"/>
      </tp>
      <tp t="e">
        <v>#N/A</v>
        <stp/>
        <stp>BDH|13835439424084992454</stp>
        <tr r="Y90" s="18"/>
      </tp>
      <tp t="e">
        <v>#N/A</v>
        <stp/>
        <stp>BDH|11580128454232745271</stp>
        <tr r="H15" s="22"/>
      </tp>
      <tp t="e">
        <v>#N/A</v>
        <stp/>
        <stp>BDH|13561222590484674921</stp>
        <tr r="X105" s="18"/>
      </tp>
      <tp t="e">
        <v>#N/A</v>
        <stp/>
        <stp>BDH|11951194712962774669</stp>
        <tr r="E8" s="24"/>
      </tp>
      <tp t="e">
        <v>#N/A</v>
        <stp/>
        <stp>BDH|14048534837162736504</stp>
        <tr r="D21" s="3"/>
      </tp>
      <tp t="e">
        <v>#N/A</v>
        <stp/>
        <stp>BDH|17353904296225560733</stp>
        <tr r="X130" s="18"/>
      </tp>
      <tp t="e">
        <v>#N/A</v>
        <stp/>
        <stp>BDH|11575818871879766214</stp>
        <tr r="F46" s="17"/>
      </tp>
      <tp t="e">
        <v>#N/A</v>
        <stp/>
        <stp>BDH|12849104089027402965</stp>
        <tr r="Z12" s="20"/>
      </tp>
      <tp t="e">
        <v>#N/A</v>
        <stp/>
        <stp>BDH|16127937872789533464</stp>
        <tr r="D39" s="4"/>
        <tr r="D62" s="10"/>
      </tp>
      <tp t="e">
        <v>#N/A</v>
        <stp/>
        <stp>BDH|10798767963871620571</stp>
        <tr r="I19" s="25"/>
        <tr r="I12" s="27"/>
      </tp>
      <tp t="e">
        <v>#N/A</v>
        <stp/>
        <stp>BDH|16515883027718042194</stp>
        <tr r="F27" s="6"/>
      </tp>
      <tp t="e">
        <v>#N/A</v>
        <stp/>
        <stp>BDH|16209457143454140763</stp>
        <tr r="X24" s="11"/>
      </tp>
      <tp t="e">
        <v>#N/A</v>
        <stp/>
        <stp>BDH|14639641137560747417</stp>
        <tr r="S46" s="18"/>
      </tp>
      <tp t="e">
        <v>#N/A</v>
        <stp/>
        <stp>BDH|13371736271336405066</stp>
        <tr r="V9" s="27"/>
      </tp>
      <tp t="e">
        <v>#N/A</v>
        <stp/>
        <stp>BDH|10977165019782598708</stp>
        <tr r="D44" s="18"/>
      </tp>
      <tp t="e">
        <v>#N/A</v>
        <stp/>
        <stp>BDH|12792709335235475651</stp>
        <tr r="F44" s="12"/>
      </tp>
      <tp t="e">
        <v>#N/A</v>
        <stp/>
        <stp>BDH|11680585651150485480</stp>
        <tr r="J71" s="17"/>
      </tp>
      <tp t="e">
        <v>#N/A</v>
        <stp/>
        <stp>BDH|16845574762241605186</stp>
        <tr r="F21" s="10"/>
      </tp>
      <tp t="e">
        <v>#N/A</v>
        <stp/>
        <stp>BDH|12343178855530262314</stp>
        <tr r="X59" s="17"/>
      </tp>
      <tp t="e">
        <v>#N/A</v>
        <stp/>
        <stp>BDH|14024073634843410153</stp>
        <tr r="X63" s="24"/>
      </tp>
      <tp t="e">
        <v>#N/A</v>
        <stp/>
        <stp>BDH|15756648106315216355</stp>
        <tr r="F34" s="21"/>
      </tp>
      <tp t="e">
        <v>#N/A</v>
        <stp/>
        <stp>BDH|15087084868436038022</stp>
        <tr r="O115" s="18"/>
      </tp>
      <tp t="e">
        <v>#N/A</v>
        <stp/>
        <stp>BDH|17343029063980450449</stp>
        <tr r="E33" s="6"/>
        <tr r="G6" s="8"/>
      </tp>
      <tp t="e">
        <v>#N/A</v>
        <stp/>
        <stp>BDH|15307360127886743773</stp>
        <tr r="D24" s="24"/>
      </tp>
      <tp t="e">
        <v>#N/A</v>
        <stp/>
        <stp>BDH|14883465213366744285</stp>
        <tr r="N35" s="10"/>
        <tr r="N33" s="11"/>
      </tp>
      <tp t="e">
        <v>#N/A</v>
        <stp/>
        <stp>BDH|17493106715141145324</stp>
        <tr r="L35" s="34"/>
      </tp>
      <tp t="e">
        <v>#N/A</v>
        <stp/>
        <stp>BDH|12832058648587327441</stp>
        <tr r="D63" s="11"/>
      </tp>
      <tp t="e">
        <v>#N/A</v>
        <stp/>
        <stp>BDH|14985135048656507256</stp>
        <tr r="S51" s="17"/>
      </tp>
      <tp t="e">
        <v>#N/A</v>
        <stp/>
        <stp>BDH|17213453445566059401</stp>
        <tr r="D51" s="17"/>
      </tp>
      <tp t="e">
        <v>#N/A</v>
        <stp/>
        <stp>BDH|10660052730001657772</stp>
        <tr r="X24" s="24"/>
      </tp>
      <tp t="e">
        <v>#N/A</v>
        <stp/>
        <stp>BDH|10761857431907286932</stp>
        <tr r="L68" s="18"/>
      </tp>
      <tp t="e">
        <v>#N/A</v>
        <stp/>
        <stp>BDH|14402765331222328724</stp>
        <tr r="I36" s="22"/>
      </tp>
      <tp t="e">
        <v>#N/A</v>
        <stp/>
        <stp>BDH|17232055717176644542</stp>
        <tr r="E7" s="24"/>
      </tp>
      <tp t="e">
        <v>#N/A</v>
        <stp/>
        <stp>BDH|15865841624353976932</stp>
        <tr r="Q21" s="5"/>
      </tp>
      <tp t="e">
        <v>#N/A</v>
        <stp/>
        <stp>BDH|17890538347672967170</stp>
        <tr r="S43" s="18"/>
      </tp>
      <tp t="e">
        <v>#N/A</v>
        <stp/>
        <stp>BDH|13742372421685342204</stp>
        <tr r="X19" s="14"/>
      </tp>
      <tp t="e">
        <v>#N/A</v>
        <stp/>
        <stp>BDH|12834191020954724049</stp>
        <tr r="AA73" s="17"/>
        <tr r="Y9" s="5"/>
        <tr r="Y9" s="9"/>
      </tp>
      <tp t="e">
        <v>#N/A</v>
        <stp/>
        <stp>BDH|10507656503667362426</stp>
        <tr r="J15" s="12"/>
      </tp>
      <tp t="e">
        <v>#N/A</v>
        <stp/>
        <stp>BDH|15042056999111939870</stp>
        <tr r="W25" s="24"/>
      </tp>
      <tp t="e">
        <v>#N/A</v>
        <stp/>
        <stp>BDH|11716053257512008371</stp>
        <tr r="K81" s="17"/>
      </tp>
      <tp t="e">
        <v>#N/A</v>
        <stp/>
        <stp>BDH|13712531612860383276</stp>
        <tr r="W91" s="17"/>
      </tp>
      <tp t="e">
        <v>#N/A</v>
        <stp/>
        <stp>BDH|12221451537659543977</stp>
        <tr r="S63" s="11"/>
      </tp>
      <tp t="e">
        <v>#N/A</v>
        <stp/>
        <stp>BDH|13347983791514129295</stp>
        <tr r="F26" s="17"/>
      </tp>
      <tp t="e">
        <v>#N/A</v>
        <stp/>
        <stp>BDH|17649062570047720251</stp>
        <tr r="Q58" s="18"/>
      </tp>
      <tp t="e">
        <v>#N/A</v>
        <stp/>
        <stp>BDH|10100406639522978030</stp>
        <tr r="AA13" s="13"/>
      </tp>
      <tp t="e">
        <v>#N/A</v>
        <stp/>
        <stp>BDH|14805581120284727255</stp>
        <tr r="S35" s="6"/>
        <tr r="U10" s="8"/>
      </tp>
      <tp t="e">
        <v>#N/A</v>
        <stp/>
        <stp>BDH|16479753171607781421</stp>
        <tr r="O19" s="18"/>
      </tp>
      <tp t="e">
        <v>#N/A</v>
        <stp/>
        <stp>BDH|14129517268791919348</stp>
        <tr r="T58" s="18"/>
      </tp>
      <tp t="e">
        <v>#N/A</v>
        <stp/>
        <stp>BDH|10092117015127849291</stp>
        <tr r="P23" s="24"/>
      </tp>
      <tp t="e">
        <v>#N/A</v>
        <stp/>
        <stp>BDH|11366318949804644788</stp>
        <tr r="E52" s="21"/>
      </tp>
      <tp t="e">
        <v>#N/A</v>
        <stp/>
        <stp>BDH|17932930628411141869</stp>
        <tr r="K34" s="22"/>
      </tp>
      <tp t="e">
        <v>#N/A</v>
        <stp/>
        <stp>BDH|14527930054455445838</stp>
        <tr r="K30" s="21"/>
      </tp>
      <tp t="e">
        <v>#N/A</v>
        <stp/>
        <stp>BDH|12313513831585092464</stp>
        <tr r="O54" s="12"/>
      </tp>
      <tp t="e">
        <v>#N/A</v>
        <stp/>
        <stp>BDH|16275119910246613504</stp>
        <tr r="X41" s="24"/>
      </tp>
      <tp t="e">
        <v>#N/A</v>
        <stp/>
        <stp>BDH|10531557427701021328</stp>
        <tr r="I19" s="14"/>
      </tp>
      <tp t="e">
        <v>#N/A</v>
        <stp/>
        <stp>BDH|14386079393840410861</stp>
        <tr r="M16" s="2"/>
        <tr r="M32" s="4"/>
        <tr r="M58" s="10"/>
        <tr r="O19" s="13"/>
      </tp>
      <tp t="e">
        <v>#N/A</v>
        <stp/>
        <stp>BDH|10807301002717785187</stp>
        <tr r="R10" s="23"/>
      </tp>
      <tp t="e">
        <v>#N/A</v>
        <stp/>
        <stp>BDH|14258119493781756827</stp>
        <tr r="F51" s="17"/>
      </tp>
      <tp t="e">
        <v>#N/A</v>
        <stp/>
        <stp>BDH|14392800545334465973</stp>
        <tr r="T21" s="6"/>
      </tp>
      <tp t="e">
        <v>#N/A</v>
        <stp/>
        <stp>BDH|16025822004723615859</stp>
        <tr r="Q28" s="5"/>
      </tp>
      <tp t="e">
        <v>#N/A</v>
        <stp/>
        <stp>BDH|14377329827709777940</stp>
        <tr r="O57" s="18"/>
      </tp>
      <tp t="e">
        <v>#N/A</v>
        <stp/>
        <stp>BDH|16180825441128617713</stp>
        <tr r="C61" s="18"/>
      </tp>
      <tp t="e">
        <v>#N/A</v>
        <stp/>
        <stp>BDH|13718419070460293519</stp>
        <tr r="AA20" s="26"/>
      </tp>
      <tp t="e">
        <v>#N/A</v>
        <stp/>
        <stp>BDH|14728228514027530515</stp>
        <tr r="Y12" s="17"/>
      </tp>
      <tp t="e">
        <v>#N/A</v>
        <stp/>
        <stp>BDH|11468186418951508545</stp>
        <tr r="E37" s="34"/>
      </tp>
      <tp t="e">
        <v>#N/A</v>
        <stp/>
        <stp>BDH|17577358819764597492</stp>
        <tr r="I8" s="11"/>
      </tp>
      <tp t="e">
        <v>#N/A</v>
        <stp/>
        <stp>BDH|15480172316062592250</stp>
        <tr r="T52" s="18"/>
      </tp>
      <tp t="e">
        <v>#N/A</v>
        <stp/>
        <stp>BDH|15272986538563611916</stp>
        <tr r="E30" s="22"/>
      </tp>
      <tp t="e">
        <v>#N/A</v>
        <stp/>
        <stp>BDH|17015034025507647757</stp>
        <tr r="U35" s="4"/>
      </tp>
      <tp t="e">
        <v>#N/A</v>
        <stp/>
        <stp>BDH|15035441431455529256</stp>
        <tr r="O63" s="24"/>
      </tp>
      <tp t="e">
        <v>#N/A</v>
        <stp/>
        <stp>BDH|17344862605073558901</stp>
        <tr r="I17" s="12"/>
      </tp>
      <tp t="e">
        <v>#N/A</v>
        <stp/>
        <stp>BDH|11768576384130541947</stp>
        <tr r="U46" s="21"/>
      </tp>
      <tp t="e">
        <v>#N/A</v>
        <stp/>
        <stp>BDH|15256114933727434517</stp>
        <tr r="P57" s="18"/>
      </tp>
      <tp t="e">
        <v>#N/A</v>
        <stp/>
        <stp>BDH|12414260750788605817</stp>
        <tr r="F20" s="22"/>
      </tp>
      <tp t="e">
        <v>#N/A</v>
        <stp/>
        <stp>BDH|16978088101541789223</stp>
        <tr r="G18" s="5"/>
        <tr r="F31" s="6"/>
      </tp>
      <tp t="e">
        <v>#N/A</v>
        <stp/>
        <stp>BDH|12406132009172939420</stp>
        <tr r="Y21" s="4"/>
      </tp>
      <tp t="e">
        <v>#N/A</v>
        <stp/>
        <stp>BDH|13473043869522401281</stp>
        <tr r="N31" s="21"/>
      </tp>
      <tp t="e">
        <v>#N/A</v>
        <stp/>
        <stp>BDH|11767601720176063620</stp>
        <tr r="S24" s="11"/>
      </tp>
      <tp t="e">
        <v>#N/A</v>
        <stp/>
        <stp>BDH|14754142027474947687</stp>
        <tr r="D41" s="24"/>
      </tp>
      <tp t="e">
        <v>#N/A</v>
        <stp/>
        <stp>BDH|11549080219396133304</stp>
        <tr r="I10" s="30"/>
      </tp>
      <tp t="e">
        <v>#N/A</v>
        <stp/>
        <stp>BDH|16140411431484364070</stp>
        <tr r="N84" s="18"/>
      </tp>
      <tp t="e">
        <v>#N/A</v>
        <stp/>
        <stp>BDH|10880590863850269651</stp>
        <tr r="H15" s="10"/>
      </tp>
      <tp t="e">
        <v>#N/A</v>
        <stp/>
        <stp>BDH|14667740016742530545</stp>
        <tr r="P8" s="4"/>
      </tp>
      <tp t="e">
        <v>#N/A</v>
        <stp/>
        <stp>BDH|16410030457385761322</stp>
        <tr r="I40" s="6"/>
      </tp>
      <tp t="e">
        <v>#N/A</v>
        <stp/>
        <stp>BDH|18102537863057105951</stp>
        <tr r="V59" s="10"/>
      </tp>
      <tp t="e">
        <v>#N/A</v>
        <stp/>
        <stp>BDH|10509899885813555692</stp>
        <tr r="M80" s="17"/>
      </tp>
      <tp t="e">
        <v>#N/A</v>
        <stp/>
        <stp>BDH|16584635416012384663</stp>
        <tr r="M63" s="11"/>
      </tp>
      <tp t="e">
        <v>#N/A</v>
        <stp/>
        <stp>BDH|17693422071900516155</stp>
        <tr r="D10" s="21"/>
      </tp>
      <tp t="e">
        <v>#N/A</v>
        <stp/>
        <stp>BDH|16715917505069176374</stp>
        <tr r="T20" s="24"/>
      </tp>
      <tp t="e">
        <v>#N/A</v>
        <stp/>
        <stp>BDH|15536853882641354147</stp>
        <tr r="S63" s="24"/>
      </tp>
      <tp t="e">
        <v>#N/A</v>
        <stp/>
        <stp>BDH|12111366137316799136</stp>
        <tr r="D52" s="21"/>
      </tp>
      <tp t="e">
        <v>#N/A</v>
        <stp/>
        <stp>BDH|12680497911976394494</stp>
        <tr r="R15" s="17"/>
        <tr r="R18" s="28"/>
      </tp>
      <tp t="e">
        <v>#N/A</v>
        <stp/>
        <stp>BDH|13540013374267774639</stp>
        <tr r="S10" s="10"/>
      </tp>
      <tp t="e">
        <v>#N/A</v>
        <stp/>
        <stp>BDH|16871800198427102558</stp>
        <tr r="Y22" s="24"/>
      </tp>
      <tp t="e">
        <v>#N/A</v>
        <stp/>
        <stp>BDH|10606475666851058631</stp>
        <tr r="S11" s="29"/>
      </tp>
      <tp t="e">
        <v>#N/A</v>
        <stp/>
        <stp>BDH|13592190378220457047</stp>
        <tr r="Y21" s="12"/>
      </tp>
      <tp t="e">
        <v>#N/A</v>
        <stp/>
        <stp>BDH|17211450030420597565</stp>
        <tr r="M31" s="17"/>
      </tp>
      <tp t="e">
        <v>#N/A</v>
        <stp/>
        <stp>BDH|13024266844206161678</stp>
        <tr r="P29" s="34"/>
      </tp>
      <tp t="e">
        <v>#N/A</v>
        <stp/>
        <stp>BDH|13594734073283622575</stp>
        <tr r="M35" s="24"/>
      </tp>
      <tp t="e">
        <v>#N/A</v>
        <stp/>
        <stp>BDH|15777419363363609175</stp>
        <tr r="D7" s="34"/>
      </tp>
      <tp t="e">
        <v>#N/A</v>
        <stp/>
        <stp>BDH|16729788842717036796</stp>
        <tr r="W38" s="24"/>
      </tp>
      <tp t="e">
        <v>#N/A</v>
        <stp/>
        <stp>BDH|17346362992328024038</stp>
        <tr r="J29" s="34"/>
      </tp>
      <tp t="e">
        <v>#N/A</v>
        <stp/>
        <stp>BDH|16059521104824050226</stp>
        <tr r="R18" s="25"/>
        <tr r="R10" s="27"/>
      </tp>
      <tp t="e">
        <v>#N/A</v>
        <stp/>
        <stp>BDH|15833836397954060585</stp>
        <tr r="N27" s="26"/>
      </tp>
      <tp t="e">
        <v>#N/A</v>
        <stp/>
        <stp>BDH|13818384562983311052</stp>
        <tr r="W50" s="18"/>
      </tp>
      <tp t="e">
        <v>#N/A</v>
        <stp/>
        <stp>BDH|15560999480033186299</stp>
        <tr r="V15" s="20"/>
      </tp>
      <tp t="e">
        <v>#N/A</v>
        <stp/>
        <stp>BDH|16339219573262569400</stp>
        <tr r="K10" s="4"/>
        <tr r="J6" s="16"/>
        <tr r="M6" s="3"/>
        <tr r="K6" s="11"/>
      </tp>
      <tp t="e">
        <v>#N/A</v>
        <stp/>
        <stp>BDH|15638992288389693856</stp>
        <tr r="G18" s="34"/>
      </tp>
      <tp t="e">
        <v>#N/A</v>
        <stp/>
        <stp>BDH|11796418642162754678</stp>
        <tr r="R13" s="9"/>
      </tp>
      <tp t="e">
        <v>#N/A</v>
        <stp/>
        <stp>BDH|13003497806864264695</stp>
        <tr r="E29" s="24"/>
      </tp>
      <tp t="e">
        <v>#N/A</v>
        <stp/>
        <stp>BDH|12448431726975548404</stp>
        <tr r="M30" s="12"/>
      </tp>
      <tp t="e">
        <v>#N/A</v>
        <stp/>
        <stp>BDH|17681751257996371634</stp>
        <tr r="G18" s="10"/>
      </tp>
      <tp t="e">
        <v>#N/A</v>
        <stp/>
        <stp>BDH|17074181202534913771</stp>
        <tr r="Q14" s="2"/>
        <tr r="Q11" s="10"/>
      </tp>
      <tp t="e">
        <v>#N/A</v>
        <stp/>
        <stp>BDH|17586968802442635935</stp>
        <tr r="S32" s="22"/>
      </tp>
      <tp t="e">
        <v>#N/A</v>
        <stp/>
        <stp>BDH|18119215980104058342</stp>
        <tr r="I121" s="18"/>
      </tp>
      <tp t="e">
        <v>#N/A</v>
        <stp/>
        <stp>BDH|12676606871084163225</stp>
        <tr r="G65" s="24"/>
      </tp>
      <tp t="e">
        <v>#N/A</v>
        <stp/>
        <stp>BDH|10199010930850401603</stp>
        <tr r="I24" s="2"/>
      </tp>
      <tp t="e">
        <v>#N/A</v>
        <stp/>
        <stp>BDH|14230875755708008446</stp>
        <tr r="C44" s="12"/>
      </tp>
      <tp t="e">
        <v>#N/A</v>
        <stp/>
        <stp>BDH|12004277322316115102</stp>
        <tr r="J24" s="25"/>
        <tr r="H14" s="5"/>
        <tr r="J17" s="27"/>
      </tp>
      <tp t="e">
        <v>#N/A</v>
        <stp/>
        <stp>BDH|14921301119631510213</stp>
        <tr r="J43" s="24"/>
      </tp>
      <tp t="e">
        <v>#N/A</v>
        <stp/>
        <stp>BDH|10236746845800281653</stp>
        <tr r="Z29" s="17"/>
      </tp>
      <tp t="e">
        <v>#N/A</v>
        <stp/>
        <stp>BDH|12628073767405711452</stp>
        <tr r="S49" s="10"/>
        <tr r="S47" s="11"/>
        <tr r="S16" s="7"/>
      </tp>
      <tp t="e">
        <v>#N/A</v>
        <stp/>
        <stp>BDH|15780818202150603867</stp>
        <tr r="E25" s="24"/>
      </tp>
      <tp t="e">
        <v>#N/A</v>
        <stp/>
        <stp>BDH|15076023262534522216</stp>
        <tr r="J42" s="24"/>
      </tp>
      <tp t="e">
        <v>#N/A</v>
        <stp/>
        <stp>BDH|13080939407426871987</stp>
        <tr r="I17" s="29"/>
        <tr r="I37" s="29"/>
      </tp>
      <tp t="e">
        <v>#N/A</v>
        <stp/>
        <stp>BDH|13325162397339259742</stp>
        <tr r="T10" s="26"/>
      </tp>
      <tp t="e">
        <v>#N/A</v>
        <stp/>
        <stp>BDH|12212740112953851289</stp>
        <tr r="O9" s="22"/>
      </tp>
      <tp t="e">
        <v>#N/A</v>
        <stp/>
        <stp>BDH|11669676520263309366</stp>
        <tr r="M66" s="17"/>
      </tp>
      <tp t="e">
        <v>#N/A</v>
        <stp/>
        <stp>BDH|17114324261881363660</stp>
        <tr r="N8" s="14"/>
      </tp>
      <tp t="e">
        <v>#N/A</v>
        <stp/>
        <stp>BDH|15614570943251183040</stp>
        <tr r="H50" s="18"/>
      </tp>
      <tp t="e">
        <v>#N/A</v>
        <stp/>
        <stp>BDH|15576257187072820889</stp>
        <tr r="E29" s="10"/>
        <tr r="E27" s="11"/>
      </tp>
      <tp t="e">
        <v>#N/A</v>
        <stp/>
        <stp>BDH|13291195639481742525</stp>
        <tr r="M6" s="28"/>
      </tp>
      <tp t="e">
        <v>#N/A</v>
        <stp/>
        <stp>BDH|12018425200306764529</stp>
        <tr r="K13" s="2"/>
      </tp>
      <tp t="e">
        <v>#N/A</v>
        <stp/>
        <stp>BDH|17484718873287886592</stp>
        <tr r="J20" s="10"/>
      </tp>
      <tp t="e">
        <v>#N/A</v>
        <stp/>
        <stp>BDH|12680303242833048338</stp>
        <tr r="X53" s="12"/>
      </tp>
      <tp t="e">
        <v>#N/A</v>
        <stp/>
        <stp>BDH|13509658105700641044</stp>
        <tr r="P32" s="24"/>
      </tp>
      <tp t="e">
        <v>#N/A</v>
        <stp/>
        <stp>BDH|11141609408082605080</stp>
        <tr r="X26" s="18"/>
      </tp>
      <tp t="e">
        <v>#N/A</v>
        <stp/>
        <stp>BDH|13332251610525220039</stp>
        <tr r="J24" s="29"/>
      </tp>
      <tp t="e">
        <v>#N/A</v>
        <stp/>
        <stp>BDH|17036625187214150832</stp>
        <tr r="AA46" s="12"/>
      </tp>
      <tp t="e">
        <v>#N/A</v>
        <stp/>
        <stp>BDH|18002804267356534557</stp>
        <tr r="N61" s="12"/>
      </tp>
      <tp t="e">
        <v>#N/A</v>
        <stp/>
        <stp>BDH|16178893114213913925</stp>
        <tr r="F27" s="12"/>
      </tp>
      <tp t="e">
        <v>#N/A</v>
        <stp/>
        <stp>BDH|17214713300534426107</stp>
        <tr r="K25" s="17"/>
      </tp>
      <tp t="e">
        <v>#N/A</v>
        <stp/>
        <stp>BDH|13252403875704313131</stp>
        <tr r="D10" s="11"/>
      </tp>
      <tp t="e">
        <v>#N/A</v>
        <stp/>
        <stp>BDH|11570630322166733644</stp>
        <tr r="T28" s="12"/>
      </tp>
      <tp t="e">
        <v>#N/A</v>
        <stp/>
        <stp>BDH|11595749797522571843</stp>
        <tr r="U50" s="4"/>
      </tp>
      <tp t="e">
        <v>#N/A</v>
        <stp/>
        <stp>BDH|14016630944126322532</stp>
        <tr r="C27" s="5"/>
        <tr r="C28" s="9"/>
      </tp>
      <tp t="e">
        <v>#N/A</v>
        <stp/>
        <stp>BDH|12187715907671692165</stp>
        <tr r="Y38" s="13"/>
      </tp>
      <tp t="e">
        <v>#N/A</v>
        <stp/>
        <stp>BDH|17796742940537410609</stp>
        <tr r="I69" s="18"/>
      </tp>
      <tp t="e">
        <v>#N/A</v>
        <stp/>
        <stp>BDH|18023610194951249309</stp>
        <tr r="Q18" s="24"/>
      </tp>
      <tp t="e">
        <v>#N/A</v>
        <stp/>
        <stp>BDH|14562620445374469715</stp>
        <tr r="T55" s="12"/>
      </tp>
      <tp t="e">
        <v>#N/A</v>
        <stp/>
        <stp>BDH|11559196718541415572</stp>
        <tr r="J33" s="13"/>
      </tp>
      <tp t="e">
        <v>#N/A</v>
        <stp/>
        <stp>BDH|18275146157558238142</stp>
        <tr r="X11" s="17"/>
      </tp>
      <tp t="e">
        <v>#N/A</v>
        <stp/>
        <stp>BDH|11835522037136345491</stp>
        <tr r="R48" s="12"/>
      </tp>
      <tp t="e">
        <v>#N/A</v>
        <stp/>
        <stp>BDH|16111540556417704431</stp>
        <tr r="Y8" s="17"/>
      </tp>
      <tp t="e">
        <v>#N/A</v>
        <stp/>
        <stp>BDH|17041171420273400243</stp>
        <tr r="L18" s="12"/>
      </tp>
      <tp t="e">
        <v>#N/A</v>
        <stp/>
        <stp>BDH|10904028252530810077</stp>
        <tr r="O43" s="34"/>
      </tp>
      <tp t="e">
        <v>#N/A</v>
        <stp/>
        <stp>BDH|14057962085941676132</stp>
        <tr r="S12" s="11"/>
      </tp>
      <tp t="e">
        <v>#N/A</v>
        <stp/>
        <stp>BDH|12787821880550270711</stp>
        <tr r="J37" s="10"/>
        <tr r="J35" s="11"/>
      </tp>
      <tp t="e">
        <v>#N/A</v>
        <stp/>
        <stp>BDH|10774565554670281516</stp>
        <tr r="E9" s="2"/>
        <tr r="G8" s="25"/>
        <tr r="E10" s="5"/>
      </tp>
      <tp t="e">
        <v>#N/A</v>
        <stp/>
        <stp>BDH|11286229432802123751</stp>
        <tr r="X42" s="17"/>
      </tp>
      <tp t="e">
        <v>#N/A</v>
        <stp/>
        <stp>BDH|18238338386321019713</stp>
        <tr r="P80" s="18"/>
      </tp>
      <tp t="e">
        <v>#N/A</v>
        <stp/>
        <stp>BDH|15716634441806676453</stp>
        <tr r="X61" s="17"/>
      </tp>
      <tp t="e">
        <v>#N/A</v>
        <stp/>
        <stp>BDH|12603817534749798521</stp>
        <tr r="M16" s="17"/>
        <tr r="M19" s="28"/>
      </tp>
      <tp t="e">
        <v>#N/A</v>
        <stp/>
        <stp>BDH|14321878130303759953</stp>
        <tr r="S16" s="14"/>
      </tp>
      <tp t="e">
        <v>#N/A</v>
        <stp/>
        <stp>BDH|15371244987573084961</stp>
        <tr r="U65" s="24"/>
      </tp>
      <tp t="e">
        <v>#N/A</v>
        <stp/>
        <stp>BDH|12993081538254724087</stp>
        <tr r="I43" s="10"/>
        <tr r="I41" s="11"/>
      </tp>
      <tp t="e">
        <v>#N/A</v>
        <stp/>
        <stp>BDH|13911494829160685092</stp>
        <tr r="H10" s="18"/>
      </tp>
      <tp t="e">
        <v>#N/A</v>
        <stp/>
        <stp>BDH|16404667071197707528</stp>
        <tr r="O20" s="34"/>
      </tp>
      <tp t="e">
        <v>#N/A</v>
        <stp/>
        <stp>BDH|10129178712162251702</stp>
        <tr r="J17" s="21"/>
      </tp>
      <tp t="e">
        <v>#N/A</v>
        <stp/>
        <stp>BDH|15150236535410083113</stp>
        <tr r="F36" s="22"/>
      </tp>
      <tp t="e">
        <v>#N/A</v>
        <stp/>
        <stp>BDH|15145041718630318180</stp>
        <tr r="G60" s="18"/>
      </tp>
      <tp t="e">
        <v>#N/A</v>
        <stp/>
        <stp>BDH|10070248427891539406</stp>
        <tr r="O18" s="17"/>
      </tp>
      <tp t="e">
        <v>#N/A</v>
        <stp/>
        <stp>BDH|14615218774215596103</stp>
        <tr r="O8" s="10"/>
      </tp>
      <tp t="e">
        <v>#N/A</v>
        <stp/>
        <stp>BDH|16651440065340801197</stp>
        <tr r="D10" s="6"/>
      </tp>
      <tp t="e">
        <v>#N/A</v>
        <stp/>
        <stp>BDH|10492460635921791368</stp>
        <tr r="T37" s="10"/>
        <tr r="T35" s="11"/>
      </tp>
      <tp t="e">
        <v>#N/A</v>
        <stp/>
        <stp>BDH|10814790126013833393</stp>
        <tr r="R104" s="18"/>
      </tp>
      <tp t="e">
        <v>#N/A</v>
        <stp/>
        <stp>BDH|16187990395300325388</stp>
        <tr r="Q106" s="18"/>
      </tp>
      <tp t="e">
        <v>#N/A</v>
        <stp/>
        <stp>BDH|10959336868171441106</stp>
        <tr r="W32" s="24"/>
      </tp>
      <tp t="e">
        <v>#N/A</v>
        <stp/>
        <stp>BDH|11424845995163377606</stp>
        <tr r="V19" s="10"/>
        <tr r="X16" s="13"/>
        <tr r="X23" s="13"/>
      </tp>
      <tp t="e">
        <v>#N/A</v>
        <stp/>
        <stp>BDH|14047267856836749018</stp>
        <tr r="AA18" s="13"/>
      </tp>
      <tp t="e">
        <v>#N/A</v>
        <stp/>
        <stp>BDH|10766657356673609541</stp>
        <tr r="I34" s="22"/>
      </tp>
      <tp t="e">
        <v>#N/A</v>
        <stp/>
        <stp>BDH|11920171656433987379</stp>
        <tr r="F14" s="22"/>
      </tp>
      <tp t="e">
        <v>#N/A</v>
        <stp/>
        <stp>BDH|12725501816115523624</stp>
        <tr r="Z52" s="17"/>
      </tp>
      <tp t="e">
        <v>#N/A</v>
        <stp/>
        <stp>BDH|10618624028380269184</stp>
        <tr r="K40" s="6"/>
      </tp>
      <tp t="e">
        <v>#N/A</v>
        <stp/>
        <stp>BDH|11042343701651551660</stp>
        <tr r="C75" s="17"/>
      </tp>
      <tp t="e">
        <v>#N/A</v>
        <stp/>
        <stp>BDH|13245420549757609168</stp>
        <tr r="M24" s="24"/>
      </tp>
      <tp t="e">
        <v>#N/A</v>
        <stp/>
        <stp>BDH|15655539023935791287</stp>
        <tr r="D44" s="34"/>
      </tp>
      <tp t="e">
        <v>#N/A</v>
        <stp/>
        <stp>BDH|17854877089933820172</stp>
        <tr r="M10" s="13"/>
      </tp>
      <tp t="e">
        <v>#N/A</v>
        <stp/>
        <stp>BDH|14376987317560179948</stp>
        <tr r="V27" s="6"/>
      </tp>
      <tp t="e">
        <v>#N/A</v>
        <stp/>
        <stp>BDH|14296834121242132986</stp>
        <tr r="S10" s="24"/>
      </tp>
      <tp t="e">
        <v>#N/A</v>
        <stp/>
        <stp>BDH|11316017677876818546</stp>
        <tr r="D66" s="17"/>
      </tp>
      <tp t="e">
        <v>#N/A</v>
        <stp/>
        <stp>BDH|13317736314744496490</stp>
        <tr r="W127" s="18"/>
      </tp>
      <tp t="e">
        <v>#N/A</v>
        <stp/>
        <stp>BDH|12490857801218172783</stp>
        <tr r="K90" s="18"/>
      </tp>
      <tp t="e">
        <v>#N/A</v>
        <stp/>
        <stp>BDH|15551020561716680092</stp>
        <tr r="M52" s="21"/>
      </tp>
      <tp t="e">
        <v>#N/A</v>
        <stp/>
        <stp>BDH|16926049856480172637</stp>
        <tr r="H37" s="34"/>
      </tp>
      <tp t="e">
        <v>#N/A</v>
        <stp/>
        <stp>BDH|12384661223685933662</stp>
        <tr r="F50" s="4"/>
      </tp>
      <tp t="e">
        <v>#N/A</v>
        <stp/>
        <stp>BDH|14483521828160712607</stp>
        <tr r="J60" s="21"/>
      </tp>
      <tp t="e">
        <v>#N/A</v>
        <stp/>
        <stp>BDH|17101391817685715518</stp>
        <tr r="G48" s="21"/>
      </tp>
      <tp t="e">
        <v>#N/A</v>
        <stp/>
        <stp>BDH|10654305038381163469</stp>
        <tr r="J12" s="20"/>
      </tp>
      <tp t="e">
        <v>#N/A</v>
        <stp/>
        <stp>BDH|12810473656384888285</stp>
        <tr r="Q50" s="17"/>
        <tr r="Q10" s="25"/>
      </tp>
      <tp t="e">
        <v>#N/A</v>
        <stp/>
        <stp>BDH|16823490360020119190</stp>
        <tr r="I69" s="24"/>
      </tp>
      <tp t="e">
        <v>#N/A</v>
        <stp/>
        <stp>BDH|14913918694130496113</stp>
        <tr r="J11" s="9"/>
      </tp>
      <tp t="e">
        <v>#N/A</v>
        <stp/>
        <stp>BDH|13658107368203578225</stp>
        <tr r="S9" s="18"/>
      </tp>
      <tp t="e">
        <v>#N/A</v>
        <stp/>
        <stp>BDH|15642522371011902354</stp>
        <tr r="T11" s="14"/>
      </tp>
      <tp t="e">
        <v>#N/A</v>
        <stp/>
        <stp>BDH|12560013232082862672</stp>
        <tr r="Q25" s="21"/>
      </tp>
      <tp t="e">
        <v>#N/A</v>
        <stp/>
        <stp>BDH|11309616328756664656</stp>
        <tr r="G6" s="15"/>
        <tr r="G12" s="2"/>
        <tr r="G11" s="4"/>
        <tr r="G6" s="10"/>
      </tp>
      <tp t="e">
        <v>#N/A</v>
        <stp/>
        <stp>BDH|17701425997449896638</stp>
        <tr r="F30" s="17"/>
      </tp>
      <tp t="e">
        <v>#N/A</v>
        <stp/>
        <stp>BDH|14512765979809448878</stp>
        <tr r="U6" s="19"/>
        <tr r="U34" s="17"/>
        <tr r="U16" s="3"/>
      </tp>
      <tp t="e">
        <v>#N/A</v>
        <stp/>
        <stp>BDH|16432375819183404270</stp>
        <tr r="X14" s="20"/>
      </tp>
      <tp t="e">
        <v>#N/A</v>
        <stp/>
        <stp>BDH|16808120945311403724</stp>
        <tr r="M13" s="9"/>
      </tp>
      <tp t="e">
        <v>#N/A</v>
        <stp/>
        <stp>BDH|13406689391248584115</stp>
        <tr r="G58" s="12"/>
      </tp>
      <tp t="e">
        <v>#N/A</v>
        <stp/>
        <stp>BDH|17947069706642693064</stp>
        <tr r="J15" s="22"/>
      </tp>
      <tp t="e">
        <v>#N/A</v>
        <stp/>
        <stp>BDH|11620674024052438280</stp>
        <tr r="W49" s="24"/>
      </tp>
      <tp t="e">
        <v>#N/A</v>
        <stp/>
        <stp>BDH|12862089969933144216</stp>
        <tr r="F9" s="3"/>
        <tr r="D47" s="10"/>
        <tr r="D45" s="11"/>
        <tr r="D14" s="7"/>
      </tp>
      <tp t="e">
        <v>#N/A</v>
        <stp/>
        <stp>BDH|17277791921215641254</stp>
        <tr r="N42" s="34"/>
      </tp>
      <tp t="e">
        <v>#N/A</v>
        <stp/>
        <stp>BDH|11125742334738964815</stp>
        <tr r="F23" s="10"/>
      </tp>
      <tp t="e">
        <v>#N/A</v>
        <stp/>
        <stp>BDH|10302674074144849008</stp>
        <tr r="J26" s="22"/>
      </tp>
      <tp t="e">
        <v>#N/A</v>
        <stp/>
        <stp>BDH|14642992622478689232</stp>
        <tr r="AA22" s="17"/>
      </tp>
      <tp t="e">
        <v>#N/A</v>
        <stp/>
        <stp>BDH|13416283200666783234</stp>
        <tr r="I14" s="4"/>
      </tp>
      <tp t="e">
        <v>#N/A</v>
        <stp/>
        <stp>BDH|14274494315087494325</stp>
        <tr r="S65" s="24"/>
      </tp>
      <tp t="e">
        <v>#N/A</v>
        <stp/>
        <stp>BDH|11907764472912006652</stp>
        <tr r="F19" s="24"/>
      </tp>
      <tp t="e">
        <v>#N/A</v>
        <stp/>
        <stp>BDH|15700013086849128197</stp>
        <tr r="H15" s="29"/>
        <tr r="H35" s="29"/>
      </tp>
      <tp t="e">
        <v>#N/A</v>
        <stp/>
        <stp>BDH|14305545292799584484</stp>
        <tr r="W23" s="11"/>
      </tp>
      <tp t="e">
        <v>#N/A</v>
        <stp/>
        <stp>BDH|15712632735615995002</stp>
        <tr r="AA26" s="17"/>
      </tp>
      <tp t="e">
        <v>#N/A</v>
        <stp/>
        <stp>BDH|12058698072460057631</stp>
        <tr r="N67" s="17"/>
      </tp>
      <tp t="e">
        <v>#N/A</v>
        <stp/>
        <stp>BDH|12129085143982626140</stp>
        <tr r="C30" s="34"/>
      </tp>
      <tp t="e">
        <v>#N/A</v>
        <stp/>
        <stp>BDH|14124294675382146642</stp>
        <tr r="H55" s="17"/>
      </tp>
      <tp t="e">
        <v>#N/A</v>
        <stp/>
        <stp>BDH|11998375674912276201</stp>
        <tr r="S87" s="18"/>
        <tr r="S7" s="20"/>
      </tp>
      <tp t="e">
        <v>#N/A</v>
        <stp/>
        <stp>BDH|10965442429886973558</stp>
        <tr r="AA52" s="17"/>
      </tp>
      <tp t="e">
        <v>#N/A</v>
        <stp/>
        <stp>BDH|14378472001410821551</stp>
        <tr r="J24" s="11"/>
      </tp>
      <tp t="e">
        <v>#N/A</v>
        <stp/>
        <stp>BDH|14329998892323695261</stp>
        <tr r="Q39" s="4"/>
        <tr r="Q62" s="10"/>
      </tp>
      <tp t="e">
        <v>#N/A</v>
        <stp/>
        <stp>BDH|11280985566223761839</stp>
        <tr r="H41" s="21"/>
      </tp>
      <tp t="e">
        <v>#N/A</v>
        <stp/>
        <stp>BDH|15162309451143171599</stp>
        <tr r="S8" s="4"/>
      </tp>
      <tp t="e">
        <v>#N/A</v>
        <stp/>
        <stp>BDH|12953730360753178532</stp>
        <tr r="H71" s="18"/>
      </tp>
      <tp t="e">
        <v>#N/A</v>
        <stp/>
        <stp>BDH|10913304956385643615</stp>
        <tr r="W19" s="10"/>
        <tr r="Y16" s="13"/>
        <tr r="Y23" s="13"/>
      </tp>
      <tp t="e">
        <v>#N/A</v>
        <stp/>
        <stp>BDH|11507754472242906631</stp>
        <tr r="I34" s="34"/>
      </tp>
      <tp t="e">
        <v>#N/A</v>
        <stp/>
        <stp>BDH|14089831881930864120</stp>
        <tr r="T48" s="10"/>
        <tr r="T46" s="11"/>
        <tr r="T15" s="7"/>
      </tp>
      <tp t="e">
        <v>#N/A</v>
        <stp/>
        <stp>BDH|17093677899828030560</stp>
        <tr r="O8" s="14"/>
      </tp>
      <tp t="e">
        <v>#N/A</v>
        <stp/>
        <stp>BDH|14439765020291314590</stp>
        <tr r="Y43" s="18"/>
      </tp>
      <tp t="e">
        <v>#N/A</v>
        <stp/>
        <stp>BDH|16315624168454176703</stp>
        <tr r="D13" s="11"/>
      </tp>
      <tp t="e">
        <v>#N/A</v>
        <stp/>
        <stp>BDH|17363603663492831006</stp>
        <tr r="O35" s="12"/>
      </tp>
      <tp t="e">
        <v>#N/A</v>
        <stp/>
        <stp>BDH|18015886711536806296</stp>
        <tr r="O11" s="14"/>
      </tp>
      <tp t="e">
        <v>#N/A</v>
        <stp/>
        <stp>BDH|10946173870084065765</stp>
        <tr r="P101" s="18"/>
      </tp>
      <tp t="e">
        <v>#N/A</v>
        <stp/>
        <stp>BDH|10625897366842729954</stp>
        <tr r="R18" s="6"/>
      </tp>
      <tp t="e">
        <v>#N/A</v>
        <stp/>
        <stp>BDH|16792269453856138280</stp>
        <tr r="R57" s="18"/>
      </tp>
      <tp t="e">
        <v>#N/A</v>
        <stp/>
        <stp>BDH|16477019356210809605</stp>
        <tr r="S60" s="24"/>
      </tp>
      <tp t="e">
        <v>#N/A</v>
        <stp/>
        <stp>BDH|13635556974172985655</stp>
        <tr r="D74" s="18"/>
      </tp>
      <tp t="e">
        <v>#N/A</v>
        <stp/>
        <stp>BDH|16391344336212259183</stp>
        <tr r="H25" s="21"/>
      </tp>
      <tp t="e">
        <v>#N/A</v>
        <stp/>
        <stp>BDH|12139863163321889872</stp>
        <tr r="P22" s="21"/>
      </tp>
      <tp t="e">
        <v>#N/A</v>
        <stp/>
        <stp>BDH|11632609907417271586</stp>
        <tr r="R12" s="11"/>
      </tp>
      <tp t="e">
        <v>#N/A</v>
        <stp/>
        <stp>BDH|18420588729628834260</stp>
        <tr r="I23" s="9"/>
      </tp>
      <tp t="e">
        <v>#N/A</v>
        <stp/>
        <stp>BDH|17571398927585960693</stp>
        <tr r="Q13" s="5"/>
      </tp>
      <tp t="e">
        <v>#N/A</v>
        <stp/>
        <stp>BDH|15724378704386656592</stp>
        <tr r="D70" s="18"/>
      </tp>
      <tp t="e">
        <v>#N/A</v>
        <stp/>
        <stp>BDH|12920209852381826184</stp>
        <tr r="S80" s="17"/>
      </tp>
      <tp t="e">
        <v>#N/A</v>
        <stp/>
        <stp>BDH|16723187431703577209</stp>
        <tr r="Y14" s="20"/>
      </tp>
      <tp t="e">
        <v>#N/A</v>
        <stp/>
        <stp>BDH|14685472368175203607</stp>
        <tr r="D21" s="17"/>
        <tr r="D15" s="3"/>
      </tp>
      <tp t="e">
        <v>#N/A</v>
        <stp/>
        <stp>BDH|15693180619021832149</stp>
        <tr r="N18" s="25"/>
        <tr r="N10" s="27"/>
      </tp>
      <tp t="e">
        <v>#N/A</v>
        <stp/>
        <stp>BDH|18417563499544831587</stp>
        <tr r="Y18" s="2"/>
        <tr r="Y53" s="4"/>
        <tr r="Y42" s="10"/>
        <tr r="Y40" s="11"/>
        <tr r="AA34" s="13"/>
      </tp>
      <tp t="e">
        <v>#N/A</v>
        <stp/>
        <stp>BDH|17000532758667101517</stp>
        <tr r="U62" s="21"/>
      </tp>
      <tp t="e">
        <v>#N/A</v>
        <stp/>
        <stp>BDH|16791792301840704431</stp>
        <tr r="J62" s="21"/>
      </tp>
      <tp t="e">
        <v>#N/A</v>
        <stp/>
        <stp>BDH|14031682973794814486</stp>
        <tr r="K9" s="24"/>
      </tp>
      <tp t="e">
        <v>#N/A</v>
        <stp/>
        <stp>BDH|17895319135453350140</stp>
        <tr r="M12" s="18"/>
      </tp>
      <tp t="e">
        <v>#N/A</v>
        <stp/>
        <stp>BDH|11166056107320033480</stp>
        <tr r="C14" s="8"/>
      </tp>
      <tp t="e">
        <v>#N/A</v>
        <stp/>
        <stp>BDH|13625683003427405725</stp>
        <tr r="C10" s="6"/>
      </tp>
      <tp t="e">
        <v>#N/A</v>
        <stp/>
        <stp>BDH|13663779268622499567</stp>
        <tr r="O20" s="30"/>
      </tp>
      <tp t="e">
        <v>#N/A</v>
        <stp/>
        <stp>BDH|14931831693138408865</stp>
        <tr r="Z67" s="17"/>
      </tp>
      <tp t="e">
        <v>#N/A</v>
        <stp/>
        <stp>BDH|12447218258931413122</stp>
        <tr r="Y61" s="11"/>
        <tr r="AA15" s="23"/>
      </tp>
      <tp t="e">
        <v>#N/A</v>
        <stp/>
        <stp>BDH|15541367128469511850</stp>
        <tr r="O7" s="17"/>
      </tp>
      <tp t="e">
        <v>#N/A</v>
        <stp/>
        <stp>BDH|17108667332505610286</stp>
        <tr r="L24" s="12"/>
      </tp>
      <tp t="e">
        <v>#N/A</v>
        <stp/>
        <stp>BDH|15051379813087689590</stp>
        <tr r="Y20" s="30"/>
      </tp>
      <tp t="e">
        <v>#N/A</v>
        <stp/>
        <stp>BDH|13008063499996071949</stp>
        <tr r="C21" s="4"/>
      </tp>
      <tp t="e">
        <v>#N/A</v>
        <stp/>
        <stp>BDH|15585291036330771169</stp>
        <tr r="G18" s="26"/>
      </tp>
      <tp t="e">
        <v>#N/A</v>
        <stp/>
        <stp>BDH|10677066482285068891</stp>
        <tr r="E41" s="21"/>
      </tp>
      <tp t="e">
        <v>#N/A</v>
        <stp/>
        <stp>BDH|11873320971272869299</stp>
        <tr r="N18" s="23"/>
      </tp>
      <tp t="e">
        <v>#N/A</v>
        <stp/>
        <stp>BDH|18235304998053099404</stp>
        <tr r="Z74" s="18"/>
      </tp>
      <tp t="e">
        <v>#N/A</v>
        <stp/>
        <stp>BDH|14797261019567458561</stp>
        <tr r="F6" s="19"/>
        <tr r="F34" s="17"/>
        <tr r="F16" s="3"/>
      </tp>
      <tp t="e">
        <v>#N/A</v>
        <stp/>
        <stp>BDH|15523578840847837608</stp>
        <tr r="F45" s="18"/>
      </tp>
      <tp t="e">
        <v>#N/A</v>
        <stp/>
        <stp>BDH|11306119219892808699</stp>
        <tr r="X19" s="26"/>
      </tp>
      <tp t="e">
        <v>#N/A</v>
        <stp/>
        <stp>BDH|12373123728831512565</stp>
        <tr r="P17" s="20"/>
      </tp>
      <tp t="e">
        <v>#N/A</v>
        <stp/>
        <stp>BDH|10517241319942773456</stp>
        <tr r="D59" s="18"/>
      </tp>
      <tp t="e">
        <v>#N/A</v>
        <stp/>
        <stp>BDH|16565324253103985674</stp>
        <tr r="J14" s="13"/>
      </tp>
      <tp t="e">
        <v>#N/A</v>
        <stp/>
        <stp>BDH|13078935237865644983</stp>
        <tr r="R13" s="5"/>
      </tp>
      <tp t="e">
        <v>#N/A</v>
        <stp/>
        <stp>BDH|11193572323301835276</stp>
        <tr r="J20" s="30"/>
      </tp>
      <tp t="e">
        <v>#N/A</v>
        <stp/>
        <stp>BDH|10954543927712807083</stp>
        <tr r="N8" s="8"/>
      </tp>
      <tp t="e">
        <v>#N/A</v>
        <stp/>
        <stp>BDH|17310633528084779257</stp>
        <tr r="T67" s="10"/>
        <tr r="T65" s="11"/>
      </tp>
      <tp t="e">
        <v>#N/A</v>
        <stp/>
        <stp>BDH|12083495507291389277</stp>
        <tr r="G70" s="10"/>
        <tr r="G68" s="11"/>
      </tp>
      <tp t="e">
        <v>#N/A</v>
        <stp/>
        <stp>BDH|16326210048340656563</stp>
        <tr r="T28" s="6"/>
      </tp>
      <tp t="e">
        <v>#N/A</v>
        <stp/>
        <stp>BDH|17475595747872393134</stp>
        <tr r="U38" s="4"/>
        <tr r="U60" s="11"/>
        <tr r="W13" s="23"/>
      </tp>
      <tp t="e">
        <v>#N/A</v>
        <stp/>
        <stp>BDH|13860835711036038906</stp>
        <tr r="L33" s="6"/>
        <tr r="N6" s="8"/>
      </tp>
      <tp t="e">
        <v>#N/A</v>
        <stp/>
        <stp>BDH|11471558907857538692</stp>
        <tr r="Z16" s="29"/>
        <tr r="Z36" s="29"/>
      </tp>
      <tp t="e">
        <v>#N/A</v>
        <stp/>
        <stp>BDH|12841854887441541655</stp>
        <tr r="L11" s="18"/>
      </tp>
      <tp t="e">
        <v>#N/A</v>
        <stp/>
        <stp>BDH|13676540092329249384</stp>
        <tr r="Y71" s="17"/>
      </tp>
      <tp t="e">
        <v>#N/A</v>
        <stp/>
        <stp>BDH|11599759668601248406</stp>
        <tr r="N87" s="18"/>
        <tr r="N7" s="20"/>
      </tp>
      <tp t="e">
        <v>#N/A</v>
        <stp/>
        <stp>BDH|10989189010037919224</stp>
        <tr r="V8" s="6"/>
      </tp>
      <tp t="e">
        <v>#N/A</v>
        <stp/>
        <stp>BDH|14797998387828027840</stp>
        <tr r="F26" s="24"/>
      </tp>
      <tp t="e">
        <v>#N/A</v>
        <stp/>
        <stp>BDH|16938638955113641345</stp>
        <tr r="P35" s="22"/>
      </tp>
      <tp t="e">
        <v>#N/A</v>
        <stp/>
        <stp>BDH|16660299375611104760</stp>
        <tr r="P24" s="21"/>
      </tp>
      <tp t="e">
        <v>#N/A</v>
        <stp/>
        <stp>BDH|11912181536167303198</stp>
        <tr r="F70" s="24"/>
      </tp>
      <tp t="e">
        <v>#N/A</v>
        <stp/>
        <stp>BDH|11975110917606619248</stp>
        <tr r="M65" s="17"/>
        <tr r="K8" s="5"/>
        <tr r="K8" s="9"/>
      </tp>
      <tp t="e">
        <v>#N/A</v>
        <stp/>
        <stp>BDH|15923928586093968294</stp>
        <tr r="G62" s="24"/>
      </tp>
      <tp t="e">
        <v>#N/A</v>
        <stp/>
        <stp>BDH|17302779309102081708</stp>
        <tr r="T21" s="3"/>
      </tp>
      <tp t="e">
        <v>#N/A</v>
        <stp/>
        <stp>BDH|15973001645694474058</stp>
        <tr r="O22" s="9"/>
      </tp>
      <tp t="e">
        <v>#N/A</v>
        <stp/>
        <stp>BDH|16293496570320454027</stp>
        <tr r="L28" s="4"/>
      </tp>
      <tp t="e">
        <v>#N/A</v>
        <stp/>
        <stp>BDH|17947010118602990146</stp>
        <tr r="Q16" s="21"/>
      </tp>
      <tp t="e">
        <v>#N/A</v>
        <stp/>
        <stp>BDH|18135858251217865702</stp>
        <tr r="R120" s="18"/>
      </tp>
      <tp t="e">
        <v>#N/A</v>
        <stp/>
        <stp>BDH|11760438205339930952</stp>
        <tr r="O8" s="13"/>
      </tp>
      <tp t="e">
        <v>#N/A</v>
        <stp/>
        <stp>BDH|10255558444920645483</stp>
        <tr r="E36" s="18"/>
      </tp>
      <tp t="e">
        <v>#N/A</v>
        <stp/>
        <stp>BDH|10917713542466225057</stp>
        <tr r="N17" s="5"/>
        <tr r="M25" s="6"/>
      </tp>
      <tp t="e">
        <v>#N/A</v>
        <stp/>
        <stp>BDH|16006393767695343303</stp>
        <tr r="O49" s="17"/>
        <tr r="O17" s="3"/>
      </tp>
      <tp t="e">
        <v>#N/A</v>
        <stp/>
        <stp>BDH|10291586556952640770</stp>
        <tr r="D24" s="21"/>
      </tp>
      <tp t="e">
        <v>#N/A</v>
        <stp/>
        <stp>BDH|16348496950490038277</stp>
        <tr r="O21" s="10"/>
      </tp>
      <tp t="e">
        <v>#N/A</v>
        <stp/>
        <stp>BDH|15777421558682501350</stp>
        <tr r="P21" s="26"/>
      </tp>
      <tp t="e">
        <v>#N/A</v>
        <stp/>
        <stp>BDH|12696410375052790680</stp>
        <tr r="F15" s="9"/>
      </tp>
      <tp t="e">
        <v>#N/A</v>
        <stp/>
        <stp>BDH|17375705345047878632</stp>
        <tr r="O42" s="21"/>
      </tp>
      <tp t="e">
        <v>#N/A</v>
        <stp/>
        <stp>BDH|16496432821085941028</stp>
        <tr r="X9" s="12"/>
      </tp>
      <tp t="e">
        <v>#N/A</v>
        <stp/>
        <stp>BDH|16146021429013063274</stp>
        <tr r="Z29" s="18"/>
      </tp>
      <tp t="e">
        <v>#N/A</v>
        <stp/>
        <stp>BDH|15142885825553937981</stp>
        <tr r="N26" s="12"/>
      </tp>
      <tp t="e">
        <v>#N/A</v>
        <stp/>
        <stp>BDH|13232343006922585785</stp>
        <tr r="Z19" s="20"/>
      </tp>
      <tp t="e">
        <v>#N/A</v>
        <stp/>
        <stp>BDH|17860626644800652059</stp>
        <tr r="Y7" s="21"/>
      </tp>
      <tp t="e">
        <v>#N/A</v>
        <stp/>
        <stp>BDH|15788133384231498894</stp>
        <tr r="R6" s="19"/>
        <tr r="R34" s="17"/>
        <tr r="R16" s="3"/>
      </tp>
      <tp t="e">
        <v>#N/A</v>
        <stp/>
        <stp>BDH|10600653717472147098</stp>
        <tr r="J13" s="13"/>
      </tp>
      <tp t="e">
        <v>#N/A</v>
        <stp/>
        <stp>BDH|13171579968006759350</stp>
        <tr r="S73" s="18"/>
      </tp>
      <tp t="e">
        <v>#N/A</v>
        <stp/>
        <stp>BDH|15223141131291286393</stp>
        <tr r="G41" s="12"/>
      </tp>
      <tp t="e">
        <v>#N/A</v>
        <stp/>
        <stp>BDH|15580788675916173654</stp>
        <tr r="E17" s="4"/>
        <tr r="G10" s="3"/>
        <tr r="E52" s="10"/>
        <tr r="E50" s="11"/>
        <tr r="E17" s="7"/>
        <tr r="G37" s="13"/>
      </tp>
      <tp t="e">
        <v>#N/A</v>
        <stp/>
        <stp>BDH|16635760953736985765</stp>
        <tr r="J24" s="17"/>
      </tp>
      <tp t="e">
        <v>#N/A</v>
        <stp/>
        <stp>BDH|14504379477344027191</stp>
        <tr r="I86" s="18"/>
        <tr r="I6" s="20"/>
      </tp>
      <tp t="e">
        <v>#N/A</v>
        <stp/>
        <stp>BDH|14081341639499603872</stp>
        <tr r="V44" s="24"/>
      </tp>
      <tp t="e">
        <v>#N/A</v>
        <stp/>
        <stp>BDH|13097301154438840806</stp>
        <tr r="I44" s="24"/>
      </tp>
      <tp t="e">
        <v>#N/A</v>
        <stp/>
        <stp>BDH|14655846788108285944</stp>
        <tr r="J64" s="24"/>
      </tp>
      <tp t="e">
        <v>#N/A</v>
        <stp/>
        <stp>BDH|10027077307343411689</stp>
        <tr r="D43" s="18"/>
      </tp>
      <tp t="e">
        <v>#N/A</v>
        <stp/>
        <stp>BDH|18252772773924337993</stp>
        <tr r="T8" s="28"/>
      </tp>
      <tp t="e">
        <v>#N/A</v>
        <stp/>
        <stp>BDH|17801846496330325359</stp>
        <tr r="X24" s="21"/>
      </tp>
      <tp t="e">
        <v>#N/A</v>
        <stp/>
        <stp>BDH|17009289003485539523</stp>
        <tr r="S32" s="10"/>
        <tr r="S44" s="10"/>
        <tr r="S30" s="11"/>
        <tr r="S42" s="11"/>
      </tp>
      <tp t="e">
        <v>#N/A</v>
        <stp/>
        <stp>BDH|15576751292419868767</stp>
        <tr r="X22" s="10"/>
      </tp>
      <tp t="e">
        <v>#N/A</v>
        <stp/>
        <stp>BDH|10225761229710679070</stp>
        <tr r="X21" s="3"/>
      </tp>
      <tp t="e">
        <v>#N/A</v>
        <stp/>
        <stp>BDH|18349576902418377092</stp>
        <tr r="L74" s="17"/>
        <tr r="L19" s="3"/>
      </tp>
      <tp t="e">
        <v>#N/A</v>
        <stp/>
        <stp>BDH|16565853681000833355</stp>
        <tr r="E34" s="34"/>
      </tp>
      <tp t="e">
        <v>#N/A</v>
        <stp/>
        <stp>BDH|15494282823299588960</stp>
        <tr r="Y9" s="26"/>
      </tp>
      <tp t="e">
        <v>#N/A</v>
        <stp/>
        <stp>BDH|11845293578188744923</stp>
        <tr r="F19" s="25"/>
        <tr r="F12" s="27"/>
      </tp>
      <tp t="e">
        <v>#N/A</v>
        <stp/>
        <stp>BDH|18209285437655170905</stp>
        <tr r="O31" s="12"/>
      </tp>
      <tp t="e">
        <v>#N/A</v>
        <stp/>
        <stp>BDH|10053787806796424466</stp>
        <tr r="G26" s="29"/>
      </tp>
      <tp t="e">
        <v>#N/A</v>
        <stp/>
        <stp>BDH|15815584826774848327</stp>
        <tr r="Q61" s="11"/>
        <tr r="S15" s="23"/>
      </tp>
      <tp t="e">
        <v>#N/A</v>
        <stp/>
        <stp>BDH|15300391899692938864</stp>
        <tr r="K12" s="7"/>
      </tp>
      <tp t="e">
        <v>#N/A</v>
        <stp/>
        <stp>BDH|16224286155190765443</stp>
        <tr r="O63" s="18"/>
      </tp>
      <tp t="e">
        <v>#N/A</v>
        <stp/>
        <stp>BDH|17281373919756886684</stp>
        <tr r="E31" s="22"/>
      </tp>
      <tp t="e">
        <v>#N/A</v>
        <stp/>
        <stp>BDH|14035466939061208715</stp>
        <tr r="H15" s="24"/>
      </tp>
      <tp t="e">
        <v>#N/A</v>
        <stp/>
        <stp>BDH|11953936972159734336</stp>
        <tr r="AA7" s="24"/>
      </tp>
      <tp t="e">
        <v>#N/A</v>
        <stp/>
        <stp>BDH|16108571620970265488</stp>
        <tr r="C10" s="3"/>
        <tr r="C37" s="13"/>
      </tp>
      <tp t="e">
        <v>#N/A</v>
        <stp/>
        <stp>BDH|17556745062057930465</stp>
        <tr r="R21" s="26"/>
      </tp>
      <tp t="e">
        <v>#N/A</v>
        <stp/>
        <stp>BDH|14540854629138629336</stp>
        <tr r="H9" s="13"/>
      </tp>
      <tp t="e">
        <v>#N/A</v>
        <stp/>
        <stp>BDH|16543538873678985907</stp>
        <tr r="E10" s="21"/>
      </tp>
      <tp t="e">
        <v>#N/A</v>
        <stp/>
        <stp>BDH|13278391413940290463</stp>
        <tr r="Z46" s="12"/>
      </tp>
      <tp t="e">
        <v>#N/A</v>
        <stp/>
        <stp>BDH|16478064761906696397</stp>
        <tr r="V35" s="22"/>
      </tp>
      <tp t="e">
        <v>#N/A</v>
        <stp/>
        <stp>BDH|12333886974568609054</stp>
        <tr r="R40" s="18"/>
      </tp>
      <tp t="e">
        <v>#N/A</v>
        <stp/>
        <stp>BDH|12181749418772016313</stp>
        <tr r="S14" s="4"/>
      </tp>
      <tp t="e">
        <v>#N/A</v>
        <stp/>
        <stp>BDH|11595793739427082792</stp>
        <tr r="AA11" s="28"/>
      </tp>
      <tp t="e">
        <v>#N/A</v>
        <stp/>
        <stp>BDH|16685326362402959404</stp>
        <tr r="X21" s="18"/>
      </tp>
      <tp t="e">
        <v>#N/A</v>
        <stp/>
        <stp>BDH|18368842349343246238</stp>
        <tr r="O33" s="22"/>
      </tp>
      <tp t="e">
        <v>#N/A</v>
        <stp/>
        <stp>BDH|15981517218501604590</stp>
        <tr r="R13" s="22"/>
      </tp>
      <tp t="e">
        <v>#N/A</v>
        <stp/>
        <stp>BDH|10689786258657117080</stp>
        <tr r="H8" s="26"/>
        <tr r="F10" s="9"/>
      </tp>
      <tp t="e">
        <v>#N/A</v>
        <stp/>
        <stp>BDH|13383643108725570552</stp>
        <tr r="K25" s="18"/>
      </tp>
      <tp t="e">
        <v>#N/A</v>
        <stp/>
        <stp>BDH|11859559667661067654</stp>
        <tr r="M24" s="4"/>
        <tr r="M59" s="11"/>
      </tp>
      <tp t="e">
        <v>#N/A</v>
        <stp/>
        <stp>BDH|13927740998359983136</stp>
        <tr r="O96" s="18"/>
      </tp>
      <tp t="e">
        <v>#N/A</v>
        <stp/>
        <stp>BDH|13656576167457115289</stp>
        <tr r="C68" s="17"/>
      </tp>
      <tp t="e">
        <v>#N/A</v>
        <stp/>
        <stp>BDH|16024058626248829944</stp>
        <tr r="N26" s="29"/>
      </tp>
      <tp t="e">
        <v>#N/A</v>
        <stp/>
        <stp>BDH|15398730259436650406</stp>
        <tr r="L13" s="13"/>
      </tp>
      <tp t="e">
        <v>#N/A</v>
        <stp/>
        <stp>BDH|16657588560066643677</stp>
        <tr r="S39" s="18"/>
      </tp>
      <tp t="e">
        <v>#N/A</v>
        <stp/>
        <stp>BDH|16023911093541916249</stp>
        <tr r="E8" s="6"/>
      </tp>
      <tp t="e">
        <v>#N/A</v>
        <stp/>
        <stp>BDH|12590583875093243650</stp>
        <tr r="Q12" s="21"/>
      </tp>
      <tp t="e">
        <v>#N/A</v>
        <stp/>
        <stp>BDH|10189961788657174315</stp>
        <tr r="H27" s="12"/>
      </tp>
      <tp t="e">
        <v>#N/A</v>
        <stp/>
        <stp>BDH|10197393854337357401</stp>
        <tr r="Q20" s="6"/>
      </tp>
      <tp t="e">
        <v>#N/A</v>
        <stp/>
        <stp>BDH|16222648639453874584</stp>
        <tr r="D6" s="3"/>
      </tp>
      <tp t="e">
        <v>#N/A</v>
        <stp/>
        <stp>BDH|16253139692173556895</stp>
        <tr r="AA18" s="17"/>
      </tp>
      <tp t="e">
        <v>#N/A</v>
        <stp/>
        <stp>BDH|16053074410647893503</stp>
        <tr r="Q35" s="10"/>
        <tr r="Q33" s="11"/>
      </tp>
      <tp t="e">
        <v>#N/A</v>
        <stp/>
        <stp>BDH|10934536646527427371</stp>
        <tr r="T123" s="18"/>
      </tp>
      <tp t="e">
        <v>#N/A</v>
        <stp/>
        <stp>BDH|17202094841647303160</stp>
        <tr r="X43" s="4"/>
      </tp>
      <tp t="e">
        <v>#N/A</v>
        <stp/>
        <stp>BDH|15381267107861826357</stp>
        <tr r="C27" s="21"/>
      </tp>
      <tp t="e">
        <v>#N/A</v>
        <stp/>
        <stp>BDH|13913482159640363742</stp>
        <tr r="V107" s="18"/>
      </tp>
      <tp t="e">
        <v>#N/A</v>
        <stp/>
        <stp>BDH|11812565495678132051</stp>
        <tr r="O33" s="13"/>
      </tp>
      <tp t="e">
        <v>#N/A</v>
        <stp/>
        <stp>BDH|18010415437353884918</stp>
        <tr r="S30" s="22"/>
      </tp>
      <tp t="e">
        <v>#N/A</v>
        <stp/>
        <stp>BDH|10809550957411463415</stp>
        <tr r="D31" s="22"/>
      </tp>
      <tp t="e">
        <v>#N/A</v>
        <stp/>
        <stp>BDH|10561688747376338168</stp>
        <tr r="M20" s="10"/>
      </tp>
      <tp t="e">
        <v>#N/A</v>
        <stp/>
        <stp>BDH|13837148372456411658</stp>
        <tr r="G21" s="10"/>
      </tp>
      <tp t="e">
        <v>#N/A</v>
        <stp/>
        <stp>BDH|11360344517403936563</stp>
        <tr r="R15" s="24"/>
      </tp>
      <tp t="e">
        <v>#N/A</v>
        <stp/>
        <stp>BDH|17269564236110559480</stp>
        <tr r="G11" s="24"/>
      </tp>
      <tp t="e">
        <v>#N/A</v>
        <stp/>
        <stp>BDH|17716106485793870852</stp>
        <tr r="H49" s="10"/>
        <tr r="H47" s="11"/>
        <tr r="H16" s="7"/>
      </tp>
      <tp t="e">
        <v>#N/A</v>
        <stp/>
        <stp>BDH|11273076829117406174</stp>
        <tr r="L42" s="4"/>
      </tp>
      <tp t="e">
        <v>#N/A</v>
        <stp/>
        <stp>BDH|17992460525745467102</stp>
        <tr r="V80" s="17"/>
      </tp>
      <tp t="e">
        <v>#N/A</v>
        <stp/>
        <stp>BDH|14267628035147323387</stp>
        <tr r="AA12" s="21"/>
      </tp>
      <tp t="e">
        <v>#N/A</v>
        <stp/>
        <stp>BDH|13315288049655554593</stp>
        <tr r="F71" s="17"/>
      </tp>
      <tp t="e">
        <v>#N/A</v>
        <stp/>
        <stp>BDH|16790632860270940335</stp>
        <tr r="S25" s="3"/>
      </tp>
      <tp t="e">
        <v>#N/A</v>
        <stp/>
        <stp>BDH|14839506338491885666</stp>
        <tr r="O32" s="21"/>
      </tp>
      <tp t="e">
        <v>#N/A</v>
        <stp/>
        <stp>BDH|16960324800376174648</stp>
        <tr r="AA18" s="20"/>
      </tp>
      <tp t="e">
        <v>#N/A</v>
        <stp/>
        <stp>BDH|17523718569275171621</stp>
        <tr r="M86" s="18"/>
        <tr r="M6" s="20"/>
      </tp>
      <tp t="e">
        <v>#N/A</v>
        <stp/>
        <stp>BDH|13761668955582378791</stp>
        <tr r="G15" s="24"/>
      </tp>
      <tp t="e">
        <v>#N/A</v>
        <stp/>
        <stp>BDH|14153940041988983439</stp>
        <tr r="K27" s="24"/>
      </tp>
      <tp t="e">
        <v>#N/A</v>
        <stp/>
        <stp>BDH|11880160600452021702</stp>
        <tr r="S62" s="17"/>
      </tp>
      <tp t="e">
        <v>#N/A</v>
        <stp/>
        <stp>BDH|10567822669448942397</stp>
        <tr r="H32" s="12"/>
      </tp>
      <tp t="e">
        <v>#N/A</v>
        <stp/>
        <stp>BDH|15359254928033072305</stp>
        <tr r="I54" s="21"/>
      </tp>
      <tp t="e">
        <v>#N/A</v>
        <stp/>
        <stp>BDH|11237178048847056634</stp>
        <tr r="E28" s="18"/>
      </tp>
      <tp t="e">
        <v>#N/A</v>
        <stp/>
        <stp>BDH|11706036135525813270</stp>
        <tr r="F6" s="6"/>
      </tp>
      <tp t="e">
        <v>#N/A</v>
        <stp/>
        <stp>BDH|11950767051587939195</stp>
        <tr r="I37" s="22"/>
      </tp>
      <tp t="e">
        <v>#N/A</v>
        <stp/>
        <stp>BDH|13177035876706215783</stp>
        <tr r="H9" s="22"/>
      </tp>
      <tp t="e">
        <v>#N/A</v>
        <stp/>
        <stp>BDH|11450336025761466485</stp>
        <tr r="Z51" s="18"/>
      </tp>
      <tp t="e">
        <v>#N/A</v>
        <stp/>
        <stp>BDH|13555950069698048171</stp>
        <tr r="G23" s="10"/>
      </tp>
      <tp t="e">
        <v>#N/A</v>
        <stp/>
        <stp>BDH|14280441611885137186</stp>
        <tr r="Q21" s="26"/>
      </tp>
      <tp t="e">
        <v>#N/A</v>
        <stp/>
        <stp>BDH|12630724629760107224</stp>
        <tr r="L37" s="17"/>
      </tp>
    </main>
    <main first="bofaddin.rtdserver">
      <tp t="e">
        <v>#N/A</v>
        <stp/>
        <stp>BDH|8012524979955963</stp>
        <tr r="X86" s="17"/>
      </tp>
      <tp t="e">
        <v>#N/A</v>
        <stp/>
        <stp>BDH|1524359828768856</stp>
        <tr r="M22" s="21"/>
      </tp>
      <tp t="e">
        <v>#N/A</v>
        <stp/>
        <stp>BDH|1114502177592136</stp>
        <tr r="O27" s="26"/>
      </tp>
      <tp t="e">
        <v>#N/A</v>
        <stp/>
        <stp>BDH|6292349100915393</stp>
        <tr r="Z102" s="18"/>
      </tp>
      <tp t="e">
        <v>#N/A</v>
        <stp/>
        <stp>BDH|8707496810334758530</stp>
        <tr r="O30" s="22"/>
      </tp>
      <tp t="e">
        <v>#N/A</v>
        <stp/>
        <stp>BDH|4900529346231081873</stp>
        <tr r="E62" s="21"/>
      </tp>
      <tp t="e">
        <v>#N/A</v>
        <stp/>
        <stp>BDH|3400924652157851460</stp>
        <tr r="N59" s="18"/>
      </tp>
      <tp t="e">
        <v>#N/A</v>
        <stp/>
        <stp>BDH|9818568476666782157</stp>
        <tr r="G61" s="11"/>
        <tr r="I15" s="23"/>
      </tp>
      <tp t="e">
        <v>#N/A</v>
        <stp/>
        <stp>BDH|1902030088636868300</stp>
        <tr r="T106" s="18"/>
      </tp>
      <tp t="e">
        <v>#N/A</v>
        <stp/>
        <stp>BDH|7594469930638878412</stp>
        <tr r="G15" s="18"/>
      </tp>
      <tp t="e">
        <v>#N/A</v>
        <stp/>
        <stp>BDH|1774180546381166921</stp>
        <tr r="F17" s="5"/>
        <tr r="E25" s="6"/>
      </tp>
      <tp t="e">
        <v>#N/A</v>
        <stp/>
        <stp>BDH|8855997995191810560</stp>
        <tr r="K18" s="29"/>
        <tr r="K38" s="29"/>
      </tp>
      <tp t="e">
        <v>#N/A</v>
        <stp/>
        <stp>BDH|7585813534197885720</stp>
        <tr r="P25" s="22"/>
      </tp>
      <tp t="e">
        <v>#N/A</v>
        <stp/>
        <stp>BDH|3102294866268472303</stp>
        <tr r="T39" s="12"/>
      </tp>
      <tp t="e">
        <v>#N/A</v>
        <stp/>
        <stp>BDH|7457386209689775180</stp>
        <tr r="G96" s="18"/>
      </tp>
      <tp t="e">
        <v>#N/A</v>
        <stp/>
        <stp>BDH|9948837355698484018</stp>
        <tr r="K70" s="17"/>
      </tp>
      <tp t="e">
        <v>#N/A</v>
        <stp/>
        <stp>BDH|6619729683925855051</stp>
        <tr r="D54" s="18"/>
      </tp>
      <tp t="e">
        <v>#N/A</v>
        <stp/>
        <stp>BDH|1132235111576867811</stp>
        <tr r="F10" s="6"/>
      </tp>
      <tp t="e">
        <v>#N/A</v>
        <stp/>
        <stp>BDH|9491004633073908549</stp>
        <tr r="S49" s="12"/>
      </tp>
      <tp t="e">
        <v>#N/A</v>
        <stp/>
        <stp>BDH|7068372357789956431</stp>
        <tr r="F53" s="10"/>
        <tr r="F51" s="11"/>
        <tr r="F18" s="7"/>
        <tr r="H40" s="13"/>
      </tp>
      <tp t="e">
        <v>#N/A</v>
        <stp/>
        <stp>BDH|7880317183207397733</stp>
        <tr r="V13" s="22"/>
      </tp>
      <tp t="e">
        <v>#N/A</v>
        <stp/>
        <stp>BDH|4332941873364854263</stp>
        <tr r="O26" s="22"/>
      </tp>
      <tp t="e">
        <v>#N/A</v>
        <stp/>
        <stp>BDH|1620488167027440878</stp>
        <tr r="C43" s="10"/>
        <tr r="C41" s="11"/>
      </tp>
      <tp t="e">
        <v>#N/A</v>
        <stp/>
        <stp>BDH|5965547086162808699</stp>
        <tr r="Z32" s="21"/>
      </tp>
      <tp t="e">
        <v>#N/A</v>
        <stp/>
        <stp>BDH|7282201964126572996</stp>
        <tr r="G30" s="17"/>
      </tp>
      <tp t="e">
        <v>#N/A</v>
        <stp/>
        <stp>BDH|5944047497406475648</stp>
        <tr r="G19" s="9"/>
      </tp>
      <tp t="e">
        <v>#N/A</v>
        <stp/>
        <stp>BDH|7746748823466840824</stp>
        <tr r="H27" s="24"/>
      </tp>
      <tp t="e">
        <v>#N/A</v>
        <stp/>
        <stp>BDH|4961441731127580834</stp>
        <tr r="H30" s="24"/>
      </tp>
      <tp t="e">
        <v>#N/A</v>
        <stp/>
        <stp>BDH|4312482402024185821</stp>
        <tr r="D23" s="26"/>
      </tp>
      <tp t="e">
        <v>#N/A</v>
        <stp/>
        <stp>BDH|3484765693018307980</stp>
        <tr r="V126" s="18"/>
      </tp>
      <tp t="e">
        <v>#N/A</v>
        <stp/>
        <stp>BDH|1829851633570238668</stp>
        <tr r="T69" s="24"/>
      </tp>
      <tp t="e">
        <v>#N/A</v>
        <stp/>
        <stp>BDH|9719694253854612211</stp>
        <tr r="J35" s="4"/>
      </tp>
      <tp t="e">
        <v>#N/A</v>
        <stp/>
        <stp>BDH|1121150128809579730</stp>
        <tr r="G15" s="6"/>
      </tp>
      <tp t="e">
        <v>#N/A</v>
        <stp/>
        <stp>BDH|3907879623930388545</stp>
        <tr r="P21" s="25"/>
        <tr r="P14" s="27"/>
      </tp>
      <tp t="e">
        <v>#N/A</v>
        <stp/>
        <stp>BDH|1205225566591592897</stp>
        <tr r="S16" s="22"/>
      </tp>
      <tp t="e">
        <v>#N/A</v>
        <stp/>
        <stp>BDH|2951650411319215046</stp>
        <tr r="I11" s="22"/>
      </tp>
      <tp t="e">
        <v>#N/A</v>
        <stp/>
        <stp>BDH|8457005928081053775</stp>
        <tr r="J75" s="18"/>
      </tp>
      <tp t="e">
        <v>#N/A</v>
        <stp/>
        <stp>BDH|2031743571407976973</stp>
        <tr r="E32" s="25"/>
        <tr r="E7" s="3"/>
        <tr r="C19" s="11"/>
        <tr r="E22" s="13"/>
        <tr r="E7" s="13"/>
      </tp>
      <tp t="e">
        <v>#N/A</v>
        <stp/>
        <stp>BDH|2884188629685360810</stp>
        <tr r="D17" s="24"/>
      </tp>
      <tp t="e">
        <v>#N/A</v>
        <stp/>
        <stp>BDH|8497197843907234674</stp>
        <tr r="K123" s="18"/>
      </tp>
      <tp t="e">
        <v>#N/A</v>
        <stp/>
        <stp>BDH|4625182903200562937</stp>
        <tr r="L65" s="17"/>
        <tr r="J8" s="5"/>
        <tr r="J8" s="9"/>
      </tp>
      <tp t="e">
        <v>#N/A</v>
        <stp/>
        <stp>BDH|8027288971913428265</stp>
        <tr r="Q44" s="12"/>
      </tp>
      <tp t="e">
        <v>#N/A</v>
        <stp/>
        <stp>BDH|4342876621086744492</stp>
        <tr r="F33" s="17"/>
      </tp>
      <tp t="e">
        <v>#N/A</v>
        <stp/>
        <stp>BDH|5052987661147369111</stp>
        <tr r="O20" s="12"/>
      </tp>
      <tp t="e">
        <v>#N/A</v>
        <stp/>
        <stp>BDH|6135244180394879464</stp>
        <tr r="X19" s="25"/>
        <tr r="X12" s="27"/>
      </tp>
      <tp t="e">
        <v>#N/A</v>
        <stp/>
        <stp>BDH|9925958184003340709</stp>
        <tr r="E19" s="25"/>
        <tr r="E12" s="27"/>
      </tp>
      <tp t="e">
        <v>#N/A</v>
        <stp/>
        <stp>BDH|5523954057143597699</stp>
        <tr r="P45" s="34"/>
      </tp>
      <tp t="e">
        <v>#N/A</v>
        <stp/>
        <stp>BDH|9020125479466002504</stp>
        <tr r="R28" s="12"/>
      </tp>
      <tp t="e">
        <v>#N/A</v>
        <stp/>
        <stp>BDH|5262737860081866921</stp>
        <tr r="C41" s="34"/>
      </tp>
      <tp t="e">
        <v>#N/A</v>
        <stp/>
        <stp>BDH|2053396226519527612</stp>
        <tr r="U27" s="6"/>
      </tp>
      <tp t="e">
        <v>#N/A</v>
        <stp/>
        <stp>BDH|6621280882675099574</stp>
        <tr r="I32" s="24"/>
      </tp>
      <tp t="e">
        <v>#N/A</v>
        <stp/>
        <stp>BDH|2328362232049498781</stp>
        <tr r="K54" s="24"/>
      </tp>
      <tp t="e">
        <v>#N/A</v>
        <stp/>
        <stp>BDH|6227104697982700094</stp>
        <tr r="R16" s="23"/>
      </tp>
      <tp t="e">
        <v>#N/A</v>
        <stp/>
        <stp>BDH|6281815257867796086</stp>
        <tr r="R6" s="15"/>
        <tr r="R12" s="2"/>
        <tr r="R11" s="4"/>
        <tr r="R6" s="10"/>
      </tp>
      <tp t="e">
        <v>#N/A</v>
        <stp/>
        <stp>BDH|3091439379979449557</stp>
        <tr r="G36" s="10"/>
        <tr r="G34" s="11"/>
      </tp>
      <tp t="e">
        <v>#N/A</v>
        <stp/>
        <stp>BDH|5350498295316672224</stp>
        <tr r="T20" s="11"/>
      </tp>
      <tp t="e">
        <v>#N/A</v>
        <stp/>
        <stp>BDH|2544858475069775896</stp>
        <tr r="Y91" s="18"/>
      </tp>
      <tp t="e">
        <v>#N/A</v>
        <stp/>
        <stp>BDH|3062369155790863902</stp>
        <tr r="J69" s="10"/>
        <tr r="J67" s="11"/>
      </tp>
      <tp t="e">
        <v>#N/A</v>
        <stp/>
        <stp>BDH|6951934054703793521</stp>
        <tr r="F86" s="17"/>
      </tp>
      <tp t="e">
        <v>#N/A</v>
        <stp/>
        <stp>BDH|9880050164663558075</stp>
        <tr r="E32" s="21"/>
      </tp>
      <tp t="e">
        <v>#N/A</v>
        <stp/>
        <stp>BDH|2947583560659101480</stp>
        <tr r="L13" s="12"/>
      </tp>
      <tp t="e">
        <v>#N/A</v>
        <stp/>
        <stp>BDH|5823316842626677855</stp>
        <tr r="K32" s="25"/>
        <tr r="K7" s="3"/>
        <tr r="I19" s="11"/>
        <tr r="K22" s="13"/>
        <tr r="K7" s="13"/>
      </tp>
      <tp t="e">
        <v>#N/A</v>
        <stp/>
        <stp>BDH|7610812980338750385</stp>
        <tr r="AA32" s="26"/>
      </tp>
      <tp t="e">
        <v>#N/A</v>
        <stp/>
        <stp>BDH|2383865977806847722</stp>
        <tr r="D15" s="4"/>
      </tp>
      <tp t="e">
        <v>#N/A</v>
        <stp/>
        <stp>BDH|8272259729974233046</stp>
        <tr r="S61" s="24"/>
      </tp>
      <tp t="e">
        <v>#N/A</v>
        <stp/>
        <stp>BDH|6171186060108613573</stp>
        <tr r="Q29" s="29"/>
        <tr r="Q7" s="29"/>
      </tp>
      <tp t="e">
        <v>#N/A</v>
        <stp/>
        <stp>BDH|2860655544719027514</stp>
        <tr r="O15" s="4"/>
      </tp>
      <tp t="e">
        <v>#N/A</v>
        <stp/>
        <stp>BDH|6838952669097530297</stp>
        <tr r="E6" s="19"/>
        <tr r="E34" s="17"/>
        <tr r="E16" s="3"/>
      </tp>
      <tp t="e">
        <v>#N/A</v>
        <stp/>
        <stp>BDH|8382563081000495987</stp>
        <tr r="Y12" s="3"/>
        <tr r="W51" s="10"/>
        <tr r="W49" s="11"/>
        <tr r="W7" s="7"/>
      </tp>
      <tp t="e">
        <v>#N/A</v>
        <stp/>
        <stp>BDH|5462880577723130526</stp>
        <tr r="AA59" s="12"/>
      </tp>
      <tp t="e">
        <v>#N/A</v>
        <stp/>
        <stp>BDH|9986737195048784303</stp>
        <tr r="R27" s="17"/>
      </tp>
      <tp t="e">
        <v>#N/A</v>
        <stp/>
        <stp>BDH|6255577480193421495</stp>
        <tr r="O15" s="5"/>
      </tp>
      <tp t="e">
        <v>#N/A</v>
        <stp/>
        <stp>BDH|3928813574422569214</stp>
        <tr r="G103" s="18"/>
      </tp>
      <tp t="e">
        <v>#N/A</v>
        <stp/>
        <stp>BDH|8842077266367679570</stp>
        <tr r="D60" s="24"/>
      </tp>
      <tp t="e">
        <v>#N/A</v>
        <stp/>
        <stp>BDH|3270836198446049817</stp>
        <tr r="L15" s="24"/>
      </tp>
      <tp t="e">
        <v>#N/A</v>
        <stp/>
        <stp>BDH|1666742080915827727</stp>
        <tr r="T57" s="12"/>
      </tp>
      <tp t="e">
        <v>#N/A</v>
        <stp/>
        <stp>BDH|7915566232689491413</stp>
        <tr r="L52" s="4"/>
        <tr r="N8" s="3"/>
        <tr r="L40" s="10"/>
        <tr r="L38" s="11"/>
        <tr r="N30" s="13"/>
      </tp>
      <tp t="e">
        <v>#N/A</v>
        <stp/>
        <stp>BDH|7134978629262773204</stp>
        <tr r="U109" s="18"/>
      </tp>
      <tp t="e">
        <v>#N/A</v>
        <stp/>
        <stp>BDH|7232959639124326553</stp>
        <tr r="Y11" s="14"/>
      </tp>
      <tp t="e">
        <v>#N/A</v>
        <stp/>
        <stp>BDH|1886165580770571430</stp>
        <tr r="E40" s="6"/>
      </tp>
      <tp t="e">
        <v>#N/A</v>
        <stp/>
        <stp>BDH|5184167448089425530</stp>
        <tr r="F112" s="18"/>
      </tp>
      <tp t="e">
        <v>#N/A</v>
        <stp/>
        <stp>BDH|5923993059924365121</stp>
        <tr r="J45" s="34"/>
      </tp>
      <tp t="e">
        <v>#N/A</v>
        <stp/>
        <stp>BDH|1014760716178094387</stp>
        <tr r="R8" s="14"/>
      </tp>
      <tp t="e">
        <v>#N/A</v>
        <stp/>
        <stp>BDH|2853146294775932386</stp>
        <tr r="H106" s="18"/>
      </tp>
      <tp t="e">
        <v>#N/A</v>
        <stp/>
        <stp>BDH|5954925502159579957</stp>
        <tr r="U17" s="21"/>
      </tp>
      <tp t="e">
        <v>#N/A</v>
        <stp/>
        <stp>BDH|1961066708828999571</stp>
        <tr r="S13" s="21"/>
      </tp>
      <tp t="e">
        <v>#N/A</v>
        <stp/>
        <stp>BDH|6530266076417810842</stp>
        <tr r="Q60" s="18"/>
      </tp>
      <tp t="e">
        <v>#N/A</v>
        <stp/>
        <stp>BDH|8346433305885957558</stp>
        <tr r="I19" s="34"/>
      </tp>
      <tp t="e">
        <v>#N/A</v>
        <stp/>
        <stp>BDH|5891179653229479410</stp>
        <tr r="M8" s="14"/>
      </tp>
      <tp t="e">
        <v>#N/A</v>
        <stp/>
        <stp>BDH|9548289058901842345</stp>
        <tr r="U41" s="24"/>
      </tp>
      <tp t="e">
        <v>#N/A</v>
        <stp/>
        <stp>BDH|3251712798508738955</stp>
        <tr r="P62" s="18"/>
      </tp>
      <tp t="e">
        <v>#N/A</v>
        <stp/>
        <stp>BDH|4340696320424570866</stp>
        <tr r="I35" s="10"/>
        <tr r="I33" s="11"/>
      </tp>
      <tp t="e">
        <v>#N/A</v>
        <stp/>
        <stp>BDH|2768908696738892606</stp>
        <tr r="AA28" s="26"/>
      </tp>
      <tp t="e">
        <v>#N/A</v>
        <stp/>
        <stp>BDH|9778740662383091784</stp>
        <tr r="X28" s="12"/>
      </tp>
      <tp t="e">
        <v>#N/A</v>
        <stp/>
        <stp>BDH|8750877432408879738</stp>
        <tr r="H32" s="17"/>
      </tp>
      <tp t="e">
        <v>#N/A</v>
        <stp/>
        <stp>BDH|9885653622493325254</stp>
        <tr r="M95" s="18"/>
      </tp>
      <tp t="e">
        <v>#N/A</v>
        <stp/>
        <stp>BDH|5139878077955928318</stp>
        <tr r="Q21" s="24"/>
      </tp>
      <tp t="e">
        <v>#N/A</v>
        <stp/>
        <stp>BDH|2272299944008708016</stp>
        <tr r="J18" s="11"/>
      </tp>
      <tp t="e">
        <v>#N/A</v>
        <stp/>
        <stp>BDH|4661618572688579194</stp>
        <tr r="D43" s="4"/>
      </tp>
      <tp t="e">
        <v>#N/A</v>
        <stp/>
        <stp>BDH|5809105306941208957</stp>
        <tr r="X16" s="25"/>
        <tr r="V22" s="11"/>
      </tp>
      <tp t="e">
        <v>#N/A</v>
        <stp/>
        <stp>BDH|1424287100297247879</stp>
        <tr r="V63" s="21"/>
        <tr r="T23" s="7"/>
      </tp>
      <tp t="e">
        <v>#N/A</v>
        <stp/>
        <stp>BDH|9049898744488113154</stp>
        <tr r="Z23" s="26"/>
      </tp>
      <tp t="e">
        <v>#N/A</v>
        <stp/>
        <stp>BDH|6161597496724635218</stp>
        <tr r="Q63" s="24"/>
      </tp>
      <tp t="e">
        <v>#N/A</v>
        <stp/>
        <stp>BDH|8100096455861250066</stp>
        <tr r="K8" s="13"/>
      </tp>
      <tp t="e">
        <v>#N/A</v>
        <stp/>
        <stp>BDH|5211799117407513800</stp>
        <tr r="L12" s="18"/>
      </tp>
      <tp t="e">
        <v>#N/A</v>
        <stp/>
        <stp>BDH|9940358501091260767</stp>
        <tr r="T15" s="13"/>
      </tp>
      <tp t="e">
        <v>#N/A</v>
        <stp/>
        <stp>BDH|9613526413891813063</stp>
        <tr r="T8" s="14"/>
      </tp>
      <tp t="e">
        <v>#N/A</v>
        <stp/>
        <stp>BDH|5581955293841294880</stp>
        <tr r="U26" s="7"/>
      </tp>
      <tp t="e">
        <v>#N/A</v>
        <stp/>
        <stp>BDH|2732931875887846701</stp>
        <tr r="D63" s="24"/>
      </tp>
      <tp t="e">
        <v>#N/A</v>
        <stp/>
        <stp>BDH|1246699102539466241</stp>
        <tr r="Q6" s="19"/>
        <tr r="Q34" s="17"/>
        <tr r="Q16" s="3"/>
      </tp>
      <tp t="e">
        <v>#N/A</v>
        <stp/>
        <stp>BDH|8729558101492354395</stp>
        <tr r="Z20" s="29"/>
      </tp>
      <tp t="e">
        <v>#N/A</v>
        <stp/>
        <stp>BDH|4365775654743120988</stp>
        <tr r="G26" s="24"/>
      </tp>
      <tp t="e">
        <v>#N/A</v>
        <stp/>
        <stp>BDH|3096751389830083029</stp>
        <tr r="D61" s="21"/>
      </tp>
      <tp t="e">
        <v>#N/A</v>
        <stp/>
        <stp>BDH|5333851452903982733</stp>
        <tr r="N15" s="12"/>
      </tp>
      <tp t="e">
        <v>#N/A</v>
        <stp/>
        <stp>BDH|1844971357740513133</stp>
        <tr r="Y128" s="18"/>
      </tp>
      <tp t="e">
        <v>#N/A</v>
        <stp/>
        <stp>BDH|7872747582637950390</stp>
        <tr r="X14" s="17"/>
        <tr r="X17" s="28"/>
      </tp>
      <tp t="e">
        <v>#N/A</v>
        <stp/>
        <stp>BDH|5617297815312177851</stp>
        <tr r="U123" s="18"/>
      </tp>
      <tp t="e">
        <v>#N/A</v>
        <stp/>
        <stp>BDH|3925673266528007766</stp>
        <tr r="Y15" s="24"/>
      </tp>
      <tp t="e">
        <v>#N/A</v>
        <stp/>
        <stp>BDH|9788077942697982654</stp>
        <tr r="K102" s="18"/>
      </tp>
      <tp t="e">
        <v>#N/A</v>
        <stp/>
        <stp>BDH|3760482285920102359</stp>
        <tr r="X23" s="22"/>
      </tp>
      <tp t="e">
        <v>#N/A</v>
        <stp/>
        <stp>BDH|8186401536300845318</stp>
        <tr r="S76" s="18"/>
      </tp>
      <tp t="e">
        <v>#N/A</v>
        <stp/>
        <stp>BDH|3551805867103917256</stp>
        <tr r="M21" s="26"/>
      </tp>
      <tp t="e">
        <v>#N/A</v>
        <stp/>
        <stp>BDH|1646392787591539739</stp>
        <tr r="X71" s="18"/>
      </tp>
      <tp t="e">
        <v>#N/A</v>
        <stp/>
        <stp>BDH|3147051624854821967</stp>
        <tr r="O41" s="12"/>
      </tp>
      <tp t="e">
        <v>#N/A</v>
        <stp/>
        <stp>BDH|9118653626851967057</stp>
        <tr r="Q13" s="2"/>
      </tp>
      <tp t="e">
        <v>#N/A</v>
        <stp/>
        <stp>BDH|6882830956710735747</stp>
        <tr r="F62" s="17"/>
      </tp>
      <tp t="e">
        <v>#N/A</v>
        <stp/>
        <stp>BDH|8534702564637997264</stp>
        <tr r="AA104" s="18"/>
      </tp>
      <tp t="e">
        <v>#N/A</v>
        <stp/>
        <stp>BDH|3042638193185639582</stp>
        <tr r="T49" s="4"/>
      </tp>
      <tp t="e">
        <v>#N/A</v>
        <stp/>
        <stp>BDH|5482185282773765370</stp>
        <tr r="T74" s="18"/>
      </tp>
      <tp t="e">
        <v>#N/A</v>
        <stp/>
        <stp>BDH|5710939606004858441</stp>
        <tr r="T51" s="17"/>
      </tp>
      <tp t="e">
        <v>#N/A</v>
        <stp/>
        <stp>BDH|1581091666628762336</stp>
        <tr r="W77" s="18"/>
      </tp>
      <tp t="e">
        <v>#N/A</v>
        <stp/>
        <stp>BDH|7679886661817323224</stp>
        <tr r="D41" s="17"/>
      </tp>
      <tp t="e">
        <v>#N/A</v>
        <stp/>
        <stp>BDH|3819266859160102888</stp>
        <tr r="C15" s="17"/>
        <tr r="C18" s="28"/>
      </tp>
      <tp t="e">
        <v>#N/A</v>
        <stp/>
        <stp>BDH|8669748322815617489</stp>
        <tr r="R10" s="26"/>
      </tp>
      <tp t="e">
        <v>#N/A</v>
        <stp/>
        <stp>BDH|1334117189220142453</stp>
        <tr r="Z36" s="12"/>
      </tp>
      <tp t="e">
        <v>#N/A</v>
        <stp/>
        <stp>BDH|9985429632894089660</stp>
        <tr r="S20" s="29"/>
      </tp>
      <tp t="e">
        <v>#N/A</v>
        <stp/>
        <stp>BDH|4189739990042445495</stp>
        <tr r="P26" s="10"/>
      </tp>
      <tp t="e">
        <v>#N/A</v>
        <stp/>
        <stp>BDH|5735944832043620087</stp>
        <tr r="L44" s="34"/>
      </tp>
      <tp t="e">
        <v>#N/A</v>
        <stp/>
        <stp>BDH|9276602201256465584</stp>
        <tr r="R19" s="10"/>
        <tr r="T16" s="13"/>
        <tr r="T23" s="13"/>
      </tp>
      <tp t="e">
        <v>#N/A</v>
        <stp/>
        <stp>BDH|2408113068591166835</stp>
        <tr r="N64" s="12"/>
      </tp>
      <tp t="e">
        <v>#N/A</v>
        <stp/>
        <stp>BDH|2933513290264038674</stp>
        <tr r="G11" s="11"/>
      </tp>
      <tp t="e">
        <v>#N/A</v>
        <stp/>
        <stp>BDH|5662294885160764320</stp>
        <tr r="C20" s="25"/>
        <tr r="C13" s="27"/>
      </tp>
      <tp t="e">
        <v>#N/A</v>
        <stp/>
        <stp>BDH|9105039232815727387</stp>
        <tr r="I29" s="9"/>
      </tp>
      <tp t="e">
        <v>#N/A</v>
        <stp/>
        <stp>BDH|8956907596003415744</stp>
        <tr r="V70" s="10"/>
        <tr r="V68" s="11"/>
      </tp>
      <tp t="e">
        <v>#N/A</v>
        <stp/>
        <stp>BDH|4148284412593352877</stp>
        <tr r="D67" s="24"/>
      </tp>
      <tp t="e">
        <v>#N/A</v>
        <stp/>
        <stp>BDH|3276385288717935341</stp>
        <tr r="C15" s="21"/>
      </tp>
      <tp t="e">
        <v>#N/A</v>
        <stp/>
        <stp>BDH|1242955075302501185</stp>
        <tr r="W52" s="4"/>
        <tr r="Y8" s="3"/>
        <tr r="W40" s="10"/>
        <tr r="W38" s="11"/>
        <tr r="Y30" s="13"/>
      </tp>
      <tp t="e">
        <v>#N/A</v>
        <stp/>
        <stp>BDH|5953519298440792587</stp>
        <tr r="E16" s="24"/>
      </tp>
      <tp t="e">
        <v>#N/A</v>
        <stp/>
        <stp>BDH|8280017824973855505</stp>
        <tr r="N16" s="29"/>
        <tr r="N36" s="29"/>
      </tp>
      <tp t="e">
        <v>#N/A</v>
        <stp/>
        <stp>BDH|1413046863879532295</stp>
        <tr r="Z60" s="12"/>
      </tp>
      <tp t="e">
        <v>#N/A</v>
        <stp/>
        <stp>BDH|3992809614263519578</stp>
        <tr r="Z55" s="12"/>
      </tp>
      <tp t="e">
        <v>#N/A</v>
        <stp/>
        <stp>BDH|1869141494474305149</stp>
        <tr r="E74" s="18"/>
      </tp>
      <tp t="e">
        <v>#N/A</v>
        <stp/>
        <stp>BDH|1748632028330515968</stp>
        <tr r="M6" s="15"/>
        <tr r="M12" s="2"/>
        <tr r="M11" s="4"/>
        <tr r="M6" s="10"/>
      </tp>
      <tp t="e">
        <v>#N/A</v>
        <stp/>
        <stp>BDH|3779571194971934223</stp>
        <tr r="T20" s="2"/>
        <tr r="T18" s="4"/>
        <tr r="T54" s="10"/>
        <tr r="T52" s="11"/>
        <tr r="T19" s="7"/>
        <tr r="V41" s="13"/>
      </tp>
      <tp t="e">
        <v>#N/A</v>
        <stp/>
        <stp>BDH|3525684075856660816</stp>
        <tr r="T18" s="17"/>
      </tp>
      <tp t="e">
        <v>#N/A</v>
        <stp/>
        <stp>BDH|9887965903708520449</stp>
        <tr r="E30" s="10"/>
        <tr r="E28" s="11"/>
      </tp>
      <tp t="e">
        <v>#N/A</v>
        <stp/>
        <stp>BDH|3837902358887418488</stp>
        <tr r="Q64" s="17"/>
        <tr r="Q18" s="3"/>
      </tp>
      <tp t="e">
        <v>#N/A</v>
        <stp/>
        <stp>BDH|6641846125153924321</stp>
        <tr r="F64" s="10"/>
      </tp>
      <tp t="e">
        <v>#N/A</v>
        <stp/>
        <stp>BDH|4903616496092471561</stp>
        <tr r="U43" s="18"/>
      </tp>
      <tp t="e">
        <v>#N/A</v>
        <stp/>
        <stp>BDH|6130374498994572479</stp>
        <tr r="F12" s="18"/>
      </tp>
      <tp t="e">
        <v>#N/A</v>
        <stp/>
        <stp>BDH|7935030786410649363</stp>
        <tr r="M25" s="21"/>
      </tp>
      <tp t="e">
        <v>#N/A</v>
        <stp/>
        <stp>BDH|7190566598917722047</stp>
        <tr r="P34" s="21"/>
      </tp>
      <tp t="e">
        <v>#N/A</v>
        <stp/>
        <stp>BDH|9182092081115191841</stp>
        <tr r="C68" s="24"/>
      </tp>
      <tp t="e">
        <v>#N/A</v>
        <stp/>
        <stp>BDH|6032295003218529035</stp>
        <tr r="M70" s="10"/>
        <tr r="M68" s="11"/>
      </tp>
      <tp t="e">
        <v>#N/A</v>
        <stp/>
        <stp>BDH|6132768365432788994</stp>
        <tr r="Q85" s="17"/>
      </tp>
      <tp t="e">
        <v>#N/A</v>
        <stp/>
        <stp>BDH|4135216228968574019</stp>
        <tr r="N90" s="18"/>
      </tp>
      <tp t="e">
        <v>#N/A</v>
        <stp/>
        <stp>BDH|5345542162163836911</stp>
        <tr r="V64" s="10"/>
      </tp>
      <tp t="e">
        <v>#N/A</v>
        <stp/>
        <stp>BDH|4338573373478298299</stp>
        <tr r="Z27" s="18"/>
      </tp>
      <tp t="e">
        <v>#N/A</v>
        <stp/>
        <stp>BDH|1251104144550319891</stp>
        <tr r="L15" s="5"/>
      </tp>
      <tp t="e">
        <v>#N/A</v>
        <stp/>
        <stp>BDH|7883495662008688192</stp>
        <tr r="R24" s="29"/>
      </tp>
      <tp t="e">
        <v>#N/A</v>
        <stp/>
        <stp>BDH|4257887706272759272</stp>
        <tr r="X64" s="24"/>
      </tp>
      <tp t="e">
        <v>#N/A</v>
        <stp/>
        <stp>BDH|5528682787705149275</stp>
        <tr r="E15" s="17"/>
        <tr r="E18" s="28"/>
      </tp>
      <tp t="e">
        <v>#N/A</v>
        <stp/>
        <stp>BDH|6020866525471821174</stp>
        <tr r="V79" s="17"/>
        <tr r="V20" s="3"/>
        <tr r="T6" s="7"/>
      </tp>
      <tp t="e">
        <v>#N/A</v>
        <stp/>
        <stp>BDH|9197397475455261435</stp>
        <tr r="I42" s="4"/>
      </tp>
      <tp t="e">
        <v>#N/A</v>
        <stp/>
        <stp>BDH|4533923339823491168</stp>
        <tr r="R21" s="24"/>
      </tp>
      <tp t="e">
        <v>#N/A</v>
        <stp/>
        <stp>BDH|2960956766966741716</stp>
        <tr r="E41" s="12"/>
      </tp>
      <tp t="e">
        <v>#N/A</v>
        <stp/>
        <stp>BDH|4396791195302446474</stp>
        <tr r="K27" s="12"/>
      </tp>
      <tp t="e">
        <v>#N/A</v>
        <stp/>
        <stp>BDH|7901317294535111418</stp>
        <tr r="M68" s="17"/>
      </tp>
      <tp t="e">
        <v>#N/A</v>
        <stp/>
        <stp>BDH|4095512518395062955</stp>
        <tr r="D63" s="21"/>
      </tp>
      <tp t="e">
        <v>#N/A</v>
        <stp/>
        <stp>BDH|8588501325665457680</stp>
        <tr r="R11" s="9"/>
      </tp>
      <tp t="e">
        <v>#N/A</v>
        <stp/>
        <stp>BDH|8194693276822272708</stp>
        <tr r="Q23" s="17"/>
      </tp>
      <tp t="e">
        <v>#N/A</v>
        <stp/>
        <stp>BDH|7466992179637965219</stp>
        <tr r="G15" s="4"/>
      </tp>
      <tp t="e">
        <v>#N/A</v>
        <stp/>
        <stp>BDH|1854321683847265177</stp>
        <tr r="F27" s="5"/>
        <tr r="F28" s="9"/>
      </tp>
      <tp t="e">
        <v>#N/A</v>
        <stp/>
        <stp>BDH|5570538656850598991</stp>
        <tr r="AA11" s="18"/>
      </tp>
      <tp t="e">
        <v>#N/A</v>
        <stp/>
        <stp>BDH|5868946895351598804</stp>
        <tr r="O43" s="4"/>
      </tp>
      <tp t="e">
        <v>#N/A</v>
        <stp/>
        <stp>BDH|2116535430731968964</stp>
        <tr r="O70" s="10"/>
        <tr r="O68" s="11"/>
      </tp>
      <tp t="e">
        <v>#N/A</v>
        <stp/>
        <stp>BDH|9728134442891866138</stp>
        <tr r="H63" s="11"/>
      </tp>
      <tp t="e">
        <v>#N/A</v>
        <stp/>
        <stp>BDH|2728880015330251754</stp>
        <tr r="H38" s="34"/>
      </tp>
      <tp t="e">
        <v>#N/A</v>
        <stp/>
        <stp>BDH|6584789830118747677</stp>
        <tr r="J14" s="8"/>
      </tp>
      <tp t="e">
        <v>#N/A</v>
        <stp/>
        <stp>BDH|1964855934054787229</stp>
        <tr r="R56" s="18"/>
      </tp>
      <tp t="e">
        <v>#N/A</v>
        <stp/>
        <stp>BDH|3808814014761191718</stp>
        <tr r="M41" s="17"/>
      </tp>
      <tp t="e">
        <v>#N/A</v>
        <stp/>
        <stp>BDH|9895333510243280445</stp>
        <tr r="U8" s="21"/>
      </tp>
      <tp t="e">
        <v>#N/A</v>
        <stp/>
        <stp>BDH|6922107104432135917</stp>
        <tr r="J18" s="9"/>
      </tp>
      <tp t="e">
        <v>#N/A</v>
        <stp/>
        <stp>BDH|6494826536324895551</stp>
        <tr r="C13" s="13"/>
      </tp>
      <tp t="e">
        <v>#N/A</v>
        <stp/>
        <stp>BDH|3012071194431752795</stp>
        <tr r="J13" s="18"/>
      </tp>
      <tp t="e">
        <v>#N/A</v>
        <stp/>
        <stp>BDH|7312279698976179602</stp>
        <tr r="P12" s="14"/>
      </tp>
      <tp t="e">
        <v>#N/A</v>
        <stp/>
        <stp>BDH|4610967404493868212</stp>
        <tr r="C61" s="24"/>
      </tp>
      <tp t="e">
        <v>#N/A</v>
        <stp/>
        <stp>BDH|8407066235082893526</stp>
        <tr r="R22" s="18"/>
      </tp>
      <tp t="e">
        <v>#N/A</v>
        <stp/>
        <stp>BDH|8254645355154609388</stp>
        <tr r="D32" s="17"/>
      </tp>
      <tp t="e">
        <v>#N/A</v>
        <stp/>
        <stp>BDH|6914320454875364917</stp>
        <tr r="R63" s="17"/>
      </tp>
      <tp t="e">
        <v>#N/A</v>
        <stp/>
        <stp>BDH|1613698228208986138</stp>
        <tr r="D11" s="13"/>
      </tp>
      <tp t="e">
        <v>#N/A</v>
        <stp/>
        <stp>BDH|2361991235927046321</stp>
        <tr r="D31" s="26"/>
      </tp>
      <tp t="e">
        <v>#N/A</v>
        <stp/>
        <stp>BDH|9989820114544375816</stp>
        <tr r="Y12" s="21"/>
      </tp>
      <tp t="e">
        <v>#N/A</v>
        <stp/>
        <stp>BDH|8997987589262168744</stp>
        <tr r="G8" s="8"/>
      </tp>
      <tp t="e">
        <v>#N/A</v>
        <stp/>
        <stp>BDH|1983312781707340189</stp>
        <tr r="X15" s="11"/>
      </tp>
      <tp t="e">
        <v>#N/A</v>
        <stp/>
        <stp>BDH|8650044816407223247</stp>
        <tr r="J24" s="24"/>
      </tp>
      <tp t="e">
        <v>#N/A</v>
        <stp/>
        <stp>BDH|4925045274809251699</stp>
        <tr r="Y9" s="21"/>
      </tp>
      <tp t="e">
        <v>#N/A</v>
        <stp/>
        <stp>BDH|3515573426391514933</stp>
        <tr r="C67" s="18"/>
      </tp>
      <tp t="e">
        <v>#N/A</v>
        <stp/>
        <stp>BDH|4481646592854551351</stp>
        <tr r="H11" s="12"/>
      </tp>
      <tp t="e">
        <v>#N/A</v>
        <stp/>
        <stp>BDH|7248921943376017015</stp>
        <tr r="J72" s="18"/>
      </tp>
      <tp t="e">
        <v>#N/A</v>
        <stp/>
        <stp>BDH|8878137143554214586</stp>
        <tr r="F15" s="11"/>
      </tp>
      <tp t="e">
        <v>#N/A</v>
        <stp/>
        <stp>BDH|9681897323807718894</stp>
        <tr r="H18" s="2"/>
        <tr r="H53" s="4"/>
        <tr r="H42" s="10"/>
        <tr r="H40" s="11"/>
        <tr r="J34" s="13"/>
      </tp>
      <tp t="e">
        <v>#N/A</v>
        <stp/>
        <stp>BDH|1354842251774124457</stp>
        <tr r="M131" s="18"/>
      </tp>
      <tp t="e">
        <v>#N/A</v>
        <stp/>
        <stp>BDH|9487135977436683544</stp>
        <tr r="C13" s="9"/>
      </tp>
      <tp t="e">
        <v>#N/A</v>
        <stp/>
        <stp>BDH|4121524165012577915</stp>
        <tr r="K10" s="28"/>
      </tp>
      <tp t="e">
        <v>#N/A</v>
        <stp/>
        <stp>BDH|6623748440508935198</stp>
        <tr r="S40" s="12"/>
      </tp>
      <tp t="e">
        <v>#N/A</v>
        <stp/>
        <stp>BDH|6019335601509938095</stp>
        <tr r="J48" s="10"/>
        <tr r="J46" s="11"/>
        <tr r="J15" s="7"/>
      </tp>
      <tp t="e">
        <v>#N/A</v>
        <stp/>
        <stp>BDH|5524466398146043296</stp>
        <tr r="T8" s="8"/>
      </tp>
      <tp t="e">
        <v>#N/A</v>
        <stp/>
        <stp>BDH|3900751631658632393</stp>
        <tr r="E20" s="18"/>
      </tp>
      <tp t="e">
        <v>#N/A</v>
        <stp/>
        <stp>BDH|6406958014500124268</stp>
        <tr r="Y119" s="18"/>
      </tp>
      <tp t="e">
        <v>#N/A</v>
        <stp/>
        <stp>BDH|1781345695541497607</stp>
        <tr r="X24" s="4"/>
        <tr r="X59" s="11"/>
      </tp>
      <tp t="e">
        <v>#N/A</v>
        <stp/>
        <stp>BDH|1742623820908149163</stp>
        <tr r="G50" s="4"/>
      </tp>
      <tp t="e">
        <v>#N/A</v>
        <stp/>
        <stp>BDH|8233592141843979616</stp>
        <tr r="F99" s="18"/>
      </tp>
      <tp t="e">
        <v>#N/A</v>
        <stp/>
        <stp>BDH|9031465620591021249</stp>
        <tr r="Q17" s="12"/>
      </tp>
      <tp t="e">
        <v>#N/A</v>
        <stp/>
        <stp>BDH|1933949562194804650</stp>
        <tr r="S91" s="17"/>
      </tp>
      <tp t="e">
        <v>#N/A</v>
        <stp/>
        <stp>BDH|8134636596329687204</stp>
        <tr r="T14" s="11"/>
      </tp>
      <tp t="e">
        <v>#N/A</v>
        <stp/>
        <stp>BDH|3954634780223011288</stp>
        <tr r="T11" s="21"/>
      </tp>
      <tp t="e">
        <v>#N/A</v>
        <stp/>
        <stp>BDH|2230513922021437879</stp>
        <tr r="H121" s="18"/>
      </tp>
      <tp t="e">
        <v>#N/A</v>
        <stp/>
        <stp>BDH|5628899287768250183</stp>
        <tr r="V30" s="9"/>
      </tp>
      <tp t="e">
        <v>#N/A</v>
        <stp/>
        <stp>BDH|8044184753253172388</stp>
        <tr r="Y25" s="21"/>
      </tp>
      <tp t="e">
        <v>#N/A</v>
        <stp/>
        <stp>BDH|9531290836156883207</stp>
        <tr r="J15" s="5"/>
      </tp>
      <tp t="e">
        <v>#N/A</v>
        <stp/>
        <stp>BDH|8748885154059044098</stp>
        <tr r="V66" s="12"/>
      </tp>
      <tp t="e">
        <v>#N/A</v>
        <stp/>
        <stp>BDH|1883234207199822662</stp>
        <tr r="V11" s="13"/>
      </tp>
      <tp t="e">
        <v>#N/A</v>
        <stp/>
        <stp>BDH|9544169863427634547</stp>
        <tr r="S16" s="24"/>
      </tp>
      <tp t="e">
        <v>#N/A</v>
        <stp/>
        <stp>BDH|9969409796248930043</stp>
        <tr r="H21" s="4"/>
      </tp>
      <tp t="e">
        <v>#N/A</v>
        <stp/>
        <stp>BDH|4609114200640394966</stp>
        <tr r="M30" s="10"/>
        <tr r="M28" s="11"/>
      </tp>
      <tp t="e">
        <v>#N/A</v>
        <stp/>
        <stp>BDH|3617447780265881680</stp>
        <tr r="L42" s="24"/>
      </tp>
      <tp t="e">
        <v>#N/A</v>
        <stp/>
        <stp>BDH|4286956116785303505</stp>
        <tr r="Q21" s="21"/>
      </tp>
      <tp t="e">
        <v>#N/A</v>
        <stp/>
        <stp>BDH|7098121358287875802</stp>
        <tr r="D120" s="18"/>
      </tp>
      <tp t="e">
        <v>#N/A</v>
        <stp/>
        <stp>BDH|1083501660197203907</stp>
        <tr r="D37" s="10"/>
        <tr r="D35" s="11"/>
      </tp>
      <tp t="e">
        <v>#N/A</v>
        <stp/>
        <stp>BDH|8565520375034481240</stp>
        <tr r="X11" s="3"/>
        <tr r="V46" s="10"/>
        <tr r="V44" s="11"/>
        <tr r="V8" s="7"/>
      </tp>
      <tp t="e">
        <v>#N/A</v>
        <stp/>
        <stp>BDH|7692210105430953996</stp>
        <tr r="G22" s="12"/>
      </tp>
      <tp t="e">
        <v>#N/A</v>
        <stp/>
        <stp>BDH|2159384488577486272</stp>
        <tr r="P14" s="18"/>
      </tp>
      <tp t="e">
        <v>#N/A</v>
        <stp/>
        <stp>BDH|6740302205400707963</stp>
        <tr r="D80" s="18"/>
      </tp>
      <tp t="e">
        <v>#N/A</v>
        <stp/>
        <stp>BDH|3773449580346585554</stp>
        <tr r="U8" s="26"/>
        <tr r="S10" s="9"/>
      </tp>
      <tp t="e">
        <v>#N/A</v>
        <stp/>
        <stp>BDH|4292648693310568735</stp>
        <tr r="H8" s="10"/>
      </tp>
      <tp t="e">
        <v>#N/A</v>
        <stp/>
        <stp>BDH|5264856115991707168</stp>
        <tr r="X88" s="17"/>
      </tp>
      <tp t="e">
        <v>#N/A</v>
        <stp/>
        <stp>BDH|2645717695632247231</stp>
        <tr r="W8" s="26"/>
        <tr r="U10" s="9"/>
      </tp>
      <tp t="e">
        <v>#N/A</v>
        <stp/>
        <stp>BDH|2840096837799049452</stp>
        <tr r="Q37" s="17"/>
      </tp>
      <tp t="e">
        <v>#N/A</v>
        <stp/>
        <stp>BDH|7450073613482217810</stp>
        <tr r="D47" s="24"/>
      </tp>
      <tp t="e">
        <v>#N/A</v>
        <stp/>
        <stp>BDH|2814906167830898144</stp>
        <tr r="Z98" s="18"/>
      </tp>
      <tp t="e">
        <v>#N/A</v>
        <stp/>
        <stp>BDH|5713941557152406734</stp>
        <tr r="S66" s="17"/>
      </tp>
      <tp t="e">
        <v>#N/A</v>
        <stp/>
        <stp>BDH|6226714092645110134</stp>
        <tr r="N132" s="18"/>
      </tp>
      <tp t="e">
        <v>#N/A</v>
        <stp/>
        <stp>BDH|7576242497489225976</stp>
        <tr r="E20" s="34"/>
      </tp>
      <tp t="e">
        <v>#N/A</v>
        <stp/>
        <stp>BDH|7135735100164542847</stp>
        <tr r="P40" s="12"/>
      </tp>
      <tp t="e">
        <v>#N/A</v>
        <stp/>
        <stp>BDH|5844214482475904610</stp>
        <tr r="K30" s="26"/>
      </tp>
      <tp t="e">
        <v>#N/A</v>
        <stp/>
        <stp>BDH|6107269366849403765</stp>
        <tr r="I51" s="18"/>
      </tp>
      <tp t="e">
        <v>#N/A</v>
        <stp/>
        <stp>BDH|4127411201294266803</stp>
        <tr r="V100" s="18"/>
      </tp>
      <tp t="e">
        <v>#N/A</v>
        <stp/>
        <stp>BDH|9999591132421211239</stp>
        <tr r="V11" s="18"/>
      </tp>
      <tp t="e">
        <v>#N/A</v>
        <stp/>
        <stp>BDH|4510461735239168643</stp>
        <tr r="W17" s="17"/>
        <tr r="W20" s="28"/>
      </tp>
      <tp t="e">
        <v>#N/A</v>
        <stp/>
        <stp>BDH|6992199027378508114</stp>
        <tr r="J33" s="6"/>
        <tr r="L6" s="8"/>
      </tp>
      <tp t="e">
        <v>#N/A</v>
        <stp/>
        <stp>BDH|2300010596326124167</stp>
        <tr r="F20" s="24"/>
      </tp>
      <tp t="e">
        <v>#N/A</v>
        <stp/>
        <stp>BDH|3330882778982423242</stp>
        <tr r="X25" s="17"/>
      </tp>
      <tp t="e">
        <v>#N/A</v>
        <stp/>
        <stp>BDH|1455850221193143428</stp>
        <tr r="L24" s="29"/>
      </tp>
      <tp t="e">
        <v>#N/A</v>
        <stp/>
        <stp>BDH|7783255623019679242</stp>
        <tr r="T32" s="24"/>
      </tp>
      <tp t="e">
        <v>#N/A</v>
        <stp/>
        <stp>BDH|8414910022258289763</stp>
        <tr r="O39" s="6"/>
      </tp>
      <tp t="e">
        <v>#N/A</v>
        <stp/>
        <stp>BDH|2773400195803159002</stp>
        <tr r="W62" s="18"/>
      </tp>
      <tp t="e">
        <v>#N/A</v>
        <stp/>
        <stp>BDH|8661204627536744259</stp>
        <tr r="Z51" s="17"/>
      </tp>
      <tp t="e">
        <v>#N/A</v>
        <stp/>
        <stp>BDH|5806072538823780938</stp>
        <tr r="E20" s="2"/>
        <tr r="E18" s="4"/>
        <tr r="E54" s="10"/>
        <tr r="E52" s="11"/>
        <tr r="E19" s="7"/>
        <tr r="G41" s="13"/>
      </tp>
      <tp t="e">
        <v>#N/A</v>
        <stp/>
        <stp>BDH|8199338510266998087</stp>
        <tr r="V132" s="18"/>
      </tp>
      <tp t="e">
        <v>#N/A</v>
        <stp/>
        <stp>BDH|6457789009004514930</stp>
        <tr r="I9" s="26"/>
      </tp>
      <tp t="e">
        <v>#N/A</v>
        <stp/>
        <stp>BDH|3806241728429616618</stp>
        <tr r="V62" s="17"/>
      </tp>
      <tp t="e">
        <v>#N/A</v>
        <stp/>
        <stp>BDH|5349520810424056929</stp>
        <tr r="J25" s="26"/>
      </tp>
      <tp t="e">
        <v>#N/A</v>
        <stp/>
        <stp>BDH|4303992837905766791</stp>
        <tr r="C39" s="6"/>
      </tp>
      <tp t="e">
        <v>#N/A</v>
        <stp/>
        <stp>BDH|6574242197874419510</stp>
        <tr r="S104" s="18"/>
      </tp>
      <tp t="e">
        <v>#N/A</v>
        <stp/>
        <stp>BDH|2160020401906646874</stp>
        <tr r="K26" s="17"/>
      </tp>
      <tp t="e">
        <v>#N/A</v>
        <stp/>
        <stp>BDH|9264454401903662232</stp>
        <tr r="J90" s="17"/>
        <tr r="J13" s="28"/>
      </tp>
      <tp t="e">
        <v>#N/A</v>
        <stp/>
        <stp>BDH|9964341748671187376</stp>
        <tr r="L36" s="12"/>
      </tp>
      <tp t="e">
        <v>#N/A</v>
        <stp/>
        <stp>BDH|6473879036666538735</stp>
        <tr r="S24" s="18"/>
      </tp>
      <tp t="e">
        <v>#N/A</v>
        <stp/>
        <stp>BDH|8659823110659385446</stp>
        <tr r="M36" s="10"/>
        <tr r="M34" s="11"/>
      </tp>
      <tp t="e">
        <v>#N/A</v>
        <stp/>
        <stp>BDH|8187201076063094271</stp>
        <tr r="S39" s="10"/>
        <tr r="S37" s="11"/>
      </tp>
      <tp t="e">
        <v>#N/A</v>
        <stp/>
        <stp>BDH|9563053785508649535</stp>
        <tr r="F48" s="21"/>
      </tp>
      <tp t="e">
        <v>#N/A</v>
        <stp/>
        <stp>BDH|2933980893859425768</stp>
        <tr r="R28" s="18"/>
      </tp>
      <tp t="e">
        <v>#N/A</v>
        <stp/>
        <stp>BDH|4526034386588376835</stp>
        <tr r="Q17" s="13"/>
      </tp>
      <tp t="e">
        <v>#N/A</v>
        <stp/>
        <stp>BDH|7973387697170776116</stp>
        <tr r="H25" s="2"/>
        <tr r="J61" s="21"/>
      </tp>
      <tp t="e">
        <v>#N/A</v>
        <stp/>
        <stp>BDH|7676953061820752459</stp>
        <tr r="L16" s="14"/>
      </tp>
      <tp t="e">
        <v>#N/A</v>
        <stp/>
        <stp>BDH|9600312385676055821</stp>
        <tr r="G16" s="23"/>
      </tp>
      <tp t="e">
        <v>#N/A</v>
        <stp/>
        <stp>BDH|4466019166859766742</stp>
        <tr r="Z23" s="21"/>
      </tp>
      <tp t="e">
        <v>#N/A</v>
        <stp/>
        <stp>BDH|5784831045667284235</stp>
        <tr r="E8" s="34"/>
      </tp>
      <tp t="e">
        <v>#N/A</v>
        <stp/>
        <stp>BDH|1762488004961248891</stp>
        <tr r="Q58" s="21"/>
        <tr r="Q30" s="25"/>
        <tr r="O31" s="4"/>
        <tr r="O56" s="11"/>
      </tp>
      <tp t="e">
        <v>#N/A</v>
        <stp/>
        <stp>BDH|2995153208677669828</stp>
        <tr r="S30" s="21"/>
      </tp>
      <tp t="e">
        <v>#N/A</v>
        <stp/>
        <stp>BDH|4140146776559504762</stp>
        <tr r="T22" s="7"/>
      </tp>
      <tp t="e">
        <v>#N/A</v>
        <stp/>
        <stp>BDH|4385537696972307653</stp>
        <tr r="T25" s="22"/>
      </tp>
      <tp t="e">
        <v>#N/A</v>
        <stp/>
        <stp>BDH|7248069610748696226</stp>
        <tr r="Z121" s="18"/>
      </tp>
      <tp t="e">
        <v>#N/A</v>
        <stp/>
        <stp>BDH|1896689861375652873</stp>
        <tr r="AA72" s="17"/>
      </tp>
      <tp t="e">
        <v>#N/A</v>
        <stp/>
        <stp>BDH|5868698270740258838</stp>
        <tr r="O56" s="12"/>
      </tp>
      <tp t="e">
        <v>#N/A</v>
        <stp/>
        <stp>BDH|3027010990577069115</stp>
        <tr r="Z14" s="20"/>
      </tp>
      <tp t="e">
        <v>#N/A</v>
        <stp/>
        <stp>BDH|9150542313656104775</stp>
        <tr r="H41" s="24"/>
      </tp>
      <tp t="e">
        <v>#N/A</v>
        <stp/>
        <stp>BDH|3093538275875363858</stp>
        <tr r="D25" s="17"/>
      </tp>
      <tp t="e">
        <v>#N/A</v>
        <stp/>
        <stp>BDH|1161637102159474240</stp>
        <tr r="H21" s="26"/>
      </tp>
      <tp t="e">
        <v>#N/A</v>
        <stp/>
        <stp>BDH|8486005524195193312</stp>
        <tr r="S70" s="10"/>
        <tr r="S68" s="11"/>
      </tp>
      <tp t="e">
        <v>#N/A</v>
        <stp/>
        <stp>BDH|6904036729518068032</stp>
        <tr r="S13" s="14"/>
      </tp>
      <tp t="e">
        <v>#N/A</v>
        <stp/>
        <stp>BDH|5457468197707056359</stp>
        <tr r="V49" s="21"/>
      </tp>
      <tp t="e">
        <v>#N/A</v>
        <stp/>
        <stp>BDH|1924435503788848112</stp>
        <tr r="S34" s="10"/>
        <tr r="S32" s="11"/>
        <tr r="U32" s="13"/>
      </tp>
      <tp t="e">
        <v>#N/A</v>
        <stp/>
        <stp>BDH|3841142509729454712</stp>
        <tr r="J7" s="30"/>
      </tp>
      <tp t="e">
        <v>#N/A</v>
        <stp/>
        <stp>BDH|9512165052376061718</stp>
        <tr r="O12" s="3"/>
        <tr r="M51" s="10"/>
        <tr r="M49" s="11"/>
        <tr r="M7" s="7"/>
      </tp>
      <tp t="e">
        <v>#N/A</v>
        <stp/>
        <stp>BDH|9645658213965856789</stp>
        <tr r="S34" s="22"/>
      </tp>
      <tp t="e">
        <v>#N/A</v>
        <stp/>
        <stp>BDH|2937301126288782781</stp>
        <tr r="Z26" s="29"/>
      </tp>
      <tp t="e">
        <v>#N/A</v>
        <stp/>
        <stp>BDH|8164151536714701258</stp>
        <tr r="P47" s="21"/>
      </tp>
      <tp t="e">
        <v>#N/A</v>
        <stp/>
        <stp>BDH|8429029947582315227</stp>
        <tr r="P42" s="18"/>
      </tp>
      <tp t="e">
        <v>#N/A</v>
        <stp/>
        <stp>BDH|1803342830564887944</stp>
        <tr r="J31" s="34"/>
      </tp>
      <tp t="e">
        <v>#N/A</v>
        <stp/>
        <stp>BDH|6827998431677560757</stp>
        <tr r="K69" s="10"/>
        <tr r="K67" s="11"/>
      </tp>
      <tp t="e">
        <v>#N/A</v>
        <stp/>
        <stp>BDH|2277846440165444728</stp>
        <tr r="V74" s="17"/>
        <tr r="V19" s="3"/>
      </tp>
      <tp t="e">
        <v>#N/A</v>
        <stp/>
        <stp>BDH|4053221593096794561</stp>
        <tr r="E13" s="5"/>
      </tp>
      <tp t="e">
        <v>#N/A</v>
        <stp/>
        <stp>BDH|6637376380019790863</stp>
        <tr r="M65" s="24"/>
      </tp>
      <tp t="e">
        <v>#N/A</v>
        <stp/>
        <stp>BDH|4050208850588415747</stp>
        <tr r="M21" s="10"/>
      </tp>
      <tp t="e">
        <v>#N/A</v>
        <stp/>
        <stp>BDH|2992583634540450814</stp>
        <tr r="N8" s="22"/>
      </tp>
      <tp t="e">
        <v>#N/A</v>
        <stp/>
        <stp>BDH|1193568747425502944</stp>
        <tr r="Z13" s="20"/>
      </tp>
      <tp t="e">
        <v>#N/A</v>
        <stp/>
        <stp>BDH|8534293075041877006</stp>
        <tr r="P51" s="12"/>
      </tp>
      <tp t="e">
        <v>#N/A</v>
        <stp/>
        <stp>BDH|9974488221401931289</stp>
        <tr r="C13" s="21"/>
      </tp>
      <tp t="e">
        <v>#N/A</v>
        <stp/>
        <stp>BDH|1763825638381477786</stp>
        <tr r="E21" s="21"/>
      </tp>
      <tp t="e">
        <v>#N/A</v>
        <stp/>
        <stp>BDH|6046659653789783003</stp>
        <tr r="D40" s="18"/>
      </tp>
      <tp t="e">
        <v>#N/A</v>
        <stp/>
        <stp>BDH|5391010624658366349</stp>
        <tr r="F60" s="12"/>
      </tp>
      <tp t="e">
        <v>#N/A</v>
        <stp/>
        <stp>BDH|1613828821496544119</stp>
        <tr r="AA53" s="12"/>
      </tp>
      <tp t="e">
        <v>#N/A</v>
        <stp/>
        <stp>BDH|4150574827476938995</stp>
        <tr r="S36" s="12"/>
      </tp>
      <tp t="e">
        <v>#N/A</v>
        <stp/>
        <stp>BDH|4143558255768007008</stp>
        <tr r="J67" s="12"/>
      </tp>
      <tp t="e">
        <v>#N/A</v>
        <stp/>
        <stp>BDH|9402710011426450512</stp>
        <tr r="D121" s="18"/>
      </tp>
      <tp t="e">
        <v>#N/A</v>
        <stp/>
        <stp>BDH|2966623381690964026</stp>
        <tr r="H20" s="24"/>
      </tp>
      <tp t="e">
        <v>#N/A</v>
        <stp/>
        <stp>BDH|5437944077097446020</stp>
        <tr r="G12" s="13"/>
      </tp>
      <tp t="e">
        <v>#N/A</v>
        <stp/>
        <stp>BDH|3250471616268432260</stp>
        <tr r="Z10" s="24"/>
      </tp>
      <tp t="e">
        <v>#N/A</v>
        <stp/>
        <stp>BDH|6862236114598606181</stp>
        <tr r="J40" s="24"/>
      </tp>
      <tp t="e">
        <v>#N/A</v>
        <stp/>
        <stp>BDH|3505018237915348911</stp>
        <tr r="W11" s="7"/>
      </tp>
      <tp t="e">
        <v>#N/A</v>
        <stp/>
        <stp>BDH|5665051090748248800</stp>
        <tr r="N66" s="10"/>
        <tr r="N64" s="11"/>
        <tr r="N20" s="7"/>
      </tp>
      <tp t="e">
        <v>#N/A</v>
        <stp/>
        <stp>BDH|3214564226051564964</stp>
        <tr r="V44" s="17"/>
      </tp>
      <tp t="e">
        <v>#N/A</v>
        <stp/>
        <stp>BDH|7097811307451383243</stp>
        <tr r="D13" s="17"/>
        <tr r="D16" s="28"/>
      </tp>
      <tp t="e">
        <v>#N/A</v>
        <stp/>
        <stp>BDH|1649781908283110961</stp>
        <tr r="O17" s="21"/>
      </tp>
      <tp t="e">
        <v>#N/A</v>
        <stp/>
        <stp>BDH|1545436481062173373</stp>
        <tr r="O44" s="24"/>
      </tp>
      <tp t="e">
        <v>#N/A</v>
        <stp/>
        <stp>BDH|4872197230452676865</stp>
        <tr r="N60" s="10"/>
      </tp>
      <tp t="e">
        <v>#N/A</v>
        <stp/>
        <stp>BDH|1208409210018285018</stp>
        <tr r="P49" s="24"/>
      </tp>
      <tp t="e">
        <v>#N/A</v>
        <stp/>
        <stp>BDH|3036665658939636594</stp>
        <tr r="K10" s="10"/>
      </tp>
      <tp t="e">
        <v>#N/A</v>
        <stp/>
        <stp>BDH|2750959303034243320</stp>
        <tr r="AA34" s="18"/>
      </tp>
      <tp t="e">
        <v>#N/A</v>
        <stp/>
        <stp>BDH|2191172792380435613</stp>
        <tr r="U30" s="24"/>
      </tp>
      <tp t="e">
        <v>#N/A</v>
        <stp/>
        <stp>BDH|9936766473754501189</stp>
        <tr r="Q69" s="10"/>
        <tr r="Q67" s="11"/>
      </tp>
      <tp t="e">
        <v>#N/A</v>
        <stp/>
        <stp>BDH|8921481530302289123</stp>
        <tr r="O42" s="12"/>
      </tp>
      <tp t="e">
        <v>#N/A</v>
        <stp/>
        <stp>BDH|2273314567103317869</stp>
        <tr r="N8" s="11"/>
      </tp>
      <tp t="e">
        <v>#N/A</v>
        <stp/>
        <stp>BDH|1100547832458504339</stp>
        <tr r="Y37" s="10"/>
        <tr r="Y35" s="11"/>
      </tp>
      <tp t="e">
        <v>#N/A</v>
        <stp/>
        <stp>BDH|9958158692568825577</stp>
        <tr r="O10" s="13"/>
      </tp>
      <tp t="e">
        <v>#N/A</v>
        <stp/>
        <stp>BDH|7510399598247121644</stp>
        <tr r="F25" s="7"/>
      </tp>
      <tp t="e">
        <v>#N/A</v>
        <stp/>
        <stp>BDH|6387255186488665870</stp>
        <tr r="H64" s="18"/>
      </tp>
      <tp t="e">
        <v>#N/A</v>
        <stp/>
        <stp>BDH|4728201586994378633</stp>
        <tr r="E22" s="18"/>
      </tp>
      <tp t="e">
        <v>#N/A</v>
        <stp/>
        <stp>BDH|7887366565199344795</stp>
        <tr r="R21" s="22"/>
      </tp>
      <tp t="e">
        <v>#N/A</v>
        <stp/>
        <stp>BDH|6671570184131226615</stp>
        <tr r="E20" s="17"/>
      </tp>
      <tp t="e">
        <v>#N/A</v>
        <stp/>
        <stp>BDH|1414404155179044571</stp>
        <tr r="I23" s="22"/>
      </tp>
      <tp t="e">
        <v>#N/A</v>
        <stp/>
        <stp>BDH|5118857157534744026</stp>
        <tr r="F25" s="18"/>
      </tp>
      <tp t="e">
        <v>#N/A</v>
        <stp/>
        <stp>BDH|6019527732725725912</stp>
        <tr r="E23" s="11"/>
      </tp>
      <tp t="e">
        <v>#N/A</v>
        <stp/>
        <stp>BDH|7193762455809442007</stp>
        <tr r="P19" s="25"/>
        <tr r="P12" s="27"/>
      </tp>
      <tp t="e">
        <v>#N/A</v>
        <stp/>
        <stp>BDH|8630011411706902395</stp>
        <tr r="L36" s="34"/>
      </tp>
      <tp t="e">
        <v>#N/A</v>
        <stp/>
        <stp>BDH|7101445684760363744</stp>
        <tr r="N36" s="18"/>
      </tp>
      <tp t="e">
        <v>#N/A</v>
        <stp/>
        <stp>BDH|6968349671068296686</stp>
        <tr r="N58" s="18"/>
      </tp>
      <tp t="e">
        <v>#N/A</v>
        <stp/>
        <stp>BDH|4726892384271966957</stp>
        <tr r="P8" s="12"/>
      </tp>
      <tp t="e">
        <v>#N/A</v>
        <stp/>
        <stp>BDH|9838965894246432384</stp>
        <tr r="D34" s="18"/>
      </tp>
      <tp t="e">
        <v>#N/A</v>
        <stp/>
        <stp>BDH|4019637195100552751</stp>
        <tr r="X30" s="10"/>
        <tr r="X28" s="11"/>
      </tp>
      <tp t="e">
        <v>#N/A</v>
        <stp/>
        <stp>BDH|5517445084123772640</stp>
        <tr r="K38" s="34"/>
      </tp>
      <tp t="e">
        <v>#N/A</v>
        <stp/>
        <stp>BDH|2476601086790602023</stp>
        <tr r="I120" s="18"/>
      </tp>
      <tp t="e">
        <v>#N/A</v>
        <stp/>
        <stp>BDH|7678983828776409641</stp>
        <tr r="C87" s="17"/>
        <tr r="C27" s="25"/>
      </tp>
      <tp t="e">
        <v>#N/A</v>
        <stp/>
        <stp>BDH|5469523034696260960</stp>
        <tr r="T11" s="11"/>
      </tp>
      <tp t="e">
        <v>#N/A</v>
        <stp/>
        <stp>BDH|2620033776628039151</stp>
        <tr r="T9" s="24"/>
      </tp>
      <tp t="e">
        <v>#N/A</v>
        <stp/>
        <stp>BDH|9978511289349014170</stp>
        <tr r="C9" s="2"/>
        <tr r="E8" s="25"/>
        <tr r="C10" s="5"/>
      </tp>
      <tp t="e">
        <v>#N/A</v>
        <stp/>
        <stp>BDH|2396433425420087831</stp>
        <tr r="C24" s="21"/>
      </tp>
      <tp t="e">
        <v>#N/A</v>
        <stp/>
        <stp>BDH|6841285273079235675</stp>
        <tr r="W44" s="24"/>
      </tp>
      <tp t="e">
        <v>#N/A</v>
        <stp/>
        <stp>BDH|9546889731819971735</stp>
        <tr r="X33" s="17"/>
      </tp>
      <tp t="e">
        <v>#N/A</v>
        <stp/>
        <stp>BDH|9597598076257869042</stp>
        <tr r="P8" s="34"/>
      </tp>
      <tp t="e">
        <v>#N/A</v>
        <stp/>
        <stp>BDH|8362531760426026167</stp>
        <tr r="M106" s="18"/>
      </tp>
      <tp t="e">
        <v>#N/A</v>
        <stp/>
        <stp>BDH|1881941087235990944</stp>
        <tr r="R33" s="22"/>
      </tp>
      <tp t="e">
        <v>#N/A</v>
        <stp/>
        <stp>BDH|9321925050200369945</stp>
        <tr r="F10" s="28"/>
      </tp>
      <tp t="e">
        <v>#N/A</v>
        <stp/>
        <stp>BDH|9541543421762279041</stp>
        <tr r="X8" s="13"/>
      </tp>
      <tp t="e">
        <v>#N/A</v>
        <stp/>
        <stp>BDH|9353440931586903499</stp>
        <tr r="P20" s="6"/>
      </tp>
      <tp t="e">
        <v>#N/A</v>
        <stp/>
        <stp>BDH|2733900931654383034</stp>
        <tr r="E92" s="18"/>
      </tp>
      <tp t="e">
        <v>#N/A</v>
        <stp/>
        <stp>BDH|2924128002477736885</stp>
        <tr r="D17" s="13"/>
      </tp>
      <tp t="e">
        <v>#N/A</v>
        <stp/>
        <stp>BDH|6104826776504417179</stp>
        <tr r="H10" s="23"/>
      </tp>
      <tp t="e">
        <v>#N/A</v>
        <stp/>
        <stp>BDH|8671728644826180174</stp>
        <tr r="Y17" s="17"/>
        <tr r="Y20" s="28"/>
      </tp>
      <tp t="e">
        <v>#N/A</v>
        <stp/>
        <stp>BDH|7061047223909041016</stp>
        <tr r="Y13" s="29"/>
        <tr r="Y22" s="29"/>
        <tr r="Y33" s="29"/>
      </tp>
      <tp t="e">
        <v>#N/A</v>
        <stp/>
        <stp>BDH|4275690294262869519</stp>
        <tr r="P19" s="14"/>
      </tp>
      <tp t="e">
        <v>#N/A</v>
        <stp/>
        <stp>BDH|7796883478077143302</stp>
        <tr r="X13" s="29"/>
        <tr r="X22" s="29"/>
        <tr r="X33" s="29"/>
      </tp>
      <tp t="e">
        <v>#N/A</v>
        <stp/>
        <stp>BDH|3841358638878182720</stp>
        <tr r="J18" s="20"/>
      </tp>
      <tp t="e">
        <v>#N/A</v>
        <stp/>
        <stp>BDH|9980389146882216034</stp>
        <tr r="AA44" s="12"/>
      </tp>
      <tp t="e">
        <v>#N/A</v>
        <stp/>
        <stp>BDH|4327956926145425628</stp>
        <tr r="K16" s="25"/>
        <tr r="I22" s="11"/>
      </tp>
      <tp t="e">
        <v>#N/A</v>
        <stp/>
        <stp>BDH|6364693459860169944</stp>
        <tr r="L58" s="24"/>
      </tp>
      <tp t="e">
        <v>#N/A</v>
        <stp/>
        <stp>BDH|8749907040181480854</stp>
        <tr r="D61" s="18"/>
      </tp>
      <tp t="e">
        <v>#N/A</v>
        <stp/>
        <stp>BDH|6336988544402876509</stp>
        <tr r="L23" s="21"/>
      </tp>
      <tp t="e">
        <v>#N/A</v>
        <stp/>
        <stp>BDH|1933039215398017489</stp>
        <tr r="S14" s="8"/>
      </tp>
      <tp t="e">
        <v>#N/A</v>
        <stp/>
        <stp>BDH|9262037636062378437</stp>
        <tr r="J39" s="24"/>
      </tp>
      <tp t="e">
        <v>#N/A</v>
        <stp/>
        <stp>BDH|9376415524001736261</stp>
        <tr r="O19" s="24"/>
      </tp>
      <tp t="e">
        <v>#N/A</v>
        <stp/>
        <stp>BDH|9155543055313267653</stp>
        <tr r="I68" s="18"/>
      </tp>
      <tp t="e">
        <v>#N/A</v>
        <stp/>
        <stp>BDH|7470767341211754934</stp>
        <tr r="F11" s="3"/>
        <tr r="D46" s="10"/>
        <tr r="D44" s="11"/>
        <tr r="D8" s="7"/>
      </tp>
      <tp t="e">
        <v>#N/A</v>
        <stp/>
        <stp>BDH|3661804861160138113</stp>
        <tr r="K13" s="5"/>
      </tp>
      <tp t="e">
        <v>#N/A</v>
        <stp/>
        <stp>BDH|6918780569432849972</stp>
        <tr r="F127" s="18"/>
      </tp>
      <tp t="e">
        <v>#N/A</v>
        <stp/>
        <stp>BDH|2065907748500733384</stp>
        <tr r="O29" s="22"/>
      </tp>
      <tp t="e">
        <v>#N/A</v>
        <stp/>
        <stp>BDH|1860896901211526423</stp>
        <tr r="O132" s="18"/>
      </tp>
      <tp t="e">
        <v>#N/A</v>
        <stp/>
        <stp>BDH|1384010914848616472</stp>
        <tr r="J30" s="26"/>
      </tp>
      <tp t="e">
        <v>#N/A</v>
        <stp/>
        <stp>BDH|8928515955842241689</stp>
        <tr r="Z25" s="22"/>
      </tp>
      <tp t="e">
        <v>#N/A</v>
        <stp/>
        <stp>BDH|3105583684437905535</stp>
        <tr r="J14" s="10"/>
      </tp>
      <tp t="e">
        <v>#N/A</v>
        <stp/>
        <stp>BDH|9674724442011197708</stp>
        <tr r="H29" s="29"/>
        <tr r="H7" s="29"/>
      </tp>
      <tp t="e">
        <v>#N/A</v>
        <stp/>
        <stp>BDH|7431913736119704833</stp>
        <tr r="AA29" s="24"/>
      </tp>
      <tp t="e">
        <v>#N/A</v>
        <stp/>
        <stp>BDH|7666925286308324267</stp>
        <tr r="Y63" s="10"/>
      </tp>
      <tp t="e">
        <v>#N/A</v>
        <stp/>
        <stp>BDH|3706963951065738605</stp>
        <tr r="F16" s="22"/>
      </tp>
      <tp t="e">
        <v>#N/A</v>
        <stp/>
        <stp>BDH|3247693554094976815</stp>
        <tr r="Y77" s="18"/>
      </tp>
      <tp t="e">
        <v>#N/A</v>
        <stp/>
        <stp>BDH|7672635542578602163</stp>
        <tr r="X41" s="12"/>
      </tp>
      <tp t="e">
        <v>#N/A</v>
        <stp/>
        <stp>BDH|6697986855965465384</stp>
        <tr r="Y58" s="12"/>
      </tp>
      <tp t="e">
        <v>#N/A</v>
        <stp/>
        <stp>BDH|6908323321763483898</stp>
        <tr r="Y40" s="24"/>
      </tp>
      <tp t="e">
        <v>#N/A</v>
        <stp/>
        <stp>BDH|4516055787337728771</stp>
        <tr r="H43" s="34"/>
      </tp>
      <tp t="e">
        <v>#N/A</v>
        <stp/>
        <stp>BDH|2696730705908205157</stp>
        <tr r="V32" s="17"/>
      </tp>
      <tp t="e">
        <v>#N/A</v>
        <stp/>
        <stp>BDH|2981102360959853061</stp>
        <tr r="U78" s="18"/>
      </tp>
      <tp t="e">
        <v>#N/A</v>
        <stp/>
        <stp>BDH|2632592858409226720</stp>
        <tr r="AA62" s="17"/>
      </tp>
      <tp t="e">
        <v>#N/A</v>
        <stp/>
        <stp>BDH|7691870477483084712</stp>
        <tr r="I38" s="18"/>
      </tp>
      <tp t="e">
        <v>#N/A</v>
        <stp/>
        <stp>BDH|4426408700858034437</stp>
        <tr r="K10" s="17"/>
      </tp>
      <tp t="e">
        <v>#N/A</v>
        <stp/>
        <stp>BDH|9718091661533156096</stp>
        <tr r="R54" s="21"/>
      </tp>
      <tp t="e">
        <v>#N/A</v>
        <stp/>
        <stp>BDH|9335313781886759834</stp>
        <tr r="M51" s="17"/>
      </tp>
      <tp t="e">
        <v>#N/A</v>
        <stp/>
        <stp>BDH|9050627267437784256</stp>
        <tr r="C26" s="22"/>
      </tp>
      <tp t="e">
        <v>#N/A</v>
        <stp/>
        <stp>BDH|8018730037359492973</stp>
        <tr r="N24" s="24"/>
      </tp>
      <tp t="e">
        <v>#N/A</v>
        <stp/>
        <stp>BDH|8751620364525380153</stp>
        <tr r="R67" s="17"/>
      </tp>
      <tp t="e">
        <v>#N/A</v>
        <stp/>
        <stp>BDH|1661574685957093739</stp>
        <tr r="J13" s="7"/>
      </tp>
      <tp t="e">
        <v>#N/A</v>
        <stp/>
        <stp>BDH|2525038917016416920</stp>
        <tr r="C22" s="21"/>
      </tp>
      <tp t="e">
        <v>#N/A</v>
        <stp/>
        <stp>BDH|8139917875893253903</stp>
        <tr r="L110" s="18"/>
      </tp>
      <tp t="e">
        <v>#N/A</v>
        <stp/>
        <stp>BDH|6302472484155694317</stp>
        <tr r="I20" s="26"/>
      </tp>
      <tp t="e">
        <v>#N/A</v>
        <stp/>
        <stp>BDH|2485836464164006440</stp>
        <tr r="C44" s="21"/>
      </tp>
      <tp t="e">
        <v>#N/A</v>
        <stp/>
        <stp>BDH|6096897649710208656</stp>
        <tr r="R25" s="25"/>
        <tr r="R18" s="27"/>
      </tp>
      <tp t="e">
        <v>#N/A</v>
        <stp/>
        <stp>BDH|8711355969729589895</stp>
        <tr r="Q126" s="18"/>
      </tp>
      <tp t="e">
        <v>#N/A</v>
        <stp/>
        <stp>BDH|3581227684155689028</stp>
        <tr r="R97" s="18"/>
      </tp>
      <tp t="e">
        <v>#N/A</v>
        <stp/>
        <stp>BDH|6012635191247103277</stp>
        <tr r="C55" s="12"/>
      </tp>
      <tp t="e">
        <v>#N/A</v>
        <stp/>
        <stp>BDH|9208673170065359127</stp>
        <tr r="N117" s="18"/>
      </tp>
      <tp t="e">
        <v>#N/A</v>
        <stp/>
        <stp>BDH|6543337698385886529</stp>
        <tr r="Q96" s="18"/>
      </tp>
      <tp t="e">
        <v>#N/A</v>
        <stp/>
        <stp>BDH|7117098749827141845</stp>
        <tr r="P39" s="4"/>
        <tr r="P62" s="10"/>
      </tp>
      <tp t="e">
        <v>#N/A</v>
        <stp/>
        <stp>BDH|8758714910477068523</stp>
        <tr r="Y14" s="28"/>
      </tp>
      <tp t="e">
        <v>#N/A</v>
        <stp/>
        <stp>BDH|9941977899745527066</stp>
        <tr r="F8" s="10"/>
      </tp>
      <tp t="e">
        <v>#N/A</v>
        <stp/>
        <stp>BDH|5052446952678430065</stp>
        <tr r="I16" s="26"/>
      </tp>
      <tp t="e">
        <v>#N/A</v>
        <stp/>
        <stp>BDH|7652102455259517626</stp>
        <tr r="C8" s="27"/>
      </tp>
      <tp t="e">
        <v>#N/A</v>
        <stp/>
        <stp>BDH|8784377027257582267</stp>
        <tr r="V14" s="4"/>
      </tp>
      <tp t="e">
        <v>#N/A</v>
        <stp/>
        <stp>BDH|7090853858561881715</stp>
        <tr r="G54" s="17"/>
      </tp>
      <tp t="e">
        <v>#N/A</v>
        <stp/>
        <stp>BDH|5789121574566716928</stp>
        <tr r="S30" s="12"/>
      </tp>
      <tp t="e">
        <v>#N/A</v>
        <stp/>
        <stp>BDH|6538306236478636217</stp>
        <tr r="Q14" s="6"/>
      </tp>
      <tp t="e">
        <v>#N/A</v>
        <stp/>
        <stp>BDH|9631556463591069742</stp>
        <tr r="F14" s="14"/>
      </tp>
      <tp t="e">
        <v>#N/A</v>
        <stp/>
        <stp>BDH|8143521972537010155</stp>
        <tr r="X26" s="6"/>
      </tp>
      <tp t="e">
        <v>#N/A</v>
        <stp/>
        <stp>BDH|3074266412794613863</stp>
        <tr r="C16" s="17"/>
        <tr r="C19" s="28"/>
      </tp>
      <tp t="e">
        <v>#N/A</v>
        <stp/>
        <stp>BDH|7855043197131663396</stp>
        <tr r="AA73" s="18"/>
      </tp>
      <tp t="e">
        <v>#N/A</v>
        <stp/>
        <stp>BDH|3397633590845635526</stp>
        <tr r="C30" s="22"/>
      </tp>
      <tp t="e">
        <v>#N/A</v>
        <stp/>
        <stp>BDH|6309790747348114185</stp>
        <tr r="P14" s="21"/>
      </tp>
      <tp t="e">
        <v>#N/A</v>
        <stp/>
        <stp>BDH|7503873441773658416</stp>
        <tr r="I27" s="24"/>
      </tp>
      <tp t="e">
        <v>#N/A</v>
        <stp/>
        <stp>BDH|3172925248322917066</stp>
        <tr r="D8" s="10"/>
      </tp>
      <tp t="e">
        <v>#N/A</v>
        <stp/>
        <stp>BDH|5486141715901977881</stp>
        <tr r="Y79" s="17"/>
        <tr r="Y20" s="3"/>
        <tr r="W6" s="7"/>
      </tp>
      <tp t="e">
        <v>#N/A</v>
        <stp/>
        <stp>BDH|9583814151998345027</stp>
        <tr r="H15" s="4"/>
      </tp>
      <tp t="e">
        <v>#N/A</v>
        <stp/>
        <stp>BDH|2145101494602227438</stp>
        <tr r="T7" s="11"/>
      </tp>
      <tp t="e">
        <v>#N/A</v>
        <stp/>
        <stp>BDH|4301440040941445974</stp>
        <tr r="E33" s="18"/>
      </tp>
      <tp t="e">
        <v>#N/A</v>
        <stp/>
        <stp>BDH|7801963799073081832</stp>
        <tr r="J58" s="12"/>
      </tp>
      <tp t="e">
        <v>#N/A</v>
        <stp/>
        <stp>BDH|8878414049391318578</stp>
        <tr r="Z52" s="24"/>
      </tp>
      <tp t="e">
        <v>#N/A</v>
        <stp/>
        <stp>BDH|8428402907570687015</stp>
        <tr r="Q12" s="14"/>
      </tp>
      <tp t="e">
        <v>#N/A</v>
        <stp/>
        <stp>BDH|9718458265161170627</stp>
        <tr r="F39" s="18"/>
      </tp>
      <tp t="e">
        <v>#N/A</v>
        <stp/>
        <stp>BDH|9653655653320538618</stp>
        <tr r="Y24" s="17"/>
      </tp>
      <tp t="e">
        <v>#N/A</v>
        <stp/>
        <stp>BDH|5776662138489595580</stp>
        <tr r="L8" s="2"/>
      </tp>
      <tp t="e">
        <v>#N/A</v>
        <stp/>
        <stp>BDH|7532668944279366007</stp>
        <tr r="F59" s="12"/>
      </tp>
      <tp t="e">
        <v>#N/A</v>
        <stp/>
        <stp>BDH|5899116188231265170</stp>
        <tr r="E24" s="24"/>
      </tp>
      <tp t="e">
        <v>#N/A</v>
        <stp/>
        <stp>BDH|2510209683604455061</stp>
        <tr r="Y39" s="12"/>
      </tp>
      <tp t="e">
        <v>#N/A</v>
        <stp/>
        <stp>BDH|9299674585009135254</stp>
        <tr r="S81" s="18"/>
      </tp>
      <tp t="e">
        <v>#N/A</v>
        <stp/>
        <stp>BDH|5434258684001027216</stp>
        <tr r="I24" s="26"/>
        <tr r="G14" s="9"/>
      </tp>
      <tp t="e">
        <v>#N/A</v>
        <stp/>
        <stp>BDH|5702774502487389957</stp>
        <tr r="X8" s="6"/>
      </tp>
      <tp t="e">
        <v>#N/A</v>
        <stp/>
        <stp>BDH|5647125699604083590</stp>
        <tr r="U112" s="18"/>
      </tp>
      <tp t="e">
        <v>#N/A</v>
        <stp/>
        <stp>BDH|3926436299887134560</stp>
        <tr r="Y34" s="12"/>
      </tp>
      <tp t="e">
        <v>#N/A</v>
        <stp/>
        <stp>BDH|5308989565216928037</stp>
        <tr r="K7" s="2"/>
        <tr r="K7" s="5"/>
        <tr r="K7" s="9"/>
        <tr r="M14" s="3"/>
      </tp>
      <tp t="e">
        <v>#N/A</v>
        <stp/>
        <stp>BDH|9047741131404567549</stp>
        <tr r="F69" s="18"/>
      </tp>
      <tp t="e">
        <v>#N/A</v>
        <stp/>
        <stp>BDH|5388416164332178934</stp>
        <tr r="Y28" s="10"/>
        <tr r="Y26" s="11"/>
      </tp>
      <tp t="e">
        <v>#N/A</v>
        <stp/>
        <stp>BDH|1841820703053511694</stp>
        <tr r="T24" s="2"/>
      </tp>
      <tp t="e">
        <v>#N/A</v>
        <stp/>
        <stp>BDH|5003479817169191541</stp>
        <tr r="J56" s="17"/>
      </tp>
      <tp t="e">
        <v>#N/A</v>
        <stp/>
        <stp>BDH|1440215133408460470</stp>
        <tr r="N7" s="30"/>
      </tp>
      <tp t="e">
        <v>#N/A</v>
        <stp/>
        <stp>BDH|2267603030298617315</stp>
        <tr r="L39" s="4"/>
        <tr r="L62" s="10"/>
      </tp>
      <tp t="e">
        <v>#N/A</v>
        <stp/>
        <stp>BDH|9350555050114217112</stp>
        <tr r="R38" s="6"/>
      </tp>
      <tp t="e">
        <v>#N/A</v>
        <stp/>
        <stp>BDH|5665122716120122965</stp>
        <tr r="V16" s="2"/>
        <tr r="V32" s="4"/>
        <tr r="V58" s="10"/>
        <tr r="X19" s="13"/>
      </tp>
      <tp t="e">
        <v>#N/A</v>
        <stp/>
        <stp>BDH|2513968937936337221</stp>
        <tr r="T18" s="30"/>
      </tp>
      <tp t="e">
        <v>#N/A</v>
        <stp/>
        <stp>BDH|8166443066092347454</stp>
        <tr r="E38" s="24"/>
      </tp>
      <tp t="e">
        <v>#N/A</v>
        <stp/>
        <stp>BDH|6778621246321463926</stp>
        <tr r="I113" s="18"/>
      </tp>
      <tp t="e">
        <v>#N/A</v>
        <stp/>
        <stp>BDH|9816491810654676425</stp>
        <tr r="S32" s="18"/>
      </tp>
      <tp t="e">
        <v>#N/A</v>
        <stp/>
        <stp>BDH|8832103745730048187</stp>
        <tr r="O85" s="17"/>
      </tp>
      <tp t="e">
        <v>#N/A</v>
        <stp/>
        <stp>BDH|7892942713063880024</stp>
        <tr r="C63" s="11"/>
      </tp>
      <tp t="e">
        <v>#N/A</v>
        <stp/>
        <stp>BDH|8816150902372857720</stp>
        <tr r="U47" s="21"/>
      </tp>
      <tp t="e">
        <v>#N/A</v>
        <stp/>
        <stp>BDH|8124178162991247230</stp>
        <tr r="V85" s="17"/>
      </tp>
      <tp t="e">
        <v>#N/A</v>
        <stp/>
        <stp>BDH|3449697724188482383</stp>
        <tr r="Q45" s="4"/>
        <tr r="Q27" s="10"/>
        <tr r="Q25" s="11"/>
        <tr r="S26" s="13"/>
      </tp>
      <tp t="e">
        <v>#N/A</v>
        <stp/>
        <stp>BDH|7919071946566496995</stp>
        <tr r="Y115" s="18"/>
      </tp>
      <tp t="e">
        <v>#N/A</v>
        <stp/>
        <stp>BDH|2326854919431931638</stp>
        <tr r="P52" s="12"/>
      </tp>
      <tp t="e">
        <v>#N/A</v>
        <stp/>
        <stp>BDH|7106111117873011820</stp>
        <tr r="H61" s="24"/>
      </tp>
      <tp t="e">
        <v>#N/A</v>
        <stp/>
        <stp>BDH|6637344780627736609</stp>
        <tr r="E7" s="23"/>
      </tp>
      <tp t="e">
        <v>#N/A</v>
        <stp/>
        <stp>BDH|8089005650465157446</stp>
        <tr r="G18" s="9"/>
      </tp>
      <tp t="e">
        <v>#N/A</v>
        <stp/>
        <stp>BDH|6909943643907320082</stp>
        <tr r="D40" s="6"/>
      </tp>
      <tp t="e">
        <v>#N/A</v>
        <stp/>
        <stp>BDH|2186272271779346214</stp>
        <tr r="O38" s="17"/>
      </tp>
      <tp t="e">
        <v>#N/A</v>
        <stp/>
        <stp>BDH|6602569167798649147</stp>
        <tr r="F12" s="10"/>
      </tp>
      <tp t="e">
        <v>#N/A</v>
        <stp/>
        <stp>BDH|8321980478363140978</stp>
        <tr r="H45" s="4"/>
        <tr r="H27" s="10"/>
        <tr r="H25" s="11"/>
        <tr r="J26" s="13"/>
      </tp>
      <tp t="e">
        <v>#N/A</v>
        <stp/>
        <stp>BDH|7541081988472191115</stp>
        <tr r="L9" s="28"/>
      </tp>
      <tp t="e">
        <v>#N/A</v>
        <stp/>
        <stp>BDH|4947685885202580446</stp>
        <tr r="U108" s="18"/>
      </tp>
      <tp t="e">
        <v>#N/A</v>
        <stp/>
        <stp>BDH|2854729964457850830</stp>
        <tr r="Z20" s="25"/>
        <tr r="Z13" s="27"/>
      </tp>
      <tp t="e">
        <v>#N/A</v>
        <stp/>
        <stp>BDH|4949853648125439159</stp>
        <tr r="W22" s="12"/>
      </tp>
      <tp t="e">
        <v>#N/A</v>
        <stp/>
        <stp>BDH|7403042608868956343</stp>
        <tr r="Q107" s="18"/>
      </tp>
      <tp t="e">
        <v>#N/A</v>
        <stp/>
        <stp>BDH|2010111971378089057</stp>
        <tr r="E15" s="6"/>
      </tp>
      <tp t="e">
        <v>#N/A</v>
        <stp/>
        <stp>BDH|9483127912875387023</stp>
        <tr r="Q63" s="10"/>
      </tp>
      <tp t="e">
        <v>#N/A</v>
        <stp/>
        <stp>BDH|6623666491245782031</stp>
        <tr r="O22" s="5"/>
      </tp>
      <tp t="e">
        <v>#N/A</v>
        <stp/>
        <stp>BDH|7686514952048565355</stp>
        <tr r="T9" s="18"/>
      </tp>
      <tp t="e">
        <v>#N/A</v>
        <stp/>
        <stp>BDH|2806315653619940169</stp>
        <tr r="I31" s="21"/>
      </tp>
      <tp t="e">
        <v>#N/A</v>
        <stp/>
        <stp>BDH|5281050989016864730</stp>
        <tr r="J27" s="26"/>
      </tp>
      <tp t="e">
        <v>#N/A</v>
        <stp/>
        <stp>BDH|6099055383355111720</stp>
        <tr r="S31" s="10"/>
        <tr r="S29" s="11"/>
      </tp>
      <tp t="e">
        <v>#N/A</v>
        <stp/>
        <stp>BDH|97559486195794993</stp>
        <tr r="F30" s="9"/>
      </tp>
      <tp t="e">
        <v>#N/A</v>
        <stp/>
        <stp>BDH|43205309060423379</stp>
        <tr r="R19" s="17"/>
      </tp>
      <tp t="e">
        <v>#N/A</v>
        <stp/>
        <stp>BDH|47314143883121591</stp>
        <tr r="J53" s="17"/>
      </tp>
      <tp t="e">
        <v>#N/A</v>
        <stp/>
        <stp>BDH|9577679826842710296</stp>
        <tr r="M14" s="28"/>
      </tp>
      <tp t="e">
        <v>#N/A</v>
        <stp/>
        <stp>BDH|7416482087465531344</stp>
        <tr r="Y46" s="18"/>
      </tp>
      <tp t="e">
        <v>#N/A</v>
        <stp/>
        <stp>BDH|7553259151848804534</stp>
        <tr r="N14" s="17"/>
        <tr r="N17" s="28"/>
      </tp>
      <tp t="e">
        <v>#N/A</v>
        <stp/>
        <stp>BDH|6466768986103643788</stp>
        <tr r="D39" s="13"/>
      </tp>
      <tp t="e">
        <v>#N/A</v>
        <stp/>
        <stp>BDH|5578192683105133444</stp>
        <tr r="R66" s="18"/>
      </tp>
      <tp t="e">
        <v>#N/A</v>
        <stp/>
        <stp>BDH|8857902880394100036</stp>
        <tr r="G14" s="21"/>
      </tp>
      <tp t="e">
        <v>#N/A</v>
        <stp/>
        <stp>BDH|7560081343729358777</stp>
        <tr r="V101" s="18"/>
      </tp>
      <tp t="e">
        <v>#N/A</v>
        <stp/>
        <stp>BDH|5814957830486468431</stp>
        <tr r="M96" s="18"/>
      </tp>
      <tp t="e">
        <v>#N/A</v>
        <stp/>
        <stp>BDH|2637525338469226044</stp>
        <tr r="R49" s="17"/>
        <tr r="R17" s="3"/>
      </tp>
      <tp t="e">
        <v>#N/A</v>
        <stp/>
        <stp>BDH|6454179657848961776</stp>
        <tr r="P36" s="12"/>
      </tp>
      <tp t="e">
        <v>#N/A</v>
        <stp/>
        <stp>BDH|5251567649338667113</stp>
        <tr r="T37" s="22"/>
      </tp>
      <tp t="e">
        <v>#N/A</v>
        <stp/>
        <stp>BDH|7189778498432424602</stp>
        <tr r="F21" s="21"/>
      </tp>
      <tp t="e">
        <v>#N/A</v>
        <stp/>
        <stp>BDH|9517658196008966358</stp>
        <tr r="K18" s="26"/>
      </tp>
      <tp t="e">
        <v>#N/A</v>
        <stp/>
        <stp>BDH|3785361306949523485</stp>
        <tr r="J11" s="14"/>
      </tp>
      <tp t="e">
        <v>#N/A</v>
        <stp/>
        <stp>BDH|9862462376843298402</stp>
        <tr r="W21" s="27"/>
      </tp>
      <tp t="e">
        <v>#N/A</v>
        <stp/>
        <stp>BDH|2772890691396403812</stp>
        <tr r="U49" s="18"/>
      </tp>
      <tp t="e">
        <v>#N/A</v>
        <stp/>
        <stp>BDH|8782147679302414144</stp>
        <tr r="M57" s="18"/>
      </tp>
      <tp t="e">
        <v>#N/A</v>
        <stp/>
        <stp>BDH|9696471912991914009</stp>
        <tr r="X37" s="24"/>
      </tp>
      <tp t="e">
        <v>#N/A</v>
        <stp/>
        <stp>BDH|5916919226646775531</stp>
        <tr r="M103" s="18"/>
      </tp>
      <tp t="e">
        <v>#N/A</v>
        <stp/>
        <stp>BDH|9314542679545489303</stp>
        <tr r="Q117" s="18"/>
      </tp>
      <tp t="e">
        <v>#N/A</v>
        <stp/>
        <stp>BDH|5548626334909031497</stp>
        <tr r="C21" s="6"/>
      </tp>
      <tp t="e">
        <v>#N/A</v>
        <stp/>
        <stp>BDH|5529736434618047489</stp>
        <tr r="Q66" s="17"/>
      </tp>
      <tp t="e">
        <v>#N/A</v>
        <stp/>
        <stp>BDH|3427526330459866148</stp>
        <tr r="G17" s="22"/>
      </tp>
      <tp t="e">
        <v>#N/A</v>
        <stp/>
        <stp>BDH|6718669994402666694</stp>
        <tr r="O64" s="17"/>
        <tr r="O18" s="3"/>
      </tp>
      <tp t="e">
        <v>#N/A</v>
        <stp/>
        <stp>BDH|6271178580287676594</stp>
        <tr r="H62" s="24"/>
      </tp>
      <tp t="e">
        <v>#N/A</v>
        <stp/>
        <stp>BDH|7157625171242102983</stp>
        <tr r="L105" s="18"/>
      </tp>
      <tp t="e">
        <v>#N/A</v>
        <stp/>
        <stp>BDH|1270463246414071896</stp>
        <tr r="N18" s="9"/>
      </tp>
      <tp t="e">
        <v>#N/A</v>
        <stp/>
        <stp>BDH|2183449480620636385</stp>
        <tr r="J26" s="29"/>
      </tp>
      <tp t="e">
        <v>#N/A</v>
        <stp/>
        <stp>BDH|5423636646183862922</stp>
        <tr r="D43" s="12"/>
      </tp>
      <tp t="e">
        <v>#N/A</v>
        <stp/>
        <stp>BDH|3727233238146179966</stp>
        <tr r="Y38" s="4"/>
        <tr r="Y60" s="11"/>
        <tr r="AA13" s="23"/>
      </tp>
      <tp t="e">
        <v>#N/A</v>
        <stp/>
        <stp>BDH|9855922624368100744</stp>
        <tr r="M60" s="24"/>
      </tp>
      <tp t="e">
        <v>#N/A</v>
        <stp/>
        <stp>BDH|1024623759157805880</stp>
        <tr r="N20" s="10"/>
      </tp>
      <tp t="e">
        <v>#N/A</v>
        <stp/>
        <stp>BDH|6837128541819370734</stp>
        <tr r="N37" s="18"/>
      </tp>
      <tp t="e">
        <v>#N/A</v>
        <stp/>
        <stp>BDH|6721308617041205899</stp>
        <tr r="D11" s="14"/>
      </tp>
      <tp t="e">
        <v>#N/A</v>
        <stp/>
        <stp>BDH|3051780911200421866</stp>
        <tr r="K11" s="21"/>
      </tp>
      <tp t="e">
        <v>#N/A</v>
        <stp/>
        <stp>BDH|7356670299021163471</stp>
        <tr r="S8" s="12"/>
      </tp>
      <tp t="e">
        <v>#N/A</v>
        <stp/>
        <stp>BDH|9610285665456036606</stp>
        <tr r="D43" s="24"/>
      </tp>
      <tp t="e">
        <v>#N/A</v>
        <stp/>
        <stp>BDH|9788906299235018158</stp>
        <tr r="Q7" s="2"/>
        <tr r="Q7" s="5"/>
        <tr r="Q7" s="9"/>
        <tr r="S14" s="3"/>
      </tp>
      <tp t="e">
        <v>#N/A</v>
        <stp/>
        <stp>BDH|6653265458795545966</stp>
        <tr r="Y123" s="18"/>
      </tp>
      <tp t="e">
        <v>#N/A</v>
        <stp/>
        <stp>BDH|7335190922349633056</stp>
        <tr r="P6" s="15"/>
        <tr r="P12" s="2"/>
        <tr r="P11" s="4"/>
        <tr r="P6" s="10"/>
      </tp>
      <tp t="e">
        <v>#N/A</v>
        <stp/>
        <stp>BDH|5339191531743506951</stp>
        <tr r="D13" s="20"/>
      </tp>
      <tp t="e">
        <v>#N/A</v>
        <stp/>
        <stp>BDH|4584836016980835030</stp>
        <tr r="X63" s="11"/>
      </tp>
      <tp t="e">
        <v>#N/A</v>
        <stp/>
        <stp>BDH|9015015153687978602</stp>
        <tr r="R12" s="18"/>
      </tp>
      <tp t="e">
        <v>#N/A</v>
        <stp/>
        <stp>BDH|3725874936097474296</stp>
        <tr r="P15" s="17"/>
        <tr r="P18" s="28"/>
      </tp>
      <tp t="e">
        <v>#N/A</v>
        <stp/>
        <stp>BDH|5582716710597999964</stp>
        <tr r="L19" s="34"/>
      </tp>
      <tp t="e">
        <v>#N/A</v>
        <stp/>
        <stp>BDH|2557820520453950652</stp>
        <tr r="T37" s="17"/>
      </tp>
      <tp t="e">
        <v>#N/A</v>
        <stp/>
        <stp>BDH|1770129303345862852</stp>
        <tr r="P38" s="18"/>
      </tp>
      <tp t="e">
        <v>#N/A</v>
        <stp/>
        <stp>BDH|2872234760633087805</stp>
        <tr r="I16" s="25"/>
        <tr r="G22" s="11"/>
      </tp>
      <tp t="e">
        <v>#N/A</v>
        <stp/>
        <stp>BDH|4207598991984392123</stp>
        <tr r="R18" s="30"/>
      </tp>
      <tp t="e">
        <v>#N/A</v>
        <stp/>
        <stp>BDH|1857419767378217675</stp>
        <tr r="D62" s="11"/>
        <tr r="F19" s="23"/>
      </tp>
      <tp t="e">
        <v>#N/A</v>
        <stp/>
        <stp>BDH|6322933651341919639</stp>
        <tr r="V8" s="4"/>
      </tp>
      <tp t="e">
        <v>#N/A</v>
        <stp/>
        <stp>BDH|3222825984917929961</stp>
        <tr r="I18" s="24"/>
      </tp>
      <tp t="e">
        <v>#N/A</v>
        <stp/>
        <stp>BDH|2027176022965759995</stp>
        <tr r="AA7" s="14"/>
      </tp>
      <tp t="e">
        <v>#N/A</v>
        <stp/>
        <stp>BDH|8880143546799029912</stp>
        <tr r="O94" s="18"/>
      </tp>
      <tp t="e">
        <v>#N/A</v>
        <stp/>
        <stp>BDH|9553502163873533480</stp>
        <tr r="K6" s="28"/>
      </tp>
      <tp t="e">
        <v>#N/A</v>
        <stp/>
        <stp>BDH|9641077476653484082</stp>
        <tr r="D9" s="34"/>
      </tp>
      <tp t="e">
        <v>#N/A</v>
        <stp/>
        <stp>BDH|8936325328876246298</stp>
        <tr r="F7" s="23"/>
      </tp>
      <tp t="e">
        <v>#N/A</v>
        <stp/>
        <stp>BDH|3306292643768718066</stp>
        <tr r="H27" s="26"/>
      </tp>
      <tp t="e">
        <v>#N/A</v>
        <stp/>
        <stp>BDH|9892224157845339664</stp>
        <tr r="E15" s="18"/>
      </tp>
      <tp t="e">
        <v>#N/A</v>
        <stp/>
        <stp>BDH|7082322773236092894</stp>
        <tr r="N40" s="34"/>
      </tp>
      <tp t="e">
        <v>#N/A</v>
        <stp/>
        <stp>BDH|9275180993985888992</stp>
        <tr r="N7" s="4"/>
      </tp>
      <tp t="e">
        <v>#N/A</v>
        <stp/>
        <stp>BDH|5222632549902898884</stp>
        <tr r="Q38" s="18"/>
      </tp>
      <tp t="e">
        <v>#N/A</v>
        <stp/>
        <stp>BDH|5774764295392436487</stp>
        <tr r="C17" s="4"/>
        <tr r="E10" s="3"/>
        <tr r="C52" s="10"/>
        <tr r="C50" s="11"/>
        <tr r="C17" s="7"/>
        <tr r="E37" s="13"/>
      </tp>
      <tp t="e">
        <v>#N/A</v>
        <stp/>
        <stp>BDH|8236563977583343486</stp>
        <tr r="K67" s="24"/>
      </tp>
      <tp t="e">
        <v>#N/A</v>
        <stp/>
        <stp>BDH|7921339315568397040</stp>
        <tr r="I63" s="12"/>
      </tp>
      <tp t="e">
        <v>#N/A</v>
        <stp/>
        <stp>BDH|3440193998010586688</stp>
        <tr r="V103" s="18"/>
      </tp>
      <tp t="e">
        <v>#N/A</v>
        <stp/>
        <stp>BDH|3990559049806516980</stp>
        <tr r="K30" s="24"/>
      </tp>
      <tp t="e">
        <v>#N/A</v>
        <stp/>
        <stp>BDH|6302885692949960383</stp>
        <tr r="E8" s="13"/>
      </tp>
      <tp t="e">
        <v>#N/A</v>
        <stp/>
        <stp>BDH|7628178560815821819</stp>
        <tr r="O125" s="18"/>
      </tp>
      <tp t="e">
        <v>#N/A</v>
        <stp/>
        <stp>BDH|5098873203588855842</stp>
        <tr r="N36" s="10"/>
        <tr r="N34" s="11"/>
      </tp>
      <tp t="e">
        <v>#N/A</v>
        <stp/>
        <stp>BDH|4074275688472774109</stp>
        <tr r="F28" s="18"/>
      </tp>
      <tp t="e">
        <v>#N/A</v>
        <stp/>
        <stp>BDH|6687507399830386747</stp>
        <tr r="L101" s="18"/>
      </tp>
      <tp t="e">
        <v>#N/A</v>
        <stp/>
        <stp>BDH|5266989990288105035</stp>
        <tr r="AA8" s="22"/>
      </tp>
      <tp t="e">
        <v>#N/A</v>
        <stp/>
        <stp>BDH|2384766209350760833</stp>
        <tr r="D8" s="8"/>
      </tp>
      <tp t="e">
        <v>#N/A</v>
        <stp/>
        <stp>BDH|5788418053411480894</stp>
        <tr r="S19" s="18"/>
      </tp>
      <tp t="e">
        <v>#N/A</v>
        <stp/>
        <stp>BDH|2376323593055993036</stp>
        <tr r="R20" s="18"/>
      </tp>
      <tp t="e">
        <v>#N/A</v>
        <stp/>
        <stp>BDH|7798951125790930167</stp>
        <tr r="O28" s="18"/>
      </tp>
      <tp t="e">
        <v>#N/A</v>
        <stp/>
        <stp>BDH|7355277007369829138</stp>
        <tr r="Y48" s="12"/>
      </tp>
      <tp t="e">
        <v>#N/A</v>
        <stp/>
        <stp>BDH|4841573510434201959</stp>
        <tr r="T53" s="10"/>
        <tr r="T51" s="11"/>
        <tr r="T18" s="7"/>
        <tr r="V40" s="13"/>
      </tp>
      <tp t="e">
        <v>#N/A</v>
        <stp/>
        <stp>BDH|5797183340169638414</stp>
        <tr r="Y30" s="17"/>
      </tp>
      <tp t="e">
        <v>#N/A</v>
        <stp/>
        <stp>BDH|4768443072958066296</stp>
        <tr r="AA9" s="17"/>
      </tp>
      <tp t="e">
        <v>#N/A</v>
        <stp/>
        <stp>BDH|2339817239843743747</stp>
        <tr r="Y42" s="12"/>
      </tp>
      <tp t="e">
        <v>#N/A</v>
        <stp/>
        <stp>BDH|3884831163703588359</stp>
        <tr r="M94" s="18"/>
      </tp>
      <tp t="e">
        <v>#N/A</v>
        <stp/>
        <stp>BDH|3918372291631591523</stp>
        <tr r="O77" s="18"/>
      </tp>
      <tp t="e">
        <v>#N/A</v>
        <stp/>
        <stp>BDH|2684995101581448722</stp>
        <tr r="U37" s="21"/>
        <tr r="U24" s="3"/>
      </tp>
      <tp t="e">
        <v>#N/A</v>
        <stp/>
        <stp>BDH|2405222482307990256</stp>
        <tr r="C64" s="12"/>
      </tp>
      <tp t="e">
        <v>#N/A</v>
        <stp/>
        <stp>BDH|5915385559447398937</stp>
        <tr r="N28" s="17"/>
      </tp>
      <tp t="e">
        <v>#N/A</v>
        <stp/>
        <stp>BDH|1203742939459411139</stp>
        <tr r="W37" s="24"/>
      </tp>
      <tp t="e">
        <v>#N/A</v>
        <stp/>
        <stp>BDH|3369739039749976381</stp>
        <tr r="N18" s="20"/>
      </tp>
      <tp t="e">
        <v>#N/A</v>
        <stp/>
        <stp>BDH|1564735607609948211</stp>
        <tr r="AA46" s="24"/>
      </tp>
      <tp t="e">
        <v>#N/A</v>
        <stp/>
        <stp>BDH|3906130523345870887</stp>
        <tr r="L29" s="4"/>
      </tp>
      <tp t="e">
        <v>#N/A</v>
        <stp/>
        <stp>BDH|2325782455408212556</stp>
        <tr r="T21" s="24"/>
      </tp>
      <tp t="e">
        <v>#N/A</v>
        <stp/>
        <stp>BDH|1754863231167164083</stp>
        <tr r="O83" s="18"/>
      </tp>
      <tp t="e">
        <v>#N/A</v>
        <stp/>
        <stp>BDH|7506173298843394100</stp>
        <tr r="F53" s="12"/>
      </tp>
      <tp t="e">
        <v>#N/A</v>
        <stp/>
        <stp>BDH|5504732131615780998</stp>
        <tr r="R40" s="12"/>
      </tp>
      <tp t="e">
        <v>#N/A</v>
        <stp/>
        <stp>BDH|4400522253659886048</stp>
        <tr r="F15" s="21"/>
      </tp>
      <tp t="e">
        <v>#N/A</v>
        <stp/>
        <stp>BDH|9664292875179329803</stp>
        <tr r="J20" s="25"/>
        <tr r="J13" s="27"/>
      </tp>
      <tp t="e">
        <v>#N/A</v>
        <stp/>
        <stp>BDH|5783017883848982858</stp>
        <tr r="H75" s="18"/>
      </tp>
      <tp t="e">
        <v>#N/A</v>
        <stp/>
        <stp>BDH|9669621446441304784</stp>
        <tr r="J24" s="26"/>
        <tr r="H14" s="9"/>
      </tp>
      <tp t="e">
        <v>#N/A</v>
        <stp/>
        <stp>BDH|9562809768518460205</stp>
        <tr r="J70" s="10"/>
        <tr r="J68" s="11"/>
      </tp>
      <tp t="e">
        <v>#N/A</v>
        <stp/>
        <stp>BDH|6048636288666650348</stp>
        <tr r="C14" s="12"/>
      </tp>
      <tp t="e">
        <v>#N/A</v>
        <stp/>
        <stp>BDH|1832876505842519664</stp>
        <tr r="G46" s="34"/>
      </tp>
      <tp t="e">
        <v>#N/A</v>
        <stp/>
        <stp>BDH|4239688315198616600</stp>
        <tr r="J44" s="18"/>
      </tp>
      <tp t="e">
        <v>#N/A</v>
        <stp/>
        <stp>BDH|3920779315651351913</stp>
        <tr r="K17" s="23"/>
      </tp>
      <tp t="e">
        <v>#N/A</v>
        <stp/>
        <stp>BDH|9185718155015542399</stp>
        <tr r="P21" s="17"/>
        <tr r="P15" s="3"/>
      </tp>
      <tp t="e">
        <v>#N/A</v>
        <stp/>
        <stp>BDH|2551495082664780700</stp>
        <tr r="Z62" s="18"/>
      </tp>
      <tp t="e">
        <v>#N/A</v>
        <stp/>
        <stp>BDH|5297832955451968447</stp>
        <tr r="C42" s="18"/>
      </tp>
      <tp t="e">
        <v>#N/A</v>
        <stp/>
        <stp>BDH|6425671187391860458</stp>
        <tr r="O93" s="18"/>
      </tp>
      <tp t="e">
        <v>#N/A</v>
        <stp/>
        <stp>BDH|3549332967438606393</stp>
        <tr r="O14" s="12"/>
      </tp>
      <tp t="e">
        <v>#N/A</v>
        <stp/>
        <stp>BDH|8462982456088178153</stp>
        <tr r="Y33" s="18"/>
      </tp>
      <tp t="e">
        <v>#N/A</v>
        <stp/>
        <stp>BDH|4043762386625995379</stp>
        <tr r="AA21" s="18"/>
      </tp>
      <tp t="e">
        <v>#N/A</v>
        <stp/>
        <stp>BDH|4440455677483126997</stp>
        <tr r="X57" s="12"/>
      </tp>
      <tp t="e">
        <v>#N/A</v>
        <stp/>
        <stp>BDH|9876634130601251073</stp>
        <tr r="R65" s="12"/>
      </tp>
      <tp t="e">
        <v>#N/A</v>
        <stp/>
        <stp>BDH|2051033620514852954</stp>
        <tr r="Q43" s="21"/>
      </tp>
      <tp t="e">
        <v>#N/A</v>
        <stp/>
        <stp>BDH|3899359327049703635</stp>
        <tr r="H23" s="11"/>
      </tp>
      <tp t="e">
        <v>#N/A</v>
        <stp/>
        <stp>BDH|3884506591461798306</stp>
        <tr r="D106" s="18"/>
      </tp>
      <tp t="e">
        <v>#N/A</v>
        <stp/>
        <stp>BDH|8286771741827964133</stp>
        <tr r="O42" s="18"/>
      </tp>
      <tp t="e">
        <v>#N/A</v>
        <stp/>
        <stp>BDH|4874644556679407301</stp>
        <tr r="J12" s="24"/>
      </tp>
      <tp t="e">
        <v>#N/A</v>
        <stp/>
        <stp>BDH|2325807054737178581</stp>
        <tr r="N19" s="9"/>
      </tp>
      <tp t="e">
        <v>#N/A</v>
        <stp/>
        <stp>BDH|7918142516343111945</stp>
        <tr r="D18" s="34"/>
      </tp>
      <tp t="e">
        <v>#N/A</v>
        <stp/>
        <stp>BDH|9260788106832149136</stp>
        <tr r="Z6" s="19"/>
        <tr r="Z34" s="17"/>
        <tr r="Z16" s="3"/>
      </tp>
      <tp t="e">
        <v>#N/A</v>
        <stp/>
        <stp>BDH|5326468880863377782</stp>
        <tr r="L58" s="18"/>
      </tp>
      <tp t="e">
        <v>#N/A</v>
        <stp/>
        <stp>BDH|7375581478358975044</stp>
        <tr r="Q50" s="18"/>
      </tp>
      <tp t="e">
        <v>#N/A</v>
        <stp/>
        <stp>BDH|4884616872028007058</stp>
        <tr r="S52" s="24"/>
      </tp>
      <tp t="e">
        <v>#N/A</v>
        <stp/>
        <stp>BDH|8947015739905631392</stp>
        <tr r="X11" s="9"/>
      </tp>
      <tp t="e">
        <v>#N/A</v>
        <stp/>
        <stp>BDH|7834743400685697846</stp>
        <tr r="N29" s="18"/>
      </tp>
      <tp t="e">
        <v>#N/A</v>
        <stp/>
        <stp>BDH|1299895652681250057</stp>
        <tr r="X29" s="29"/>
        <tr r="X7" s="29"/>
      </tp>
      <tp t="e">
        <v>#N/A</v>
        <stp/>
        <stp>BDH|8770380881077984994</stp>
        <tr r="F20" s="10"/>
      </tp>
      <tp t="e">
        <v>#N/A</v>
        <stp/>
        <stp>BDH|8430001450671210188</stp>
        <tr r="R122" s="18"/>
      </tp>
      <tp t="e">
        <v>#N/A</v>
        <stp/>
        <stp>BDH|3356969215492917474</stp>
        <tr r="Q15" s="9"/>
      </tp>
      <tp t="e">
        <v>#N/A</v>
        <stp/>
        <stp>BDH|2220704993147895672</stp>
        <tr r="G16" s="10"/>
      </tp>
      <tp t="e">
        <v>#N/A</v>
        <stp/>
        <stp>BDH|1706635680881242385</stp>
        <tr r="U45" s="12"/>
      </tp>
      <tp t="e">
        <v>#N/A</v>
        <stp/>
        <stp>BDH|6452782198810927532</stp>
        <tr r="O84" s="18"/>
      </tp>
      <tp t="e">
        <v>#N/A</v>
        <stp/>
        <stp>BDH|5133328749246741932</stp>
        <tr r="E99" s="18"/>
      </tp>
      <tp t="e">
        <v>#N/A</v>
        <stp/>
        <stp>BDH|4349379514308891369</stp>
        <tr r="W11" s="13"/>
      </tp>
      <tp t="e">
        <v>#N/A</v>
        <stp/>
        <stp>BDH|6887906217086786568</stp>
        <tr r="C98" s="18"/>
      </tp>
      <tp t="e">
        <v>#N/A</v>
        <stp/>
        <stp>BDH|5735181694647322777</stp>
        <tr r="S37" s="10"/>
        <tr r="S35" s="11"/>
      </tp>
      <tp t="e">
        <v>#N/A</v>
        <stp/>
        <stp>BDH|9700682782492655842</stp>
        <tr r="F43" s="17"/>
      </tp>
      <tp t="e">
        <v>#N/A</v>
        <stp/>
        <stp>BDH|5226863128511325306</stp>
        <tr r="F18" s="23"/>
      </tp>
      <tp t="e">
        <v>#N/A</v>
        <stp/>
        <stp>BDH|6406285495062620204</stp>
        <tr r="J101" s="18"/>
      </tp>
      <tp t="e">
        <v>#N/A</v>
        <stp/>
        <stp>BDH|2849968255893521015</stp>
        <tr r="O59" s="17"/>
      </tp>
      <tp t="e">
        <v>#N/A</v>
        <stp/>
        <stp>BDH|4802974354824402109</stp>
        <tr r="Z32" s="17"/>
      </tp>
      <tp t="e">
        <v>#N/A</v>
        <stp/>
        <stp>BDH|7359393827039046226</stp>
        <tr r="F33" s="18"/>
      </tp>
      <tp t="e">
        <v>#N/A</v>
        <stp/>
        <stp>BDH|5040615371670921961</stp>
        <tr r="AA63" s="21"/>
        <tr r="Y23" s="7"/>
      </tp>
      <tp t="e">
        <v>#N/A</v>
        <stp/>
        <stp>BDH|3509926976850785092</stp>
        <tr r="S16" s="6"/>
      </tp>
      <tp t="e">
        <v>#N/A</v>
        <stp/>
        <stp>BDH|2931077484980437719</stp>
        <tr r="Q39" s="18"/>
      </tp>
      <tp t="e">
        <v>#N/A</v>
        <stp/>
        <stp>BDH|5876925971823397574</stp>
        <tr r="E32" s="12"/>
      </tp>
      <tp t="e">
        <v>#N/A</v>
        <stp/>
        <stp>BDH|6145507768709224140</stp>
        <tr r="E54" s="17"/>
      </tp>
      <tp t="e">
        <v>#N/A</v>
        <stp/>
        <stp>BDH|1251041860328107281</stp>
        <tr r="U21" s="21"/>
      </tp>
      <tp t="e">
        <v>#N/A</v>
        <stp/>
        <stp>BDH|2761245235759989704</stp>
        <tr r="G42" s="18"/>
      </tp>
      <tp t="e">
        <v>#N/A</v>
        <stp/>
        <stp>BDH|2661197792153540479</stp>
        <tr r="AA65" s="18"/>
      </tp>
      <tp t="e">
        <v>#N/A</v>
        <stp/>
        <stp>BDH|9461927512134251899</stp>
        <tr r="H14" s="21"/>
      </tp>
      <tp t="e">
        <v>#N/A</v>
        <stp/>
        <stp>BDH|5322047209788393027</stp>
        <tr r="J87" s="18"/>
        <tr r="J7" s="20"/>
      </tp>
      <tp t="e">
        <v>#N/A</v>
        <stp/>
        <stp>BDH|3889245846009301162</stp>
        <tr r="W18" s="13"/>
      </tp>
      <tp t="e">
        <v>#N/A</v>
        <stp/>
        <stp>BDH|2664387660989510346</stp>
        <tr r="O24" s="11"/>
      </tp>
      <tp t="e">
        <v>#N/A</v>
        <stp/>
        <stp>BDH|4992247653639952783</stp>
        <tr r="K8" s="2"/>
      </tp>
      <tp t="e">
        <v>#N/A</v>
        <stp/>
        <stp>BDH|9402963751339598197</stp>
        <tr r="O14" s="18"/>
      </tp>
      <tp t="e">
        <v>#N/A</v>
        <stp/>
        <stp>BDH|2158354699536509345</stp>
        <tr r="H56" s="18"/>
      </tp>
      <tp t="e">
        <v>#N/A</v>
        <stp/>
        <stp>BDH|4577199819499192083</stp>
        <tr r="C61" s="12"/>
      </tp>
      <tp t="e">
        <v>#N/A</v>
        <stp/>
        <stp>BDH|9155598341606422319</stp>
        <tr r="X38" s="17"/>
      </tp>
      <tp t="e">
        <v>#N/A</v>
        <stp/>
        <stp>BDH|4355514584066215280</stp>
        <tr r="W43" s="17"/>
      </tp>
      <tp t="e">
        <v>#N/A</v>
        <stp/>
        <stp>BDH|1657020023449867734</stp>
        <tr r="F28" s="5"/>
      </tp>
      <tp t="e">
        <v>#N/A</v>
        <stp/>
        <stp>BDH|3589786685570088140</stp>
        <tr r="G60" s="10"/>
      </tp>
      <tp t="e">
        <v>#N/A</v>
        <stp/>
        <stp>BDH|4500313483132849035</stp>
        <tr r="P27" s="17"/>
      </tp>
      <tp t="e">
        <v>#N/A</v>
        <stp/>
        <stp>BDH|3033807369690692039</stp>
        <tr r="Y12" s="30"/>
      </tp>
      <tp t="e">
        <v>#N/A</v>
        <stp/>
        <stp>BDH|4117387442717606914</stp>
        <tr r="M91" s="18"/>
      </tp>
      <tp t="e">
        <v>#N/A</v>
        <stp/>
        <stp>BDH|2238318468302659818</stp>
        <tr r="J52" s="24"/>
      </tp>
      <tp t="e">
        <v>#N/A</v>
        <stp/>
        <stp>BDH|1415928062912812104</stp>
        <tr r="H17" s="10"/>
      </tp>
      <tp t="e">
        <v>#N/A</v>
        <stp/>
        <stp>BDH|1951372893616109004</stp>
        <tr r="Y70" s="24"/>
      </tp>
      <tp t="e">
        <v>#N/A</v>
        <stp/>
        <stp>BDH|2114126040979821379</stp>
        <tr r="I12" s="20"/>
      </tp>
      <tp t="e">
        <v>#N/A</v>
        <stp/>
        <stp>BDH|8004428090891851960</stp>
        <tr r="D27" s="17"/>
      </tp>
      <tp t="e">
        <v>#N/A</v>
        <stp/>
        <stp>BDH|3634734555315823942</stp>
        <tr r="V42" s="4"/>
      </tp>
      <tp t="e">
        <v>#N/A</v>
        <stp/>
        <stp>BDH|8333752888492268804</stp>
        <tr r="R30" s="9"/>
      </tp>
      <tp t="e">
        <v>#N/A</v>
        <stp/>
        <stp>BDH|1040811727960326698</stp>
        <tr r="Y45" s="12"/>
      </tp>
      <tp t="e">
        <v>#N/A</v>
        <stp/>
        <stp>BDH|4828803024102309138</stp>
        <tr r="X18" s="5"/>
        <tr r="W31" s="6"/>
      </tp>
      <tp t="e">
        <v>#N/A</v>
        <stp/>
        <stp>BDH|8698501038843580070</stp>
        <tr r="C44" s="34"/>
      </tp>
      <tp t="e">
        <v>#N/A</v>
        <stp/>
        <stp>BDH|9486581199979998101</stp>
        <tr r="P22" s="10"/>
      </tp>
      <tp t="e">
        <v>#N/A</v>
        <stp/>
        <stp>BDH|9480790279131164595</stp>
        <tr r="M9" s="21"/>
      </tp>
      <tp t="e">
        <v>#N/A</v>
        <stp/>
        <stp>BDH|4956502124747080912</stp>
        <tr r="P31" s="21"/>
      </tp>
      <tp t="e">
        <v>#N/A</v>
        <stp/>
        <stp>BDH|9969763099778203288</stp>
        <tr r="L64" s="10"/>
      </tp>
      <tp t="e">
        <v>#N/A</v>
        <stp/>
        <stp>BDH|8089110249273242364</stp>
        <tr r="P27" s="6"/>
      </tp>
      <tp t="e">
        <v>#N/A</v>
        <stp/>
        <stp>BDH|7931246483289592974</stp>
        <tr r="N15" s="6"/>
      </tp>
      <tp t="e">
        <v>#N/A</v>
        <stp/>
        <stp>BDH|3528988941424744777</stp>
        <tr r="W66" s="10"/>
        <tr r="W64" s="11"/>
        <tr r="W20" s="7"/>
      </tp>
      <tp t="e">
        <v>#N/A</v>
        <stp/>
        <stp>BDH|8514209758563732163</stp>
        <tr r="K18" s="18"/>
      </tp>
      <tp t="e">
        <v>#N/A</v>
        <stp/>
        <stp>BDH|9857337209766981170</stp>
        <tr r="Q17" s="23"/>
      </tp>
      <tp t="e">
        <v>#N/A</v>
        <stp/>
        <stp>BDH|5807965032817615561</stp>
        <tr r="I21" s="27"/>
      </tp>
      <tp t="e">
        <v>#N/A</v>
        <stp/>
        <stp>BDH|9942694539896262773</stp>
        <tr r="T86" s="17"/>
      </tp>
      <tp t="e">
        <v>#N/A</v>
        <stp/>
        <stp>BDH|7622289865767223953</stp>
        <tr r="C11" s="14"/>
      </tp>
      <tp t="e">
        <v>#N/A</v>
        <stp/>
        <stp>BDH|7850218714440822997</stp>
        <tr r="I6" s="6"/>
      </tp>
      <tp t="e">
        <v>#N/A</v>
        <stp/>
        <stp>BDH|5417150691963449380</stp>
        <tr r="C8" s="28"/>
      </tp>
      <tp t="e">
        <v>#N/A</v>
        <stp/>
        <stp>BDH|7259874118890440353</stp>
        <tr r="X21" s="27"/>
      </tp>
      <tp t="e">
        <v>#N/A</v>
        <stp/>
        <stp>BDH|4739016437142942851</stp>
        <tr r="J46" s="4"/>
        <tr r="J25" s="10"/>
        <tr r="L27" s="13"/>
      </tp>
      <tp t="e">
        <v>#N/A</v>
        <stp/>
        <stp>BDH|3375322681472426793</stp>
        <tr r="AA24" s="26"/>
        <tr r="Y14" s="9"/>
      </tp>
      <tp t="e">
        <v>#N/A</v>
        <stp/>
        <stp>BDH|6190319206399266195</stp>
        <tr r="K31" s="25"/>
      </tp>
      <tp t="e">
        <v>#N/A</v>
        <stp/>
        <stp>BDH|5019741038725900987</stp>
        <tr r="M11" s="3"/>
        <tr r="K46" s="10"/>
        <tr r="K44" s="11"/>
        <tr r="K8" s="7"/>
      </tp>
      <tp t="e">
        <v>#N/A</v>
        <stp/>
        <stp>BDH|8201703851804732398</stp>
        <tr r="L16" s="21"/>
      </tp>
      <tp t="e">
        <v>#N/A</v>
        <stp/>
        <stp>BDH|9148713057365369390</stp>
        <tr r="Q41" s="21"/>
      </tp>
      <tp t="e">
        <v>#N/A</v>
        <stp/>
        <stp>BDH|9859423225023178133</stp>
        <tr r="R12" s="14"/>
      </tp>
      <tp t="e">
        <v>#N/A</v>
        <stp/>
        <stp>BDH|5910817263354255242</stp>
        <tr r="V43" s="17"/>
      </tp>
      <tp t="e">
        <v>#N/A</v>
        <stp/>
        <stp>BDH|4844562932529684679</stp>
        <tr r="F11" s="6"/>
      </tp>
      <tp t="e">
        <v>#N/A</v>
        <stp/>
        <stp>BDH|1035501693751856165</stp>
        <tr r="R36" s="22"/>
      </tp>
      <tp t="e">
        <v>#N/A</v>
        <stp/>
        <stp>BDH|3471185293694756254</stp>
        <tr r="N9" s="11"/>
      </tp>
      <tp t="e">
        <v>#N/A</v>
        <stp/>
        <stp>BDH|9959213259925886643</stp>
        <tr r="S43" s="21"/>
      </tp>
      <tp t="e">
        <v>#N/A</v>
        <stp/>
        <stp>BDH|5553867678980491725</stp>
        <tr r="D25" s="25"/>
        <tr r="D18" s="27"/>
      </tp>
      <tp t="e">
        <v>#N/A</v>
        <stp/>
        <stp>BDH|9511760943935566289</stp>
        <tr r="I91" s="17"/>
      </tp>
      <tp t="e">
        <v>#N/A</v>
        <stp/>
        <stp>BDH|3629856558945432628</stp>
        <tr r="C123" s="18"/>
      </tp>
      <tp t="e">
        <v>#N/A</v>
        <stp/>
        <stp>BDH|7193722552669552191</stp>
        <tr r="X21" s="10"/>
      </tp>
      <tp t="e">
        <v>#N/A</v>
        <stp/>
        <stp>BDH|9330447253162146788</stp>
        <tr r="W97" s="18"/>
      </tp>
      <tp t="e">
        <v>#N/A</v>
        <stp/>
        <stp>BDH|1614925089149884485</stp>
        <tr r="N61" s="17"/>
      </tp>
      <tp t="e">
        <v>#N/A</v>
        <stp/>
        <stp>BDH|4535389512759252200</stp>
        <tr r="U36" s="22"/>
      </tp>
      <tp t="e">
        <v>#N/A</v>
        <stp/>
        <stp>BDH|9735565416906258682</stp>
        <tr r="S16" s="21"/>
      </tp>
      <tp t="e">
        <v>#N/A</v>
        <stp/>
        <stp>BDH|9437057424647091180</stp>
        <tr r="L59" s="17"/>
      </tp>
      <tp t="e">
        <v>#N/A</v>
        <stp/>
        <stp>BDH|1752742669388363549</stp>
        <tr r="S52" s="17"/>
      </tp>
      <tp t="e">
        <v>#N/A</v>
        <stp/>
        <stp>BDH|8075159566924999675</stp>
        <tr r="G94" s="18"/>
      </tp>
      <tp t="e">
        <v>#N/A</v>
        <stp/>
        <stp>BDH|8546066610505990174</stp>
        <tr r="D7" s="23"/>
      </tp>
      <tp t="e">
        <v>#N/A</v>
        <stp/>
        <stp>BDH|8331289400100206741</stp>
        <tr r="K36" s="22"/>
      </tp>
      <tp t="e">
        <v>#N/A</v>
        <stp/>
        <stp>BDH|7430298013548701143</stp>
        <tr r="T93" s="18"/>
      </tp>
      <tp t="e">
        <v>#N/A</v>
        <stp/>
        <stp>BDH|4000398789663956144</stp>
        <tr r="Q56" s="18"/>
      </tp>
      <tp t="e">
        <v>#N/A</v>
        <stp/>
        <stp>BDH|5388323886112925136</stp>
        <tr r="G71" s="18"/>
      </tp>
      <tp t="e">
        <v>#N/A</v>
        <stp/>
        <stp>BDH|7591899535374486505</stp>
        <tr r="M47" s="24"/>
      </tp>
      <tp t="e">
        <v>#N/A</v>
        <stp/>
        <stp>BDH|9764008379762260111</stp>
        <tr r="G21" s="4"/>
      </tp>
      <tp t="e">
        <v>#N/A</v>
        <stp/>
        <stp>BDH|9017416063394441241</stp>
        <tr r="J43" s="10"/>
        <tr r="J41" s="11"/>
      </tp>
      <tp t="e">
        <v>#N/A</v>
        <stp/>
        <stp>BDH|5043704920175135832</stp>
        <tr r="I20" s="30"/>
      </tp>
      <tp t="e">
        <v>#N/A</v>
        <stp/>
        <stp>BDH|6476622953610428832</stp>
        <tr r="Z124" s="18"/>
      </tp>
      <tp t="e">
        <v>#N/A</v>
        <stp/>
        <stp>BDH|7653634673722156950</stp>
        <tr r="J38" s="6"/>
      </tp>
      <tp t="e">
        <v>#N/A</v>
        <stp/>
        <stp>BDH|4496630581160786733</stp>
        <tr r="R32" s="12"/>
      </tp>
      <tp t="e">
        <v>#N/A</v>
        <stp/>
        <stp>BDH|3319564157036441842</stp>
        <tr r="R30" s="21"/>
      </tp>
      <tp t="e">
        <v>#N/A</v>
        <stp/>
        <stp>BDH|4885715398871460671</stp>
        <tr r="O72" s="18"/>
      </tp>
      <tp t="e">
        <v>#N/A</v>
        <stp/>
        <stp>BDH|8570191435216309186</stp>
        <tr r="M17" s="9"/>
      </tp>
      <tp t="e">
        <v>#N/A</v>
        <stp/>
        <stp>BDH|5172652063550536806</stp>
        <tr r="V17" s="20"/>
      </tp>
      <tp t="e">
        <v>#N/A</v>
        <stp/>
        <stp>BDH|6561775540361305934</stp>
        <tr r="H40" s="24"/>
      </tp>
      <tp t="e">
        <v>#N/A</v>
        <stp/>
        <stp>BDH|7872189895480075279</stp>
        <tr r="R70" s="24"/>
      </tp>
      <tp t="e">
        <v>#N/A</v>
        <stp/>
        <stp>BDH|9619499838100099354</stp>
        <tr r="M10" s="24"/>
      </tp>
      <tp t="e">
        <v>#N/A</v>
        <stp/>
        <stp>BDH|9833993177328219266</stp>
        <tr r="X78" s="18"/>
      </tp>
      <tp t="e">
        <v>#N/A</v>
        <stp/>
        <stp>BDH|2718090883520807773</stp>
        <tr r="O21" s="27"/>
      </tp>
      <tp t="e">
        <v>#N/A</v>
        <stp/>
        <stp>BDH|5311402995295169050</stp>
        <tr r="P84" s="17"/>
      </tp>
      <tp t="e">
        <v>#N/A</v>
        <stp/>
        <stp>BDH|9138630036286030764</stp>
        <tr r="N92" s="18"/>
      </tp>
      <tp t="e">
        <v>#N/A</v>
        <stp/>
        <stp>BDH|4350124083020350032</stp>
        <tr r="D66" s="18"/>
      </tp>
      <tp t="e">
        <v>#N/A</v>
        <stp/>
        <stp>BDH|9565457247731393567</stp>
        <tr r="F54" s="12"/>
      </tp>
      <tp t="e">
        <v>#N/A</v>
        <stp/>
        <stp>BDH|5414102492202323278</stp>
        <tr r="Z18" s="23"/>
      </tp>
      <tp t="e">
        <v>#N/A</v>
        <stp/>
        <stp>BDH|6412969811271503241</stp>
        <tr r="F13" s="14"/>
      </tp>
      <tp t="e">
        <v>#N/A</v>
        <stp/>
        <stp>BDH|1699951034326184048</stp>
        <tr r="Z115" s="18"/>
      </tp>
      <tp t="e">
        <v>#N/A</v>
        <stp/>
        <stp>BDH|2444618089291954070</stp>
        <tr r="W25" s="4"/>
        <tr r="W61" s="10"/>
      </tp>
      <tp t="e">
        <v>#N/A</v>
        <stp/>
        <stp>BDH|8193109164380686216</stp>
        <tr r="U62" s="11"/>
        <tr r="W19" s="23"/>
      </tp>
      <tp t="e">
        <v>#N/A</v>
        <stp/>
        <stp>BDH|4352817309935038495</stp>
        <tr r="F20" s="25"/>
        <tr r="F13" s="27"/>
      </tp>
      <tp t="e">
        <v>#N/A</v>
        <stp/>
        <stp>BDH|5485214866178627470</stp>
        <tr r="Y85" s="17"/>
      </tp>
      <tp t="e">
        <v>#N/A</v>
        <stp/>
        <stp>BDH|2498623192334434425</stp>
        <tr r="L20" s="22"/>
      </tp>
      <tp t="e">
        <v>#N/A</v>
        <stp/>
        <stp>BDH|3958138059563438955</stp>
        <tr r="M39" s="12"/>
      </tp>
      <tp t="e">
        <v>#N/A</v>
        <stp/>
        <stp>BDH|5746764980466154130</stp>
        <tr r="W49" s="10"/>
        <tr r="W47" s="11"/>
        <tr r="W16" s="7"/>
      </tp>
      <tp t="e">
        <v>#N/A</v>
        <stp/>
        <stp>BDH|3872847819060393758</stp>
        <tr r="Q54" s="17"/>
      </tp>
      <tp t="e">
        <v>#N/A</v>
        <stp/>
        <stp>BDH|4846946477400012787</stp>
        <tr r="F43" s="18"/>
      </tp>
      <tp t="e">
        <v>#N/A</v>
        <stp/>
        <stp>BDH|1997349079031687918</stp>
        <tr r="U79" s="18"/>
      </tp>
      <tp t="e">
        <v>#N/A</v>
        <stp/>
        <stp>BDH|9928898607729585515</stp>
        <tr r="J35" s="21"/>
      </tp>
      <tp t="e">
        <v>#N/A</v>
        <stp/>
        <stp>BDH|7518022070569114457</stp>
        <tr r="U18" s="13"/>
      </tp>
      <tp t="e">
        <v>#N/A</v>
        <stp/>
        <stp>BDH|9676351580786220923</stp>
        <tr r="I8" s="10"/>
      </tp>
      <tp t="e">
        <v>#N/A</v>
        <stp/>
        <stp>BDH|1239289528949150505</stp>
        <tr r="X16" s="21"/>
      </tp>
      <tp t="e">
        <v>#N/A</v>
        <stp/>
        <stp>BDH|7691334452139663528</stp>
        <tr r="O10" s="22"/>
      </tp>
      <tp t="e">
        <v>#N/A</v>
        <stp/>
        <stp>BDH|4068241614158446277</stp>
        <tr r="L43" s="17"/>
      </tp>
      <tp t="e">
        <v>#N/A</v>
        <stp/>
        <stp>BDH|8155266291269371762</stp>
        <tr r="U63" s="18"/>
      </tp>
      <tp t="e">
        <v>#N/A</v>
        <stp/>
        <stp>BDH|6317722965992388846</stp>
        <tr r="V16" s="25"/>
        <tr r="T22" s="11"/>
      </tp>
      <tp t="e">
        <v>#N/A</v>
        <stp/>
        <stp>BDH|1701724642318030743</stp>
        <tr r="P53" s="18"/>
      </tp>
      <tp t="e">
        <v>#N/A</v>
        <stp/>
        <stp>BDH|9157762222341768014</stp>
        <tr r="M15" s="11"/>
      </tp>
      <tp t="e">
        <v>#N/A</v>
        <stp/>
        <stp>BDH|9008632436208016967</stp>
        <tr r="K103" s="18"/>
      </tp>
      <tp t="e">
        <v>#N/A</v>
        <stp/>
        <stp>BDH|6230306173149157638</stp>
        <tr r="J45" s="18"/>
      </tp>
      <tp t="e">
        <v>#N/A</v>
        <stp/>
        <stp>BDH|5207463836579877699</stp>
        <tr r="Y70" s="10"/>
        <tr r="Y68" s="11"/>
      </tp>
      <tp t="e">
        <v>#N/A</v>
        <stp/>
        <stp>BDH|5155859237786237520</stp>
        <tr r="C19" s="6"/>
      </tp>
      <tp t="e">
        <v>#N/A</v>
        <stp/>
        <stp>BDH|2648132385416407079</stp>
        <tr r="O81" s="17"/>
      </tp>
      <tp t="e">
        <v>#N/A</v>
        <stp/>
        <stp>BDH|1898738948659892684</stp>
        <tr r="T6" s="15"/>
        <tr r="T12" s="2"/>
        <tr r="T11" s="4"/>
        <tr r="T6" s="10"/>
      </tp>
      <tp t="e">
        <v>#N/A</v>
        <stp/>
        <stp>BDH|2680636244805795855</stp>
        <tr r="C39" s="34"/>
      </tp>
      <tp t="e">
        <v>#N/A</v>
        <stp/>
        <stp>BDH|9798603703096594429</stp>
        <tr r="I126" s="18"/>
      </tp>
      <tp t="e">
        <v>#N/A</v>
        <stp/>
        <stp>BDH|4400091942939575492</stp>
        <tr r="Z112" s="18"/>
      </tp>
      <tp t="e">
        <v>#N/A</v>
        <stp/>
        <stp>BDH|1778988348424069541</stp>
        <tr r="U11" s="14"/>
      </tp>
      <tp t="e">
        <v>#N/A</v>
        <stp/>
        <stp>BDH|3223967473989727932</stp>
        <tr r="V20" s="10"/>
      </tp>
      <tp t="e">
        <v>#N/A</v>
        <stp/>
        <stp>BDH|4225759184364955292</stp>
        <tr r="J18" s="13"/>
      </tp>
      <tp t="e">
        <v>#N/A</v>
        <stp/>
        <stp>BDH|8555638037120340017</stp>
        <tr r="Q38" s="22"/>
      </tp>
      <tp t="e">
        <v>#N/A</v>
        <stp/>
        <stp>BDH|5820150408099752018</stp>
        <tr r="W55" s="12"/>
      </tp>
      <tp t="e">
        <v>#N/A</v>
        <stp/>
        <stp>BDH|3246818711962493552</stp>
        <tr r="P11" s="29"/>
      </tp>
      <tp t="e">
        <v>#N/A</v>
        <stp/>
        <stp>BDH|6127835514386599403</stp>
        <tr r="F38" s="4"/>
        <tr r="F60" s="11"/>
        <tr r="H13" s="23"/>
      </tp>
      <tp t="e">
        <v>#N/A</v>
        <stp/>
        <stp>BDH|4134302732471719845</stp>
        <tr r="L9" s="2"/>
        <tr r="N8" s="25"/>
        <tr r="L10" s="5"/>
      </tp>
      <tp t="e">
        <v>#N/A</v>
        <stp/>
        <stp>BDH|3740842376746053754</stp>
        <tr r="T48" s="21"/>
      </tp>
      <tp t="e">
        <v>#N/A</v>
        <stp/>
        <stp>BDH|5847386614013365974</stp>
        <tr r="J16" s="12"/>
      </tp>
      <tp t="e">
        <v>#N/A</v>
        <stp/>
        <stp>BDH|6954344094555171480</stp>
        <tr r="H32" s="10"/>
        <tr r="H44" s="10"/>
        <tr r="H30" s="11"/>
        <tr r="H42" s="11"/>
      </tp>
      <tp t="e">
        <v>#N/A</v>
        <stp/>
        <stp>BDH|4037777137169811486</stp>
        <tr r="W36" s="18"/>
      </tp>
      <tp t="e">
        <v>#N/A</v>
        <stp/>
        <stp>BDH|4651012990419514920</stp>
        <tr r="AA21" s="26"/>
      </tp>
      <tp t="e">
        <v>#N/A</v>
        <stp/>
        <stp>BDH|2099826193968947680</stp>
        <tr r="D62" s="21"/>
      </tp>
      <tp t="e">
        <v>#N/A</v>
        <stp/>
        <stp>BDH|7879880934253663226</stp>
        <tr r="N52" s="18"/>
      </tp>
      <tp t="e">
        <v>#N/A</v>
        <stp/>
        <stp>BDH|8857898491987590358</stp>
        <tr r="R23" s="25"/>
        <tr r="R16" s="27"/>
      </tp>
      <tp t="e">
        <v>#N/A</v>
        <stp/>
        <stp>BDH|2075843135563030716</stp>
        <tr r="V78" s="18"/>
      </tp>
      <tp t="e">
        <v>#N/A</v>
        <stp/>
        <stp>BDH|4752319081536792404</stp>
        <tr r="AA70" s="17"/>
      </tp>
      <tp t="e">
        <v>#N/A</v>
        <stp/>
        <stp>BDH|1671273689687063180</stp>
        <tr r="N96" s="18"/>
      </tp>
      <tp t="e">
        <v>#N/A</v>
        <stp/>
        <stp>BDH|6702130464524399838</stp>
        <tr r="E18" s="22"/>
      </tp>
      <tp t="e">
        <v>#N/A</v>
        <stp/>
        <stp>BDH|8125474036774231625</stp>
        <tr r="M39" s="24"/>
      </tp>
      <tp t="e">
        <v>#N/A</v>
        <stp/>
        <stp>BDH|3380310549198967128</stp>
        <tr r="D128" s="18"/>
      </tp>
      <tp t="e">
        <v>#N/A</v>
        <stp/>
        <stp>BDH|2377757153595268875</stp>
        <tr r="W65" s="12"/>
      </tp>
      <tp t="e">
        <v>#N/A</v>
        <stp/>
        <stp>BDH|7041743342088444125</stp>
        <tr r="S81" s="17"/>
      </tp>
      <tp t="e">
        <v>#N/A</v>
        <stp/>
        <stp>BDH|2179737016950599918</stp>
        <tr r="I24" s="10"/>
      </tp>
      <tp t="e">
        <v>#N/A</v>
        <stp/>
        <stp>BDH|4177465936637488954</stp>
        <tr r="E14" s="2"/>
        <tr r="E11" s="10"/>
      </tp>
      <tp t="e">
        <v>#N/A</v>
        <stp/>
        <stp>BDH|9109266901385095364</stp>
        <tr r="Z20" s="18"/>
      </tp>
      <tp t="e">
        <v>#N/A</v>
        <stp/>
        <stp>BDH|4102915686699224149</stp>
        <tr r="I32" s="18"/>
      </tp>
      <tp t="e">
        <v>#N/A</v>
        <stp/>
        <stp>BDH|8405019268544514786</stp>
        <tr r="D114" s="18"/>
      </tp>
      <tp t="e">
        <v>#N/A</v>
        <stp/>
        <stp>BDH|2460841927830269552</stp>
        <tr r="H12" s="14"/>
      </tp>
      <tp t="e">
        <v>#N/A</v>
        <stp/>
        <stp>BDH|7645724222866327950</stp>
        <tr r="Q46" s="17"/>
      </tp>
      <tp t="e">
        <v>#N/A</v>
        <stp/>
        <stp>BDH|3092820631607247211</stp>
        <tr r="G17" s="11"/>
      </tp>
      <tp t="e">
        <v>#N/A</v>
        <stp/>
        <stp>BDH|5862295056899494638</stp>
        <tr r="X121" s="18"/>
      </tp>
      <tp t="e">
        <v>#N/A</v>
        <stp/>
        <stp>BDH|8677518022667051550</stp>
        <tr r="S53" s="10"/>
        <tr r="S51" s="11"/>
        <tr r="S18" s="7"/>
        <tr r="U40" s="13"/>
      </tp>
      <tp t="e">
        <v>#N/A</v>
        <stp/>
        <stp>BDH|2542716288147599796</stp>
        <tr r="Y88" s="17"/>
      </tp>
      <tp t="e">
        <v>#N/A</v>
        <stp/>
        <stp>BDH|1116474652598181554</stp>
        <tr r="E14" s="20"/>
      </tp>
      <tp t="e">
        <v>#N/A</v>
        <stp/>
        <stp>BDH|3406262183495226138</stp>
        <tr r="V82" s="17"/>
      </tp>
      <tp t="e">
        <v>#N/A</v>
        <stp/>
        <stp>BDH|4171312352068690743</stp>
        <tr r="AA40" s="24"/>
      </tp>
      <tp t="e">
        <v>#N/A</v>
        <stp/>
        <stp>BDH|3485120867629379026</stp>
        <tr r="V87" s="17"/>
        <tr r="V27" s="25"/>
      </tp>
      <tp t="e">
        <v>#N/A</v>
        <stp/>
        <stp>BDH|2087555272735567823</stp>
        <tr r="I28" s="6"/>
      </tp>
      <tp t="e">
        <v>#N/A</v>
        <stp/>
        <stp>BDH|6528879341035036237</stp>
        <tr r="K16" s="14"/>
      </tp>
      <tp t="e">
        <v>#N/A</v>
        <stp/>
        <stp>BDH|9028107417346292250</stp>
        <tr r="F58" s="18"/>
      </tp>
      <tp t="e">
        <v>#N/A</v>
        <stp/>
        <stp>BDH|8865368699606138964</stp>
        <tr r="C64" s="10"/>
      </tp>
      <tp t="e">
        <v>#N/A</v>
        <stp/>
        <stp>BDH|9000253731615629029</stp>
        <tr r="V64" s="18"/>
      </tp>
      <tp t="e">
        <v>#N/A</v>
        <stp/>
        <stp>BDH|9867730477121961540</stp>
        <tr r="L28" s="6"/>
      </tp>
      <tp t="e">
        <v>#N/A</v>
        <stp/>
        <stp>BDH|8159532190189016037</stp>
        <tr r="I37" s="24"/>
      </tp>
      <tp t="e">
        <v>#N/A</v>
        <stp/>
        <stp>BDH|9052599959624329028</stp>
        <tr r="Y6" s="28"/>
      </tp>
      <tp t="e">
        <v>#N/A</v>
        <stp/>
        <stp>BDH|6809321275309727690</stp>
        <tr r="V14" s="11"/>
      </tp>
      <tp t="e">
        <v>#N/A</v>
        <stp/>
        <stp>BDH|3389707274849456722</stp>
        <tr r="P7" s="14"/>
      </tp>
      <tp t="e">
        <v>#N/A</v>
        <stp/>
        <stp>BDH|8355569875644281331</stp>
        <tr r="W30" s="21"/>
      </tp>
      <tp t="e">
        <v>#N/A</v>
        <stp/>
        <stp>BDH|5843083669527171997</stp>
        <tr r="G53" s="12"/>
      </tp>
      <tp t="e">
        <v>#N/A</v>
        <stp/>
        <stp>BDH|3488102083264639309</stp>
        <tr r="R31" s="18"/>
      </tp>
      <tp t="e">
        <v>#N/A</v>
        <stp/>
        <stp>BDH|5165534671622756853</stp>
        <tr r="AA9" s="29"/>
      </tp>
      <tp t="e">
        <v>#N/A</v>
        <stp/>
        <stp>BDH|8734458052786771269</stp>
        <tr r="U61" s="24"/>
      </tp>
      <tp t="e">
        <v>#N/A</v>
        <stp/>
        <stp>BDH|3161456388300948245</stp>
        <tr r="E7" s="21"/>
      </tp>
      <tp t="e">
        <v>#N/A</v>
        <stp/>
        <stp>BDH|5563813502103585329</stp>
        <tr r="L13" s="34"/>
      </tp>
      <tp t="e">
        <v>#N/A</v>
        <stp/>
        <stp>BDH|3650486623200807845</stp>
        <tr r="I9" s="12"/>
      </tp>
      <tp t="e">
        <v>#N/A</v>
        <stp/>
        <stp>BDH|5500880064872080487</stp>
        <tr r="N9" s="29"/>
      </tp>
      <tp t="e">
        <v>#N/A</v>
        <stp/>
        <stp>BDH|8580599049014075040</stp>
        <tr r="D39" s="22"/>
      </tp>
      <tp t="e">
        <v>#N/A</v>
        <stp/>
        <stp>BDH|8320717116356053555</stp>
        <tr r="D6" s="8"/>
      </tp>
      <tp t="e">
        <v>#N/A</v>
        <stp/>
        <stp>BDH|8478357073607344604</stp>
        <tr r="E51" s="18"/>
      </tp>
      <tp t="e">
        <v>#N/A</v>
        <stp/>
        <stp>BDH|7084438192793004401</stp>
        <tr r="Z61" s="12"/>
      </tp>
      <tp t="e">
        <v>#N/A</v>
        <stp/>
        <stp>BDH|3057179497202674470</stp>
        <tr r="O58" s="18"/>
      </tp>
      <tp t="e">
        <v>#N/A</v>
        <stp/>
        <stp>BDH|6306112310049783243</stp>
        <tr r="Y59" s="21"/>
        <tr r="W57" s="11"/>
      </tp>
      <tp t="e">
        <v>#N/A</v>
        <stp/>
        <stp>BDH|4703519847471516955</stp>
        <tr r="C16" s="24"/>
      </tp>
      <tp t="e">
        <v>#N/A</v>
        <stp/>
        <stp>BDH|3403168285140776715</stp>
        <tr r="G7" s="4"/>
      </tp>
      <tp t="e">
        <v>#N/A</v>
        <stp/>
        <stp>BDH|1230083236796495993</stp>
        <tr r="W29" s="5"/>
      </tp>
      <tp t="e">
        <v>#N/A</v>
        <stp/>
        <stp>BDH|9609187799298716418</stp>
        <tr r="U22" s="7"/>
      </tp>
      <tp t="e">
        <v>#N/A</v>
        <stp/>
        <stp>BDH|3180767855388069436</stp>
        <tr r="Q20" s="30"/>
      </tp>
      <tp t="e">
        <v>#N/A</v>
        <stp/>
        <stp>BDH|2307219350800089836</stp>
        <tr r="V39" s="10"/>
        <tr r="V37" s="11"/>
      </tp>
      <tp t="e">
        <v>#N/A</v>
        <stp/>
        <stp>BDH|1865431855254780983</stp>
        <tr r="F61" s="12"/>
      </tp>
      <tp t="e">
        <v>#N/A</v>
        <stp/>
        <stp>BDH|3968783060837258859</stp>
        <tr r="K31" s="10"/>
        <tr r="K29" s="11"/>
      </tp>
      <tp t="e">
        <v>#N/A</v>
        <stp/>
        <stp>BDH|6120757889303300786</stp>
        <tr r="S32" s="26"/>
      </tp>
      <tp t="e">
        <v>#N/A</v>
        <stp/>
        <stp>BDH|3127199696994099288</stp>
        <tr r="E125" s="18"/>
      </tp>
      <tp t="e">
        <v>#N/A</v>
        <stp/>
        <stp>BDH|8624547309058821854</stp>
        <tr r="O31" s="29"/>
        <tr r="O39" s="29"/>
        <tr r="M10" s="2"/>
        <tr r="M11" s="5"/>
        <tr r="L37" s="6"/>
      </tp>
      <tp t="e">
        <v>#N/A</v>
        <stp/>
        <stp>BDH|9262511017004611445</stp>
        <tr r="U28" s="17"/>
      </tp>
      <tp t="e">
        <v>#N/A</v>
        <stp/>
        <stp>BDH|9574735877314543027</stp>
        <tr r="C74" s="18"/>
      </tp>
      <tp t="e">
        <v>#N/A</v>
        <stp/>
        <stp>BDH|7413120383480000337</stp>
        <tr r="I131" s="18"/>
      </tp>
      <tp t="e">
        <v>#N/A</v>
        <stp/>
        <stp>BDH|3385149556023126966</stp>
        <tr r="P6" s="6"/>
      </tp>
      <tp t="e">
        <v>#N/A</v>
        <stp/>
        <stp>BDH|9227135347434632565</stp>
        <tr r="F21" s="12"/>
      </tp>
      <tp t="e">
        <v>#N/A</v>
        <stp/>
        <stp>BDH|9960579916666699685</stp>
        <tr r="O25" s="25"/>
        <tr r="O18" s="27"/>
      </tp>
      <tp t="e">
        <v>#N/A</v>
        <stp/>
        <stp>BDH|7462325636149503337</stp>
        <tr r="L19" s="25"/>
        <tr r="L12" s="27"/>
      </tp>
      <tp t="e">
        <v>#N/A</v>
        <stp/>
        <stp>BDH|8267383215512179582</stp>
        <tr r="O120" s="18"/>
      </tp>
      <tp t="e">
        <v>#N/A</v>
        <stp/>
        <stp>BDH|7289033966398357428</stp>
        <tr r="G15" s="17"/>
        <tr r="G18" s="28"/>
      </tp>
      <tp t="e">
        <v>#N/A</v>
        <stp/>
        <stp>BDH|7730847124279907982</stp>
        <tr r="M10" s="12"/>
      </tp>
      <tp t="e">
        <v>#N/A</v>
        <stp/>
        <stp>BDH|6653672845008026121</stp>
        <tr r="H59" s="12"/>
      </tp>
      <tp t="e">
        <v>#N/A</v>
        <stp/>
        <stp>BDH|7974899180883547936</stp>
        <tr r="V22" s="10"/>
      </tp>
      <tp t="e">
        <v>#N/A</v>
        <stp/>
        <stp>BDH|8720313847935668719</stp>
        <tr r="W23" s="25"/>
        <tr r="W16" s="27"/>
      </tp>
      <tp t="e">
        <v>#N/A</v>
        <stp/>
        <stp>BDH|7864137936418331081</stp>
        <tr r="Q17" s="18"/>
      </tp>
      <tp t="e">
        <v>#N/A</v>
        <stp/>
        <stp>BDH|4850526219679504403</stp>
        <tr r="I7" s="10"/>
      </tp>
      <tp t="e">
        <v>#N/A</v>
        <stp/>
        <stp>BDH|5606057784694534444</stp>
        <tr r="W26" s="12"/>
      </tp>
      <tp t="e">
        <v>#N/A</v>
        <stp/>
        <stp>BDH|7292020384933097120</stp>
        <tr r="X35" s="4"/>
      </tp>
      <tp t="e">
        <v>#N/A</v>
        <stp/>
        <stp>BDH|6200619904278435551</stp>
        <tr r="F8" s="11"/>
      </tp>
      <tp t="e">
        <v>#N/A</v>
        <stp/>
        <stp>BDH|4987855174296769091</stp>
        <tr r="V13" s="9"/>
      </tp>
      <tp t="e">
        <v>#N/A</v>
        <stp/>
        <stp>BDH|2956502982925870751</stp>
        <tr r="P15" s="11"/>
      </tp>
      <tp t="e">
        <v>#N/A</v>
        <stp/>
        <stp>BDH|4134279394656655422</stp>
        <tr r="Z38" s="18"/>
      </tp>
      <tp t="e">
        <v>#N/A</v>
        <stp/>
        <stp>BDH|4954228023541962875</stp>
        <tr r="T29" s="12"/>
      </tp>
      <tp t="e">
        <v>#N/A</v>
        <stp/>
        <stp>BDH|8008329604992335438</stp>
        <tr r="N25" s="18"/>
      </tp>
      <tp t="e">
        <v>#N/A</v>
        <stp/>
        <stp>BDH|6743044082523578029</stp>
        <tr r="K120" s="18"/>
      </tp>
      <tp t="e">
        <v>#N/A</v>
        <stp/>
        <stp>BDH|8259528346530566454</stp>
        <tr r="F51" s="12"/>
      </tp>
      <tp t="e">
        <v>#N/A</v>
        <stp/>
        <stp>BDH|3333241761923631965</stp>
        <tr r="U128" s="18"/>
      </tp>
      <tp t="e">
        <v>#N/A</v>
        <stp/>
        <stp>BDH|8944657734820750093</stp>
        <tr r="AA40" s="17"/>
        <tr r="AA9" s="25"/>
      </tp>
      <tp t="e">
        <v>#N/A</v>
        <stp/>
        <stp>BDH|5489573367759285209</stp>
        <tr r="K42" s="12"/>
      </tp>
      <tp t="e">
        <v>#N/A</v>
        <stp/>
        <stp>BDH|8568751556926009102</stp>
        <tr r="T63" s="18"/>
      </tp>
      <tp t="e">
        <v>#N/A</v>
        <stp/>
        <stp>BDH|4197916639423678090</stp>
        <tr r="E20" s="11"/>
      </tp>
      <tp t="e">
        <v>#N/A</v>
        <stp/>
        <stp>BDH|9071461906605353559</stp>
        <tr r="L35" s="10"/>
        <tr r="L33" s="11"/>
      </tp>
      <tp t="e">
        <v>#N/A</v>
        <stp/>
        <stp>BDH|4908276198274788673</stp>
        <tr r="T13" s="9"/>
      </tp>
      <tp t="e">
        <v>#N/A</v>
        <stp/>
        <stp>BDH|1655056402805261953</stp>
        <tr r="X64" s="12"/>
      </tp>
      <tp t="e">
        <v>#N/A</v>
        <stp/>
        <stp>BDH|7087866650206451147</stp>
        <tr r="L18" s="20"/>
      </tp>
      <tp t="e">
        <v>#N/A</v>
        <stp/>
        <stp>BDH|8854321496819859627</stp>
        <tr r="U18" s="20"/>
      </tp>
      <tp t="e">
        <v>#N/A</v>
        <stp/>
        <stp>BDH|4785412889984934111</stp>
        <tr r="C88" s="17"/>
      </tp>
      <tp t="e">
        <v>#N/A</v>
        <stp/>
        <stp>BDH|7852973902163374091</stp>
        <tr r="E37" s="18"/>
      </tp>
      <tp t="e">
        <v>#N/A</v>
        <stp/>
        <stp>BDH|6360913741623204563</stp>
        <tr r="M64" s="18"/>
      </tp>
      <tp t="e">
        <v>#N/A</v>
        <stp/>
        <stp>BDH|6703401484207311071</stp>
        <tr r="T6" s="27"/>
      </tp>
      <tp t="e">
        <v>#N/A</v>
        <stp/>
        <stp>BDH|3138519760495387845</stp>
        <tr r="W18" s="20"/>
      </tp>
      <tp t="e">
        <v>#N/A</v>
        <stp/>
        <stp>BDH|4031075326453004861</stp>
        <tr r="M35" s="6"/>
        <tr r="O10" s="8"/>
      </tp>
      <tp t="e">
        <v>#N/A</v>
        <stp/>
        <stp>BDH|1519266864431391938</stp>
        <tr r="J76" s="18"/>
      </tp>
      <tp t="e">
        <v>#N/A</v>
        <stp/>
        <stp>BDH|7937013485725952730</stp>
        <tr r="K9" s="29"/>
      </tp>
      <tp t="e">
        <v>#N/A</v>
        <stp/>
        <stp>BDH|7040433854448681369</stp>
        <tr r="J60" s="10"/>
      </tp>
      <tp t="e">
        <v>#N/A</v>
        <stp/>
        <stp>BDH|1134067879738019397</stp>
        <tr r="Y10" s="30"/>
      </tp>
      <tp t="e">
        <v>#N/A</v>
        <stp/>
        <stp>BDH|5162924522465153676</stp>
        <tr r="K80" s="18"/>
      </tp>
      <tp t="e">
        <v>#N/A</v>
        <stp/>
        <stp>BDH|9890306429261607409</stp>
        <tr r="M12" s="11"/>
      </tp>
      <tp t="e">
        <v>#N/A</v>
        <stp/>
        <stp>BDH|2617648154825372922</stp>
        <tr r="X58" s="24"/>
      </tp>
      <tp t="e">
        <v>#N/A</v>
        <stp/>
        <stp>BDH|8251388429461198557</stp>
        <tr r="F125" s="18"/>
      </tp>
      <tp t="e">
        <v>#N/A</v>
        <stp/>
        <stp>BDH|3085706564697216810</stp>
        <tr r="I21" s="17"/>
        <tr r="I15" s="3"/>
      </tp>
      <tp t="e">
        <v>#N/A</v>
        <stp/>
        <stp>BDH|4533530710618594544</stp>
        <tr r="W41" s="17"/>
      </tp>
      <tp t="e">
        <v>#N/A</v>
        <stp/>
        <stp>BDH|9568250506824362220</stp>
        <tr r="H11" s="22"/>
      </tp>
      <tp t="e">
        <v>#N/A</v>
        <stp/>
        <stp>BDH|7183421394425735275</stp>
        <tr r="X17" s="12"/>
      </tp>
      <tp t="e">
        <v>#N/A</v>
        <stp/>
        <stp>BDH|5972627806928915633</stp>
        <tr r="V27" s="18"/>
      </tp>
      <tp t="e">
        <v>#N/A</v>
        <stp/>
        <stp>BDH|1672103193960303417</stp>
        <tr r="X99" s="18"/>
      </tp>
      <tp t="e">
        <v>#N/A</v>
        <stp/>
        <stp>BDH|8366473270917745142</stp>
        <tr r="E24" s="12"/>
      </tp>
      <tp t="e">
        <v>#N/A</v>
        <stp/>
        <stp>BDH|5395822597778378121</stp>
        <tr r="S54" s="12"/>
      </tp>
      <tp t="e">
        <v>#N/A</v>
        <stp/>
        <stp>BDH|6565468573890493835</stp>
        <tr r="O13" s="6"/>
      </tp>
      <tp t="e">
        <v>#N/A</v>
        <stp/>
        <stp>BDH|5018204590813538022</stp>
        <tr r="D36" s="34"/>
      </tp>
      <tp t="e">
        <v>#N/A</v>
        <stp/>
        <stp>BDH|3642198090112816400</stp>
        <tr r="V42" s="12"/>
      </tp>
      <tp t="e">
        <v>#N/A</v>
        <stp/>
        <stp>BDH|8847310264927882729</stp>
        <tr r="I17" s="24"/>
      </tp>
      <tp t="e">
        <v>#N/A</v>
        <stp/>
        <stp>BDH|8222629332963079359</stp>
        <tr r="P31" s="10"/>
        <tr r="P29" s="11"/>
      </tp>
      <tp t="e">
        <v>#N/A</v>
        <stp/>
        <stp>BDH|4542782681664270298</stp>
        <tr r="U73" s="17"/>
        <tr r="S9" s="5"/>
        <tr r="S9" s="9"/>
      </tp>
      <tp t="e">
        <v>#N/A</v>
        <stp/>
        <stp>BDH|2782629072297095905</stp>
        <tr r="U25" s="21"/>
      </tp>
      <tp t="e">
        <v>#N/A</v>
        <stp/>
        <stp>BDH|9108352001927452061</stp>
        <tr r="Q53" s="10"/>
        <tr r="Q51" s="11"/>
        <tr r="Q18" s="7"/>
        <tr r="S40" s="13"/>
      </tp>
      <tp t="e">
        <v>#N/A</v>
        <stp/>
        <stp>BDH|3825246447218511099</stp>
        <tr r="H54" s="17"/>
      </tp>
      <tp t="e">
        <v>#N/A</v>
        <stp/>
        <stp>BDH|5559834814085698436</stp>
        <tr r="E45" s="18"/>
      </tp>
      <tp t="e">
        <v>#N/A</v>
        <stp/>
        <stp>BDH|6633983229449373902</stp>
        <tr r="H73" s="17"/>
        <tr r="F9" s="5"/>
        <tr r="F9" s="9"/>
      </tp>
      <tp t="e">
        <v>#N/A</v>
        <stp/>
        <stp>BDH|6009645526749221641</stp>
        <tr r="Z62" s="17"/>
      </tp>
      <tp t="e">
        <v>#N/A</v>
        <stp/>
        <stp>BDH|2208891165065357497</stp>
        <tr r="L47" s="17"/>
      </tp>
      <tp t="e">
        <v>#N/A</v>
        <stp/>
        <stp>BDH|6818087592745440727</stp>
        <tr r="W48" s="21"/>
      </tp>
      <tp t="e">
        <v>#N/A</v>
        <stp/>
        <stp>BDH|8427926622109858782</stp>
        <tr r="K65" s="18"/>
      </tp>
      <tp t="e">
        <v>#N/A</v>
        <stp/>
        <stp>BDH|8793256328374883161</stp>
        <tr r="L11" s="29"/>
      </tp>
      <tp t="e">
        <v>#N/A</v>
        <stp/>
        <stp>BDH|3007853790956380927</stp>
        <tr r="J32" s="26"/>
      </tp>
      <tp t="e">
        <v>#N/A</v>
        <stp/>
        <stp>BDH|2085291916829879533</stp>
        <tr r="C18" s="9"/>
      </tp>
      <tp t="e">
        <v>#N/A</v>
        <stp/>
        <stp>BDH|3475876363901297164</stp>
        <tr r="I13" s="20"/>
      </tp>
      <tp t="e">
        <v>#N/A</v>
        <stp/>
        <stp>BDH|9511765865335338011</stp>
        <tr r="L40" s="17"/>
        <tr r="L9" s="25"/>
      </tp>
      <tp t="e">
        <v>#N/A</v>
        <stp/>
        <stp>BDH|2612822450944564658</stp>
        <tr r="V127" s="18"/>
      </tp>
      <tp t="e">
        <v>#N/A</v>
        <stp/>
        <stp>BDH|2229743095205029475</stp>
        <tr r="E86" s="18"/>
        <tr r="E6" s="20"/>
      </tp>
      <tp t="e">
        <v>#N/A</v>
        <stp/>
        <stp>BDH|8450743546767551170</stp>
        <tr r="I62" s="17"/>
      </tp>
      <tp t="e">
        <v>#N/A</v>
        <stp/>
        <stp>BDH|9624548954030091427</stp>
        <tr r="C54" s="12"/>
      </tp>
      <tp t="e">
        <v>#N/A</v>
        <stp/>
        <stp>BDH|4208693085207231086</stp>
        <tr r="W13" s="5"/>
      </tp>
      <tp t="e">
        <v>#N/A</v>
        <stp/>
        <stp>BDH|8788623100873959081</stp>
        <tr r="G75" s="17"/>
      </tp>
      <tp t="e">
        <v>#N/A</v>
        <stp/>
        <stp>BDH|2690452630861750901</stp>
        <tr r="E85" s="18"/>
      </tp>
      <tp t="e">
        <v>#N/A</v>
        <stp/>
        <stp>BDH|7173167057466154856</stp>
        <tr r="C35" s="4"/>
      </tp>
      <tp t="e">
        <v>#N/A</v>
        <stp/>
        <stp>BDH|9338411774554637343</stp>
        <tr r="V13" s="18"/>
      </tp>
      <tp t="e">
        <v>#N/A</v>
        <stp/>
        <stp>BDH|5636264824798139014</stp>
        <tr r="O9" s="6"/>
      </tp>
      <tp t="e">
        <v>#N/A</v>
        <stp/>
        <stp>BDH|9140854052510156936</stp>
        <tr r="M31" s="26"/>
      </tp>
      <tp t="e">
        <v>#N/A</v>
        <stp/>
        <stp>BDH|2295675452254407878</stp>
        <tr r="V32" s="10"/>
        <tr r="V44" s="10"/>
        <tr r="V30" s="11"/>
        <tr r="V42" s="11"/>
      </tp>
      <tp t="e">
        <v>#N/A</v>
        <stp/>
        <stp>BDH|7847892588363549987</stp>
        <tr r="Q26" s="12"/>
      </tp>
      <tp t="e">
        <v>#N/A</v>
        <stp/>
        <stp>BDH|1622449280470605007</stp>
        <tr r="H72" s="17"/>
      </tp>
      <tp t="e">
        <v>#N/A</v>
        <stp/>
        <stp>BDH|6787485941198365392</stp>
        <tr r="X19" s="17"/>
      </tp>
      <tp t="e">
        <v>#N/A</v>
        <stp/>
        <stp>BDH|6187951345112200473</stp>
        <tr r="Q14" s="30"/>
      </tp>
      <tp t="e">
        <v>#N/A</v>
        <stp/>
        <stp>BDH|9742819471698619351</stp>
        <tr r="H17" s="22"/>
      </tp>
      <tp t="e">
        <v>#N/A</v>
        <stp/>
        <stp>BDH|6569911922150182034</stp>
        <tr r="L32" s="24"/>
      </tp>
      <tp t="e">
        <v>#N/A</v>
        <stp/>
        <stp>BDH|2475924202034066208</stp>
        <tr r="R36" s="12"/>
      </tp>
      <tp t="e">
        <v>#N/A</v>
        <stp/>
        <stp>BDH|9875528245196958327</stp>
        <tr r="E16" s="2"/>
        <tr r="E32" s="4"/>
        <tr r="E58" s="10"/>
        <tr r="G19" s="13"/>
      </tp>
      <tp t="e">
        <v>#N/A</v>
        <stp/>
        <stp>BDH|3285878922933356700</stp>
        <tr r="U10" s="21"/>
      </tp>
      <tp t="e">
        <v>#N/A</v>
        <stp/>
        <stp>BDH|5112098086796805621</stp>
        <tr r="G14" s="28"/>
      </tp>
      <tp t="e">
        <v>#N/A</v>
        <stp/>
        <stp>BDH|3088970371897565778</stp>
        <tr r="E63" s="18"/>
      </tp>
      <tp t="e">
        <v>#N/A</v>
        <stp/>
        <stp>BDH|5930565180727381287</stp>
        <tr r="U24" s="2"/>
      </tp>
      <tp t="e">
        <v>#N/A</v>
        <stp/>
        <stp>BDH|8677261095587069904</stp>
        <tr r="G12" s="20"/>
      </tp>
      <tp t="e">
        <v>#N/A</v>
        <stp/>
        <stp>BDH|1016720227700573951</stp>
        <tr r="C131" s="18"/>
      </tp>
      <tp t="e">
        <v>#N/A</v>
        <stp/>
        <stp>BDH|6096071692612693067</stp>
        <tr r="P32" s="25"/>
        <tr r="P7" s="3"/>
        <tr r="N19" s="11"/>
        <tr r="P22" s="13"/>
        <tr r="P7" s="13"/>
      </tp>
      <tp t="e">
        <v>#N/A</v>
        <stp/>
        <stp>BDH|6228675957358055073</stp>
        <tr r="M21" s="4"/>
      </tp>
      <tp t="e">
        <v>#N/A</v>
        <stp/>
        <stp>BDH|6032850950534434247</stp>
        <tr r="R58" s="12"/>
      </tp>
      <tp t="e">
        <v>#N/A</v>
        <stp/>
        <stp>BDH|2445311580630209421</stp>
        <tr r="I17" s="4"/>
        <tr r="K10" s="3"/>
        <tr r="I52" s="10"/>
        <tr r="I50" s="11"/>
        <tr r="I17" s="7"/>
        <tr r="K37" s="13"/>
      </tp>
      <tp t="e">
        <v>#N/A</v>
        <stp/>
        <stp>BDH|4897189947869722558</stp>
        <tr r="O14" s="2"/>
        <tr r="O11" s="10"/>
      </tp>
      <tp t="e">
        <v>#N/A</v>
        <stp/>
        <stp>BDH|1157235068508700080</stp>
        <tr r="D40" s="24"/>
      </tp>
      <tp t="e">
        <v>#N/A</v>
        <stp/>
        <stp>BDH|8309626526658313914</stp>
        <tr r="M78" s="18"/>
      </tp>
      <tp t="e">
        <v>#N/A</v>
        <stp/>
        <stp>BDH|9014698218964404704</stp>
        <tr r="O39" s="13"/>
      </tp>
      <tp t="e">
        <v>#N/A</v>
        <stp/>
        <stp>BDH|6219351397371337064</stp>
        <tr r="M70" s="17"/>
      </tp>
      <tp t="e">
        <v>#N/A</v>
        <stp/>
        <stp>BDH|6140925586168576250</stp>
        <tr r="R21" s="12"/>
      </tp>
      <tp t="e">
        <v>#N/A</v>
        <stp/>
        <stp>BDH|1194520466358792774</stp>
        <tr r="U33" s="6"/>
        <tr r="W6" s="8"/>
      </tp>
      <tp t="e">
        <v>#N/A</v>
        <stp/>
        <stp>BDH|1809094249021508983</stp>
        <tr r="F61" s="11"/>
        <tr r="H15" s="23"/>
      </tp>
      <tp t="e">
        <v>#N/A</v>
        <stp/>
        <stp>BDH|1080361971129174138</stp>
        <tr r="Z101" s="18"/>
      </tp>
      <tp t="e">
        <v>#N/A</v>
        <stp/>
        <stp>BDH|4749176084403862396</stp>
        <tr r="H19" s="20"/>
      </tp>
      <tp t="e">
        <v>#N/A</v>
        <stp/>
        <stp>BDH|3033913232832700611</stp>
        <tr r="Z62" s="24"/>
      </tp>
      <tp t="e">
        <v>#N/A</v>
        <stp/>
        <stp>BDH|4126688099614143243</stp>
        <tr r="R27" s="6"/>
      </tp>
      <tp t="e">
        <v>#N/A</v>
        <stp/>
        <stp>BDH|1829499125189980389</stp>
        <tr r="F19" s="34"/>
      </tp>
      <tp t="e">
        <v>#N/A</v>
        <stp/>
        <stp>BDH|1815412296542283384</stp>
        <tr r="H39" s="13"/>
      </tp>
      <tp t="e">
        <v>#N/A</v>
        <stp/>
        <stp>BDH|3443440445799793770</stp>
        <tr r="AA43" s="18"/>
      </tp>
      <tp t="e">
        <v>#N/A</v>
        <stp/>
        <stp>BDH|8633711632929828883</stp>
        <tr r="AA101" s="18"/>
      </tp>
      <tp t="e">
        <v>#N/A</v>
        <stp/>
        <stp>BDH|8892726943935898342</stp>
        <tr r="K22" s="27"/>
      </tp>
      <tp t="e">
        <v>#N/A</v>
        <stp/>
        <stp>BDH|6480867012505232774</stp>
        <tr r="R8" s="17"/>
      </tp>
      <tp t="e">
        <v>#N/A</v>
        <stp/>
        <stp>BDH|5379739421738321576</stp>
        <tr r="I26" s="12"/>
      </tp>
      <tp t="e">
        <v>#N/A</v>
        <stp/>
        <stp>BDH|3990714906300920921</stp>
        <tr r="F50" s="17"/>
        <tr r="F10" s="25"/>
      </tp>
      <tp t="e">
        <v>#N/A</v>
        <stp/>
        <stp>BDH|2364964431511882493</stp>
        <tr r="G17" s="28"/>
        <tr r="G14" s="17"/>
      </tp>
      <tp t="e">
        <v>#N/A</v>
        <stp/>
        <stp>BDH|9099543057303354750</stp>
        <tr r="H103" s="18"/>
      </tp>
      <tp t="e">
        <v>#N/A</v>
        <stp/>
        <stp>BDH|4825144029979894388</stp>
        <tr r="R17" s="12"/>
      </tp>
      <tp t="e">
        <v>#N/A</v>
        <stp/>
        <stp>BDH|6045941112763054039</stp>
        <tr r="P33" s="18"/>
      </tp>
      <tp t="e">
        <v>#N/A</v>
        <stp/>
        <stp>BDH|91662871582043316</stp>
        <tr r="E39" s="18"/>
      </tp>
      <tp t="e">
        <v>#N/A</v>
        <stp/>
        <stp>BDH|13914105038215111</stp>
        <tr r="G11" s="6"/>
      </tp>
      <tp t="e">
        <v>#N/A</v>
        <stp/>
        <stp>BDH|25046039527621447</stp>
        <tr r="J16" s="10"/>
      </tp>
      <tp t="e">
        <v>#N/A</v>
        <stp/>
        <stp>BDH|2131509013018033088</stp>
        <tr r="W27" s="5"/>
        <tr r="W28" s="9"/>
      </tp>
      <tp t="e">
        <v>#N/A</v>
        <stp/>
        <stp>BDH|9545260119361819587</stp>
        <tr r="G7" s="14"/>
      </tp>
      <tp t="e">
        <v>#N/A</v>
        <stp/>
        <stp>BDH|3741385742323421930</stp>
        <tr r="Y29" s="10"/>
        <tr r="Y27" s="11"/>
      </tp>
      <tp t="e">
        <v>#N/A</v>
        <stp/>
        <stp>BDH|4949041819699710292</stp>
        <tr r="D42" s="17"/>
      </tp>
      <tp t="e">
        <v>#N/A</v>
        <stp/>
        <stp>BDH|2234072544550901827</stp>
        <tr r="S41" s="24"/>
      </tp>
      <tp t="e">
        <v>#N/A</v>
        <stp/>
        <stp>BDH|3115342664121844934</stp>
        <tr r="J17" s="13"/>
      </tp>
      <tp t="e">
        <v>#N/A</v>
        <stp/>
        <stp>BDH|5197060900242508989</stp>
        <tr r="R59" s="18"/>
      </tp>
      <tp t="e">
        <v>#N/A</v>
        <stp/>
        <stp>BDH|6119825271783950412</stp>
        <tr r="J17" s="17"/>
        <tr r="J20" s="28"/>
      </tp>
      <tp t="e">
        <v>#N/A</v>
        <stp/>
        <stp>BDH|5636755182181831533</stp>
        <tr r="J16" s="30"/>
      </tp>
      <tp t="e">
        <v>#N/A</v>
        <stp/>
        <stp>BDH|1875256102754506900</stp>
        <tr r="J57" s="12"/>
      </tp>
      <tp t="e">
        <v>#N/A</v>
        <stp/>
        <stp>BDH|8494269605176858252</stp>
        <tr r="R39" s="24"/>
      </tp>
      <tp t="e">
        <v>#N/A</v>
        <stp/>
        <stp>BDH|2797228566600818810</stp>
        <tr r="AA15" s="12"/>
      </tp>
      <tp t="e">
        <v>#N/A</v>
        <stp/>
        <stp>BDH|4374463339548318556</stp>
        <tr r="E96" s="18"/>
      </tp>
      <tp t="e">
        <v>#N/A</v>
        <stp/>
        <stp>BDH|7054638853218209287</stp>
        <tr r="P7" s="17"/>
      </tp>
      <tp t="e">
        <v>#N/A</v>
        <stp/>
        <stp>BDH|2709507384954922504</stp>
        <tr r="G14" s="14"/>
      </tp>
      <tp t="e">
        <v>#N/A</v>
        <stp/>
        <stp>BDH|1526934176611333098</stp>
        <tr r="M41" s="12"/>
      </tp>
      <tp t="e">
        <v>#N/A</v>
        <stp/>
        <stp>BDH|3201788993866539568</stp>
        <tr r="R72" s="17"/>
      </tp>
      <tp t="e">
        <v>#N/A</v>
        <stp/>
        <stp>BDH|3638912338232405518</stp>
        <tr r="Y11" s="17"/>
      </tp>
      <tp t="e">
        <v>#N/A</v>
        <stp/>
        <stp>BDH|7947905127885768735</stp>
        <tr r="G45" s="34"/>
      </tp>
      <tp t="e">
        <v>#N/A</v>
        <stp/>
        <stp>BDH|1406728192410671181</stp>
        <tr r="L19" s="14"/>
      </tp>
      <tp t="e">
        <v>#N/A</v>
        <stp/>
        <stp>BDH|1593912934673351692</stp>
        <tr r="Z14" s="23"/>
      </tp>
      <tp t="e">
        <v>#N/A</v>
        <stp/>
        <stp>BDH|3226609228180585958</stp>
        <tr r="S65" s="18"/>
      </tp>
      <tp t="e">
        <v>#N/A</v>
        <stp/>
        <stp>BDH|5809540691720254758</stp>
        <tr r="AA9" s="13"/>
      </tp>
      <tp t="e">
        <v>#N/A</v>
        <stp/>
        <stp>BDH|8925744731935143776</stp>
        <tr r="G97" s="18"/>
      </tp>
      <tp t="e">
        <v>#N/A</v>
        <stp/>
        <stp>BDH|9289493642242136527</stp>
        <tr r="G20" s="18"/>
      </tp>
      <tp t="e">
        <v>#N/A</v>
        <stp/>
        <stp>BDH|5464672505639988457</stp>
        <tr r="H10" s="13"/>
      </tp>
      <tp t="e">
        <v>#N/A</v>
        <stp/>
        <stp>BDH|2773888575664069703</stp>
        <tr r="J11" s="13"/>
      </tp>
      <tp t="e">
        <v>#N/A</v>
        <stp/>
        <stp>BDH|3307790504599133359</stp>
        <tr r="P25" s="17"/>
      </tp>
      <tp t="e">
        <v>#N/A</v>
        <stp/>
        <stp>BDH|7028602895352741496</stp>
        <tr r="Q91" s="17"/>
      </tp>
      <tp t="e">
        <v>#N/A</v>
        <stp/>
        <stp>BDH|1782129264511826927</stp>
        <tr r="U111" s="18"/>
      </tp>
      <tp t="e">
        <v>#N/A</v>
        <stp/>
        <stp>BDH|1409847801104935335</stp>
        <tr r="W9" s="10"/>
      </tp>
      <tp t="e">
        <v>#N/A</v>
        <stp/>
        <stp>BDH|9353020929194723146</stp>
        <tr r="S37" s="22"/>
      </tp>
      <tp t="e">
        <v>#N/A</v>
        <stp/>
        <stp>BDH|8765186798207828940</stp>
        <tr r="R21" s="27"/>
      </tp>
      <tp t="e">
        <v>#N/A</v>
        <stp/>
        <stp>BDH|2954679284515332729</stp>
        <tr r="T89" s="18"/>
        <tr r="T9" s="20"/>
      </tp>
      <tp t="e">
        <v>#N/A</v>
        <stp/>
        <stp>BDH|5253916021203144386</stp>
        <tr r="K20" s="23"/>
      </tp>
      <tp t="e">
        <v>#N/A</v>
        <stp/>
        <stp>BDH|5382199391576461541</stp>
        <tr r="E25" s="18"/>
      </tp>
      <tp t="e">
        <v>#N/A</v>
        <stp/>
        <stp>BDH|2958293982161106784</stp>
        <tr r="C32" s="12"/>
      </tp>
      <tp t="e">
        <v>#N/A</v>
        <stp/>
        <stp>BDH|9958706950856196331</stp>
        <tr r="D16" s="22"/>
      </tp>
      <tp t="e">
        <v>#N/A</v>
        <stp/>
        <stp>BDH|8859990117128919646</stp>
        <tr r="E44" s="18"/>
      </tp>
      <tp t="e">
        <v>#N/A</v>
        <stp/>
        <stp>BDH|5036074545086922906</stp>
        <tr r="S12" s="17"/>
      </tp>
      <tp t="e">
        <v>#N/A</v>
        <stp/>
        <stp>BDH|1048359632097982857</stp>
        <tr r="D13" s="13"/>
      </tp>
      <tp t="e">
        <v>#N/A</v>
        <stp/>
        <stp>BDH|9483292753170764028</stp>
        <tr r="J22" s="4"/>
      </tp>
      <tp t="e">
        <v>#N/A</v>
        <stp/>
        <stp>BDH|4364555171720525892</stp>
        <tr r="N37" s="22"/>
      </tp>
      <tp t="e">
        <v>#N/A</v>
        <stp/>
        <stp>BDH|2472482066686027816</stp>
        <tr r="O24" s="24"/>
      </tp>
      <tp t="e">
        <v>#N/A</v>
        <stp/>
        <stp>BDH|3090679674484117892</stp>
        <tr r="P31" s="26"/>
      </tp>
      <tp t="e">
        <v>#N/A</v>
        <stp/>
        <stp>BDH|9787299852543545326</stp>
        <tr r="N23" s="21"/>
      </tp>
      <tp t="e">
        <v>#N/A</v>
        <stp/>
        <stp>BDH|5108794673828375332</stp>
        <tr r="G20" s="17"/>
      </tp>
      <tp t="e">
        <v>#N/A</v>
        <stp/>
        <stp>BDH|9682986906746364806</stp>
        <tr r="Y30" s="21"/>
      </tp>
      <tp t="e">
        <v>#N/A</v>
        <stp/>
        <stp>BDH|4657099387112431076</stp>
        <tr r="L16" s="22"/>
      </tp>
      <tp t="e">
        <v>#N/A</v>
        <stp/>
        <stp>BDH|5754188828681968955</stp>
        <tr r="K11" s="12"/>
      </tp>
      <tp t="e">
        <v>#N/A</v>
        <stp/>
        <stp>BDH|7771984560793493505</stp>
        <tr r="D32" s="24"/>
      </tp>
      <tp t="e">
        <v>#N/A</v>
        <stp/>
        <stp>BDH|9732478065391879464</stp>
        <tr r="D61" s="24"/>
      </tp>
      <tp t="e">
        <v>#N/A</v>
        <stp/>
        <stp>BDH|2732611002809892379</stp>
        <tr r="Q16" s="26"/>
      </tp>
      <tp t="e">
        <v>#N/A</v>
        <stp/>
        <stp>BDH|8674484453597599035</stp>
        <tr r="P61" s="24"/>
      </tp>
      <tp t="e">
        <v>#N/A</v>
        <stp/>
        <stp>BDH|9353448856242935436</stp>
        <tr r="Y21" s="26"/>
      </tp>
      <tp t="e">
        <v>#N/A</v>
        <stp/>
        <stp>BDH|5906753196623983680</stp>
        <tr r="R31" s="12"/>
      </tp>
      <tp t="e">
        <v>#N/A</v>
        <stp/>
        <stp>BDH|7506712468898529025</stp>
        <tr r="G91" s="18"/>
      </tp>
      <tp t="e">
        <v>#N/A</v>
        <stp/>
        <stp>BDH|3979141396955842086</stp>
        <tr r="Z6" s="28"/>
      </tp>
      <tp t="e">
        <v>#N/A</v>
        <stp/>
        <stp>BDH|4575735519475693923</stp>
        <tr r="I45" s="21"/>
      </tp>
      <tp t="e">
        <v>#N/A</v>
        <stp/>
        <stp>BDH|8024073057501900228</stp>
        <tr r="C10" s="22"/>
      </tp>
      <tp t="e">
        <v>#N/A</v>
        <stp/>
        <stp>BDH|5785041902568375397</stp>
        <tr r="Y19" s="20"/>
      </tp>
      <tp t="e">
        <v>#N/A</v>
        <stp/>
        <stp>BDH|2259769297737902517</stp>
        <tr r="G9" s="21"/>
      </tp>
      <tp t="e">
        <v>#N/A</v>
        <stp/>
        <stp>BDH|6852635436048048568</stp>
        <tr r="W36" s="10"/>
        <tr r="W34" s="11"/>
      </tp>
      <tp t="e">
        <v>#N/A</v>
        <stp/>
        <stp>BDH|1643649284087470695</stp>
        <tr r="S17" s="10"/>
      </tp>
      <tp t="e">
        <v>#N/A</v>
        <stp/>
        <stp>BDH|2472727553186966878</stp>
        <tr r="F18" s="12"/>
      </tp>
      <tp t="e">
        <v>#N/A</v>
        <stp/>
        <stp>BDH|1322290379243880906</stp>
        <tr r="U8" s="24"/>
      </tp>
      <tp t="e">
        <v>#N/A</v>
        <stp/>
        <stp>BDH|4247898458721984622</stp>
        <tr r="J9" s="11"/>
      </tp>
      <tp t="e">
        <v>#N/A</v>
        <stp/>
        <stp>BDH|3974739704489634308</stp>
        <tr r="H40" s="6"/>
      </tp>
      <tp t="e">
        <v>#N/A</v>
        <stp/>
        <stp>BDH|8134599422063296203</stp>
        <tr r="O38" s="34"/>
      </tp>
      <tp t="e">
        <v>#N/A</v>
        <stp/>
        <stp>BDH|3220042047379838012</stp>
        <tr r="V20" s="18"/>
      </tp>
      <tp t="e">
        <v>#N/A</v>
        <stp/>
        <stp>BDH|7961016784033344271</stp>
        <tr r="Y7" s="17"/>
      </tp>
      <tp t="e">
        <v>#N/A</v>
        <stp/>
        <stp>BDH|8746152630066847227</stp>
        <tr r="I11" s="14"/>
      </tp>
      <tp t="e">
        <v>#N/A</v>
        <stp/>
        <stp>BDH|1535865235732966672</stp>
        <tr r="Y66" s="10"/>
        <tr r="Y64" s="11"/>
        <tr r="Y20" s="7"/>
      </tp>
      <tp t="e">
        <v>#N/A</v>
        <stp/>
        <stp>BDH|1892041762581214849</stp>
        <tr r="Q50" s="12"/>
      </tp>
      <tp t="e">
        <v>#N/A</v>
        <stp/>
        <stp>BDH|4939565877018067007</stp>
        <tr r="R35" s="12"/>
      </tp>
      <tp t="e">
        <v>#N/A</v>
        <stp/>
        <stp>BDH|8690440637749515888</stp>
        <tr r="H24" s="29"/>
      </tp>
      <tp t="e">
        <v>#N/A</v>
        <stp/>
        <stp>BDH|4316782756079635137</stp>
        <tr r="R17" s="4"/>
        <tr r="T10" s="3"/>
        <tr r="R52" s="10"/>
        <tr r="R50" s="11"/>
        <tr r="R17" s="7"/>
        <tr r="T37" s="13"/>
      </tp>
      <tp t="e">
        <v>#N/A</v>
        <stp/>
        <stp>BDH|8492324524896209183</stp>
        <tr r="R26" s="10"/>
      </tp>
      <tp t="e">
        <v>#N/A</v>
        <stp/>
        <stp>BDH|7917239827391598804</stp>
        <tr r="K21" s="24"/>
      </tp>
      <tp t="e">
        <v>#N/A</v>
        <stp/>
        <stp>BDH|5634504491965609298</stp>
        <tr r="N44" s="18"/>
      </tp>
      <tp t="e">
        <v>#N/A</v>
        <stp/>
        <stp>BDH|8165940138258691435</stp>
        <tr r="C10" s="34"/>
      </tp>
      <tp t="e">
        <v>#N/A</v>
        <stp/>
        <stp>BDH|4604975605576824549</stp>
        <tr r="Q110" s="18"/>
      </tp>
      <tp t="e">
        <v>#N/A</v>
        <stp/>
        <stp>BDH|4467185815329899393</stp>
        <tr r="W117" s="18"/>
      </tp>
      <tp t="e">
        <v>#N/A</v>
        <stp/>
        <stp>BDH|2278283979968260191</stp>
        <tr r="N9" s="34"/>
      </tp>
      <tp t="e">
        <v>#N/A</v>
        <stp/>
        <stp>BDH|5909473608496784992</stp>
        <tr r="F21" s="24"/>
      </tp>
      <tp t="e">
        <v>#N/A</v>
        <stp/>
        <stp>BDH|4032918991753183998</stp>
        <tr r="C17" s="5"/>
      </tp>
      <tp t="e">
        <v>#N/A</v>
        <stp/>
        <stp>BDH|6739297114049005228</stp>
        <tr r="K65" s="17"/>
        <tr r="I8" s="5"/>
        <tr r="I8" s="9"/>
      </tp>
      <tp t="e">
        <v>#N/A</v>
        <stp/>
        <stp>BDH|5406507226808382498</stp>
        <tr r="Q13" s="18"/>
      </tp>
      <tp t="e">
        <v>#N/A</v>
        <stp/>
        <stp>BDH|9346082071464040429</stp>
        <tr r="O14" s="23"/>
      </tp>
      <tp t="e">
        <v>#N/A</v>
        <stp/>
        <stp>BDH|9940532002820812280</stp>
        <tr r="G111" s="18"/>
      </tp>
      <tp t="e">
        <v>#N/A</v>
        <stp/>
        <stp>BDH|4805406587017711116</stp>
        <tr r="V60" s="21"/>
      </tp>
      <tp t="e">
        <v>#N/A</v>
        <stp/>
        <stp>BDH|3913342404398405641</stp>
        <tr r="Y19" s="24"/>
      </tp>
      <tp t="e">
        <v>#N/A</v>
        <stp/>
        <stp>BDH|7401058728948389338</stp>
        <tr r="K58" s="12"/>
      </tp>
      <tp t="e">
        <v>#N/A</v>
        <stp/>
        <stp>BDH|9726294046448269935</stp>
        <tr r="V12" s="22"/>
      </tp>
      <tp t="e">
        <v>#N/A</v>
        <stp/>
        <stp>BDH|7549637568439639014</stp>
        <tr r="Z126" s="18"/>
      </tp>
      <tp t="e">
        <v>#N/A</v>
        <stp/>
        <stp>BDH|8186994284937013056</stp>
        <tr r="G10" s="28"/>
      </tp>
      <tp t="e">
        <v>#N/A</v>
        <stp/>
        <stp>BDH|9109030448626476574</stp>
        <tr r="AA32" s="24"/>
      </tp>
      <tp t="e">
        <v>#N/A</v>
        <stp/>
        <stp>BDH|6472548480646847319</stp>
        <tr r="I26" s="6"/>
      </tp>
      <tp t="e">
        <v>#N/A</v>
        <stp/>
        <stp>BDH|3816312196595222240</stp>
        <tr r="X10" s="24"/>
      </tp>
      <tp t="e">
        <v>#N/A</v>
        <stp/>
        <stp>BDH|3837066885442631746</stp>
        <tr r="S15" s="6"/>
      </tp>
      <tp t="e">
        <v>#N/A</v>
        <stp/>
        <stp>BDH|9954166776718824980</stp>
        <tr r="C58" s="11"/>
      </tp>
      <tp t="e">
        <v>#N/A</v>
        <stp/>
        <stp>BDH|5737919549674021265</stp>
        <tr r="T50" s="17"/>
        <tr r="T10" s="25"/>
      </tp>
      <tp t="e">
        <v>#N/A</v>
        <stp/>
        <stp>BDH|1124983843004188623</stp>
        <tr r="H94" s="18"/>
      </tp>
      <tp t="e">
        <v>#N/A</v>
        <stp/>
        <stp>BDH|2967439061326713857</stp>
        <tr r="AA25" s="21"/>
      </tp>
      <tp t="e">
        <v>#N/A</v>
        <stp/>
        <stp>BDH|6996730222044670974</stp>
        <tr r="N24" s="11"/>
      </tp>
      <tp t="e">
        <v>#N/A</v>
        <stp/>
        <stp>BDH|1151666699546535629</stp>
        <tr r="C34" s="21"/>
      </tp>
      <tp t="e">
        <v>#N/A</v>
        <stp/>
        <stp>BDH|8437426738809166867</stp>
        <tr r="J18" s="14"/>
      </tp>
      <tp t="e">
        <v>#N/A</v>
        <stp/>
        <stp>BDH|2792112415065229985</stp>
        <tr r="J20" s="2"/>
        <tr r="J18" s="4"/>
        <tr r="J54" s="10"/>
        <tr r="J52" s="11"/>
        <tr r="J19" s="7"/>
        <tr r="L41" s="13"/>
      </tp>
      <tp t="e">
        <v>#N/A</v>
        <stp/>
        <stp>BDH|2257084461199471368</stp>
        <tr r="J22" s="9"/>
      </tp>
      <tp t="e">
        <v>#N/A</v>
        <stp/>
        <stp>BDH|2267815898594611949</stp>
        <tr r="K18" s="25"/>
        <tr r="K10" s="27"/>
      </tp>
      <tp t="e">
        <v>#N/A</v>
        <stp/>
        <stp>BDH|7033976578915159277</stp>
        <tr r="G19" s="20"/>
      </tp>
      <tp t="e">
        <v>#N/A</v>
        <stp/>
        <stp>BDH|1131138075348186180</stp>
        <tr r="V12" s="21"/>
      </tp>
      <tp t="e">
        <v>#N/A</v>
        <stp/>
        <stp>BDH|7368425688753725604</stp>
        <tr r="I7" s="34"/>
      </tp>
      <tp t="e">
        <v>#N/A</v>
        <stp/>
        <stp>BDH|8336107419191133754</stp>
        <tr r="G24" s="21"/>
      </tp>
      <tp t="e">
        <v>#N/A</v>
        <stp/>
        <stp>BDH|9332430662047445282</stp>
        <tr r="O31" s="10"/>
        <tr r="O29" s="11"/>
      </tp>
      <tp t="e">
        <v>#N/A</v>
        <stp/>
        <stp>BDH|1356287510165005956</stp>
        <tr r="I9" s="2"/>
        <tr r="K8" s="25"/>
        <tr r="I10" s="5"/>
      </tp>
      <tp t="e">
        <v>#N/A</v>
        <stp/>
        <stp>BDH|1479830609520232725</stp>
        <tr r="Y8" s="12"/>
      </tp>
      <tp t="e">
        <v>#N/A</v>
        <stp/>
        <stp>BDH|5739135187413416197</stp>
        <tr r="R22" s="7"/>
      </tp>
      <tp t="e">
        <v>#N/A</v>
        <stp/>
        <stp>BDH|1217968381276281894</stp>
        <tr r="H20" s="17"/>
      </tp>
      <tp t="e">
        <v>#N/A</v>
        <stp/>
        <stp>BDH|4577168486691878239</stp>
        <tr r="N83" s="17"/>
      </tp>
      <tp t="e">
        <v>#N/A</v>
        <stp/>
        <stp>BDH|1339150705549979746</stp>
        <tr r="P21" s="5"/>
      </tp>
      <tp t="e">
        <v>#N/A</v>
        <stp/>
        <stp>BDH|7576336900138914216</stp>
        <tr r="X12" s="14"/>
      </tp>
      <tp t="e">
        <v>#N/A</v>
        <stp/>
        <stp>BDH|8470385665472449135</stp>
        <tr r="T47" s="17"/>
      </tp>
      <tp t="e">
        <v>#N/A</v>
        <stp/>
        <stp>BDH|8049155668136025735</stp>
        <tr r="N57" s="24"/>
      </tp>
      <tp t="e">
        <v>#N/A</v>
        <stp/>
        <stp>BDH|4722523181124340392</stp>
        <tr r="W38" s="10"/>
        <tr r="W36" s="11"/>
      </tp>
      <tp t="e">
        <v>#N/A</v>
        <stp/>
        <stp>BDH|9009725309028109843</stp>
        <tr r="G60" s="12"/>
      </tp>
      <tp t="e">
        <v>#N/A</v>
        <stp/>
        <stp>BDH|9639347926694253281</stp>
        <tr r="Y11" s="28"/>
      </tp>
      <tp t="e">
        <v>#N/A</v>
        <stp/>
        <stp>BDH|2188691100692070860</stp>
        <tr r="X18" s="11"/>
      </tp>
      <tp t="e">
        <v>#N/A</v>
        <stp/>
        <stp>BDH|8679450635929032885</stp>
        <tr r="H9" s="26"/>
      </tp>
      <tp t="e">
        <v>#N/A</v>
        <stp/>
        <stp>BDH|4479990717857431504</stp>
        <tr r="G52" s="17"/>
      </tp>
      <tp t="e">
        <v>#N/A</v>
        <stp/>
        <stp>BDH|8122078373151201091</stp>
        <tr r="J32" s="25"/>
        <tr r="J7" s="3"/>
        <tr r="H19" s="11"/>
        <tr r="J22" s="13"/>
        <tr r="J7" s="13"/>
      </tp>
      <tp t="e">
        <v>#N/A</v>
        <stp/>
        <stp>BDH|2830752886950266374</stp>
        <tr r="W12" s="20"/>
      </tp>
      <tp t="e">
        <v>#N/A</v>
        <stp/>
        <stp>BDH|5982725331279331671</stp>
        <tr r="L22" s="17"/>
      </tp>
      <tp t="e">
        <v>#N/A</v>
        <stp/>
        <stp>BDH|6775328900759806234</stp>
        <tr r="T53" s="17"/>
      </tp>
      <tp t="e">
        <v>#N/A</v>
        <stp/>
        <stp>BDH|9838615861954230342</stp>
        <tr r="K25" s="12"/>
      </tp>
      <tp t="e">
        <v>#N/A</v>
        <stp/>
        <stp>BDH|9809890586070989719</stp>
        <tr r="F60" s="21"/>
      </tp>
      <tp t="e">
        <v>#N/A</v>
        <stp/>
        <stp>BDH|8089390014453040728</stp>
        <tr r="Y8" s="28"/>
      </tp>
      <tp t="e">
        <v>#N/A</v>
        <stp/>
        <stp>BDH|3023247483284910316</stp>
        <tr r="X122" s="18"/>
      </tp>
      <tp t="e">
        <v>#N/A</v>
        <stp/>
        <stp>BDH|2842633291151443211</stp>
        <tr r="M67" s="18"/>
      </tp>
      <tp t="e">
        <v>#N/A</v>
        <stp/>
        <stp>BDH|2399434605990304897</stp>
        <tr r="P52" s="17"/>
      </tp>
      <tp t="e">
        <v>#N/A</v>
        <stp/>
        <stp>BDH|1952677590082143204</stp>
        <tr r="C61" s="17"/>
      </tp>
      <tp t="e">
        <v>#N/A</v>
        <stp/>
        <stp>BDH|7251830998569350157</stp>
        <tr r="R20" s="20"/>
      </tp>
      <tp t="e">
        <v>#N/A</v>
        <stp/>
        <stp>BDH|8341477404434938666</stp>
        <tr r="T14" s="13"/>
      </tp>
      <tp t="e">
        <v>#N/A</v>
        <stp/>
        <stp>BDH|9374071035253949772</stp>
        <tr r="H69" s="18"/>
      </tp>
      <tp t="e">
        <v>#N/A</v>
        <stp/>
        <stp>BDH|3637495480424436545</stp>
        <tr r="F13" s="13"/>
      </tp>
      <tp t="e">
        <v>#N/A</v>
        <stp/>
        <stp>BDH|4326544177510624896</stp>
        <tr r="G12" s="10"/>
      </tp>
      <tp t="e">
        <v>#N/A</v>
        <stp/>
        <stp>BDH|7177881952785003147</stp>
        <tr r="O11" s="3"/>
        <tr r="M46" s="10"/>
        <tr r="M44" s="11"/>
        <tr r="M8" s="7"/>
      </tp>
      <tp t="e">
        <v>#N/A</v>
        <stp/>
        <stp>BDH|4999685739598203750</stp>
        <tr r="E19" s="14"/>
      </tp>
      <tp t="e">
        <v>#N/A</v>
        <stp/>
        <stp>BDH|7065136179586740928</stp>
        <tr r="L32" s="17"/>
      </tp>
      <tp t="e">
        <v>#N/A</v>
        <stp/>
        <stp>BDH|9235335864761300398</stp>
        <tr r="D25" s="22"/>
      </tp>
      <tp t="e">
        <v>#N/A</v>
        <stp/>
        <stp>BDH|9282507735967063688</stp>
        <tr r="V27" s="17"/>
      </tp>
      <tp t="e">
        <v>#N/A</v>
        <stp/>
        <stp>BDH|8996578011787255528</stp>
        <tr r="K10" s="11"/>
      </tp>
      <tp t="e">
        <v>#N/A</v>
        <stp/>
        <stp>BDH|3558908186069927555</stp>
        <tr r="G25" s="3"/>
      </tp>
      <tp t="e">
        <v>#N/A</v>
        <stp/>
        <stp>BDH|8790670247712026681</stp>
        <tr r="M14" s="14"/>
      </tp>
      <tp t="e">
        <v>#N/A</v>
        <stp/>
        <stp>BDH|4204581741629396273</stp>
        <tr r="P8" s="28"/>
      </tp>
      <tp t="e">
        <v>#N/A</v>
        <stp/>
        <stp>BDH|3554863474126932419</stp>
        <tr r="Y18" s="18"/>
      </tp>
      <tp t="e">
        <v>#N/A</v>
        <stp/>
        <stp>BDH|3185659167458883541</stp>
        <tr r="I62" s="24"/>
      </tp>
      <tp t="e">
        <v>#N/A</v>
        <stp/>
        <stp>BDH|4673416258849327237</stp>
        <tr r="V7" s="4"/>
      </tp>
      <tp t="e">
        <v>#N/A</v>
        <stp/>
        <stp>BDH|5164098182431544202</stp>
        <tr r="V46" s="4"/>
        <tr r="V25" s="10"/>
        <tr r="X27" s="13"/>
      </tp>
      <tp t="e">
        <v>#N/A</v>
        <stp/>
        <stp>BDH|3357872540493268299</stp>
        <tr r="J107" s="18"/>
      </tp>
      <tp t="e">
        <v>#N/A</v>
        <stp/>
        <stp>BDH|7526128754655477887</stp>
        <tr r="S79" s="17"/>
        <tr r="S20" s="3"/>
        <tr r="Q6" s="7"/>
      </tp>
      <tp t="e">
        <v>#N/A</v>
        <stp/>
        <stp>BDH|3589376386715978321</stp>
        <tr r="X42" s="18"/>
      </tp>
      <tp t="e">
        <v>#N/A</v>
        <stp/>
        <stp>BDH|3695627057177468986</stp>
        <tr r="P13" s="9"/>
      </tp>
      <tp t="e">
        <v>#N/A</v>
        <stp/>
        <stp>BDH|7373757479209657069</stp>
        <tr r="Y13" s="17"/>
        <tr r="Y16" s="28"/>
      </tp>
      <tp t="e">
        <v>#N/A</v>
        <stp/>
        <stp>BDH|7146149467956715894</stp>
        <tr r="F7" s="34"/>
      </tp>
      <tp t="e">
        <v>#N/A</v>
        <stp/>
        <stp>BDH|8771314477184533680</stp>
        <tr r="K74" s="18"/>
      </tp>
      <tp t="e">
        <v>#N/A</v>
        <stp/>
        <stp>BDH|2714034982595803120</stp>
        <tr r="P10" s="10"/>
      </tp>
      <tp t="e">
        <v>#N/A</v>
        <stp/>
        <stp>BDH|9539659758890555417</stp>
        <tr r="I41" s="24"/>
      </tp>
      <tp t="e">
        <v>#N/A</v>
        <stp/>
        <stp>BDH|2082599275516402844</stp>
        <tr r="C37" s="34"/>
      </tp>
      <tp t="e">
        <v>#N/A</v>
        <stp/>
        <stp>BDH|6489608763169947125</stp>
        <tr r="E20" s="22"/>
      </tp>
      <tp t="e">
        <v>#N/A</v>
        <stp/>
        <stp>BDH|5927645643158500175</stp>
        <tr r="X52" s="18"/>
      </tp>
      <tp t="e">
        <v>#N/A</v>
        <stp/>
        <stp>BDH|3011998423486082066</stp>
        <tr r="V29" s="5"/>
      </tp>
      <tp t="e">
        <v>#N/A</v>
        <stp/>
        <stp>BDH|4791783525839042664</stp>
        <tr r="T26" s="22"/>
      </tp>
      <tp t="e">
        <v>#N/A</v>
        <stp/>
        <stp>BDH|7832424104504254905</stp>
        <tr r="V52" s="17"/>
      </tp>
      <tp t="e">
        <v>#N/A</v>
        <stp/>
        <stp>BDH|7016613967241978835</stp>
        <tr r="AA6" s="28"/>
      </tp>
      <tp t="e">
        <v>#N/A</v>
        <stp/>
        <stp>BDH|3045245699404426253</stp>
        <tr r="Y8" s="14"/>
      </tp>
      <tp t="e">
        <v>#N/A</v>
        <stp/>
        <stp>BDH|6628803638602749157</stp>
        <tr r="J20" s="6"/>
      </tp>
      <tp t="e">
        <v>#N/A</v>
        <stp/>
        <stp>BDH|3564909999808323531</stp>
        <tr r="AA124" s="18"/>
      </tp>
      <tp t="e">
        <v>#N/A</v>
        <stp/>
        <stp>BDH|2000476627889937359</stp>
        <tr r="S55" s="12"/>
      </tp>
      <tp t="e">
        <v>#N/A</v>
        <stp/>
        <stp>BDH|1995382612188771589</stp>
        <tr r="H57" s="12"/>
      </tp>
      <tp t="e">
        <v>#N/A</v>
        <stp/>
        <stp>BDH|2008581094504222422</stp>
        <tr r="G11" s="17"/>
      </tp>
      <tp t="e">
        <v>#N/A</v>
        <stp/>
        <stp>BDH|7408484540468245123</stp>
        <tr r="T9" s="6"/>
      </tp>
      <tp t="e">
        <v>#N/A</v>
        <stp/>
        <stp>BDH|5117541589625730373</stp>
        <tr r="K6" s="2"/>
        <tr r="K6" s="5"/>
        <tr r="K6" s="9"/>
        <tr r="L12" s="8"/>
        <tr r="M10" s="29"/>
        <tr r="M19" s="29"/>
        <tr r="M25" s="29"/>
      </tp>
      <tp t="e">
        <v>#N/A</v>
        <stp/>
        <stp>BDH|1438324867079916340</stp>
        <tr r="Y17" s="10"/>
      </tp>
      <tp t="e">
        <v>#N/A</v>
        <stp/>
        <stp>BDH|5763002813408836205</stp>
        <tr r="AA46" s="21"/>
      </tp>
      <tp t="e">
        <v>#N/A</v>
        <stp/>
        <stp>BDH|4352588550878687214</stp>
        <tr r="L75" s="18"/>
      </tp>
      <tp t="e">
        <v>#N/A</v>
        <stp/>
        <stp>BDH|8481303028325334233</stp>
        <tr r="AA23" s="22"/>
      </tp>
      <tp t="e">
        <v>#N/A</v>
        <stp/>
        <stp>BDH|7659249893484568686</stp>
        <tr r="S14" s="22"/>
      </tp>
      <tp t="e">
        <v>#N/A</v>
        <stp/>
        <stp>BDH|1897902032333457625</stp>
        <tr r="O29" s="29"/>
        <tr r="O7" s="29"/>
      </tp>
      <tp t="e">
        <v>#N/A</v>
        <stp/>
        <stp>BDH|4092121200368872367</stp>
        <tr r="I20" s="20"/>
      </tp>
      <tp t="e">
        <v>#N/A</v>
        <stp/>
        <stp>BDH|2830846940827365730</stp>
        <tr r="AA13" s="12"/>
      </tp>
      <tp t="e">
        <v>#N/A</v>
        <stp/>
        <stp>BDH|1448035398241197721</stp>
        <tr r="R18" s="29"/>
        <tr r="R38" s="29"/>
      </tp>
      <tp t="e">
        <v>#N/A</v>
        <stp/>
        <stp>BDH|5344935312677986472</stp>
        <tr r="C20" s="23"/>
      </tp>
      <tp t="e">
        <v>#N/A</v>
        <stp/>
        <stp>BDH|6366353938221722958</stp>
        <tr r="U26" s="29"/>
      </tp>
      <tp t="e">
        <v>#N/A</v>
        <stp/>
        <stp>BDH|6689315232749143181</stp>
        <tr r="L60" s="17"/>
      </tp>
      <tp t="e">
        <v>#N/A</v>
        <stp/>
        <stp>BDH|7082983495571858894</stp>
        <tr r="L124" s="18"/>
      </tp>
      <tp t="e">
        <v>#N/A</v>
        <stp/>
        <stp>BDH|1901773841744688852</stp>
        <tr r="W20" s="30"/>
      </tp>
      <tp t="e">
        <v>#N/A</v>
        <stp/>
        <stp>BDH|1984381482576916263</stp>
        <tr r="M49" s="18"/>
      </tp>
      <tp t="e">
        <v>#N/A</v>
        <stp/>
        <stp>BDH|8840464037865038455</stp>
        <tr r="AA92" s="18"/>
      </tp>
      <tp t="e">
        <v>#N/A</v>
        <stp/>
        <stp>BDH|2184457241364939801</stp>
        <tr r="R7" s="29"/>
        <tr r="R29" s="29"/>
      </tp>
      <tp t="e">
        <v>#N/A</v>
        <stp/>
        <stp>BDH|6193391599916513493</stp>
        <tr r="U38" s="6"/>
      </tp>
      <tp t="e">
        <v>#N/A</v>
        <stp/>
        <stp>BDH|3760864769622055153</stp>
        <tr r="R58" s="11"/>
      </tp>
      <tp t="e">
        <v>#N/A</v>
        <stp/>
        <stp>BDH|8905860803387840992</stp>
        <tr r="H60" s="24"/>
      </tp>
      <tp t="e">
        <v>#N/A</v>
        <stp/>
        <stp>BDH|5067434099143440532</stp>
        <tr r="P15" s="5"/>
      </tp>
      <tp t="e">
        <v>#N/A</v>
        <stp/>
        <stp>BDH|5411684174542139846</stp>
        <tr r="L67" s="10"/>
        <tr r="L65" s="11"/>
      </tp>
      <tp t="e">
        <v>#N/A</v>
        <stp/>
        <stp>BDH|8597490558610127789</stp>
        <tr r="O15" s="17"/>
        <tr r="O18" s="28"/>
      </tp>
      <tp t="e">
        <v>#N/A</v>
        <stp/>
        <stp>BDH|1882839710745077365</stp>
        <tr r="D8" s="2"/>
      </tp>
      <tp t="e">
        <v>#N/A</v>
        <stp/>
        <stp>BDH|4834341985503089248</stp>
        <tr r="J34" s="18"/>
      </tp>
      <tp t="e">
        <v>#N/A</v>
        <stp/>
        <stp>BDH|2526744778308211463</stp>
        <tr r="K59" s="10"/>
      </tp>
      <tp t="e">
        <v>#N/A</v>
        <stp/>
        <stp>BDH|1563996138523161684</stp>
        <tr r="L49" s="24"/>
      </tp>
      <tp t="e">
        <v>#N/A</v>
        <stp/>
        <stp>BDH|1325364121656864810</stp>
        <tr r="E60" s="10"/>
      </tp>
      <tp t="e">
        <v>#N/A</v>
        <stp/>
        <stp>BDH|4696330288916423744</stp>
        <tr r="R57" s="24"/>
      </tp>
      <tp t="e">
        <v>#N/A</v>
        <stp/>
        <stp>BDH|3273486283578292964</stp>
        <tr r="I80" s="18"/>
      </tp>
      <tp t="e">
        <v>#N/A</v>
        <stp/>
        <stp>BDH|3380615024650910923</stp>
        <tr r="R13" s="21"/>
      </tp>
      <tp t="e">
        <v>#N/A</v>
        <stp/>
        <stp>BDH|8064183720796783323</stp>
        <tr r="X49" s="12"/>
      </tp>
      <tp t="e">
        <v>#N/A</v>
        <stp/>
        <stp>BDH|2178947909070405558</stp>
        <tr r="N17" s="22"/>
      </tp>
      <tp t="e">
        <v>#N/A</v>
        <stp/>
        <stp>BDH|4050654272299294282</stp>
        <tr r="K60" s="12"/>
      </tp>
      <tp t="e">
        <v>#N/A</v>
        <stp/>
        <stp>BDH|3850142150540012918</stp>
        <tr r="Q17" s="10"/>
      </tp>
      <tp t="e">
        <v>#N/A</v>
        <stp/>
        <stp>BDH|2076834276414148798</stp>
        <tr r="G38" s="6"/>
      </tp>
      <tp t="e">
        <v>#N/A</v>
        <stp/>
        <stp>BDH|1119820884858254786</stp>
        <tr r="C22" s="9"/>
      </tp>
      <tp t="e">
        <v>#N/A</v>
        <stp/>
        <stp>BDH|9074794449925591189</stp>
        <tr r="O20" s="28"/>
        <tr r="O17" s="17"/>
      </tp>
      <tp t="e">
        <v>#N/A</v>
        <stp/>
        <stp>BDH|9996103274616003701</stp>
        <tr r="J8" s="18"/>
      </tp>
      <tp t="e">
        <v>#N/A</v>
        <stp/>
        <stp>BDH|3578199989907115399</stp>
        <tr r="C16" s="2"/>
        <tr r="C32" s="4"/>
        <tr r="C58" s="10"/>
        <tr r="E19" s="13"/>
      </tp>
      <tp t="e">
        <v>#N/A</v>
        <stp/>
        <stp>BDH|5501831861604914138</stp>
        <tr r="Y56" s="24"/>
      </tp>
      <tp t="e">
        <v>#N/A</v>
        <stp/>
        <stp>BDH|6647266059019203693</stp>
        <tr r="H10" s="26"/>
      </tp>
      <tp t="e">
        <v>#N/A</v>
        <stp/>
        <stp>BDH|9119707554982777708</stp>
        <tr r="X33" s="13"/>
      </tp>
      <tp t="e">
        <v>#N/A</v>
        <stp/>
        <stp>BDH|8637194908141564600</stp>
        <tr r="AA62" s="21"/>
      </tp>
      <tp t="e">
        <v>#N/A</v>
        <stp/>
        <stp>BDH|7852033426488727380</stp>
        <tr r="Y59" s="17"/>
      </tp>
      <tp t="e">
        <v>#N/A</v>
        <stp/>
        <stp>BDH|4232350790072780228</stp>
        <tr r="AA40" s="18"/>
      </tp>
      <tp t="e">
        <v>#N/A</v>
        <stp/>
        <stp>BDH|3952343317588113791</stp>
        <tr r="W59" s="10"/>
      </tp>
      <tp t="e">
        <v>#N/A</v>
        <stp/>
        <stp>BDH|7917350351679809674</stp>
        <tr r="Q72" s="18"/>
      </tp>
      <tp t="e">
        <v>#N/A</v>
        <stp/>
        <stp>BDH|6403246770134621947</stp>
        <tr r="M24" s="26"/>
        <tr r="K14" s="9"/>
      </tp>
      <tp t="e">
        <v>#N/A</v>
        <stp/>
        <stp>BDH|8684528537416721664</stp>
        <tr r="I116" s="18"/>
      </tp>
      <tp t="e">
        <v>#N/A</v>
        <stp/>
        <stp>BDH|2386710427968311145</stp>
        <tr r="L24" s="10"/>
      </tp>
      <tp t="e">
        <v>#N/A</v>
        <stp/>
        <stp>BDH|4924749491805724195</stp>
        <tr r="G39" s="18"/>
      </tp>
      <tp t="e">
        <v>#N/A</v>
        <stp/>
        <stp>BDH|8323026215810484720</stp>
        <tr r="N41" s="12"/>
      </tp>
      <tp t="e">
        <v>#N/A</v>
        <stp/>
        <stp>BDH|8270584656377944173</stp>
        <tr r="L40" s="18"/>
      </tp>
      <tp t="e">
        <v>#N/A</v>
        <stp/>
        <stp>BDH|4414772536707727901</stp>
        <tr r="E22" s="7"/>
      </tp>
      <tp t="e">
        <v>#N/A</v>
        <stp/>
        <stp>BDH|4334965333893116358</stp>
        <tr r="J39" s="6"/>
      </tp>
      <tp t="e">
        <v>#N/A</v>
        <stp/>
        <stp>BDH|8229640046437602340</stp>
        <tr r="H113" s="18"/>
      </tp>
      <tp t="e">
        <v>#N/A</v>
        <stp/>
        <stp>BDH|8966332899309996588</stp>
        <tr r="AA61" s="18"/>
      </tp>
      <tp t="e">
        <v>#N/A</v>
        <stp/>
        <stp>BDH|2681987014512959619</stp>
        <tr r="H31" s="34"/>
      </tp>
      <tp t="e">
        <v>#N/A</v>
        <stp/>
        <stp>BDH|4433174411479879382</stp>
        <tr r="I23" s="17"/>
      </tp>
      <tp t="e">
        <v>#N/A</v>
        <stp/>
        <stp>BDH|1022155655172196936</stp>
        <tr r="J7" s="34"/>
      </tp>
      <tp t="e">
        <v>#N/A</v>
        <stp/>
        <stp>BDH|1752718623169644311</stp>
        <tr r="P32" s="12"/>
      </tp>
      <tp t="e">
        <v>#N/A</v>
        <stp/>
        <stp>BDH|7495875750451867597</stp>
        <tr r="Z19" s="18"/>
      </tp>
      <tp t="e">
        <v>#N/A</v>
        <stp/>
        <stp>BDH|9689261294115346955</stp>
        <tr r="D39" s="34"/>
      </tp>
      <tp t="e">
        <v>#N/A</v>
        <stp/>
        <stp>BDH|9487317647082443242</stp>
        <tr r="E16" s="26"/>
      </tp>
      <tp t="e">
        <v>#N/A</v>
        <stp/>
        <stp>BDH|1988105699145359211</stp>
        <tr r="L12" s="10"/>
      </tp>
      <tp t="e">
        <v>#N/A</v>
        <stp/>
        <stp>BDH|5605107785715731768</stp>
        <tr r="S9" s="10"/>
      </tp>
      <tp t="e">
        <v>#N/A</v>
        <stp/>
        <stp>BDH|7902852142982808740</stp>
        <tr r="Z67" s="18"/>
      </tp>
      <tp t="e">
        <v>#N/A</v>
        <stp/>
        <stp>BDH|9721675312038999894</stp>
        <tr r="U18" s="2"/>
        <tr r="U53" s="4"/>
        <tr r="U42" s="10"/>
        <tr r="U40" s="11"/>
        <tr r="W34" s="13"/>
      </tp>
      <tp t="e">
        <v>#N/A</v>
        <stp/>
        <stp>BDH|5592166842017260913</stp>
        <tr r="T44" s="21"/>
      </tp>
      <tp t="e">
        <v>#N/A</v>
        <stp/>
        <stp>BDH|4601986123821675094</stp>
        <tr r="N63" s="12"/>
      </tp>
      <tp t="e">
        <v>#N/A</v>
        <stp/>
        <stp>BDH|2310137730057023929</stp>
        <tr r="J21" s="24"/>
      </tp>
      <tp t="e">
        <v>#N/A</v>
        <stp/>
        <stp>BDH|6079075295869554852</stp>
        <tr r="F14" s="12"/>
      </tp>
      <tp t="e">
        <v>#N/A</v>
        <stp/>
        <stp>BDH|8262240450686759739</stp>
        <tr r="R9" s="17"/>
      </tp>
      <tp t="e">
        <v>#N/A</v>
        <stp/>
        <stp>BDH|8587788756515024198</stp>
        <tr r="D20" s="24"/>
      </tp>
      <tp t="e">
        <v>#N/A</v>
        <stp/>
        <stp>BDH|3914696255417247958</stp>
        <tr r="E37" s="10"/>
        <tr r="E35" s="11"/>
      </tp>
      <tp t="e">
        <v>#N/A</v>
        <stp/>
        <stp>BDH|5397341861467050946</stp>
        <tr r="J10" s="34"/>
      </tp>
      <tp t="e">
        <v>#N/A</v>
        <stp/>
        <stp>BDH|9307851498893566591</stp>
        <tr r="X41" s="17"/>
      </tp>
      <tp t="e">
        <v>#N/A</v>
        <stp/>
        <stp>BDH|2859298985597422124</stp>
        <tr r="N24" s="21"/>
      </tp>
      <tp t="e">
        <v>#N/A</v>
        <stp/>
        <stp>BDH|7338218486915172664</stp>
        <tr r="N124" s="18"/>
      </tp>
      <tp t="e">
        <v>#N/A</v>
        <stp/>
        <stp>BDH|6186675863881418924</stp>
        <tr r="AA61" s="24"/>
      </tp>
      <tp t="e">
        <v>#N/A</v>
        <stp/>
        <stp>BDH|5549149199907907427</stp>
        <tr r="Q43" s="4"/>
      </tp>
      <tp t="e">
        <v>#N/A</v>
        <stp/>
        <stp>BDH|2827841046745111587</stp>
        <tr r="S41" s="18"/>
      </tp>
      <tp t="e">
        <v>#N/A</v>
        <stp/>
        <stp>BDH|8510509664287007228</stp>
        <tr r="J11" s="6"/>
      </tp>
      <tp t="e">
        <v>#N/A</v>
        <stp/>
        <stp>BDH|3577007291510177467</stp>
        <tr r="M17" s="17"/>
        <tr r="M20" s="28"/>
      </tp>
      <tp t="e">
        <v>#N/A</v>
        <stp/>
        <stp>BDH|3418147962092023811</stp>
        <tr r="S22" s="9"/>
      </tp>
      <tp t="e">
        <v>#N/A</v>
        <stp/>
        <stp>BDH|4045211849608929425</stp>
        <tr r="O38" s="13"/>
      </tp>
      <tp t="e">
        <v>#N/A</v>
        <stp/>
        <stp>BDH|4019941125464730553</stp>
        <tr r="H25" s="18"/>
      </tp>
      <tp t="e">
        <v>#N/A</v>
        <stp/>
        <stp>BDH|8663534443146358162</stp>
        <tr r="C32" s="22"/>
      </tp>
      <tp t="e">
        <v>#N/A</v>
        <stp/>
        <stp>BDH|6450448165998565235</stp>
        <tr r="M44" s="18"/>
      </tp>
      <tp t="e">
        <v>#N/A</v>
        <stp/>
        <stp>BDH|2472368062028014138</stp>
        <tr r="R36" s="10"/>
        <tr r="R34" s="11"/>
      </tp>
      <tp t="e">
        <v>#N/A</v>
        <stp/>
        <stp>BDH|2169450385681667140</stp>
        <tr r="W9" s="21"/>
      </tp>
      <tp t="e">
        <v>#N/A</v>
        <stp/>
        <stp>BDH|8958306842332001386</stp>
        <tr r="E26" s="22"/>
      </tp>
      <tp t="e">
        <v>#N/A</v>
        <stp/>
        <stp>BDH|1988024814406893848</stp>
        <tr r="G56" s="17"/>
      </tp>
      <tp t="e">
        <v>#N/A</v>
        <stp/>
        <stp>BDH|8102771968763593486</stp>
        <tr r="V28" s="6"/>
      </tp>
      <tp t="e">
        <v>#N/A</v>
        <stp/>
        <stp>BDH|2250472656868419547</stp>
        <tr r="H24" s="18"/>
      </tp>
      <tp t="e">
        <v>#N/A</v>
        <stp/>
        <stp>BDH|4442969577267637307</stp>
        <tr r="M21" s="11"/>
      </tp>
      <tp t="e">
        <v>#N/A</v>
        <stp/>
        <stp>BDH|5051563207277385917</stp>
        <tr r="H16" s="2"/>
        <tr r="H32" s="4"/>
        <tr r="H58" s="10"/>
        <tr r="J19" s="13"/>
      </tp>
      <tp t="e">
        <v>#N/A</v>
        <stp/>
        <stp>BDH|9005823790223438559</stp>
        <tr r="J12" s="13"/>
      </tp>
      <tp t="e">
        <v>#N/A</v>
        <stp/>
        <stp>BDH|8755844144508210268</stp>
        <tr r="L61" s="11"/>
        <tr r="N15" s="23"/>
      </tp>
      <tp t="e">
        <v>#N/A</v>
        <stp/>
        <stp>BDH|7144259383555460603</stp>
        <tr r="AA99" s="18"/>
      </tp>
      <tp t="e">
        <v>#N/A</v>
        <stp/>
        <stp>BDH|2959936089554985992</stp>
        <tr r="H20" s="11"/>
      </tp>
      <tp t="e">
        <v>#N/A</v>
        <stp/>
        <stp>BDH|5548660580331037408</stp>
        <tr r="M80" s="18"/>
      </tp>
      <tp t="e">
        <v>#N/A</v>
        <stp/>
        <stp>BDH|5260229527179215260</stp>
        <tr r="U35" s="22"/>
      </tp>
      <tp t="e">
        <v>#N/A</v>
        <stp/>
        <stp>BDH|7285889320697085490</stp>
        <tr r="J15" s="24"/>
      </tp>
      <tp t="e">
        <v>#N/A</v>
        <stp/>
        <stp>BDH|6262049684503859391</stp>
        <tr r="I33" s="22"/>
      </tp>
      <tp t="e">
        <v>#N/A</v>
        <stp/>
        <stp>BDH|3606355854298009349</stp>
        <tr r="D10" s="24"/>
      </tp>
      <tp t="e">
        <v>#N/A</v>
        <stp/>
        <stp>BDH|7545912302677786719</stp>
        <tr r="AA23" s="24"/>
      </tp>
      <tp t="e">
        <v>#N/A</v>
        <stp/>
        <stp>BDH|6706862788379061197</stp>
        <tr r="AA80" s="18"/>
      </tp>
      <tp t="e">
        <v>#N/A</v>
        <stp/>
        <stp>BDH|5990663774979240394</stp>
        <tr r="D19" s="25"/>
        <tr r="D12" s="27"/>
      </tp>
      <tp t="e">
        <v>#N/A</v>
        <stp/>
        <stp>BDH|9162280243104802524</stp>
        <tr r="I43" s="34"/>
      </tp>
      <tp t="e">
        <v>#N/A</v>
        <stp/>
        <stp>BDH|3868755528891098951</stp>
        <tr r="N67" s="10"/>
        <tr r="N65" s="11"/>
      </tp>
      <tp t="e">
        <v>#N/A</v>
        <stp/>
        <stp>BDH|9183813363868566167</stp>
        <tr r="J9" s="22"/>
      </tp>
      <tp t="e">
        <v>#N/A</v>
        <stp/>
        <stp>BDH|9596209415494978091</stp>
        <tr r="C8" s="21"/>
      </tp>
      <tp t="e">
        <v>#N/A</v>
        <stp/>
        <stp>BDH|1763267493300743453</stp>
        <tr r="I9" s="17"/>
      </tp>
      <tp t="e">
        <v>#N/A</v>
        <stp/>
        <stp>BDH|9914751711612403393</stp>
        <tr r="K129" s="18"/>
      </tp>
      <tp t="e">
        <v>#N/A</v>
        <stp/>
        <stp>BDH|6153212943366401871</stp>
        <tr r="O13" s="14"/>
      </tp>
      <tp t="e">
        <v>#N/A</v>
        <stp/>
        <stp>BDH|1866971328097463334</stp>
        <tr r="P63" s="10"/>
      </tp>
      <tp t="e">
        <v>#N/A</v>
        <stp/>
        <stp>BDH|6140585154021459991</stp>
        <tr r="K64" s="18"/>
      </tp>
      <tp t="e">
        <v>#N/A</v>
        <stp/>
        <stp>BDH|6290146929473974869</stp>
        <tr r="I23" s="21"/>
      </tp>
      <tp t="e">
        <v>#N/A</v>
        <stp/>
        <stp>BDH|5409866853094867294</stp>
        <tr r="W14" s="6"/>
      </tp>
      <tp t="e">
        <v>#N/A</v>
        <stp/>
        <stp>BDH|4026929967695523008</stp>
        <tr r="D108" s="18"/>
      </tp>
      <tp t="e">
        <v>#N/A</v>
        <stp/>
        <stp>BDH|6081298414658841355</stp>
        <tr r="P13" s="11"/>
      </tp>
      <tp t="e">
        <v>#N/A</v>
        <stp/>
        <stp>BDH|5212051277105255922</stp>
        <tr r="O32" s="18"/>
      </tp>
      <tp t="e">
        <v>#N/A</v>
        <stp/>
        <stp>BDH|9690320841302754226</stp>
        <tr r="K47" s="21"/>
      </tp>
      <tp t="e">
        <v>#N/A</v>
        <stp/>
        <stp>BDH|1465508836601157834</stp>
        <tr r="Z18" s="18"/>
      </tp>
      <tp t="e">
        <v>#N/A</v>
        <stp/>
        <stp>BDH|3364807356901070157</stp>
        <tr r="K76" s="18"/>
      </tp>
      <tp t="e">
        <v>#N/A</v>
        <stp/>
        <stp>BDH|2089956643732430322</stp>
        <tr r="W10" s="30"/>
      </tp>
      <tp t="e">
        <v>#N/A</v>
        <stp/>
        <stp>BDH|1870870440892744183</stp>
        <tr r="U27" s="24"/>
      </tp>
      <tp t="e">
        <v>#N/A</v>
        <stp/>
        <stp>BDH|5422354743505791951</stp>
        <tr r="S18" s="29"/>
        <tr r="S38" s="29"/>
      </tp>
      <tp t="e">
        <v>#N/A</v>
        <stp/>
        <stp>BDH|7781433961498125346</stp>
        <tr r="AA25" s="12"/>
      </tp>
      <tp t="e">
        <v>#N/A</v>
        <stp/>
        <stp>BDH|9285406342715501252</stp>
        <tr r="M15" s="10"/>
      </tp>
      <tp t="e">
        <v>#N/A</v>
        <stp/>
        <stp>BDH|9585921860868684012</stp>
        <tr r="V62" s="21"/>
      </tp>
      <tp t="e">
        <v>#N/A</v>
        <stp/>
        <stp>BDH|6811469962382418880</stp>
        <tr r="D30" s="17"/>
      </tp>
      <tp t="e">
        <v>#N/A</v>
        <stp/>
        <stp>BDH|9253078324057807291</stp>
        <tr r="C33" s="21"/>
      </tp>
      <tp t="e">
        <v>#N/A</v>
        <stp/>
        <stp>BDH|2400963615715709108</stp>
        <tr r="Y12" s="10"/>
      </tp>
      <tp t="e">
        <v>#N/A</v>
        <stp/>
        <stp>BDH|5539992732578810969</stp>
        <tr r="U17" s="13"/>
      </tp>
      <tp t="e">
        <v>#N/A</v>
        <stp/>
        <stp>BDH|4782165032230108820</stp>
        <tr r="O19" s="22"/>
      </tp>
      <tp t="e">
        <v>#N/A</v>
        <stp/>
        <stp>BDH|8074286127251840779</stp>
        <tr r="J6" s="6"/>
      </tp>
      <tp t="e">
        <v>#N/A</v>
        <stp/>
        <stp>BDH|4777652594456102360</stp>
        <tr r="L83" s="17"/>
      </tp>
      <tp t="e">
        <v>#N/A</v>
        <stp/>
        <stp>BDH|6328177482415491438</stp>
        <tr r="N50" s="21"/>
      </tp>
      <tp t="e">
        <v>#N/A</v>
        <stp/>
        <stp>BDH|5605143889476315496</stp>
        <tr r="G64" s="10"/>
      </tp>
      <tp t="e">
        <v>#N/A</v>
        <stp/>
        <stp>BDH|4459625681845228149</stp>
        <tr r="D70" s="24"/>
      </tp>
      <tp t="e">
        <v>#N/A</v>
        <stp/>
        <stp>BDH|5133355177217630844</stp>
        <tr r="I6" s="28"/>
      </tp>
      <tp t="e">
        <v>#N/A</v>
        <stp/>
        <stp>BDH|3755599895867204687</stp>
        <tr r="R54" s="18"/>
      </tp>
      <tp t="e">
        <v>#N/A</v>
        <stp/>
        <stp>BDH|6414146407679322051</stp>
        <tr r="T39" s="4"/>
        <tr r="T62" s="10"/>
      </tp>
      <tp t="e">
        <v>#N/A</v>
        <stp/>
        <stp>BDH|8604900941548366351</stp>
        <tr r="G25" s="22"/>
      </tp>
      <tp t="e">
        <v>#N/A</v>
        <stp/>
        <stp>BDH|1785749685784562425</stp>
        <tr r="Q24" s="17"/>
      </tp>
      <tp t="e">
        <v>#N/A</v>
        <stp/>
        <stp>BDH|1217373291260069553</stp>
        <tr r="L13" s="21"/>
      </tp>
      <tp t="e">
        <v>#N/A</v>
        <stp/>
        <stp>BDH|9308396730726906124</stp>
        <tr r="AA17" s="14"/>
      </tp>
      <tp t="e">
        <v>#N/A</v>
        <stp/>
        <stp>BDH|3446175846460337872</stp>
        <tr r="L23" s="10"/>
      </tp>
      <tp t="e">
        <v>#N/A</v>
        <stp/>
        <stp>BDH|8261846070731357845</stp>
        <tr r="H78" s="18"/>
      </tp>
      <tp t="e">
        <v>#N/A</v>
        <stp/>
        <stp>BDH|7901421874362611884</stp>
        <tr r="R40" s="17"/>
        <tr r="R9" s="25"/>
      </tp>
      <tp t="e">
        <v>#N/A</v>
        <stp/>
        <stp>BDH|4225733898652806601</stp>
        <tr r="AA52" s="24"/>
      </tp>
      <tp t="e">
        <v>#N/A</v>
        <stp/>
        <stp>BDH|3488697167605308880</stp>
        <tr r="U29" s="12"/>
      </tp>
      <tp t="e">
        <v>#N/A</v>
        <stp/>
        <stp>BDH|4098576290997769119</stp>
        <tr r="V122" s="18"/>
      </tp>
      <tp t="e">
        <v>#N/A</v>
        <stp/>
        <stp>BDH|8512236907892820685</stp>
        <tr r="G25" s="25"/>
        <tr r="G18" s="27"/>
      </tp>
      <tp t="e">
        <v>#N/A</v>
        <stp/>
        <stp>BDH|7158679691416607000</stp>
        <tr r="AA58" s="18"/>
      </tp>
      <tp t="e">
        <v>#N/A</v>
        <stp/>
        <stp>BDH|9173976286556670078</stp>
        <tr r="R43" s="24"/>
      </tp>
      <tp t="e">
        <v>#N/A</v>
        <stp/>
        <stp>BDH|4751339602528710103</stp>
        <tr r="D97" s="18"/>
      </tp>
      <tp t="e">
        <v>#N/A</v>
        <stp/>
        <stp>BDH|5471737899291615498</stp>
        <tr r="P88" s="17"/>
      </tp>
      <tp t="e">
        <v>#N/A</v>
        <stp/>
        <stp>BDH|3633803350204007479</stp>
        <tr r="W14" s="8"/>
      </tp>
      <tp t="e">
        <v>#N/A</v>
        <stp/>
        <stp>BDH|5895375603970864859</stp>
        <tr r="U32" s="24"/>
      </tp>
      <tp t="e">
        <v>#N/A</v>
        <stp/>
        <stp>BDH|6316969171731738721</stp>
        <tr r="D9" s="10"/>
      </tp>
      <tp t="e">
        <v>#N/A</v>
        <stp/>
        <stp>BDH|7228216030960416861</stp>
        <tr r="H29" s="34"/>
      </tp>
      <tp t="e">
        <v>#N/A</v>
        <stp/>
        <stp>BDH|5890441684383168481</stp>
        <tr r="F62" s="21"/>
      </tp>
      <tp t="e">
        <v>#N/A</v>
        <stp/>
        <stp>BDH|3784275631264333830</stp>
        <tr r="K45" s="4"/>
        <tr r="K27" s="10"/>
        <tr r="K25" s="11"/>
        <tr r="M26" s="13"/>
      </tp>
      <tp t="e">
        <v>#N/A</v>
        <stp/>
        <stp>BDH|3508055795300591410</stp>
        <tr r="U44" s="17"/>
      </tp>
      <tp t="e">
        <v>#N/A</v>
        <stp/>
        <stp>BDH|5683110475684227912</stp>
        <tr r="J18" s="29"/>
        <tr r="J38" s="29"/>
      </tp>
      <tp t="e">
        <v>#N/A</v>
        <stp/>
        <stp>BDH|7361531540660118871</stp>
        <tr r="AA23" s="25"/>
        <tr r="AA16" s="27"/>
      </tp>
      <tp t="e">
        <v>#N/A</v>
        <stp/>
        <stp>BDH|9871162524675927151</stp>
        <tr r="E32" s="26"/>
      </tp>
      <tp t="e">
        <v>#N/A</v>
        <stp/>
        <stp>BDH|9398233493378189441</stp>
        <tr r="F67" s="10"/>
        <tr r="F65" s="11"/>
      </tp>
      <tp t="e">
        <v>#N/A</v>
        <stp/>
        <stp>BDH|3859876838894334228</stp>
        <tr r="E18" s="20"/>
      </tp>
      <tp t="e">
        <v>#N/A</v>
        <stp/>
        <stp>BDH|9378645603691608044</stp>
        <tr r="V28" s="26"/>
      </tp>
      <tp t="e">
        <v>#N/A</v>
        <stp/>
        <stp>BDH|9899348143056144685</stp>
        <tr r="U57" s="12"/>
      </tp>
      <tp t="e">
        <v>#N/A</v>
        <stp/>
        <stp>BDH|7674261365159479470</stp>
        <tr r="X8" s="18"/>
      </tp>
      <tp t="e">
        <v>#N/A</v>
        <stp/>
        <stp>BDH|1301158262050786853</stp>
        <tr r="X59" s="10"/>
      </tp>
      <tp t="e">
        <v>#N/A</v>
        <stp/>
        <stp>BDH|1496278791640635427</stp>
        <tr r="W39" s="22"/>
      </tp>
      <tp t="e">
        <v>#N/A</v>
        <stp/>
        <stp>BDH|8556915833655816992</stp>
        <tr r="O107" s="18"/>
      </tp>
      <tp t="e">
        <v>#N/A</v>
        <stp/>
        <stp>BDH|9845383373573533006</stp>
        <tr r="C18" s="21"/>
        <tr r="C23" s="3"/>
      </tp>
      <tp t="e">
        <v>#N/A</v>
        <stp/>
        <stp>BDH|5397233367338565749</stp>
        <tr r="E20" s="23"/>
      </tp>
      <tp t="e">
        <v>#N/A</v>
        <stp/>
        <stp>BDH|5471170483416777412</stp>
        <tr r="H14" s="29"/>
        <tr r="H23" s="29"/>
        <tr r="H34" s="29"/>
      </tp>
      <tp t="e">
        <v>#N/A</v>
        <stp/>
        <stp>BDH|9062354547597171756</stp>
        <tr r="D29" s="10"/>
        <tr r="D27" s="11"/>
      </tp>
      <tp t="e">
        <v>#N/A</v>
        <stp/>
        <stp>BDH|1604624456635709934</stp>
        <tr r="S22" s="17"/>
      </tp>
      <tp t="e">
        <v>#N/A</v>
        <stp/>
        <stp>BDH|2579805966414382667</stp>
        <tr r="I92" s="18"/>
      </tp>
      <tp t="e">
        <v>#N/A</v>
        <stp/>
        <stp>BDH|1819497193926500417</stp>
        <tr r="N23" s="22"/>
      </tp>
      <tp t="e">
        <v>#N/A</v>
        <stp/>
        <stp>BDH|5514932144896530013</stp>
        <tr r="G25" s="17"/>
      </tp>
      <tp t="e">
        <v>#N/A</v>
        <stp/>
        <stp>BDH|7181867611647604763</stp>
        <tr r="Q27" s="17"/>
      </tp>
      <tp t="e">
        <v>#N/A</v>
        <stp/>
        <stp>BDH|6537038021198243234</stp>
        <tr r="AA20" s="29"/>
      </tp>
      <tp t="e">
        <v>#N/A</v>
        <stp/>
        <stp>BDH|3440160586580796455</stp>
        <tr r="AA76" s="18"/>
      </tp>
      <tp t="e">
        <v>#N/A</v>
        <stp/>
        <stp>BDH|6227919702740760105</stp>
        <tr r="V14" s="21"/>
      </tp>
      <tp t="e">
        <v>#N/A</v>
        <stp/>
        <stp>BDH|9853032823016986370</stp>
        <tr r="H21" s="17"/>
        <tr r="H15" s="3"/>
      </tp>
      <tp t="e">
        <v>#N/A</v>
        <stp/>
        <stp>BDH|8258808152472641902</stp>
        <tr r="V32" s="26"/>
      </tp>
      <tp t="e">
        <v>#N/A</v>
        <stp/>
        <stp>BDH|8546571876616154239</stp>
        <tr r="E36" s="4"/>
      </tp>
      <tp t="e">
        <v>#N/A</v>
        <stp/>
        <stp>BDH|7521100790056617742</stp>
        <tr r="P13" s="20"/>
      </tp>
      <tp t="e">
        <v>#N/A</v>
        <stp/>
        <stp>BDH|9613230102615966090</stp>
        <tr r="M21" s="12"/>
      </tp>
      <tp t="e">
        <v>#N/A</v>
        <stp/>
        <stp>BDH|8504462452654044361</stp>
        <tr r="X30" s="26"/>
      </tp>
      <tp t="e">
        <v>#N/A</v>
        <stp/>
        <stp>BDH|7602933773293440455</stp>
        <tr r="D40" s="17"/>
        <tr r="D9" s="25"/>
      </tp>
      <tp t="e">
        <v>#N/A</v>
        <stp/>
        <stp>BDH|7204444982075734047</stp>
        <tr r="O35" s="10"/>
        <tr r="O33" s="11"/>
      </tp>
      <tp t="e">
        <v>#N/A</v>
        <stp/>
        <stp>BDH|9253214936130337613</stp>
        <tr r="R29" s="9"/>
      </tp>
      <tp t="e">
        <v>#N/A</v>
        <stp/>
        <stp>BDH|5131342020498507275</stp>
        <tr r="Q15" s="4"/>
      </tp>
      <tp t="e">
        <v>#N/A</v>
        <stp/>
        <stp>BDH|9227410017400300205</stp>
        <tr r="Q64" s="18"/>
      </tp>
      <tp t="e">
        <v>#N/A</v>
        <stp/>
        <stp>BDH|6388477117305387877</stp>
        <tr r="L65" s="18"/>
      </tp>
      <tp t="e">
        <v>#N/A</v>
        <stp/>
        <stp>BDH|7366862713929367929</stp>
        <tr r="F14" s="2"/>
        <tr r="F11" s="10"/>
      </tp>
      <tp t="e">
        <v>#N/A</v>
        <stp/>
        <stp>BDH|1970886849021748287</stp>
        <tr r="E39" s="17"/>
      </tp>
      <tp t="e">
        <v>#N/A</v>
        <stp/>
        <stp>BDH|3222937253136292778</stp>
        <tr r="T39" s="6"/>
      </tp>
      <tp t="e">
        <v>#N/A</v>
        <stp/>
        <stp>BDH|8851273109266151205</stp>
        <tr r="S26" s="18"/>
      </tp>
      <tp t="e">
        <v>#N/A</v>
        <stp/>
        <stp>BDH|8586239900170137407</stp>
        <tr r="P22" s="7"/>
      </tp>
      <tp t="e">
        <v>#N/A</v>
        <stp/>
        <stp>BDH|6556836660681890798</stp>
        <tr r="E106" s="18"/>
      </tp>
      <tp t="e">
        <v>#N/A</v>
        <stp/>
        <stp>BDH|1209653991756564645</stp>
        <tr r="P13" s="24"/>
      </tp>
      <tp t="e">
        <v>#N/A</v>
        <stp/>
        <stp>BDH|1500868478640411088</stp>
        <tr r="E16" s="30"/>
      </tp>
      <tp t="e">
        <v>#N/A</v>
        <stp/>
        <stp>BDH|9025540537312730335</stp>
        <tr r="H68" s="10"/>
        <tr r="H66" s="11"/>
      </tp>
      <tp t="e">
        <v>#N/A</v>
        <stp/>
        <stp>BDH|4256950331589942983</stp>
        <tr r="Z39" s="22"/>
      </tp>
      <tp t="e">
        <v>#N/A</v>
        <stp/>
        <stp>BDH|4363529270869263147</stp>
        <tr r="E35" s="34"/>
      </tp>
      <tp t="e">
        <v>#N/A</v>
        <stp/>
        <stp>BDH|7985608416628136693</stp>
        <tr r="V20" s="25"/>
        <tr r="V13" s="27"/>
      </tp>
      <tp t="e">
        <v>#N/A</v>
        <stp/>
        <stp>BDH|3900322249118633236</stp>
        <tr r="M13" s="18"/>
      </tp>
      <tp t="e">
        <v>#N/A</v>
        <stp/>
        <stp>BDH|7814085542245672838</stp>
        <tr r="L57" s="17"/>
      </tp>
      <tp t="e">
        <v>#N/A</v>
        <stp/>
        <stp>BDH|6535484224019976779</stp>
        <tr r="M55" s="24"/>
      </tp>
      <tp t="e">
        <v>#N/A</v>
        <stp/>
        <stp>BDH|6433810657923623630</stp>
        <tr r="H82" s="17"/>
      </tp>
      <tp t="e">
        <v>#N/A</v>
        <stp/>
        <stp>BDH|5535783432366037988</stp>
        <tr r="O19" s="6"/>
      </tp>
      <tp t="e">
        <v>#N/A</v>
        <stp/>
        <stp>BDH|4113133365105891882</stp>
        <tr r="T52" s="21"/>
      </tp>
      <tp t="e">
        <v>#N/A</v>
        <stp/>
        <stp>BDH|5749039635570371857</stp>
        <tr r="Q13" s="12"/>
      </tp>
      <tp t="e">
        <v>#N/A</v>
        <stp/>
        <stp>BDH|7415056915760228819</stp>
        <tr r="W12" s="3"/>
        <tr r="U51" s="10"/>
        <tr r="U49" s="11"/>
        <tr r="U7" s="7"/>
      </tp>
      <tp t="e">
        <v>#N/A</v>
        <stp/>
        <stp>BDH|2680460896067457656</stp>
        <tr r="H90" s="17"/>
        <tr r="H13" s="28"/>
      </tp>
      <tp t="e">
        <v>#N/A</v>
        <stp/>
        <stp>BDH|6727562680227509239</stp>
        <tr r="D7" s="2"/>
        <tr r="D7" s="5"/>
        <tr r="D7" s="9"/>
        <tr r="F14" s="3"/>
      </tp>
      <tp t="e">
        <v>#N/A</v>
        <stp/>
        <stp>BDH|3579273165651481840</stp>
        <tr r="X15" s="18"/>
      </tp>
      <tp t="e">
        <v>#N/A</v>
        <stp/>
        <stp>BDH|4153958866110287579</stp>
        <tr r="C8" s="24"/>
      </tp>
      <tp t="e">
        <v>#N/A</v>
        <stp/>
        <stp>BDH|7248079046319742437</stp>
        <tr r="L33" s="18"/>
      </tp>
      <tp t="e">
        <v>#N/A</v>
        <stp/>
        <stp>BDH|3331059946380160963</stp>
        <tr r="Z72" s="18"/>
      </tp>
      <tp t="e">
        <v>#N/A</v>
        <stp/>
        <stp>BDH|2197452649594367894</stp>
        <tr r="P30" s="22"/>
      </tp>
      <tp t="e">
        <v>#N/A</v>
        <stp/>
        <stp>BDH|1498974716034325310</stp>
        <tr r="O18" s="10"/>
      </tp>
      <tp t="e">
        <v>#N/A</v>
        <stp/>
        <stp>BDH|5395530400728177667</stp>
        <tr r="G47" s="17"/>
      </tp>
      <tp t="e">
        <v>#N/A</v>
        <stp/>
        <stp>BDH|8372639005471273103</stp>
        <tr r="D36" s="12"/>
      </tp>
      <tp t="e">
        <v>#N/A</v>
        <stp/>
        <stp>BDH|2163390489977587039</stp>
        <tr r="L100" s="18"/>
      </tp>
      <tp t="e">
        <v>#N/A</v>
        <stp/>
        <stp>BDH|6196182699704779405</stp>
        <tr r="W38" s="13"/>
      </tp>
      <tp t="e">
        <v>#N/A</v>
        <stp/>
        <stp>BDH|4333283450858706589</stp>
        <tr r="H16" s="26"/>
      </tp>
      <tp t="e">
        <v>#N/A</v>
        <stp/>
        <stp>BDH|7484820178846337092</stp>
        <tr r="F20" s="20"/>
      </tp>
      <tp t="e">
        <v>#N/A</v>
        <stp/>
        <stp>BDH|7607834095478696028</stp>
        <tr r="D33" s="6"/>
        <tr r="F6" s="8"/>
      </tp>
      <tp t="e">
        <v>#N/A</v>
        <stp/>
        <stp>BDH|6120421098060965565</stp>
        <tr r="O68" s="10"/>
        <tr r="O66" s="11"/>
      </tp>
      <tp t="e">
        <v>#N/A</v>
        <stp/>
        <stp>BDH|3350822072143443131</stp>
        <tr r="Y13" s="18"/>
      </tp>
      <tp t="e">
        <v>#N/A</v>
        <stp/>
        <stp>BDH|4189802713893154075</stp>
        <tr r="U51" s="18"/>
      </tp>
      <tp t="e">
        <v>#N/A</v>
        <stp/>
        <stp>BDH|7377430584027324230</stp>
        <tr r="T34" s="6"/>
        <tr r="V9" s="8"/>
      </tp>
      <tp t="e">
        <v>#N/A</v>
        <stp/>
        <stp>BDH|6095730867418199111</stp>
        <tr r="D48" s="12"/>
      </tp>
      <tp t="e">
        <v>#N/A</v>
        <stp/>
        <stp>BDH|8248611380201323940</stp>
        <tr r="P23" s="11"/>
      </tp>
      <tp t="e">
        <v>#N/A</v>
        <stp/>
        <stp>BDH|2129382363099620086</stp>
        <tr r="E11" s="3"/>
        <tr r="C46" s="10"/>
        <tr r="C44" s="11"/>
        <tr r="C8" s="7"/>
      </tp>
      <tp t="e">
        <v>#N/A</v>
        <stp/>
        <stp>BDH|6297164901219393022</stp>
        <tr r="J8" s="34"/>
      </tp>
      <tp t="e">
        <v>#N/A</v>
        <stp/>
        <stp>BDH|1661504580642038023</stp>
        <tr r="O15" s="20"/>
      </tp>
      <tp t="e">
        <v>#N/A</v>
        <stp/>
        <stp>BDH|2637454507459802184</stp>
        <tr r="Y9" s="12"/>
      </tp>
      <tp t="e">
        <v>#N/A</v>
        <stp/>
        <stp>BDH|2540045846691231913</stp>
        <tr r="H41" s="18"/>
      </tp>
      <tp t="e">
        <v>#N/A</v>
        <stp/>
        <stp>BDH|4516777641361536821</stp>
        <tr r="Q83" s="17"/>
      </tp>
      <tp t="e">
        <v>#N/A</v>
        <stp/>
        <stp>BDH|3352057593246231234</stp>
        <tr r="N20" s="27"/>
      </tp>
      <tp t="e">
        <v>#N/A</v>
        <stp/>
        <stp>BDH|5829978420507291791</stp>
        <tr r="L51" s="18"/>
      </tp>
      <tp t="e">
        <v>#N/A</v>
        <stp/>
        <stp>BDH|6270812800437741702</stp>
        <tr r="D10" s="30"/>
      </tp>
      <tp t="e">
        <v>#N/A</v>
        <stp/>
        <stp>BDH|8324774782390130931</stp>
        <tr r="L23" s="25"/>
        <tr r="L16" s="27"/>
      </tp>
      <tp t="e">
        <v>#N/A</v>
        <stp/>
        <stp>BDH|7289131671069472609</stp>
        <tr r="V19" s="17"/>
      </tp>
      <tp t="e">
        <v>#N/A</v>
        <stp/>
        <stp>BDH|5218487354352318892</stp>
        <tr r="K13" s="18"/>
      </tp>
      <tp t="e">
        <v>#N/A</v>
        <stp/>
        <stp>BDH|3268611341456661903</stp>
        <tr r="I79" s="17"/>
        <tr r="I20" s="3"/>
        <tr r="G6" s="7"/>
      </tp>
      <tp t="e">
        <v>#N/A</v>
        <stp/>
        <stp>BDH|3135916413694553120</stp>
        <tr r="G9" s="27"/>
      </tp>
      <tp t="e">
        <v>#N/A</v>
        <stp/>
        <stp>BDH|9500449602080321343</stp>
        <tr r="C41" s="21"/>
      </tp>
      <tp t="e">
        <v>#N/A</v>
        <stp/>
        <stp>BDH|4088814419124837746</stp>
        <tr r="T39" s="18"/>
      </tp>
      <tp t="e">
        <v>#N/A</v>
        <stp/>
        <stp>BDH|3047980539245043259</stp>
        <tr r="W26" s="24"/>
      </tp>
      <tp t="e">
        <v>#N/A</v>
        <stp/>
        <stp>BDH|3126938116141228422</stp>
        <tr r="W93" s="18"/>
      </tp>
      <tp t="e">
        <v>#N/A</v>
        <stp/>
        <stp>BDH|1111853448517093484</stp>
        <tr r="R107" s="18"/>
      </tp>
      <tp t="e">
        <v>#N/A</v>
        <stp/>
        <stp>BDH|4578611065372298876</stp>
        <tr r="Q20" s="5"/>
        <tr r="Q21" s="9"/>
      </tp>
      <tp t="e">
        <v>#N/A</v>
        <stp/>
        <stp>BDH|8923180731973743735</stp>
        <tr r="R85" s="18"/>
      </tp>
      <tp t="e">
        <v>#N/A</v>
        <stp/>
        <stp>BDH|1084012094396271034</stp>
        <tr r="V119" s="18"/>
      </tp>
      <tp t="e">
        <v>#N/A</v>
        <stp/>
        <stp>BDH|2693679946947552966</stp>
        <tr r="X17" s="22"/>
      </tp>
      <tp t="e">
        <v>#N/A</v>
        <stp/>
        <stp>BDH|2145138775679576360</stp>
        <tr r="G30" s="34"/>
      </tp>
      <tp t="e">
        <v>#N/A</v>
        <stp/>
        <stp>BDH|8825748142771325493</stp>
        <tr r="I48" s="17"/>
      </tp>
      <tp t="e">
        <v>#N/A</v>
        <stp/>
        <stp>BDH|2517038761622753845</stp>
        <tr r="G21" s="11"/>
      </tp>
      <tp t="e">
        <v>#N/A</v>
        <stp/>
        <stp>BDH|1176164895532404537</stp>
        <tr r="O10" s="18"/>
      </tp>
      <tp t="e">
        <v>#N/A</v>
        <stp/>
        <stp>BDH|8059760829662873124</stp>
        <tr r="AA91" s="17"/>
      </tp>
      <tp t="e">
        <v>#N/A</v>
        <stp/>
        <stp>BDH|6998982047075099032</stp>
        <tr r="X6" s="15"/>
        <tr r="X12" s="2"/>
        <tr r="X11" s="4"/>
        <tr r="X6" s="10"/>
      </tp>
      <tp t="e">
        <v>#N/A</v>
        <stp/>
        <stp>BDH|7094977254243285644</stp>
        <tr r="K32" s="22"/>
      </tp>
      <tp t="e">
        <v>#N/A</v>
        <stp/>
        <stp>BDH|2308246382815069308</stp>
        <tr r="Z64" s="24"/>
      </tp>
      <tp t="e">
        <v>#N/A</v>
        <stp/>
        <stp>BDH|1412500691231709273</stp>
        <tr r="E27" s="18"/>
      </tp>
      <tp t="e">
        <v>#N/A</v>
        <stp/>
        <stp>BDH|8931693437724578770</stp>
        <tr r="O10" s="6"/>
      </tp>
      <tp t="e">
        <v>#N/A</v>
        <stp/>
        <stp>BDH|8012693429924201678</stp>
        <tr r="D14" s="22"/>
      </tp>
      <tp t="e">
        <v>#N/A</v>
        <stp/>
        <stp>BDH|7830234567918046598</stp>
        <tr r="R46" s="18"/>
      </tp>
      <tp t="e">
        <v>#N/A</v>
        <stp/>
        <stp>BDH|1016841074537269771</stp>
        <tr r="C25" s="7"/>
      </tp>
      <tp t="e">
        <v>#N/A</v>
        <stp/>
        <stp>BDH|7197774164448487034</stp>
        <tr r="C46" s="18"/>
      </tp>
      <tp t="e">
        <v>#N/A</v>
        <stp/>
        <stp>BDH|9666570043527170160</stp>
        <tr r="Q54" s="12"/>
      </tp>
      <tp t="e">
        <v>#N/A</v>
        <stp/>
        <stp>BDH|5896075127871951845</stp>
        <tr r="AA67" s="24"/>
      </tp>
      <tp t="e">
        <v>#N/A</v>
        <stp/>
        <stp>BDH|2657175275633499958</stp>
        <tr r="R8" s="28"/>
      </tp>
      <tp t="e">
        <v>#N/A</v>
        <stp/>
        <stp>BDH|7171260690314273605</stp>
        <tr r="AA127" s="18"/>
      </tp>
      <tp t="e">
        <v>#N/A</v>
        <stp/>
        <stp>BDH|2331407286560416046</stp>
        <tr r="M50" s="17"/>
        <tr r="M10" s="25"/>
      </tp>
      <tp t="e">
        <v>#N/A</v>
        <stp/>
        <stp>BDH|1320872983248202704</stp>
        <tr r="U48" s="18"/>
      </tp>
      <tp t="e">
        <v>#N/A</v>
        <stp/>
        <stp>BDH|5730262416081477960</stp>
        <tr r="N10" s="34"/>
      </tp>
      <tp t="e">
        <v>#N/A</v>
        <stp/>
        <stp>BDH|1842663992931051192</stp>
        <tr r="Q62" s="21"/>
      </tp>
      <tp t="e">
        <v>#N/A</v>
        <stp/>
        <stp>BDH|3439739097986133548</stp>
        <tr r="O131" s="18"/>
      </tp>
      <tp t="e">
        <v>#N/A</v>
        <stp/>
        <stp>BDH|6313324980691020249</stp>
        <tr r="C18" s="2"/>
        <tr r="C53" s="4"/>
        <tr r="C42" s="10"/>
        <tr r="C40" s="11"/>
        <tr r="E34" s="13"/>
      </tp>
      <tp t="e">
        <v>#N/A</v>
        <stp/>
        <stp>BDH|4687838658327183090</stp>
        <tr r="E14" s="22"/>
      </tp>
      <tp t="e">
        <v>#N/A</v>
        <stp/>
        <stp>BDH|3436793528479767179</stp>
        <tr r="J26" s="6"/>
      </tp>
      <tp t="e">
        <v>#N/A</v>
        <stp/>
        <stp>BDH|7281719354348587370</stp>
        <tr r="C6" s="15"/>
        <tr r="C12" s="2"/>
        <tr r="C11" s="4"/>
        <tr r="C6" s="10"/>
      </tp>
      <tp t="e">
        <v>#N/A</v>
        <stp/>
        <stp>BDH|4695014760158158435</stp>
        <tr r="K125" s="18"/>
      </tp>
      <tp t="e">
        <v>#N/A</v>
        <stp/>
        <stp>BDH|9532534821683684346</stp>
        <tr r="I12" s="18"/>
      </tp>
      <tp t="e">
        <v>#N/A</v>
        <stp/>
        <stp>BDH|2606896794454683985</stp>
        <tr r="W63" s="11"/>
      </tp>
      <tp t="e">
        <v>#N/A</v>
        <stp/>
        <stp>BDH|1744864105875253232</stp>
        <tr r="G7" s="8"/>
      </tp>
      <tp t="e">
        <v>#N/A</v>
        <stp/>
        <stp>BDH|9333039761160105155</stp>
        <tr r="G31" s="10"/>
        <tr r="G29" s="11"/>
      </tp>
      <tp t="e">
        <v>#N/A</v>
        <stp/>
        <stp>BDH|7401919395939469018</stp>
        <tr r="J38" s="17"/>
      </tp>
      <tp t="e">
        <v>#N/A</v>
        <stp/>
        <stp>BDH|20913601502307854</stp>
        <tr r="L41" s="34"/>
      </tp>
      <tp t="e">
        <v>#N/A</v>
        <stp/>
        <stp>BDH|35059158497875172</stp>
        <tr r="C58" s="21"/>
        <tr r="C30" s="25"/>
      </tp>
      <tp t="e">
        <v>#N/A</v>
        <stp/>
        <stp>BDH|98366660355857330</stp>
        <tr r="C22" s="5"/>
      </tp>
      <tp t="e">
        <v>#N/A</v>
        <stp/>
        <stp>BDH|2284476593008960859</stp>
        <tr r="H36" s="12"/>
      </tp>
      <tp t="e">
        <v>#N/A</v>
        <stp/>
        <stp>BDH|8522109679271087062</stp>
        <tr r="Y19" s="18"/>
      </tp>
      <tp t="e">
        <v>#N/A</v>
        <stp/>
        <stp>BDH|3842060765003817996</stp>
        <tr r="V46" s="21"/>
      </tp>
      <tp t="e">
        <v>#N/A</v>
        <stp/>
        <stp>BDH|9163235078487926496</stp>
        <tr r="O22" s="21"/>
      </tp>
      <tp t="e">
        <v>#N/A</v>
        <stp/>
        <stp>BDH|4018898723261517059</stp>
        <tr r="W34" s="6"/>
        <tr r="Y9" s="8"/>
      </tp>
      <tp t="e">
        <v>#N/A</v>
        <stp/>
        <stp>BDH|5118263801161519991</stp>
        <tr r="P21" s="3"/>
      </tp>
      <tp t="e">
        <v>#N/A</v>
        <stp/>
        <stp>BDH|2378596630588801386</stp>
        <tr r="K24" s="12"/>
      </tp>
      <tp t="e">
        <v>#N/A</v>
        <stp/>
        <stp>BDH|8148634274252417481</stp>
        <tr r="E34" s="21"/>
      </tp>
      <tp t="e">
        <v>#N/A</v>
        <stp/>
        <stp>BDH|5462117824518326183</stp>
        <tr r="V13" s="21"/>
      </tp>
      <tp t="e">
        <v>#N/A</v>
        <stp/>
        <stp>BDH|4943919742111685760</stp>
        <tr r="E63" s="12"/>
      </tp>
      <tp t="e">
        <v>#N/A</v>
        <stp/>
        <stp>BDH|5297719116109974562</stp>
        <tr r="O11" s="6"/>
      </tp>
      <tp t="e">
        <v>#N/A</v>
        <stp/>
        <stp>BDH|9885164922091194472</stp>
        <tr r="K29" s="18"/>
      </tp>
      <tp t="e">
        <v>#N/A</v>
        <stp/>
        <stp>BDH|3786684407029104335</stp>
        <tr r="F39" s="4"/>
        <tr r="F62" s="10"/>
      </tp>
      <tp t="e">
        <v>#N/A</v>
        <stp/>
        <stp>BDH|7966980746654415198</stp>
        <tr r="W28" s="21"/>
      </tp>
      <tp t="e">
        <v>#N/A</v>
        <stp/>
        <stp>BDH|6589508808544591824</stp>
        <tr r="F81" s="18"/>
      </tp>
      <tp t="e">
        <v>#N/A</v>
        <stp/>
        <stp>BDH|9839880814868943777</stp>
        <tr r="H20" s="27"/>
      </tp>
      <tp t="e">
        <v>#N/A</v>
        <stp/>
        <stp>BDH|9228703525823547085</stp>
        <tr r="M36" s="21"/>
      </tp>
      <tp t="e">
        <v>#N/A</v>
        <stp/>
        <stp>BDH|8261975259913719813</stp>
        <tr r="Y53" s="17"/>
      </tp>
      <tp t="e">
        <v>#N/A</v>
        <stp/>
        <stp>BDH|3064590584016246758</stp>
        <tr r="N32" s="22"/>
      </tp>
      <tp t="e">
        <v>#N/A</v>
        <stp/>
        <stp>BDH|3403186158771783993</stp>
        <tr r="S29" s="21"/>
      </tp>
      <tp t="e">
        <v>#N/A</v>
        <stp/>
        <stp>BDH|7192709193112095482</stp>
        <tr r="E45" s="4"/>
        <tr r="E27" s="10"/>
        <tr r="E25" s="11"/>
        <tr r="G26" s="13"/>
      </tp>
      <tp t="e">
        <v>#N/A</v>
        <stp/>
        <stp>BDH|6356544188925475112</stp>
        <tr r="Z34" s="18"/>
      </tp>
      <tp t="e">
        <v>#N/A</v>
        <stp/>
        <stp>BDH|2166021373869971335</stp>
        <tr r="U56" s="18"/>
      </tp>
      <tp t="e">
        <v>#N/A</v>
        <stp/>
        <stp>BDH|4307836975660694494</stp>
        <tr r="I9" s="3"/>
        <tr r="G47" s="10"/>
        <tr r="G45" s="11"/>
        <tr r="G14" s="7"/>
      </tp>
      <tp t="e">
        <v>#N/A</v>
        <stp/>
        <stp>BDH|6228055836883836931</stp>
        <tr r="H38" s="13"/>
      </tp>
      <tp t="e">
        <v>#N/A</v>
        <stp/>
        <stp>BDH|8383966225324997838</stp>
        <tr r="H43" s="4"/>
      </tp>
      <tp t="e">
        <v>#N/A</v>
        <stp/>
        <stp>BDH|2690215989012416501</stp>
        <tr r="N29" s="5"/>
      </tp>
      <tp t="e">
        <v>#N/A</v>
        <stp/>
        <stp>BDH|1535290696730936598</stp>
        <tr r="M41" s="18"/>
      </tp>
      <tp t="e">
        <v>#N/A</v>
        <stp/>
        <stp>BDH|3771886860124368669</stp>
        <tr r="H25" s="3"/>
      </tp>
      <tp t="e">
        <v>#N/A</v>
        <stp/>
        <stp>BDH|4125685752961117900</stp>
        <tr r="J12" s="18"/>
      </tp>
      <tp t="e">
        <v>#N/A</v>
        <stp/>
        <stp>BDH|7550453524778676697</stp>
        <tr r="P22" s="12"/>
      </tp>
      <tp t="e">
        <v>#N/A</v>
        <stp/>
        <stp>BDH|7875102103079406044</stp>
        <tr r="D45" s="12"/>
      </tp>
      <tp t="e">
        <v>#N/A</v>
        <stp/>
        <stp>BDH|3491804874937962420</stp>
        <tr r="C11" s="9"/>
      </tp>
      <tp t="e">
        <v>#N/A</v>
        <stp/>
        <stp>BDH|7623181033802373859</stp>
        <tr r="D118" s="18"/>
      </tp>
      <tp t="e">
        <v>#N/A</v>
        <stp/>
        <stp>BDH|4123134899367810481</stp>
        <tr r="Q7" s="30"/>
      </tp>
      <tp t="e">
        <v>#N/A</v>
        <stp/>
        <stp>BDH|8413008550814670691</stp>
        <tr r="P19" s="24"/>
      </tp>
      <tp t="e">
        <v>#N/A</v>
        <stp/>
        <stp>BDH|8487021949250699325</stp>
        <tr r="D23" s="17"/>
      </tp>
      <tp t="e">
        <v>#N/A</v>
        <stp/>
        <stp>BDH|1058052975611220898</stp>
        <tr r="X63" s="18"/>
      </tp>
      <tp t="e">
        <v>#N/A</v>
        <stp/>
        <stp>BDH|7573782208799916678</stp>
        <tr r="D7" s="30"/>
      </tp>
      <tp t="e">
        <v>#N/A</v>
        <stp/>
        <stp>BDH|5254859139090468117</stp>
        <tr r="C40" s="12"/>
      </tp>
      <tp t="e">
        <v>#N/A</v>
        <stp/>
        <stp>BDH|9400071434911831447</stp>
        <tr r="S22" s="4"/>
      </tp>
      <tp t="e">
        <v>#N/A</v>
        <stp/>
        <stp>BDH|2061076547821352882</stp>
        <tr r="O23" s="11"/>
      </tp>
      <tp t="e">
        <v>#N/A</v>
        <stp/>
        <stp>BDH|2563871104100487590</stp>
        <tr r="F74" s="17"/>
        <tr r="F19" s="3"/>
      </tp>
      <tp t="e">
        <v>#N/A</v>
        <stp/>
        <stp>BDH|8880314869416339485</stp>
        <tr r="M29" s="22"/>
      </tp>
      <tp t="e">
        <v>#N/A</v>
        <stp/>
        <stp>BDH|9016393213353780767</stp>
        <tr r="K47" s="24"/>
      </tp>
      <tp t="e">
        <v>#N/A</v>
        <stp/>
        <stp>BDH|3471341949032584970</stp>
        <tr r="N63" s="24"/>
      </tp>
      <tp t="e">
        <v>#N/A</v>
        <stp/>
        <stp>BDH|6953166471857581832</stp>
        <tr r="F10" s="18"/>
      </tp>
      <tp t="e">
        <v>#N/A</v>
        <stp/>
        <stp>BDH|3710514053628486498</stp>
        <tr r="T113" s="18"/>
      </tp>
      <tp t="e">
        <v>#N/A</v>
        <stp/>
        <stp>BDH|1061129059833105925</stp>
        <tr r="J24" s="22"/>
      </tp>
      <tp t="e">
        <v>#N/A</v>
        <stp/>
        <stp>BDH|4205854505716836525</stp>
        <tr r="L44" s="17"/>
      </tp>
      <tp t="e">
        <v>#N/A</v>
        <stp/>
        <stp>BDH|8757336949581022150</stp>
        <tr r="H98" s="18"/>
      </tp>
      <tp t="e">
        <v>#N/A</v>
        <stp/>
        <stp>BDH|6883623753003861999</stp>
        <tr r="K43" s="18"/>
      </tp>
      <tp t="e">
        <v>#N/A</v>
        <stp/>
        <stp>BDH|7760644033415874805</stp>
        <tr r="Z19" s="24"/>
      </tp>
      <tp t="e">
        <v>#N/A</v>
        <stp/>
        <stp>BDH|1313136825294917943</stp>
        <tr r="F17" s="21"/>
      </tp>
      <tp t="e">
        <v>#N/A</v>
        <stp/>
        <stp>BDH|1772755098578512871</stp>
        <tr r="J54" s="18"/>
      </tp>
      <tp t="e">
        <v>#N/A</v>
        <stp/>
        <stp>BDH|6731856710249803920</stp>
        <tr r="U58" s="12"/>
      </tp>
      <tp t="e">
        <v>#N/A</v>
        <stp/>
        <stp>BDH|1854470594080357307</stp>
        <tr r="S9" s="22"/>
      </tp>
      <tp t="e">
        <v>#N/A</v>
        <stp/>
        <stp>BDH|4473284582479590837</stp>
        <tr r="Q14" s="17"/>
        <tr r="Q17" s="28"/>
      </tp>
      <tp t="e">
        <v>#N/A</v>
        <stp/>
        <stp>BDH|8563558130988970919</stp>
        <tr r="W12" s="10"/>
      </tp>
      <tp t="e">
        <v>#N/A</v>
        <stp/>
        <stp>BDH|7675086123513588904</stp>
        <tr r="M18" s="29"/>
        <tr r="M38" s="29"/>
      </tp>
      <tp t="e">
        <v>#N/A</v>
        <stp/>
        <stp>BDH|1746397785614565169</stp>
        <tr r="V10" s="2"/>
        <tr r="V11" s="5"/>
        <tr r="U37" s="6"/>
        <tr r="X31" s="29"/>
        <tr r="X39" s="29"/>
      </tp>
      <tp t="e">
        <v>#N/A</v>
        <stp/>
        <stp>BDH|8383997538725332896</stp>
        <tr r="K58" s="24"/>
      </tp>
      <tp t="e">
        <v>#N/A</v>
        <stp/>
        <stp>BDH|3640605727021997904</stp>
        <tr r="C9" s="13"/>
      </tp>
      <tp t="e">
        <v>#N/A</v>
        <stp/>
        <stp>BDH|1666108789467448032</stp>
        <tr r="D20" s="27"/>
      </tp>
      <tp t="e">
        <v>#N/A</v>
        <stp/>
        <stp>BDH|7091215995494967751</stp>
        <tr r="P10" s="22"/>
      </tp>
      <tp t="e">
        <v>#N/A</v>
        <stp/>
        <stp>BDH|9768898894603226405</stp>
        <tr r="M26" s="18"/>
      </tp>
      <tp t="e">
        <v>#N/A</v>
        <stp/>
        <stp>BDH|1458992573025704518</stp>
        <tr r="T8" s="4"/>
      </tp>
      <tp t="e">
        <v>#N/A</v>
        <stp/>
        <stp>BDH|9406348418321655560</stp>
        <tr r="G32" s="21"/>
      </tp>
      <tp t="e">
        <v>#N/A</v>
        <stp/>
        <stp>BDH|8944737650001055428</stp>
        <tr r="L14" s="2"/>
        <tr r="L11" s="10"/>
      </tp>
      <tp t="e">
        <v>#N/A</v>
        <stp/>
        <stp>BDH|4990121402152191810</stp>
        <tr r="G63" s="12"/>
      </tp>
      <tp t="e">
        <v>#N/A</v>
        <stp/>
        <stp>BDH|2312884470657182538</stp>
        <tr r="E57" s="24"/>
      </tp>
      <tp t="e">
        <v>#N/A</v>
        <stp/>
        <stp>BDH|4177522785054606297</stp>
        <tr r="O10" s="2"/>
        <tr r="O11" s="5"/>
        <tr r="N37" s="6"/>
        <tr r="Q31" s="29"/>
        <tr r="Q39" s="29"/>
      </tp>
      <tp t="e">
        <v>#N/A</v>
        <stp/>
        <stp>BDH|9765686135705441676</stp>
        <tr r="G43" s="24"/>
      </tp>
      <tp t="e">
        <v>#N/A</v>
        <stp/>
        <stp>BDH|2817840627774644347</stp>
        <tr r="H20" s="20"/>
      </tp>
      <tp t="e">
        <v>#N/A</v>
        <stp/>
        <stp>BDH|9430031976546929712</stp>
        <tr r="D18" s="11"/>
      </tp>
      <tp t="e">
        <v>#N/A</v>
        <stp/>
        <stp>BDH|9147602193069815030</stp>
        <tr r="Y46" s="17"/>
      </tp>
      <tp t="e">
        <v>#N/A</v>
        <stp/>
        <stp>BDH|7283024595152932359</stp>
        <tr r="M25" s="3"/>
      </tp>
      <tp t="e">
        <v>#N/A</v>
        <stp/>
        <stp>BDH|3883821220754485270</stp>
        <tr r="S10" s="21"/>
      </tp>
      <tp t="e">
        <v>#N/A</v>
        <stp/>
        <stp>BDH|5697483323929478502</stp>
        <tr r="D19" s="23"/>
      </tp>
      <tp t="e">
        <v>#N/A</v>
        <stp/>
        <stp>BDH|4990952294429298230</stp>
        <tr r="R11" s="21"/>
      </tp>
      <tp t="e">
        <v>#N/A</v>
        <stp/>
        <stp>BDH|3193889800507155319</stp>
        <tr r="H16" s="30"/>
      </tp>
      <tp t="e">
        <v>#N/A</v>
        <stp/>
        <stp>BDH|7827931223161039218</stp>
        <tr r="O41" s="34"/>
      </tp>
      <tp t="e">
        <v>#N/A</v>
        <stp/>
        <stp>BDH|6967887279754940289</stp>
        <tr r="AA19" s="24"/>
      </tp>
      <tp t="e">
        <v>#N/A</v>
        <stp/>
        <stp>BDH|2477807349049795834</stp>
        <tr r="F15" s="13"/>
      </tp>
      <tp t="e">
        <v>#N/A</v>
        <stp/>
        <stp>BDH|3746218999991487620</stp>
        <tr r="Z13" s="22"/>
      </tp>
      <tp t="e">
        <v>#N/A</v>
        <stp/>
        <stp>BDH|7640118521442622997</stp>
        <tr r="L64" s="17"/>
        <tr r="L18" s="3"/>
      </tp>
      <tp t="e">
        <v>#N/A</v>
        <stp/>
        <stp>BDH|1118042179209684034</stp>
        <tr r="F64" s="18"/>
      </tp>
      <tp t="e">
        <v>#N/A</v>
        <stp/>
        <stp>BDH|4701271585203872248</stp>
        <tr r="D20" s="30"/>
      </tp>
      <tp t="e">
        <v>#N/A</v>
        <stp/>
        <stp>BDH|9657664358157586244</stp>
        <tr r="L23" s="17"/>
      </tp>
      <tp t="e">
        <v>#N/A</v>
        <stp/>
        <stp>BDH|8891730643731759567</stp>
        <tr r="Z32" s="22"/>
      </tp>
      <tp t="e">
        <v>#N/A</v>
        <stp/>
        <stp>BDH|5618611392477506298</stp>
        <tr r="F13" s="11"/>
      </tp>
      <tp t="e">
        <v>#N/A</v>
        <stp/>
        <stp>BDH|9207269999694703930</stp>
        <tr r="X60" s="18"/>
      </tp>
      <tp t="e">
        <v>#N/A</v>
        <stp/>
        <stp>BDH|7980115190558754862</stp>
        <tr r="D7" s="24"/>
      </tp>
      <tp t="e">
        <v>#N/A</v>
        <stp/>
        <stp>BDH|8141710509925239521</stp>
        <tr r="S31" s="12"/>
      </tp>
      <tp t="e">
        <v>#N/A</v>
        <stp/>
        <stp>BDH|8451664748990546562</stp>
        <tr r="F56" s="12"/>
      </tp>
      <tp t="e">
        <v>#N/A</v>
        <stp/>
        <stp>BDH|6430632187201676685</stp>
        <tr r="P26" s="18"/>
      </tp>
      <tp t="e">
        <v>#N/A</v>
        <stp/>
        <stp>BDH|4406630731239063785</stp>
        <tr r="W20" s="5"/>
        <tr r="W21" s="9"/>
      </tp>
      <tp t="e">
        <v>#N/A</v>
        <stp/>
        <stp>BDH|3558937179767372523</stp>
        <tr r="I14" s="13"/>
      </tp>
      <tp t="e">
        <v>#N/A</v>
        <stp/>
        <stp>BDH|2027708815739384285</stp>
        <tr r="L13" s="5"/>
      </tp>
      <tp t="e">
        <v>#N/A</v>
        <stp/>
        <stp>BDH|1679737299245456567</stp>
        <tr r="X32" s="18"/>
      </tp>
      <tp t="e">
        <v>#N/A</v>
        <stp/>
        <stp>BDH|7364828679415596230</stp>
        <tr r="V20" s="22"/>
      </tp>
      <tp t="e">
        <v>#N/A</v>
        <stp/>
        <stp>BDH|7800714182581578605</stp>
        <tr r="M20" s="27"/>
      </tp>
      <tp t="e">
        <v>#N/A</v>
        <stp/>
        <stp>BDH|9650206820821008788</stp>
        <tr r="E74" s="17"/>
        <tr r="E19" s="3"/>
      </tp>
      <tp t="e">
        <v>#N/A</v>
        <stp/>
        <stp>BDH|9591989093595376331</stp>
        <tr r="E21" s="2"/>
      </tp>
      <tp t="e">
        <v>#N/A</v>
        <stp/>
        <stp>BDH|3969965324052336563</stp>
        <tr r="C8" s="18"/>
      </tp>
      <tp t="e">
        <v>#N/A</v>
        <stp/>
        <stp>BDH|3525559204578893125</stp>
        <tr r="S39" s="4"/>
        <tr r="S62" s="10"/>
      </tp>
      <tp t="e">
        <v>#N/A</v>
        <stp/>
        <stp>BDH|3489947844962923331</stp>
        <tr r="AA35" s="12"/>
      </tp>
      <tp t="e">
        <v>#N/A</v>
        <stp/>
        <stp>BDH|8577004889389110634</stp>
        <tr r="F34" s="18"/>
      </tp>
      <tp t="e">
        <v>#N/A</v>
        <stp/>
        <stp>BDH|3250823830420779790</stp>
        <tr r="D9" s="18"/>
      </tp>
      <tp t="e">
        <v>#N/A</v>
        <stp/>
        <stp>BDH|5430602817449959444</stp>
        <tr r="U27" s="7"/>
      </tp>
      <tp t="e">
        <v>#N/A</v>
        <stp/>
        <stp>BDH|4843525192331130675</stp>
        <tr r="I12" s="30"/>
      </tp>
      <tp t="e">
        <v>#N/A</v>
        <stp/>
        <stp>BDH|9340687563860799616</stp>
        <tr r="X119" s="18"/>
      </tp>
      <tp t="e">
        <v>#N/A</v>
        <stp/>
        <stp>BDH|8877706108116602687</stp>
        <tr r="P7" s="11"/>
      </tp>
      <tp t="e">
        <v>#N/A</v>
        <stp/>
        <stp>BDH|9914412230886458729</stp>
        <tr r="H20" s="18"/>
      </tp>
      <tp t="e">
        <v>#N/A</v>
        <stp/>
        <stp>BDH|6247981140232735632</stp>
        <tr r="V48" s="10"/>
        <tr r="V46" s="11"/>
        <tr r="V15" s="7"/>
      </tp>
      <tp t="e">
        <v>#N/A</v>
        <stp/>
        <stp>BDH|8861112017347361039</stp>
        <tr r="N63" s="21"/>
        <tr r="L23" s="7"/>
      </tp>
      <tp t="e">
        <v>#N/A</v>
        <stp/>
        <stp>BDH|5001717555809311196</stp>
        <tr r="Q26" s="18"/>
      </tp>
      <tp t="e">
        <v>#N/A</v>
        <stp/>
        <stp>BDH|3945677494515172659</stp>
        <tr r="K16" s="23"/>
      </tp>
      <tp t="e">
        <v>#N/A</v>
        <stp/>
        <stp>BDH|5710360589747153679</stp>
        <tr r="T25" s="7"/>
      </tp>
      <tp t="e">
        <v>#N/A</v>
        <stp/>
        <stp>BDH|9189018171216704788</stp>
        <tr r="E23" s="2"/>
        <tr r="G18" s="21"/>
        <tr r="G23" s="3"/>
      </tp>
      <tp t="e">
        <v>#N/A</v>
        <stp/>
        <stp>BDH|6992792289002418430</stp>
        <tr r="K111" s="18"/>
      </tp>
      <tp t="e">
        <v>#N/A</v>
        <stp/>
        <stp>BDH|3495977416103867734</stp>
        <tr r="P13" s="29"/>
        <tr r="P22" s="29"/>
        <tr r="P33" s="29"/>
      </tp>
      <tp t="e">
        <v>#N/A</v>
        <stp/>
        <stp>BDH|1673195202928760740</stp>
        <tr r="C14" s="11"/>
      </tp>
      <tp t="e">
        <v>#N/A</v>
        <stp/>
        <stp>BDH|9286588441813618435</stp>
        <tr r="P24" s="29"/>
      </tp>
      <tp t="e">
        <v>#N/A</v>
        <stp/>
        <stp>BDH|7160595744720539978</stp>
        <tr r="F30" s="12"/>
      </tp>
      <tp t="e">
        <v>#N/A</v>
        <stp/>
        <stp>BDH|6961626784867628075</stp>
        <tr r="Q68" s="10"/>
        <tr r="Q66" s="11"/>
      </tp>
      <tp t="e">
        <v>#N/A</v>
        <stp/>
        <stp>BDH|6020511995166895324</stp>
        <tr r="K8" s="8"/>
      </tp>
      <tp t="e">
        <v>#N/A</v>
        <stp/>
        <stp>BDH|3424897700894601052</stp>
        <tr r="E18" s="2"/>
        <tr r="E53" s="4"/>
        <tr r="E42" s="10"/>
        <tr r="E40" s="11"/>
        <tr r="G34" s="13"/>
      </tp>
      <tp t="e">
        <v>#N/A</v>
        <stp/>
        <stp>BDH|2550796412162497945</stp>
        <tr r="N40" s="18"/>
      </tp>
      <tp t="e">
        <v>#N/A</v>
        <stp/>
        <stp>BDH|7760572851899759187</stp>
        <tr r="G16" s="29"/>
        <tr r="G36" s="29"/>
      </tp>
      <tp t="e">
        <v>#N/A</v>
        <stp/>
        <stp>BDH|5128290492424340563</stp>
        <tr r="C42" s="34"/>
      </tp>
      <tp t="e">
        <v>#N/A</v>
        <stp/>
        <stp>BDH|5259067058228780748</stp>
        <tr r="Q56" s="17"/>
      </tp>
      <tp t="e">
        <v>#N/A</v>
        <stp/>
        <stp>BDH|3591399367269104051</stp>
        <tr r="E9" s="27"/>
      </tp>
      <tp t="e">
        <v>#N/A</v>
        <stp/>
        <stp>BDH|3916960515042507602</stp>
        <tr r="W33" s="18"/>
      </tp>
      <tp t="e">
        <v>#N/A</v>
        <stp/>
        <stp>BDH|7523867740372408685</stp>
        <tr r="I63" s="18"/>
      </tp>
      <tp t="e">
        <v>#N/A</v>
        <stp/>
        <stp>BDH|3328936237221829701</stp>
        <tr r="N12" s="24"/>
      </tp>
      <tp t="e">
        <v>#N/A</v>
        <stp/>
        <stp>BDH|5611963128250108165</stp>
        <tr r="G21" s="25"/>
        <tr r="G14" s="27"/>
      </tp>
      <tp t="e">
        <v>#N/A</v>
        <stp/>
        <stp>BDH|5881698166029125396</stp>
        <tr r="H64" s="24"/>
      </tp>
      <tp t="e">
        <v>#N/A</v>
        <stp/>
        <stp>BDH|9702025611740901726</stp>
        <tr r="N36" s="22"/>
      </tp>
      <tp t="e">
        <v>#N/A</v>
        <stp/>
        <stp>BDH|8848083144023811032</stp>
        <tr r="F17" s="20"/>
      </tp>
      <tp t="e">
        <v>#N/A</v>
        <stp/>
        <stp>BDH|1581961513871674791</stp>
        <tr r="AA36" s="22"/>
      </tp>
      <tp t="e">
        <v>#N/A</v>
        <stp/>
        <stp>BDH|3000518219418383043</stp>
        <tr r="Z28" s="17"/>
      </tp>
      <tp t="e">
        <v>#N/A</v>
        <stp/>
        <stp>BDH|6704357094116057594</stp>
        <tr r="F42" s="4"/>
      </tp>
      <tp t="e">
        <v>#N/A</v>
        <stp/>
        <stp>BDH|8595337372147388480</stp>
        <tr r="U68" s="17"/>
      </tp>
      <tp t="e">
        <v>#N/A</v>
        <stp/>
        <stp>BDH|3530592007670101951</stp>
        <tr r="J8" s="17"/>
      </tp>
      <tp t="e">
        <v>#N/A</v>
        <stp/>
        <stp>BDH|5964851833065023403</stp>
        <tr r="D31" s="21"/>
      </tp>
      <tp t="e">
        <v>#N/A</v>
        <stp/>
        <stp>BDH|4421680762043859891</stp>
        <tr r="V41" s="18"/>
      </tp>
      <tp t="e">
        <v>#N/A</v>
        <stp/>
        <stp>BDH|6040747087960961655</stp>
        <tr r="G10" s="34"/>
      </tp>
      <tp t="e">
        <v>#N/A</v>
        <stp/>
        <stp>BDH|8398346477165825675</stp>
        <tr r="J8" s="27"/>
      </tp>
      <tp t="e">
        <v>#N/A</v>
        <stp/>
        <stp>BDH|7483804574343848472</stp>
        <tr r="P32" s="18"/>
      </tp>
      <tp t="e">
        <v>#N/A</v>
        <stp/>
        <stp>BDH|9205708713256737691</stp>
        <tr r="S103" s="18"/>
      </tp>
      <tp t="e">
        <v>#N/A</v>
        <stp/>
        <stp>BDH|3814715190967318554</stp>
        <tr r="R17" s="29"/>
        <tr r="R37" s="29"/>
      </tp>
      <tp t="e">
        <v>#N/A</v>
        <stp/>
        <stp>BDH|3809983058737396746</stp>
        <tr r="K66" s="10"/>
        <tr r="K64" s="11"/>
        <tr r="K20" s="7"/>
      </tp>
      <tp t="e">
        <v>#N/A</v>
        <stp/>
        <stp>BDH|6657443123647652889</stp>
        <tr r="G20" s="24"/>
      </tp>
      <tp t="e">
        <v>#N/A</v>
        <stp/>
        <stp>BDH|5198712760772858976</stp>
        <tr r="L40" s="12"/>
      </tp>
      <tp t="e">
        <v>#N/A</v>
        <stp/>
        <stp>BDH|9479136672941977130</stp>
        <tr r="K7" s="30"/>
      </tp>
      <tp t="e">
        <v>#N/A</v>
        <stp/>
        <stp>BDH|8988523821687012753</stp>
        <tr r="V20" s="30"/>
      </tp>
      <tp t="e">
        <v>#N/A</v>
        <stp/>
        <stp>BDH|1154183137778641444</stp>
        <tr r="C19" s="34"/>
      </tp>
      <tp t="e">
        <v>#N/A</v>
        <stp/>
        <stp>BDH|4003889360911234463</stp>
        <tr r="E81" s="18"/>
      </tp>
      <tp t="e">
        <v>#N/A</v>
        <stp/>
        <stp>BDH|4445590002558535662</stp>
        <tr r="Z16" s="26"/>
      </tp>
      <tp t="e">
        <v>#N/A</v>
        <stp/>
        <stp>BDH|6494921505793669399</stp>
        <tr r="D23" s="22"/>
      </tp>
      <tp t="e">
        <v>#N/A</v>
        <stp/>
        <stp>BDH|1019986629120851553</stp>
        <tr r="C54" s="21"/>
      </tp>
      <tp t="e">
        <v>#N/A</v>
        <stp/>
        <stp>BDH|9365207598564738907</stp>
        <tr r="L7" s="10"/>
      </tp>
      <tp t="e">
        <v>#N/A</v>
        <stp/>
        <stp>BDH|4465034389113516070</stp>
        <tr r="G40" s="24"/>
      </tp>
      <tp t="e">
        <v>#N/A</v>
        <stp/>
        <stp>BDH|7856960303012727365</stp>
        <tr r="M54" s="21"/>
      </tp>
      <tp t="e">
        <v>#N/A</v>
        <stp/>
        <stp>BDH|5509581983110369714</stp>
        <tr r="M119" s="18"/>
      </tp>
      <tp t="e">
        <v>#N/A</v>
        <stp/>
        <stp>BDH|3307485991796255742</stp>
        <tr r="D32" s="22"/>
      </tp>
      <tp t="e">
        <v>#N/A</v>
        <stp/>
        <stp>BDH|3888545348395834809</stp>
        <tr r="Y10" s="4"/>
        <tr r="X6" s="16"/>
        <tr r="AA6" s="3"/>
        <tr r="Y6" s="11"/>
      </tp>
      <tp t="e">
        <v>#N/A</v>
        <stp/>
        <stp>BDH|4615249712371999956</stp>
        <tr r="R31" s="25"/>
      </tp>
      <tp t="e">
        <v>#N/A</v>
        <stp/>
        <stp>BDH|9833221243334224474</stp>
        <tr r="O18" s="13"/>
      </tp>
      <tp t="e">
        <v>#N/A</v>
        <stp/>
        <stp>BDH|4539458845412091990</stp>
        <tr r="L40" s="21"/>
      </tp>
      <tp t="e">
        <v>#N/A</v>
        <stp/>
        <stp>BDH|7019904211231525183</stp>
        <tr r="O16" s="29"/>
        <tr r="O36" s="29"/>
      </tp>
      <tp t="e">
        <v>#N/A</v>
        <stp/>
        <stp>BDH|6149951556154758198</stp>
        <tr r="O38" s="10"/>
        <tr r="O36" s="11"/>
      </tp>
      <tp t="e">
        <v>#N/A</v>
        <stp/>
        <stp>BDH|7426659425608105495</stp>
        <tr r="J77" s="18"/>
      </tp>
      <tp t="e">
        <v>#N/A</v>
        <stp/>
        <stp>BDH|1747331326828617784</stp>
        <tr r="S22" s="5"/>
      </tp>
      <tp t="e">
        <v>#N/A</v>
        <stp/>
        <stp>BDH|5776308585361777091</stp>
        <tr r="R9" s="27"/>
      </tp>
      <tp t="e">
        <v>#N/A</v>
        <stp/>
        <stp>BDH|6625498714049309540</stp>
        <tr r="D34" s="13"/>
      </tp>
      <tp t="e">
        <v>#N/A</v>
        <stp/>
        <stp>BDH|6124042683749323898</stp>
        <tr r="U17" s="11"/>
      </tp>
      <tp t="e">
        <v>#N/A</v>
        <stp/>
        <stp>BDH|3710096493614893195</stp>
        <tr r="C8" s="3"/>
        <tr r="C30" s="13"/>
      </tp>
      <tp t="e">
        <v>#N/A</v>
        <stp/>
        <stp>BDH|1860633597987915692</stp>
        <tr r="U106" s="18"/>
      </tp>
      <tp t="e">
        <v>#N/A</v>
        <stp/>
        <stp>BDH|3846889360553825144</stp>
        <tr r="N104" s="18"/>
      </tp>
      <tp t="e">
        <v>#N/A</v>
        <stp/>
        <stp>BDH|8355529971052503792</stp>
        <tr r="L29" s="9"/>
      </tp>
      <tp t="e">
        <v>#N/A</v>
        <stp/>
        <stp>BDH|4657032183144276790</stp>
        <tr r="X11" s="14"/>
      </tp>
      <tp t="e">
        <v>#N/A</v>
        <stp/>
        <stp>BDH|3566873194439891439</stp>
        <tr r="H125" s="18"/>
      </tp>
      <tp t="e">
        <v>#N/A</v>
        <stp/>
        <stp>BDH|3675366086062322582</stp>
        <tr r="R47" s="21"/>
      </tp>
      <tp t="e">
        <v>#N/A</v>
        <stp/>
        <stp>BDH|7038996714201350133</stp>
        <tr r="Q8" s="11"/>
      </tp>
      <tp t="e">
        <v>#N/A</v>
        <stp/>
        <stp>BDH|9856828566188891096</stp>
        <tr r="T30" s="12"/>
      </tp>
      <tp t="e">
        <v>#N/A</v>
        <stp/>
        <stp>BDH|6880726417397469849</stp>
        <tr r="L13" s="18"/>
      </tp>
      <tp t="e">
        <v>#N/A</v>
        <stp/>
        <stp>BDH|5464933513972968008</stp>
        <tr r="G10" s="22"/>
      </tp>
      <tp t="e">
        <v>#N/A</v>
        <stp/>
        <stp>BDH|5156118755866038883</stp>
        <tr r="R25" s="18"/>
      </tp>
      <tp t="e">
        <v>#N/A</v>
        <stp/>
        <stp>BDH|5564039694930758386</stp>
        <tr r="M23" s="11"/>
      </tp>
      <tp t="e">
        <v>#N/A</v>
        <stp/>
        <stp>BDH|5476275691021838074</stp>
        <tr r="K28" s="4"/>
      </tp>
      <tp t="e">
        <v>#N/A</v>
        <stp/>
        <stp>BDH|1695568987575900631</stp>
        <tr r="N126" s="18"/>
      </tp>
      <tp t="e">
        <v>#N/A</v>
        <stp/>
        <stp>BDH|6607832174430930651</stp>
        <tr r="Q14" s="28"/>
      </tp>
      <tp t="e">
        <v>#N/A</v>
        <stp/>
        <stp>BDH|1713664182264909473</stp>
        <tr r="U12" s="21"/>
      </tp>
      <tp t="e">
        <v>#N/A</v>
        <stp/>
        <stp>BDH|1277799095464168428</stp>
        <tr r="Z70" s="24"/>
      </tp>
      <tp t="e">
        <v>#N/A</v>
        <stp/>
        <stp>BDH|2773871849295368476</stp>
        <tr r="X50" s="18"/>
      </tp>
      <tp t="e">
        <v>#N/A</v>
        <stp/>
        <stp>BDH|2686817986808559594</stp>
        <tr r="W21" s="5"/>
      </tp>
      <tp t="e">
        <v>#N/A</v>
        <stp/>
        <stp>BDH|4728895787473069843</stp>
        <tr r="O89" s="17"/>
        <tr r="O7" s="27"/>
      </tp>
      <tp t="e">
        <v>#N/A</v>
        <stp/>
        <stp>BDH|5696089568224393882</stp>
        <tr r="V37" s="10"/>
        <tr r="V35" s="11"/>
      </tp>
      <tp t="e">
        <v>#N/A</v>
        <stp/>
        <stp>BDH|7291354018458469266</stp>
        <tr r="O40" s="24"/>
      </tp>
      <tp t="e">
        <v>#N/A</v>
        <stp/>
        <stp>BDH|1979070119758986733</stp>
        <tr r="Y42" s="18"/>
      </tp>
      <tp t="e">
        <v>#N/A</v>
        <stp/>
        <stp>BDH|1501993771864756474</stp>
        <tr r="W69" s="24"/>
      </tp>
      <tp t="e">
        <v>#N/A</v>
        <stp/>
        <stp>BDH|4775826912872814022</stp>
        <tr r="C9" s="18"/>
      </tp>
      <tp t="e">
        <v>#N/A</v>
        <stp/>
        <stp>BDH|1605571496387303598</stp>
        <tr r="X18" s="29"/>
        <tr r="X38" s="29"/>
      </tp>
      <tp t="e">
        <v>#N/A</v>
        <stp/>
        <stp>BDH|3285678239881375825</stp>
        <tr r="Y41" s="18"/>
      </tp>
      <tp t="e">
        <v>#N/A</v>
        <stp/>
        <stp>BDH|4035938076294912115</stp>
        <tr r="M69" s="24"/>
      </tp>
      <tp t="e">
        <v>#N/A</v>
        <stp/>
        <stp>BDH|6337883229346678599</stp>
        <tr r="K31" s="24"/>
      </tp>
      <tp t="e">
        <v>#N/A</v>
        <stp/>
        <stp>BDH|3973451745364413808</stp>
        <tr r="U21" s="12"/>
      </tp>
      <tp t="e">
        <v>#N/A</v>
        <stp/>
        <stp>BDH|2651329140263012991</stp>
        <tr r="G45" s="4"/>
        <tr r="G27" s="10"/>
        <tr r="G25" s="11"/>
        <tr r="I26" s="13"/>
      </tp>
      <tp t="e">
        <v>#N/A</v>
        <stp/>
        <stp>BDH|4444737728786397813</stp>
        <tr r="G114" s="18"/>
      </tp>
      <tp t="e">
        <v>#N/A</v>
        <stp/>
        <stp>BDH|8350886605456208919</stp>
        <tr r="AA28" s="17"/>
      </tp>
      <tp t="e">
        <v>#N/A</v>
        <stp/>
        <stp>BDH|8188759375286374105</stp>
        <tr r="K32" s="17"/>
      </tp>
      <tp t="e">
        <v>#N/A</v>
        <stp/>
        <stp>BDH|3116210737658669530</stp>
        <tr r="M9" s="2"/>
        <tr r="O8" s="25"/>
        <tr r="M10" s="5"/>
      </tp>
      <tp t="e">
        <v>#N/A</v>
        <stp/>
        <stp>BDH|7524470175909088252</stp>
        <tr r="AA25" s="25"/>
        <tr r="AA18" s="27"/>
      </tp>
      <tp t="e">
        <v>#N/A</v>
        <stp/>
        <stp>BDH|4202627881060071530</stp>
        <tr r="W13" s="29"/>
        <tr r="W22" s="29"/>
        <tr r="W33" s="29"/>
      </tp>
      <tp t="e">
        <v>#N/A</v>
        <stp/>
        <stp>BDH|3059882438461447664</stp>
        <tr r="S34" s="6"/>
        <tr r="U9" s="8"/>
      </tp>
      <tp t="e">
        <v>#N/A</v>
        <stp/>
        <stp>BDH|5292915016412773008</stp>
        <tr r="W53" s="18"/>
      </tp>
      <tp t="e">
        <v>#N/A</v>
        <stp/>
        <stp>BDH|7464952280049670054</stp>
        <tr r="O15" s="29"/>
        <tr r="O35" s="29"/>
      </tp>
      <tp t="e">
        <v>#N/A</v>
        <stp/>
        <stp>BDH|2971582142844227838</stp>
        <tr r="P72" s="18"/>
      </tp>
      <tp t="e">
        <v>#N/A</v>
        <stp/>
        <stp>BDH|2372464756394957882</stp>
        <tr r="R39" s="10"/>
        <tr r="R37" s="11"/>
      </tp>
      <tp t="e">
        <v>#N/A</v>
        <stp/>
        <stp>BDH|8581700521825479721</stp>
        <tr r="F8" s="2"/>
      </tp>
      <tp t="e">
        <v>#N/A</v>
        <stp/>
        <stp>BDH|6991110401838991020</stp>
        <tr r="N21" s="3"/>
      </tp>
      <tp t="e">
        <v>#N/A</v>
        <stp/>
        <stp>BDH|8031745306505120519</stp>
        <tr r="R17" s="10"/>
      </tp>
      <tp t="e">
        <v>#N/A</v>
        <stp/>
        <stp>BDH|1168191595156770089</stp>
        <tr r="W10" s="23"/>
      </tp>
      <tp t="e">
        <v>#N/A</v>
        <stp/>
        <stp>BDH|4201239790184156425</stp>
        <tr r="AA17" s="22"/>
      </tp>
      <tp t="e">
        <v>#N/A</v>
        <stp/>
        <stp>BDH|9650971780973511466</stp>
        <tr r="U58" s="11"/>
      </tp>
      <tp t="e">
        <v>#N/A</v>
        <stp/>
        <stp>BDH|2712431685908408973</stp>
        <tr r="J63" s="18"/>
      </tp>
      <tp t="e">
        <v>#N/A</v>
        <stp/>
        <stp>BDH|2868290334204092877</stp>
        <tr r="U58" s="17"/>
      </tp>
      <tp t="e">
        <v>#N/A</v>
        <stp/>
        <stp>BDH|3077507584704048569</stp>
        <tr r="U28" s="25"/>
      </tp>
      <tp t="e">
        <v>#N/A</v>
        <stp/>
        <stp>BDH|1021158986424255336</stp>
        <tr r="H19" s="26"/>
      </tp>
      <tp t="e">
        <v>#N/A</v>
        <stp/>
        <stp>BDH|9798205257140019120</stp>
        <tr r="F40" s="24"/>
      </tp>
      <tp t="e">
        <v>#N/A</v>
        <stp/>
        <stp>BDH|2771099408774245962</stp>
        <tr r="M44" s="24"/>
      </tp>
      <tp t="e">
        <v>#N/A</v>
        <stp/>
        <stp>BDH|9749617776375099227</stp>
        <tr r="X44" s="21"/>
      </tp>
      <tp t="e">
        <v>#N/A</v>
        <stp/>
        <stp>BDH|6364170284370023029</stp>
        <tr r="T46" s="4"/>
        <tr r="T25" s="10"/>
        <tr r="V27" s="13"/>
      </tp>
      <tp t="e">
        <v>#N/A</v>
        <stp/>
        <stp>BDH|7993091796526052758</stp>
        <tr r="Y10" s="24"/>
      </tp>
      <tp t="e">
        <v>#N/A</v>
        <stp/>
        <stp>BDH|3754889155546916708</stp>
        <tr r="J27" s="24"/>
      </tp>
      <tp t="e">
        <v>#N/A</v>
        <stp/>
        <stp>BDH|1851508187492918158</stp>
        <tr r="K40" s="21"/>
      </tp>
      <tp t="e">
        <v>#N/A</v>
        <stp/>
        <stp>BDH|2003882918822488677</stp>
        <tr r="J32" s="17"/>
      </tp>
      <tp t="e">
        <v>#N/A</v>
        <stp/>
        <stp>BDH|9488853492381984695</stp>
        <tr r="G11" s="12"/>
      </tp>
      <tp t="e">
        <v>#N/A</v>
        <stp/>
        <stp>BDH|5912337258514828895</stp>
        <tr r="T22" s="18"/>
      </tp>
      <tp t="e">
        <v>#N/A</v>
        <stp/>
        <stp>BDH|6651431282397373274</stp>
        <tr r="W11" s="12"/>
      </tp>
      <tp t="e">
        <v>#N/A</v>
        <stp/>
        <stp>BDH|9984595177070696423</stp>
        <tr r="L9" s="3"/>
        <tr r="J47" s="10"/>
        <tr r="J45" s="11"/>
        <tr r="J14" s="7"/>
      </tp>
      <tp t="e">
        <v>#N/A</v>
        <stp/>
        <stp>BDH|5242469833289389471</stp>
        <tr r="P48" s="17"/>
      </tp>
      <tp t="e">
        <v>#N/A</v>
        <stp/>
        <stp>BDH|3049837244965244566</stp>
        <tr r="M26" s="24"/>
      </tp>
      <tp t="e">
        <v>#N/A</v>
        <stp/>
        <stp>BDH|8257939431014646952</stp>
        <tr r="Z50" s="18"/>
      </tp>
      <tp t="e">
        <v>#N/A</v>
        <stp/>
        <stp>BDH|9976755404596343789</stp>
        <tr r="X19" s="9"/>
      </tp>
      <tp t="e">
        <v>#N/A</v>
        <stp/>
        <stp>BDH|5785333333059258364</stp>
        <tr r="I13" s="11"/>
      </tp>
      <tp t="e">
        <v>#N/A</v>
        <stp/>
        <stp>BDH|2637558167789497738</stp>
        <tr r="P36" s="34"/>
      </tp>
      <tp t="e">
        <v>#N/A</v>
        <stp/>
        <stp>BDH|6012986420892351086</stp>
        <tr r="R31" s="29"/>
        <tr r="R39" s="29"/>
        <tr r="P11" s="5"/>
        <tr r="P10" s="2"/>
        <tr r="O37" s="6"/>
      </tp>
      <tp t="e">
        <v>#N/A</v>
        <stp/>
        <stp>BDH|8633508434038910985</stp>
        <tr r="Z68" s="18"/>
      </tp>
      <tp t="e">
        <v>#N/A</v>
        <stp/>
        <stp>BDH|9187071486367746941</stp>
        <tr r="S21" s="17"/>
        <tr r="S15" s="3"/>
      </tp>
      <tp t="e">
        <v>#N/A</v>
        <stp/>
        <stp>BDH|1336714270989409750</stp>
        <tr r="V109" s="18"/>
      </tp>
      <tp t="e">
        <v>#N/A</v>
        <stp/>
        <stp>BDH|8995680551774270017</stp>
        <tr r="E9" s="3"/>
        <tr r="C47" s="10"/>
        <tr r="C45" s="11"/>
        <tr r="C14" s="7"/>
      </tp>
      <tp t="e">
        <v>#N/A</v>
        <stp/>
        <stp>BDH|9217773085051367837</stp>
        <tr r="C67" s="17"/>
      </tp>
      <tp t="e">
        <v>#N/A</v>
        <stp/>
        <stp>BDH|1081501385680147348</stp>
        <tr r="Q48" s="12"/>
      </tp>
      <tp t="e">
        <v>#N/A</v>
        <stp/>
        <stp>BDH|8077399966214677698</stp>
        <tr r="G24" s="11"/>
      </tp>
      <tp t="e">
        <v>#N/A</v>
        <stp/>
        <stp>BDH|1270048239929829477</stp>
        <tr r="D73" s="18"/>
      </tp>
      <tp t="e">
        <v>#N/A</v>
        <stp/>
        <stp>BDH|1432564820398236105</stp>
        <tr r="I10" s="21"/>
      </tp>
      <tp t="e">
        <v>#N/A</v>
        <stp/>
        <stp>BDH|6720464760439036214</stp>
        <tr r="Q48" s="17"/>
      </tp>
      <tp t="e">
        <v>#N/A</v>
        <stp/>
        <stp>BDH|7696204523690775828</stp>
        <tr r="E91" s="18"/>
      </tp>
      <tp t="e">
        <v>#N/A</v>
        <stp/>
        <stp>BDH|1778447005598533231</stp>
        <tr r="K20" s="12"/>
      </tp>
      <tp t="e">
        <v>#N/A</v>
        <stp/>
        <stp>BDH|6886971955687914239</stp>
        <tr r="N48" s="17"/>
      </tp>
      <tp t="e">
        <v>#N/A</v>
        <stp/>
        <stp>BDH|6733964725843080141</stp>
        <tr r="J39" s="12"/>
      </tp>
      <tp t="e">
        <v>#N/A</v>
        <stp/>
        <stp>BDH|4880838107673805040</stp>
        <tr r="D15" s="20"/>
      </tp>
      <tp t="e">
        <v>#N/A</v>
        <stp/>
        <stp>BDH|2453525082042718237</stp>
        <tr r="F13" s="8"/>
      </tp>
      <tp t="e">
        <v>#N/A</v>
        <stp/>
        <stp>BDH|7277316306819264277</stp>
        <tr r="M16" s="29"/>
        <tr r="M36" s="29"/>
      </tp>
      <tp t="e">
        <v>#N/A</v>
        <stp/>
        <stp>BDH|9435667861170695654</stp>
        <tr r="J24" s="18"/>
      </tp>
      <tp t="e">
        <v>#N/A</v>
        <stp/>
        <stp>BDH|6346826691010904899</stp>
        <tr r="G20" s="30"/>
      </tp>
      <tp t="e">
        <v>#N/A</v>
        <stp/>
        <stp>BDH|1700037394967007005</stp>
        <tr r="N13" s="12"/>
      </tp>
      <tp t="e">
        <v>#N/A</v>
        <stp/>
        <stp>BDH|5018602977268121369</stp>
        <tr r="I31" s="26"/>
      </tp>
      <tp t="e">
        <v>#N/A</v>
        <stp/>
        <stp>BDH|2114816205577293271</stp>
        <tr r="H16" s="6"/>
      </tp>
      <tp t="e">
        <v>#N/A</v>
        <stp/>
        <stp>BDH|3598336763068559107</stp>
        <tr r="R20" s="11"/>
      </tp>
      <tp t="e">
        <v>#N/A</v>
        <stp/>
        <stp>BDH|4415071382935667672</stp>
        <tr r="M64" s="12"/>
      </tp>
      <tp t="e">
        <v>#N/A</v>
        <stp/>
        <stp>BDH|1271800216601488605</stp>
        <tr r="H26" s="6"/>
      </tp>
      <tp t="e">
        <v>#N/A</v>
        <stp/>
        <stp>BDH|9042027990999065623</stp>
        <tr r="Y65" s="10"/>
      </tp>
      <tp t="e">
        <v>#N/A</v>
        <stp/>
        <stp>BDH|4591479547863178840</stp>
        <tr r="K12" s="13"/>
      </tp>
      <tp t="e">
        <v>#N/A</v>
        <stp/>
        <stp>BDH|8099462634828008832</stp>
        <tr r="W8" s="2"/>
      </tp>
      <tp t="e">
        <v>#N/A</v>
        <stp/>
        <stp>BDH|1598088398627625024</stp>
        <tr r="F65" s="17"/>
        <tr r="D8" s="5"/>
        <tr r="D8" s="9"/>
      </tp>
      <tp t="e">
        <v>#N/A</v>
        <stp/>
        <stp>BDH|4343622057588235051</stp>
        <tr r="X26" s="10"/>
      </tp>
      <tp t="e">
        <v>#N/A</v>
        <stp/>
        <stp>BDH|6913749663008697091</stp>
        <tr r="Q17" s="4"/>
        <tr r="S10" s="3"/>
        <tr r="Q52" s="10"/>
        <tr r="Q50" s="11"/>
        <tr r="Q17" s="7"/>
        <tr r="S37" s="13"/>
      </tp>
      <tp t="e">
        <v>#N/A</v>
        <stp/>
        <stp>BDH|5914124740468226783</stp>
        <tr r="J15" s="20"/>
      </tp>
      <tp t="e">
        <v>#N/A</v>
        <stp/>
        <stp>BDH|4669276951354558846</stp>
        <tr r="E66" s="10"/>
        <tr r="E64" s="11"/>
        <tr r="E20" s="7"/>
      </tp>
      <tp t="e">
        <v>#N/A</v>
        <stp/>
        <stp>BDH|5782428501388207673</stp>
        <tr r="H15" s="18"/>
      </tp>
      <tp t="e">
        <v>#N/A</v>
        <stp/>
        <stp>BDH|9353152432086424215</stp>
        <tr r="P23" s="2"/>
        <tr r="R18" s="21"/>
        <tr r="R23" s="3"/>
      </tp>
      <tp t="e">
        <v>#N/A</v>
        <stp/>
        <stp>BDH|6450064962136709962</stp>
        <tr r="S16" s="23"/>
      </tp>
      <tp t="e">
        <v>#N/A</v>
        <stp/>
        <stp>BDH|8800463078614642014</stp>
        <tr r="D32" s="10"/>
        <tr r="D44" s="10"/>
        <tr r="D30" s="11"/>
        <tr r="D42" s="11"/>
      </tp>
      <tp t="e">
        <v>#N/A</v>
        <stp/>
        <stp>BDH|1722046193383911483</stp>
        <tr r="M28" s="4"/>
      </tp>
      <tp t="e">
        <v>#N/A</v>
        <stp/>
        <stp>BDH|6281201243966330937</stp>
        <tr r="P31" s="34"/>
      </tp>
      <tp t="e">
        <v>#N/A</v>
        <stp/>
        <stp>BDH|9363487034079828867</stp>
        <tr r="N50" s="17"/>
        <tr r="N10" s="25"/>
      </tp>
      <tp t="e">
        <v>#N/A</v>
        <stp/>
        <stp>BDH|6109276190586245450</stp>
        <tr r="K18" s="11"/>
      </tp>
      <tp t="e">
        <v>#N/A</v>
        <stp/>
        <stp>BDH|7323743528219802464</stp>
        <tr r="K24" s="21"/>
      </tp>
      <tp t="e">
        <v>#N/A</v>
        <stp/>
        <stp>BDH|7321136795490368071</stp>
        <tr r="K25" s="21"/>
      </tp>
      <tp t="e">
        <v>#N/A</v>
        <stp/>
        <stp>BDH|5514708007488378503</stp>
        <tr r="Q118" s="18"/>
      </tp>
      <tp t="e">
        <v>#N/A</v>
        <stp/>
        <stp>BDH|6913884547201585426</stp>
        <tr r="R17" s="20"/>
      </tp>
      <tp t="e">
        <v>#N/A</v>
        <stp/>
        <stp>BDH|4560609641220528906</stp>
        <tr r="V55" s="18"/>
      </tp>
      <tp t="e">
        <v>#N/A</v>
        <stp/>
        <stp>BDH|8908096132136654259</stp>
        <tr r="Y99" s="18"/>
      </tp>
      <tp t="e">
        <v>#N/A</v>
        <stp/>
        <stp>BDH|7097772642862493900</stp>
        <tr r="D31" s="10"/>
        <tr r="D29" s="11"/>
      </tp>
      <tp t="e">
        <v>#N/A</v>
        <stp/>
        <stp>BDH|4743371472856165921</stp>
        <tr r="C52" s="12"/>
      </tp>
      <tp t="e">
        <v>#N/A</v>
        <stp/>
        <stp>BDH|6205260435291194911</stp>
        <tr r="T8" s="26"/>
        <tr r="R10" s="9"/>
      </tp>
      <tp t="e">
        <v>#N/A</v>
        <stp/>
        <stp>BDH|3560525446085785871</stp>
        <tr r="Q23" s="26"/>
      </tp>
      <tp t="e">
        <v>#N/A</v>
        <stp/>
        <stp>BDH|3863899018107878203</stp>
        <tr r="L20" s="25"/>
        <tr r="L13" s="27"/>
      </tp>
      <tp t="e">
        <v>#N/A</v>
        <stp/>
        <stp>BDH|9157169660664543533</stp>
        <tr r="I14" s="11"/>
      </tp>
      <tp t="e">
        <v>#N/A</v>
        <stp/>
        <stp>BDH|1885465648657430935</stp>
        <tr r="U97" s="18"/>
      </tp>
      <tp t="e">
        <v>#N/A</v>
        <stp/>
        <stp>BDH|7631679307596513823</stp>
        <tr r="O54" s="24"/>
      </tp>
      <tp t="e">
        <v>#N/A</v>
        <stp/>
        <stp>BDH|2407576647959433513</stp>
        <tr r="V14" s="18"/>
      </tp>
      <tp t="e">
        <v>#N/A</v>
        <stp/>
        <stp>BDH|7828973621114673798</stp>
        <tr r="W21" s="12"/>
      </tp>
      <tp t="e">
        <v>#N/A</v>
        <stp/>
        <stp>BDH|1794061222099051522</stp>
        <tr r="K45" s="24"/>
      </tp>
      <tp t="e">
        <v>#N/A</v>
        <stp/>
        <stp>BDH|5754291663757498985</stp>
        <tr r="AA56" s="18"/>
      </tp>
      <tp t="e">
        <v>#N/A</v>
        <stp/>
        <stp>BDH|1635899049470219250</stp>
        <tr r="R25" s="24"/>
      </tp>
      <tp t="e">
        <v>#N/A</v>
        <stp/>
        <stp>BDH|6497773632729458447</stp>
        <tr r="W121" s="18"/>
      </tp>
      <tp t="e">
        <v>#N/A</v>
        <stp/>
        <stp>BDH|6586563490567481217</stp>
        <tr r="F98" s="18"/>
      </tp>
      <tp t="e">
        <v>#N/A</v>
        <stp/>
        <stp>BDH|6446394105879887361</stp>
        <tr r="M32" s="12"/>
      </tp>
      <tp t="e">
        <v>#N/A</v>
        <stp/>
        <stp>BDH|7281235282825167743</stp>
        <tr r="X34" s="18"/>
      </tp>
      <tp t="e">
        <v>#N/A</v>
        <stp/>
        <stp>BDH|9003576348686109183</stp>
        <tr r="G15" s="20"/>
      </tp>
      <tp t="e">
        <v>#N/A</v>
        <stp/>
        <stp>BDH|4193348846244174846</stp>
        <tr r="S55" s="18"/>
      </tp>
      <tp t="e">
        <v>#N/A</v>
        <stp/>
        <stp>BDH|4226730313185428804</stp>
        <tr r="V51" s="18"/>
      </tp>
      <tp t="e">
        <v>#N/A</v>
        <stp/>
        <stp>BDH|3734654832778552130</stp>
        <tr r="U14" s="23"/>
      </tp>
      <tp t="e">
        <v>#N/A</v>
        <stp/>
        <stp>BDH|9001134535495418145</stp>
        <tr r="H93" s="18"/>
      </tp>
      <tp t="e">
        <v>#N/A</v>
        <stp/>
        <stp>BDH|1963200533119930650</stp>
        <tr r="U18" s="29"/>
        <tr r="U38" s="29"/>
      </tp>
      <tp t="e">
        <v>#N/A</v>
        <stp/>
        <stp>BDH|4653835324261745002</stp>
        <tr r="X14" s="13"/>
      </tp>
      <tp t="e">
        <v>#N/A</v>
        <stp/>
        <stp>BDH|7785368199881850369</stp>
        <tr r="R16" s="11"/>
      </tp>
      <tp t="e">
        <v>#N/A</v>
        <stp/>
        <stp>BDH|4925134738229278064</stp>
        <tr r="E10" s="30"/>
      </tp>
      <tp t="e">
        <v>#N/A</v>
        <stp/>
        <stp>BDH|8646962782875169351</stp>
        <tr r="E23" s="29"/>
        <tr r="E14" s="29"/>
        <tr r="E34" s="29"/>
      </tp>
      <tp t="e">
        <v>#N/A</v>
        <stp/>
        <stp>BDH|8681337123485740376</stp>
        <tr r="D18" s="25"/>
        <tr r="D10" s="27"/>
      </tp>
      <tp t="e">
        <v>#N/A</v>
        <stp/>
        <stp>BDH|9990380611351128570</stp>
        <tr r="F58" s="24"/>
      </tp>
      <tp t="e">
        <v>#N/A</v>
        <stp/>
        <stp>BDH|8709422075573698705</stp>
        <tr r="V16" s="24"/>
      </tp>
      <tp t="e">
        <v>#N/A</v>
        <stp/>
        <stp>BDH|4467418057322648822</stp>
        <tr r="Q29" s="10"/>
        <tr r="Q27" s="11"/>
      </tp>
      <tp t="e">
        <v>#N/A</v>
        <stp/>
        <stp>BDH|1377052885265053359</stp>
        <tr r="Z7" s="23"/>
      </tp>
      <tp t="e">
        <v>#N/A</v>
        <stp/>
        <stp>BDH|8401717015102425329</stp>
        <tr r="I29" s="24"/>
      </tp>
      <tp t="e">
        <v>#N/A</v>
        <stp/>
        <stp>BDH|4824019649169043663</stp>
        <tr r="F47" s="12"/>
      </tp>
      <tp t="e">
        <v>#N/A</v>
        <stp/>
        <stp>BDH|6134131527938403276</stp>
        <tr r="P32" s="21"/>
      </tp>
      <tp t="e">
        <v>#N/A</v>
        <stp/>
        <stp>BDH|8145071381668963788</stp>
        <tr r="K29" s="12"/>
      </tp>
      <tp t="e">
        <v>#N/A</v>
        <stp/>
        <stp>BDH|6095033955645798979</stp>
        <tr r="I31" s="10"/>
        <tr r="I29" s="11"/>
      </tp>
      <tp t="e">
        <v>#N/A</v>
        <stp/>
        <stp>BDH|2199871825567657037</stp>
        <tr r="E88" s="18"/>
        <tr r="E8" s="20"/>
      </tp>
      <tp t="e">
        <v>#N/A</v>
        <stp/>
        <stp>BDH|3206858602164314007</stp>
        <tr r="U15" s="12"/>
      </tp>
      <tp t="e">
        <v>#N/A</v>
        <stp/>
        <stp>BDH|5355846623773796352</stp>
        <tr r="G17" s="29"/>
        <tr r="G37" s="29"/>
      </tp>
      <tp t="e">
        <v>#N/A</v>
        <stp/>
        <stp>BDH|9427463350984263361</stp>
        <tr r="K18" s="10"/>
      </tp>
      <tp t="e">
        <v>#N/A</v>
        <stp/>
        <stp>BDH|2279784147608391683</stp>
        <tr r="N17" s="29"/>
        <tr r="N37" s="29"/>
      </tp>
      <tp t="e">
        <v>#N/A</v>
        <stp/>
        <stp>BDH|4825230040449417499</stp>
        <tr r="T34" s="22"/>
      </tp>
      <tp t="e">
        <v>#N/A</v>
        <stp/>
        <stp>BDH|6403621625544520908</stp>
        <tr r="G22" s="21"/>
      </tp>
      <tp t="e">
        <v>#N/A</v>
        <stp/>
        <stp>BDH|9224462586563760922</stp>
        <tr r="E6" s="27"/>
      </tp>
      <tp t="e">
        <v>#N/A</v>
        <stp/>
        <stp>BDH|1544287739818522768</stp>
        <tr r="R11" s="18"/>
      </tp>
      <tp t="e">
        <v>#N/A</v>
        <stp/>
        <stp>BDH|1407970221813198640</stp>
        <tr r="AA107" s="18"/>
      </tp>
      <tp t="e">
        <v>#N/A</v>
        <stp/>
        <stp>BDH|3628583601519804005</stp>
        <tr r="W18" s="10"/>
      </tp>
      <tp t="e">
        <v>#N/A</v>
        <stp/>
        <stp>BDH|4586272525069985292</stp>
        <tr r="X39" s="10"/>
        <tr r="X37" s="11"/>
      </tp>
      <tp t="e">
        <v>#N/A</v>
        <stp/>
        <stp>BDH|6661356351609432615</stp>
        <tr r="F111" s="18"/>
      </tp>
      <tp t="e">
        <v>#N/A</v>
        <stp/>
        <stp>BDH|2216040674769104346</stp>
        <tr r="P9" s="23"/>
      </tp>
      <tp t="e">
        <v>#N/A</v>
        <stp/>
        <stp>BDH|5170764523329495679</stp>
        <tr r="P14" s="8"/>
      </tp>
      <tp t="e">
        <v>#N/A</v>
        <stp/>
        <stp>BDH|8071784215423836227</stp>
        <tr r="S25" s="18"/>
      </tp>
      <tp t="e">
        <v>#N/A</v>
        <stp/>
        <stp>BDH|3112812152678164940</stp>
        <tr r="H63" s="18"/>
      </tp>
      <tp t="e">
        <v>#N/A</v>
        <stp/>
        <stp>BDH|4929881216316054406</stp>
        <tr r="I67" s="18"/>
      </tp>
      <tp t="e">
        <v>#N/A</v>
        <stp/>
        <stp>BDH|4867816318173376154</stp>
        <tr r="J28" s="26"/>
      </tp>
      <tp t="e">
        <v>#N/A</v>
        <stp/>
        <stp>BDH|2164846948895332499</stp>
        <tr r="J25" s="7"/>
      </tp>
      <tp t="e">
        <v>#N/A</v>
        <stp/>
        <stp>BDH|2191667597766383443</stp>
        <tr r="C47" s="12"/>
      </tp>
      <tp t="e">
        <v>#N/A</v>
        <stp/>
        <stp>BDH|1226551088413954010</stp>
        <tr r="X40" s="6"/>
      </tp>
      <tp t="e">
        <v>#N/A</v>
        <stp/>
        <stp>BDH|3383981316450281480</stp>
        <tr r="L9" s="10"/>
      </tp>
      <tp t="e">
        <v>#N/A</v>
        <stp/>
        <stp>BDH|1330559286802623115</stp>
        <tr r="Y15" s="18"/>
      </tp>
      <tp t="e">
        <v>#N/A</v>
        <stp/>
        <stp>BDH|1313962009007840032</stp>
        <tr r="I23" s="10"/>
      </tp>
      <tp t="e">
        <v>#N/A</v>
        <stp/>
        <stp>BDH|8310994528744066850</stp>
        <tr r="I10" s="6"/>
      </tp>
      <tp t="e">
        <v>#N/A</v>
        <stp/>
        <stp>BDH|4568825776655461127</stp>
        <tr r="Y8" s="11"/>
      </tp>
      <tp t="e">
        <v>#N/A</v>
        <stp/>
        <stp>BDH|2764000290820491440</stp>
        <tr r="S15" s="9"/>
      </tp>
      <tp t="e">
        <v>#N/A</v>
        <stp/>
        <stp>BDH|8612376320221335751</stp>
        <tr r="Q132" s="18"/>
      </tp>
      <tp t="e">
        <v>#N/A</v>
        <stp/>
        <stp>BDH|9112250511383122637</stp>
        <tr r="M84" s="17"/>
      </tp>
      <tp t="e">
        <v>#N/A</v>
        <stp/>
        <stp>BDH|7888304847326109999</stp>
        <tr r="J91" s="17"/>
      </tp>
      <tp t="e">
        <v>#N/A</v>
        <stp/>
        <stp>BDH|8485547710010407334</stp>
        <tr r="P58" s="24"/>
      </tp>
      <tp t="e">
        <v>#N/A</v>
        <stp/>
        <stp>BDH|1936799572637615936</stp>
        <tr r="C35" s="24"/>
      </tp>
      <tp t="e">
        <v>#N/A</v>
        <stp/>
        <stp>BDH|8909049973630042090</stp>
        <tr r="N12" s="22"/>
      </tp>
      <tp t="e">
        <v>#N/A</v>
        <stp/>
        <stp>BDH|6138540374793770818</stp>
        <tr r="J37" s="24"/>
      </tp>
      <tp t="e">
        <v>#N/A</v>
        <stp/>
        <stp>BDH|9062169714426165046</stp>
        <tr r="Y16" s="29"/>
        <tr r="Y36" s="29"/>
      </tp>
      <tp t="e">
        <v>#N/A</v>
        <stp/>
        <stp>BDH|6453602708706887933</stp>
        <tr r="W46" s="4"/>
        <tr r="W25" s="10"/>
        <tr r="Y27" s="13"/>
      </tp>
      <tp t="e">
        <v>#N/A</v>
        <stp/>
        <stp>BDH|1098786933782915853</stp>
        <tr r="Q6" s="15"/>
        <tr r="Q12" s="2"/>
        <tr r="Q11" s="4"/>
        <tr r="Q6" s="10"/>
      </tp>
      <tp t="e">
        <v>#N/A</v>
        <stp/>
        <stp>BDH|8184111622167370363</stp>
        <tr r="M79" s="17"/>
        <tr r="M20" s="3"/>
        <tr r="K6" s="7"/>
      </tp>
      <tp t="e">
        <v>#N/A</v>
        <stp/>
        <stp>BDH|5685434941423013936</stp>
        <tr r="W70" s="10"/>
        <tr r="W68" s="11"/>
      </tp>
      <tp t="e">
        <v>#N/A</v>
        <stp/>
        <stp>BDH|5694518653099476379</stp>
        <tr r="E58" s="24"/>
      </tp>
      <tp t="e">
        <v>#N/A</v>
        <stp/>
        <stp>BDH|6435887369910309712</stp>
        <tr r="U9" s="11"/>
      </tp>
      <tp t="e">
        <v>#N/A</v>
        <stp/>
        <stp>BDH|4085630935479122701</stp>
        <tr r="N27" s="24"/>
      </tp>
      <tp t="e">
        <v>#N/A</v>
        <stp/>
        <stp>BDH|7595472185464738073</stp>
        <tr r="I43" s="4"/>
      </tp>
      <tp t="e">
        <v>#N/A</v>
        <stp/>
        <stp>BDH|7825390097331652345</stp>
        <tr r="W59" s="21"/>
        <tr r="U57" s="11"/>
      </tp>
      <tp t="e">
        <v>#N/A</v>
        <stp/>
        <stp>BDH|6554963842624480019</stp>
        <tr r="L45" s="12"/>
      </tp>
      <tp t="e">
        <v>#N/A</v>
        <stp/>
        <stp>BDH|8420550443604030267</stp>
        <tr r="N13" s="7"/>
      </tp>
      <tp t="e">
        <v>#N/A</v>
        <stp/>
        <stp>BDH|9767037047201220351</stp>
        <tr r="M109" s="18"/>
      </tp>
      <tp t="e">
        <v>#N/A</v>
        <stp/>
        <stp>BDH|5442616590783243631</stp>
        <tr r="G8" s="23"/>
      </tp>
      <tp t="e">
        <v>#N/A</v>
        <stp/>
        <stp>BDH|4598319261446813896</stp>
        <tr r="I42" s="18"/>
      </tp>
      <tp t="e">
        <v>#N/A</v>
        <stp/>
        <stp>BDH|3296911177196727478</stp>
        <tr r="Y13" s="12"/>
      </tp>
      <tp t="e">
        <v>#N/A</v>
        <stp/>
        <stp>BDH|7048744071539161100</stp>
        <tr r="E60" s="17"/>
      </tp>
      <tp t="e">
        <v>#N/A</v>
        <stp/>
        <stp>BDH|9264846842269995399</stp>
        <tr r="C46" s="4"/>
        <tr r="C25" s="10"/>
        <tr r="E27" s="13"/>
      </tp>
      <tp t="e">
        <v>#N/A</v>
        <stp/>
        <stp>BDH|9431641572162719510</stp>
        <tr r="P66" s="10"/>
        <tr r="P64" s="11"/>
        <tr r="P20" s="7"/>
      </tp>
      <tp t="e">
        <v>#N/A</v>
        <stp/>
        <stp>BDH|4379601981293539633</stp>
        <tr r="G14" s="4"/>
      </tp>
      <tp t="e">
        <v>#N/A</v>
        <stp/>
        <stp>BDH|2478810977841124379</stp>
        <tr r="Y18" s="12"/>
      </tp>
      <tp t="e">
        <v>#N/A</v>
        <stp/>
        <stp>BDH|7051868285930563826</stp>
        <tr r="U12" s="14"/>
      </tp>
      <tp t="e">
        <v>#N/A</v>
        <stp/>
        <stp>BDH|7593318939199007197</stp>
        <tr r="C8" s="17"/>
      </tp>
      <tp t="e">
        <v>#N/A</v>
        <stp/>
        <stp>BDH|8364633350590377470</stp>
        <tr r="T9" s="10"/>
      </tp>
      <tp t="e">
        <v>#N/A</v>
        <stp/>
        <stp>BDH|2297277487144584331</stp>
        <tr r="C93" s="18"/>
      </tp>
      <tp t="e">
        <v>#N/A</v>
        <stp/>
        <stp>BDH|6277257277775384976</stp>
        <tr r="U40" s="21"/>
      </tp>
      <tp t="e">
        <v>#N/A</v>
        <stp/>
        <stp>BDH|5868565269349281011</stp>
        <tr r="G30" s="26"/>
      </tp>
      <tp t="e">
        <v>#N/A</v>
        <stp/>
        <stp>BDH|9282083008623634506</stp>
        <tr r="X10" s="22"/>
      </tp>
      <tp t="e">
        <v>#N/A</v>
        <stp/>
        <stp>BDH|7667161276968316617</stp>
        <tr r="J38" s="13"/>
      </tp>
      <tp t="e">
        <v>#N/A</v>
        <stp/>
        <stp>BDH|9370589701070810367</stp>
        <tr r="W90" s="18"/>
      </tp>
      <tp t="e">
        <v>#N/A</v>
        <stp/>
        <stp>BDH|9745556147602763569</stp>
        <tr r="L14" s="29"/>
        <tr r="L34" s="29"/>
        <tr r="L23" s="29"/>
      </tp>
      <tp t="e">
        <v>#N/A</v>
        <stp/>
        <stp>BDH|2902615440476881942</stp>
        <tr r="G85" s="18"/>
      </tp>
      <tp t="e">
        <v>#N/A</v>
        <stp/>
        <stp>BDH|1205007060630057869</stp>
        <tr r="O87" s="18"/>
        <tr r="O7" s="20"/>
      </tp>
      <tp t="e">
        <v>#N/A</v>
        <stp/>
        <stp>BDH|5003939826230261130</stp>
        <tr r="K17" s="20"/>
      </tp>
      <tp t="e">
        <v>#N/A</v>
        <stp/>
        <stp>BDH|2577116086235692106</stp>
        <tr r="C97" s="18"/>
      </tp>
      <tp t="e">
        <v>#N/A</v>
        <stp/>
        <stp>BDH|2610926565637389565</stp>
        <tr r="X10" s="30"/>
      </tp>
      <tp t="e">
        <v>#N/A</v>
        <stp/>
        <stp>BDH|7462669036614157912</stp>
        <tr r="U35" s="24"/>
      </tp>
      <tp t="e">
        <v>#N/A</v>
        <stp/>
        <stp>BDH|1226847954123083062</stp>
        <tr r="AA30" s="22"/>
      </tp>
      <tp t="e">
        <v>#N/A</v>
        <stp/>
        <stp>BDH|8170711201393606324</stp>
        <tr r="H30" s="17"/>
      </tp>
      <tp t="e">
        <v>#N/A</v>
        <stp/>
        <stp>BDH|2898590670826283969</stp>
        <tr r="E40" s="12"/>
      </tp>
      <tp t="e">
        <v>#N/A</v>
        <stp/>
        <stp>BDH|5453064810343276855</stp>
        <tr r="U19" s="24"/>
      </tp>
      <tp t="e">
        <v>#N/A</v>
        <stp/>
        <stp>BDH|2831511319470115944</stp>
        <tr r="M11" s="14"/>
      </tp>
      <tp t="e">
        <v>#N/A</v>
        <stp/>
        <stp>BDH|7234444688375901126</stp>
        <tr r="O36" s="34"/>
      </tp>
      <tp t="e">
        <v>#N/A</v>
        <stp/>
        <stp>BDH|8568429221745325408</stp>
        <tr r="H32" s="24"/>
      </tp>
      <tp t="e">
        <v>#N/A</v>
        <stp/>
        <stp>BDH|9421174422391489408</stp>
        <tr r="Q50" s="4"/>
      </tp>
      <tp t="e">
        <v>#N/A</v>
        <stp/>
        <stp>BDH|5838896494792324935</stp>
        <tr r="E10" s="28"/>
      </tp>
      <tp t="e">
        <v>#N/A</v>
        <stp/>
        <stp>BDH|6983214577325939939</stp>
        <tr r="L12" s="21"/>
      </tp>
      <tp t="e">
        <v>#N/A</v>
        <stp/>
        <stp>BDH|1174213910128155545</stp>
        <tr r="K13" s="8"/>
      </tp>
      <tp t="e">
        <v>#N/A</v>
        <stp/>
        <stp>BDH|1436992741590072396</stp>
        <tr r="X8" s="22"/>
      </tp>
      <tp t="e">
        <v>#N/A</v>
        <stp/>
        <stp>BDH|8850639843812844754</stp>
        <tr r="I17" s="21"/>
      </tp>
      <tp t="e">
        <v>#N/A</v>
        <stp/>
        <stp>BDH|6608732217429467637</stp>
        <tr r="R32" s="24"/>
      </tp>
      <tp t="e">
        <v>#N/A</v>
        <stp/>
        <stp>BDH|8911129218114496326</stp>
        <tr r="Y32" s="26"/>
      </tp>
      <tp t="e">
        <v>#N/A</v>
        <stp/>
        <stp>BDH|2802402468387408818</stp>
        <tr r="N28" s="6"/>
      </tp>
      <tp t="e">
        <v>#N/A</v>
        <stp/>
        <stp>BDH|5982547061008175181</stp>
        <tr r="P15" s="9"/>
      </tp>
      <tp t="e">
        <v>#N/A</v>
        <stp/>
        <stp>BDH|6647657289092828579</stp>
        <tr r="U55" s="17"/>
      </tp>
      <tp t="e">
        <v>#N/A</v>
        <stp/>
        <stp>BDH|8190276941881197035</stp>
        <tr r="K12" s="20"/>
      </tp>
      <tp t="e">
        <v>#N/A</v>
        <stp/>
        <stp>BDH|7420583692643852739</stp>
        <tr r="I85" s="18"/>
      </tp>
      <tp t="e">
        <v>#N/A</v>
        <stp/>
        <stp>BDH|9117677932740298333</stp>
        <tr r="C91" s="17"/>
      </tp>
      <tp t="e">
        <v>#N/A</v>
        <stp/>
        <stp>BDH|4380224220413642826</stp>
        <tr r="N34" s="12"/>
      </tp>
      <tp t="e">
        <v>#N/A</v>
        <stp/>
        <stp>BDH|5711781571133982925</stp>
        <tr r="C40" s="24"/>
      </tp>
      <tp t="e">
        <v>#N/A</v>
        <stp/>
        <stp>BDH|1017942971301359139</stp>
        <tr r="I28" s="22"/>
      </tp>
      <tp t="e">
        <v>#N/A</v>
        <stp/>
        <stp>BDH|1388061418286036984</stp>
        <tr r="E28" s="12"/>
      </tp>
      <tp t="e">
        <v>#N/A</v>
        <stp/>
        <stp>BDH|4483920699789841224</stp>
        <tr r="Q46" s="21"/>
      </tp>
      <tp t="e">
        <v>#N/A</v>
        <stp/>
        <stp>BDH|1859794495881808196</stp>
        <tr r="Z64" s="18"/>
      </tp>
      <tp t="e">
        <v>#N/A</v>
        <stp/>
        <stp>BDH|5022411875020948989</stp>
        <tr r="F12" s="11"/>
      </tp>
      <tp t="e">
        <v>#N/A</v>
        <stp/>
        <stp>BDH|3165808660015280768</stp>
        <tr r="Q105" s="18"/>
      </tp>
      <tp t="e">
        <v>#N/A</v>
        <stp/>
        <stp>BDH|33828921951637937</stp>
        <tr r="H24" s="26"/>
        <tr r="F14" s="9"/>
      </tp>
      <tp t="e">
        <v>#N/A</v>
        <stp/>
        <stp>BDH|96236000618449808</stp>
        <tr r="F32" s="10"/>
        <tr r="F44" s="10"/>
        <tr r="F30" s="11"/>
        <tr r="F42" s="11"/>
      </tp>
      <tp t="e">
        <v>#N/A</v>
        <stp/>
        <stp>BDH|65254152120614505</stp>
        <tr r="D14" s="30"/>
      </tp>
      <tp t="e">
        <v>#N/A</v>
        <stp/>
        <stp>BDH|31415832057665241</stp>
        <tr r="J72" s="17"/>
      </tp>
      <tp t="e">
        <v>#N/A</v>
        <stp/>
        <stp>BDH|48644178786203501</stp>
        <tr r="R60" s="10"/>
      </tp>
      <tp t="e">
        <v>#N/A</v>
        <stp/>
        <stp>BDH|22016123404200483</stp>
        <tr r="W62" s="11"/>
        <tr r="Y19" s="23"/>
      </tp>
      <tp t="e">
        <v>#N/A</v>
        <stp/>
        <stp>BDH|1656292791660231263</stp>
        <tr r="J31" s="17"/>
      </tp>
      <tp t="e">
        <v>#N/A</v>
        <stp/>
        <stp>BDH|7479687838659847363</stp>
        <tr r="X65" s="12"/>
      </tp>
      <tp t="e">
        <v>#N/A</v>
        <stp/>
        <stp>BDH|7482208306208862505</stp>
        <tr r="F9" s="29"/>
      </tp>
      <tp t="e">
        <v>#N/A</v>
        <stp/>
        <stp>BDH|6578042294582996569</stp>
        <tr r="X37" s="18"/>
      </tp>
      <tp t="e">
        <v>#N/A</v>
        <stp/>
        <stp>BDH|9531007008875655419</stp>
        <tr r="K124" s="18"/>
      </tp>
      <tp t="e">
        <v>#N/A</v>
        <stp/>
        <stp>BDH|2641645863023354984</stp>
        <tr r="U8" s="11"/>
      </tp>
      <tp t="e">
        <v>#N/A</v>
        <stp/>
        <stp>BDH|9093558763376947455</stp>
        <tr r="H45" s="21"/>
      </tp>
      <tp t="e">
        <v>#N/A</v>
        <stp/>
        <stp>BDH|1745776695464935366</stp>
        <tr r="U31" s="17"/>
      </tp>
      <tp t="e">
        <v>#N/A</v>
        <stp/>
        <stp>BDH|2127783905149621401</stp>
        <tr r="J127" s="18"/>
      </tp>
      <tp t="e">
        <v>#N/A</v>
        <stp/>
        <stp>BDH|7302551744237062987</stp>
        <tr r="M33" s="22"/>
      </tp>
      <tp t="e">
        <v>#N/A</v>
        <stp/>
        <stp>BDH|2547091183411260375</stp>
        <tr r="L63" s="10"/>
      </tp>
      <tp t="e">
        <v>#N/A</v>
        <stp/>
        <stp>BDH|6075266347089800133</stp>
        <tr r="I132" s="18"/>
      </tp>
      <tp t="e">
        <v>#N/A</v>
        <stp/>
        <stp>BDH|7176445756268046690</stp>
        <tr r="Y46" s="24"/>
      </tp>
      <tp t="e">
        <v>#N/A</v>
        <stp/>
        <stp>BDH|7461653735119644387</stp>
        <tr r="P34" s="34"/>
      </tp>
      <tp t="e">
        <v>#N/A</v>
        <stp/>
        <stp>BDH|9802157945080049424</stp>
        <tr r="E17" s="21"/>
      </tp>
      <tp t="e">
        <v>#N/A</v>
        <stp/>
        <stp>BDH|5341841158596758623</stp>
        <tr r="O33" s="6"/>
        <tr r="Q6" s="8"/>
      </tp>
      <tp t="e">
        <v>#N/A</v>
        <stp/>
        <stp>BDH|8490534048024439518</stp>
        <tr r="M23" s="2"/>
        <tr r="O18" s="21"/>
        <tr r="O23" s="3"/>
      </tp>
      <tp t="e">
        <v>#N/A</v>
        <stp/>
        <stp>BDH|1896486423918866718</stp>
        <tr r="N28" s="26"/>
      </tp>
      <tp t="e">
        <v>#N/A</v>
        <stp/>
        <stp>BDH|7709328939508417726</stp>
        <tr r="I60" s="18"/>
      </tp>
      <tp t="e">
        <v>#N/A</v>
        <stp/>
        <stp>BDH|8289604468358239826</stp>
        <tr r="Y36" s="12"/>
      </tp>
      <tp t="e">
        <v>#N/A</v>
        <stp/>
        <stp>BDH|9696057102731819032</stp>
        <tr r="P90" s="18"/>
      </tp>
      <tp t="e">
        <v>#N/A</v>
        <stp/>
        <stp>BDH|2412996173563293766</stp>
        <tr r="Y16" s="24"/>
      </tp>
      <tp t="e">
        <v>#N/A</v>
        <stp/>
        <stp>BDH|3757108329449326176</stp>
        <tr r="E57" s="17"/>
      </tp>
      <tp t="e">
        <v>#N/A</v>
        <stp/>
        <stp>BDH|9937738738674151195</stp>
        <tr r="U46" s="4"/>
        <tr r="U25" s="10"/>
        <tr r="W27" s="13"/>
      </tp>
      <tp t="e">
        <v>#N/A</v>
        <stp/>
        <stp>BDH|9082989888367392796</stp>
        <tr r="D20" s="34"/>
      </tp>
      <tp t="e">
        <v>#N/A</v>
        <stp/>
        <stp>BDH|4343672961894978865</stp>
        <tr r="C37" s="10"/>
        <tr r="C35" s="11"/>
      </tp>
      <tp t="e">
        <v>#N/A</v>
        <stp/>
        <stp>BDH|3467107188044293647</stp>
        <tr r="Z10" s="30"/>
      </tp>
      <tp t="e">
        <v>#N/A</v>
        <stp/>
        <stp>BDH|8493056474130728783</stp>
        <tr r="U8" s="2"/>
      </tp>
      <tp t="e">
        <v>#N/A</v>
        <stp/>
        <stp>BDH|5627111104538864401</stp>
        <tr r="R14" s="13"/>
      </tp>
      <tp t="e">
        <v>#N/A</v>
        <stp/>
        <stp>BDH|6779688384850445042</stp>
        <tr r="T66" s="18"/>
      </tp>
      <tp t="e">
        <v>#N/A</v>
        <stp/>
        <stp>BDH|8696467740761300189</stp>
        <tr r="C126" s="18"/>
      </tp>
      <tp t="e">
        <v>#N/A</v>
        <stp/>
        <stp>BDH|5307571298669533824</stp>
        <tr r="H84" s="17"/>
      </tp>
      <tp t="e">
        <v>#N/A</v>
        <stp/>
        <stp>BDH|1389826545960837577</stp>
        <tr r="U60" s="18"/>
      </tp>
      <tp t="e">
        <v>#N/A</v>
        <stp/>
        <stp>BDH|3756454245053535890</stp>
        <tr r="AA10" s="24"/>
      </tp>
      <tp t="e">
        <v>#N/A</v>
        <stp/>
        <stp>BDH|7802034126004710917</stp>
        <tr r="T19" s="22"/>
      </tp>
      <tp t="e">
        <v>#N/A</v>
        <stp/>
        <stp>BDH|2079381726253707826</stp>
        <tr r="G12" s="18"/>
      </tp>
      <tp t="e">
        <v>#N/A</v>
        <stp/>
        <stp>BDH|6925316273429629360</stp>
        <tr r="D68" s="18"/>
      </tp>
      <tp t="e">
        <v>#N/A</v>
        <stp/>
        <stp>BDH|6759546083383868034</stp>
        <tr r="Q15" s="11"/>
      </tp>
      <tp t="e">
        <v>#N/A</v>
        <stp/>
        <stp>BDH|3492099743629171644</stp>
        <tr r="U18" s="18"/>
      </tp>
      <tp t="e">
        <v>#N/A</v>
        <stp/>
        <stp>BDH|2462495705868592667</stp>
        <tr r="I84" s="18"/>
      </tp>
      <tp t="e">
        <v>#N/A</v>
        <stp/>
        <stp>BDH|5271984345500440007</stp>
        <tr r="X26" s="21"/>
      </tp>
      <tp t="e">
        <v>#N/A</v>
        <stp/>
        <stp>BDH|5174183987185099158</stp>
        <tr r="L28" s="21"/>
      </tp>
      <tp t="e">
        <v>#N/A</v>
        <stp/>
        <stp>BDH|7817918962658999891</stp>
        <tr r="S15" s="12"/>
      </tp>
      <tp t="e">
        <v>#N/A</v>
        <stp/>
        <stp>BDH|8500623210596819140</stp>
        <tr r="M33" s="21"/>
      </tp>
      <tp t="e">
        <v>#N/A</v>
        <stp/>
        <stp>BDH|8845627707671337751</stp>
        <tr r="T9" s="29"/>
      </tp>
      <tp t="e">
        <v>#N/A</v>
        <stp/>
        <stp>BDH|5708692234548702060</stp>
        <tr r="V39" s="6"/>
      </tp>
      <tp t="e">
        <v>#N/A</v>
        <stp/>
        <stp>BDH|9824361900765650736</stp>
        <tr r="P54" s="21"/>
      </tp>
      <tp t="e">
        <v>#N/A</v>
        <stp/>
        <stp>BDH|8614163561141832626</stp>
        <tr r="F14" s="10"/>
      </tp>
      <tp t="e">
        <v>#N/A</v>
        <stp/>
        <stp>BDH|5326886515317733322</stp>
        <tr r="G13" s="11"/>
      </tp>
      <tp t="e">
        <v>#N/A</v>
        <stp/>
        <stp>BDH|5852880853234058484</stp>
        <tr r="K70" s="24"/>
      </tp>
      <tp t="e">
        <v>#N/A</v>
        <stp/>
        <stp>BDH|6972545793235724724</stp>
        <tr r="D11" s="12"/>
      </tp>
      <tp t="e">
        <v>#N/A</v>
        <stp/>
        <stp>BDH|6327775619969108177</stp>
        <tr r="M14" s="10"/>
      </tp>
      <tp t="e">
        <v>#N/A</v>
        <stp/>
        <stp>BDH|8352586137027539129</stp>
        <tr r="T31" s="22"/>
      </tp>
      <tp t="e">
        <v>#N/A</v>
        <stp/>
        <stp>BDH|6242826738801773445</stp>
        <tr r="L41" s="18"/>
      </tp>
      <tp t="e">
        <v>#N/A</v>
        <stp/>
        <stp>BDH|9057658064802291384</stp>
        <tr r="G30" s="29"/>
        <tr r="G8" s="29"/>
      </tp>
      <tp t="e">
        <v>#N/A</v>
        <stp/>
        <stp>BDH|3488996501764069674</stp>
        <tr r="P11" s="7"/>
      </tp>
      <tp t="e">
        <v>#N/A</v>
        <stp/>
        <stp>BDH|9110467439636434019</stp>
        <tr r="G105" s="18"/>
      </tp>
      <tp t="e">
        <v>#N/A</v>
        <stp/>
        <stp>BDH|7792250882847991224</stp>
        <tr r="R13" s="13"/>
      </tp>
      <tp t="e">
        <v>#N/A</v>
        <stp/>
        <stp>BDH|2893395489791148021</stp>
        <tr r="F42" s="12"/>
      </tp>
      <tp t="e">
        <v>#N/A</v>
        <stp/>
        <stp>BDH|2668491710606168967</stp>
        <tr r="U32" s="25"/>
        <tr r="U7" s="3"/>
        <tr r="S19" s="11"/>
        <tr r="U22" s="13"/>
        <tr r="U7" s="13"/>
      </tp>
      <tp t="e">
        <v>#N/A</v>
        <stp/>
        <stp>BDH|1531761008168704643</stp>
        <tr r="T41" s="17"/>
      </tp>
      <tp t="e">
        <v>#N/A</v>
        <stp/>
        <stp>BDH|4289268630405512895</stp>
        <tr r="L7" s="14"/>
      </tp>
      <tp t="e">
        <v>#N/A</v>
        <stp/>
        <stp>BDH|7356171679710408913</stp>
        <tr r="H61" s="12"/>
      </tp>
      <tp t="e">
        <v>#N/A</v>
        <stp/>
        <stp>BDH|3033992266152611612</stp>
        <tr r="C20" s="10"/>
      </tp>
      <tp t="e">
        <v>#N/A</v>
        <stp/>
        <stp>BDH|9701946606331863951</stp>
        <tr r="K32" s="12"/>
      </tp>
      <tp t="e">
        <v>#N/A</v>
        <stp/>
        <stp>BDH|7715501333428859143</stp>
        <tr r="C14" s="17"/>
        <tr r="C17" s="28"/>
      </tp>
      <tp t="e">
        <v>#N/A</v>
        <stp/>
        <stp>BDH|6147287671448211322</stp>
        <tr r="E30" s="21"/>
      </tp>
      <tp t="e">
        <v>#N/A</v>
        <stp/>
        <stp>BDH|8679466949934347428</stp>
        <tr r="R35" s="21"/>
      </tp>
      <tp t="e">
        <v>#N/A</v>
        <stp/>
        <stp>BDH|1568942838214253737</stp>
        <tr r="O23" s="10"/>
      </tp>
      <tp t="e">
        <v>#N/A</v>
        <stp/>
        <stp>BDH|2004221612341035885</stp>
        <tr r="T15" s="29"/>
        <tr r="T35" s="29"/>
      </tp>
      <tp t="e">
        <v>#N/A</v>
        <stp/>
        <stp>BDH|7507064898356235010</stp>
        <tr r="X43" s="10"/>
        <tr r="X41" s="11"/>
      </tp>
      <tp t="e">
        <v>#N/A</v>
        <stp/>
        <stp>BDH|1432046378627805984</stp>
        <tr r="C9" s="27"/>
      </tp>
      <tp t="e">
        <v>#N/A</v>
        <stp/>
        <stp>BDH|1229099596859453911</stp>
        <tr r="D9" s="13"/>
      </tp>
      <tp t="e">
        <v>#N/A</v>
        <stp/>
        <stp>BDH|1908272048037669882</stp>
        <tr r="Z52" s="12"/>
      </tp>
      <tp t="e">
        <v>#N/A</v>
        <stp/>
        <stp>BDH|8519770991657275999</stp>
        <tr r="I114" s="18"/>
      </tp>
      <tp t="e">
        <v>#N/A</v>
        <stp/>
        <stp>BDH|8744749929456257305</stp>
        <tr r="P17" s="9"/>
      </tp>
      <tp t="e">
        <v>#N/A</v>
        <stp/>
        <stp>BDH|7818528399517252490</stp>
        <tr r="L35" s="22"/>
      </tp>
      <tp t="e">
        <v>#N/A</v>
        <stp/>
        <stp>BDH|4419093325277494940</stp>
        <tr r="L61" s="18"/>
      </tp>
      <tp t="e">
        <v>#N/A</v>
        <stp/>
        <stp>BDH|5594094722807459829</stp>
        <tr r="W66" s="17"/>
      </tp>
      <tp t="e">
        <v>#N/A</v>
        <stp/>
        <stp>BDH|4858169093003169742</stp>
        <tr r="P67" s="24"/>
      </tp>
      <tp t="e">
        <v>#N/A</v>
        <stp/>
        <stp>BDH|6409829770481834066</stp>
        <tr r="N32" s="25"/>
        <tr r="N7" s="3"/>
        <tr r="L19" s="11"/>
        <tr r="N22" s="13"/>
        <tr r="N7" s="13"/>
      </tp>
      <tp t="e">
        <v>#N/A</v>
        <stp/>
        <stp>BDH|3054959031194813544</stp>
        <tr r="P112" s="18"/>
      </tp>
      <tp t="e">
        <v>#N/A</v>
        <stp/>
        <stp>BDH|2353200257345950858</stp>
        <tr r="I25" s="21"/>
      </tp>
      <tp t="e">
        <v>#N/A</v>
        <stp/>
        <stp>BDH|8658351161665919039</stp>
        <tr r="O13" s="2"/>
      </tp>
      <tp t="e">
        <v>#N/A</v>
        <stp/>
        <stp>BDH|2860666622907609924</stp>
        <tr r="G59" s="10"/>
      </tp>
      <tp t="e">
        <v>#N/A</v>
        <stp/>
        <stp>BDH|1739874615502486297</stp>
        <tr r="L50" s="21"/>
      </tp>
      <tp t="e">
        <v>#N/A</v>
        <stp/>
        <stp>BDH|3521936319623069078</stp>
        <tr r="C6" s="27"/>
      </tp>
      <tp t="e">
        <v>#N/A</v>
        <stp/>
        <stp>BDH|7181819668609501858</stp>
        <tr r="C33" s="10"/>
        <tr r="C31" s="11"/>
        <tr r="E31" s="13"/>
      </tp>
      <tp t="e">
        <v>#N/A</v>
        <stp/>
        <stp>BDH|8480614169240624023</stp>
        <tr r="M56" s="24"/>
      </tp>
      <tp t="e">
        <v>#N/A</v>
        <stp/>
        <stp>BDH|3331917604531789396</stp>
        <tr r="L14" s="12"/>
      </tp>
      <tp t="e">
        <v>#N/A</v>
        <stp/>
        <stp>BDH|2333099473965885895</stp>
        <tr r="V21" s="22"/>
      </tp>
      <tp t="e">
        <v>#N/A</v>
        <stp/>
        <stp>BDH|2833894029692991296</stp>
        <tr r="X50" s="21"/>
      </tp>
      <tp t="e">
        <v>#N/A</v>
        <stp/>
        <stp>BDH|2434267283164177493</stp>
        <tr r="U85" s="17"/>
      </tp>
      <tp t="e">
        <v>#N/A</v>
        <stp/>
        <stp>BDH|7283610419679597166</stp>
        <tr r="V89" s="18"/>
        <tr r="V9" s="20"/>
      </tp>
      <tp t="e">
        <v>#N/A</v>
        <stp/>
        <stp>BDH|7777974517617612084</stp>
        <tr r="O15" s="6"/>
      </tp>
      <tp t="e">
        <v>#N/A</v>
        <stp/>
        <stp>BDH|1944620842219272221</stp>
        <tr r="G43" s="4"/>
      </tp>
      <tp t="e">
        <v>#N/A</v>
        <stp/>
        <stp>BDH|5285271835829914500</stp>
        <tr r="N11" s="18"/>
      </tp>
      <tp t="e">
        <v>#N/A</v>
        <stp/>
        <stp>BDH|9469927403328949054</stp>
        <tr r="L31" s="25"/>
      </tp>
      <tp t="e">
        <v>#N/A</v>
        <stp/>
        <stp>BDH|9545342374010922551</stp>
        <tr r="M38" s="18"/>
      </tp>
      <tp t="e">
        <v>#N/A</v>
        <stp/>
        <stp>BDH|8078237965395935165</stp>
        <tr r="X48" s="17"/>
      </tp>
      <tp t="e">
        <v>#N/A</v>
        <stp/>
        <stp>BDH|9189302962163950738</stp>
        <tr r="I14" s="12"/>
      </tp>
      <tp t="e">
        <v>#N/A</v>
        <stp/>
        <stp>BDH|7625675288669653862</stp>
        <tr r="M8" s="10"/>
      </tp>
      <tp t="e">
        <v>#N/A</v>
        <stp/>
        <stp>BDH|5945627406459617220</stp>
        <tr r="P10" s="30"/>
      </tp>
      <tp t="e">
        <v>#N/A</v>
        <stp/>
        <stp>BDH|1899346282812573026</stp>
        <tr r="H9" s="29"/>
      </tp>
      <tp t="e">
        <v>#N/A</v>
        <stp/>
        <stp>BDH|8919754752082082074</stp>
        <tr r="T58" s="24"/>
      </tp>
      <tp t="e">
        <v>#N/A</v>
        <stp/>
        <stp>BDH|1896122594216232753</stp>
        <tr r="N8" s="18"/>
      </tp>
      <tp t="e">
        <v>#N/A</v>
        <stp/>
        <stp>BDH|1281189471266132939</stp>
        <tr r="F17" s="4"/>
        <tr r="H10" s="3"/>
        <tr r="F52" s="10"/>
        <tr r="F50" s="11"/>
        <tr r="F17" s="7"/>
        <tr r="H37" s="13"/>
      </tp>
      <tp t="e">
        <v>#N/A</v>
        <stp/>
        <stp>BDH|3436907997389968238</stp>
        <tr r="Y20" s="18"/>
      </tp>
      <tp t="e">
        <v>#N/A</v>
        <stp/>
        <stp>BDH|9179171183750889842</stp>
        <tr r="K41" s="18"/>
      </tp>
      <tp t="e">
        <v>#N/A</v>
        <stp/>
        <stp>BDH|1924586601509194583</stp>
        <tr r="S33" s="10"/>
        <tr r="S31" s="11"/>
        <tr r="U31" s="13"/>
      </tp>
      <tp t="e">
        <v>#N/A</v>
        <stp/>
        <stp>BDH|6714901659831608313</stp>
        <tr r="Y12" s="22"/>
      </tp>
      <tp t="e">
        <v>#N/A</v>
        <stp/>
        <stp>BDH|4085446094392877310</stp>
        <tr r="R37" s="18"/>
      </tp>
      <tp t="e">
        <v>#N/A</v>
        <stp/>
        <stp>BDH|1407899014542842284</stp>
        <tr r="W10" s="13"/>
      </tp>
      <tp t="e">
        <v>#N/A</v>
        <stp/>
        <stp>BDH|7924985359121998283</stp>
        <tr r="Q15" s="6"/>
      </tp>
      <tp t="e">
        <v>#N/A</v>
        <stp/>
        <stp>BDH|3255825760566136388</stp>
        <tr r="W55" s="18"/>
      </tp>
      <tp t="e">
        <v>#N/A</v>
        <stp/>
        <stp>BDH|6204795603178749110</stp>
        <tr r="F10" s="4"/>
        <tr r="E6" s="16"/>
        <tr r="H6" s="3"/>
        <tr r="F6" s="11"/>
      </tp>
      <tp t="e">
        <v>#N/A</v>
        <stp/>
        <stp>BDH|8820727340507038443</stp>
        <tr r="X66" s="17"/>
      </tp>
      <tp t="e">
        <v>#N/A</v>
        <stp/>
        <stp>BDH|2123782681492368750</stp>
        <tr r="E49" s="12"/>
      </tp>
      <tp t="e">
        <v>#N/A</v>
        <stp/>
        <stp>BDH|9882598513392438785</stp>
        <tr r="X45" s="17"/>
      </tp>
      <tp t="e">
        <v>#N/A</v>
        <stp/>
        <stp>BDH|3801053022038752163</stp>
        <tr r="K49" s="18"/>
      </tp>
      <tp t="e">
        <v>#N/A</v>
        <stp/>
        <stp>BDH|4617361342029466283</stp>
        <tr r="K29" s="29"/>
        <tr r="K7" s="29"/>
      </tp>
      <tp t="e">
        <v>#N/A</v>
        <stp/>
        <stp>BDH|5817493576549175785</stp>
        <tr r="I83" s="17"/>
      </tp>
      <tp t="e">
        <v>#N/A</v>
        <stp/>
        <stp>BDH|3951900356506452151</stp>
        <tr r="L83" s="18"/>
      </tp>
      <tp t="e">
        <v>#N/A</v>
        <stp/>
        <stp>BDH|1891606086437691066</stp>
        <tr r="J13" s="20"/>
      </tp>
      <tp t="e">
        <v>#N/A</v>
        <stp/>
        <stp>BDH|9338144348171125500</stp>
        <tr r="Q14" s="12"/>
      </tp>
      <tp t="e">
        <v>#N/A</v>
        <stp/>
        <stp>BDH|9370718099726586909</stp>
        <tr r="E69" s="18"/>
      </tp>
      <tp t="e">
        <v>#N/A</v>
        <stp/>
        <stp>BDH|2098094861024050861</stp>
        <tr r="G35" s="4"/>
      </tp>
      <tp t="e">
        <v>#N/A</v>
        <stp/>
        <stp>BDH|2143993337284044418</stp>
        <tr r="N116" s="18"/>
      </tp>
      <tp t="e">
        <v>#N/A</v>
        <stp/>
        <stp>BDH|5270703922919857161</stp>
        <tr r="P46" s="17"/>
      </tp>
      <tp t="e">
        <v>#N/A</v>
        <stp/>
        <stp>BDH|5099800611102957664</stp>
        <tr r="K39" s="24"/>
      </tp>
      <tp t="e">
        <v>#N/A</v>
        <stp/>
        <stp>BDH|9724947796756894733</stp>
        <tr r="R86" s="18"/>
        <tr r="R6" s="20"/>
      </tp>
      <tp t="e">
        <v>#N/A</v>
        <stp/>
        <stp>BDH|2351935831518796887</stp>
        <tr r="S20" s="23"/>
      </tp>
      <tp t="e">
        <v>#N/A</v>
        <stp/>
        <stp>BDH|9491154372421568684</stp>
        <tr r="Y132" s="18"/>
      </tp>
      <tp t="e">
        <v>#N/A</v>
        <stp/>
        <stp>BDH|8282969690856912634</stp>
        <tr r="Y12" s="11"/>
      </tp>
      <tp t="e">
        <v>#N/A</v>
        <stp/>
        <stp>BDH|5951165591235099007</stp>
        <tr r="T13" s="14"/>
      </tp>
      <tp t="e">
        <v>#N/A</v>
        <stp/>
        <stp>BDH|4394127944658228195</stp>
        <tr r="K22" s="21"/>
      </tp>
      <tp t="e">
        <v>#N/A</v>
        <stp/>
        <stp>BDH|9835201573445511109</stp>
        <tr r="L39" s="6"/>
      </tp>
      <tp t="e">
        <v>#N/A</v>
        <stp/>
        <stp>BDH|2969778986333653606</stp>
        <tr r="G14" s="8"/>
      </tp>
      <tp t="e">
        <v>#N/A</v>
        <stp/>
        <stp>BDH|6358908836482947623</stp>
        <tr r="L30" s="10"/>
        <tr r="L28" s="11"/>
      </tp>
      <tp t="e">
        <v>#N/A</v>
        <stp/>
        <stp>BDH|2409832571266136382</stp>
        <tr r="Y64" s="24"/>
      </tp>
      <tp t="e">
        <v>#N/A</v>
        <stp/>
        <stp>BDH|7944883879767494738</stp>
        <tr r="E26" s="17"/>
      </tp>
      <tp t="e">
        <v>#N/A</v>
        <stp/>
        <stp>BDH|9295188581320718832</stp>
        <tr r="L18" s="13"/>
      </tp>
      <tp t="e">
        <v>#N/A</v>
        <stp/>
        <stp>BDH|4877336733249659516</stp>
        <tr r="R27" s="5"/>
        <tr r="R28" s="9"/>
      </tp>
      <tp t="e">
        <v>#N/A</v>
        <stp/>
        <stp>BDH|5543323509289675772</stp>
        <tr r="J65" s="24"/>
      </tp>
      <tp t="e">
        <v>#N/A</v>
        <stp/>
        <stp>BDH|9290554149364293434</stp>
        <tr r="D16" s="29"/>
        <tr r="D36" s="29"/>
      </tp>
      <tp t="e">
        <v>#N/A</v>
        <stp/>
        <stp>BDH|3681456493553805578</stp>
        <tr r="M15" s="18"/>
      </tp>
      <tp t="e">
        <v>#N/A</v>
        <stp/>
        <stp>BDH|5680406113078895025</stp>
        <tr r="V121" s="18"/>
      </tp>
      <tp t="e">
        <v>#N/A</v>
        <stp/>
        <stp>BDH|7065907249676028467</stp>
        <tr r="Q11" s="29"/>
      </tp>
      <tp t="e">
        <v>#N/A</v>
        <stp/>
        <stp>BDH|6457388817429380575</stp>
        <tr r="R52" s="17"/>
      </tp>
      <tp t="e">
        <v>#N/A</v>
        <stp/>
        <stp>BDH|9429106369491479763</stp>
        <tr r="W13" s="24"/>
      </tp>
      <tp t="e">
        <v>#N/A</v>
        <stp/>
        <stp>BDH|4671980001172422743</stp>
        <tr r="Y49" s="10"/>
        <tr r="Y47" s="11"/>
        <tr r="Y16" s="7"/>
      </tp>
      <tp t="e">
        <v>#N/A</v>
        <stp/>
        <stp>BDH|2132917029708119975</stp>
        <tr r="D41" s="18"/>
      </tp>
      <tp t="e">
        <v>#N/A</v>
        <stp/>
        <stp>BDH|1320900839396050552</stp>
        <tr r="L24" s="18"/>
      </tp>
      <tp t="e">
        <v>#N/A</v>
        <stp/>
        <stp>BDH|2011175581490863310</stp>
        <tr r="F80" s="17"/>
      </tp>
      <tp t="e">
        <v>#N/A</v>
        <stp/>
        <stp>BDH|9641040979002763434</stp>
        <tr r="S31" s="22"/>
      </tp>
      <tp t="e">
        <v>#N/A</v>
        <stp/>
        <stp>BDH|8699604008333614576</stp>
        <tr r="U22" s="5"/>
      </tp>
      <tp t="e">
        <v>#N/A</v>
        <stp/>
        <stp>BDH|1796153112399821072</stp>
        <tr r="T26" s="10"/>
      </tp>
      <tp t="e">
        <v>#N/A</v>
        <stp/>
        <stp>BDH|5080708404072927829</stp>
        <tr r="AA11" s="29"/>
      </tp>
      <tp t="e">
        <v>#N/A</v>
        <stp/>
        <stp>BDH|9716715328533920788</stp>
        <tr r="E129" s="18"/>
      </tp>
      <tp t="e">
        <v>#N/A</v>
        <stp/>
        <stp>BDH|9086809782105529489</stp>
        <tr r="K37" s="24"/>
      </tp>
      <tp t="e">
        <v>#N/A</v>
        <stp/>
        <stp>BDH|3181770569913020909</stp>
        <tr r="J7" s="28"/>
      </tp>
      <tp t="e">
        <v>#N/A</v>
        <stp/>
        <stp>BDH|4452984921705254209</stp>
        <tr r="L19" s="10"/>
        <tr r="N16" s="13"/>
        <tr r="N23" s="13"/>
      </tp>
      <tp t="e">
        <v>#N/A</v>
        <stp/>
        <stp>BDH|4355884266805212707</stp>
        <tr r="F8" s="23"/>
      </tp>
      <tp t="e">
        <v>#N/A</v>
        <stp/>
        <stp>BDH|6227134156648081287</stp>
        <tr r="Q27" s="24"/>
      </tp>
      <tp t="e">
        <v>#N/A</v>
        <stp/>
        <stp>BDH|9227625519093025554</stp>
        <tr r="M38" s="17"/>
      </tp>
      <tp t="e">
        <v>#N/A</v>
        <stp/>
        <stp>BDH|6513581471558220427</stp>
        <tr r="W24" s="4"/>
        <tr r="W59" s="11"/>
      </tp>
      <tp t="e">
        <v>#N/A</v>
        <stp/>
        <stp>BDH|9155994342464103875</stp>
        <tr r="D10" s="17"/>
      </tp>
      <tp t="e">
        <v>#N/A</v>
        <stp/>
        <stp>BDH|9414915659505147816</stp>
        <tr r="N36" s="12"/>
      </tp>
      <tp t="e">
        <v>#N/A</v>
        <stp/>
        <stp>BDH|2287190382504269778</stp>
        <tr r="P34" s="22"/>
      </tp>
      <tp t="e">
        <v>#N/A</v>
        <stp/>
        <stp>BDH|8822748866913435222</stp>
        <tr r="X70" s="24"/>
      </tp>
      <tp t="e">
        <v>#N/A</v>
        <stp/>
        <stp>BDH|2113625941370635881</stp>
        <tr r="W16" s="21"/>
      </tp>
      <tp t="e">
        <v>#N/A</v>
        <stp/>
        <stp>BDH|4300611879769116462</stp>
        <tr r="M52" s="4"/>
        <tr r="O8" s="3"/>
        <tr r="M40" s="10"/>
        <tr r="M38" s="11"/>
        <tr r="O30" s="13"/>
      </tp>
      <tp t="e">
        <v>#N/A</v>
        <stp/>
        <stp>BDH|7025347700049096588</stp>
        <tr r="Z36" s="18"/>
      </tp>
      <tp t="e">
        <v>#N/A</v>
        <stp/>
        <stp>BDH|7422171715849870628</stp>
        <tr r="H17" s="11"/>
      </tp>
      <tp t="e">
        <v>#N/A</v>
        <stp/>
        <stp>BDH|1347881950007284359</stp>
        <tr r="AA21" s="17"/>
        <tr r="AA15" s="3"/>
      </tp>
      <tp t="e">
        <v>#N/A</v>
        <stp/>
        <stp>BDH|5222826967635879632</stp>
        <tr r="X61" s="12"/>
      </tp>
      <tp t="e">
        <v>#N/A</v>
        <stp/>
        <stp>BDH|2890964672907229321</stp>
        <tr r="Q28" s="17"/>
      </tp>
      <tp t="e">
        <v>#N/A</v>
        <stp/>
        <stp>BDH|8249510448707642610</stp>
        <tr r="T38" s="10"/>
        <tr r="T36" s="11"/>
      </tp>
      <tp t="e">
        <v>#N/A</v>
        <stp/>
        <stp>BDH|9269299526820511141</stp>
        <tr r="K14" s="13"/>
      </tp>
      <tp t="e">
        <v>#N/A</v>
        <stp/>
        <stp>BDH|1699644596223011588</stp>
        <tr r="AA129" s="18"/>
      </tp>
      <tp t="e">
        <v>#N/A</v>
        <stp/>
        <stp>BDH|5775768616563832831</stp>
        <tr r="X55" s="17"/>
      </tp>
      <tp t="e">
        <v>#N/A</v>
        <stp/>
        <stp>BDH|5286923575515925607</stp>
        <tr r="Z11" s="28"/>
      </tp>
      <tp t="e">
        <v>#N/A</v>
        <stp/>
        <stp>BDH|5993506680025310565</stp>
        <tr r="K9" s="26"/>
      </tp>
      <tp t="e">
        <v>#N/A</v>
        <stp/>
        <stp>BDH|8411857475887004885</stp>
        <tr r="S13" s="9"/>
      </tp>
      <tp t="e">
        <v>#N/A</v>
        <stp/>
        <stp>BDH|3401105682501989332</stp>
        <tr r="V13" s="8"/>
      </tp>
      <tp t="e">
        <v>#N/A</v>
        <stp/>
        <stp>BDH|8670086029570206299</stp>
        <tr r="T77" s="18"/>
      </tp>
      <tp t="e">
        <v>#N/A</v>
        <stp/>
        <stp>BDH|1635939505529838941</stp>
        <tr r="Z54" s="18"/>
      </tp>
      <tp t="e">
        <v>#N/A</v>
        <stp/>
        <stp>BDH|2855754605615484803</stp>
        <tr r="P66" s="18"/>
      </tp>
      <tp t="e">
        <v>#N/A</v>
        <stp/>
        <stp>BDH|1907543375592083941</stp>
        <tr r="R49" s="21"/>
      </tp>
      <tp t="e">
        <v>#N/A</v>
        <stp/>
        <stp>BDH|9798381403427077505</stp>
        <tr r="R24" s="21"/>
      </tp>
      <tp t="e">
        <v>#N/A</v>
        <stp/>
        <stp>BDH|9563709967305944569</stp>
        <tr r="O89" s="18"/>
        <tr r="O9" s="20"/>
      </tp>
      <tp t="e">
        <v>#N/A</v>
        <stp/>
        <stp>BDH|1076852806166703795</stp>
        <tr r="M44" s="17"/>
      </tp>
      <tp t="e">
        <v>#N/A</v>
        <stp/>
        <stp>BDH|9781173105832828200</stp>
        <tr r="N107" s="18"/>
      </tp>
      <tp t="e">
        <v>#N/A</v>
        <stp/>
        <stp>BDH|4471495352158743557</stp>
        <tr r="E28" s="10"/>
        <tr r="E26" s="11"/>
      </tp>
      <tp t="e">
        <v>#N/A</v>
        <stp/>
        <stp>BDH|5107255572701883939</stp>
        <tr r="W31" s="24"/>
      </tp>
      <tp t="e">
        <v>#N/A</v>
        <stp/>
        <stp>BDH|4454515388060633160</stp>
        <tr r="I103" s="18"/>
      </tp>
      <tp t="e">
        <v>#N/A</v>
        <stp/>
        <stp>BDH|2359880042117771130</stp>
        <tr r="AA20" s="25"/>
        <tr r="AA13" s="27"/>
      </tp>
      <tp t="e">
        <v>#N/A</v>
        <stp/>
        <stp>BDH|1513703622479345590</stp>
        <tr r="D40" s="21"/>
      </tp>
      <tp t="e">
        <v>#N/A</v>
        <stp/>
        <stp>BDH|7306266071202124884</stp>
        <tr r="O47" s="24"/>
      </tp>
      <tp t="e">
        <v>#N/A</v>
        <stp/>
        <stp>BDH|4708030273752936936</stp>
        <tr r="T17" s="4"/>
        <tr r="V10" s="3"/>
        <tr r="T52" s="10"/>
        <tr r="T50" s="11"/>
        <tr r="T17" s="7"/>
        <tr r="V37" s="13"/>
      </tp>
      <tp t="e">
        <v>#N/A</v>
        <stp/>
        <stp>BDH|9858376196062604921</stp>
        <tr r="F29" s="17"/>
      </tp>
      <tp t="e">
        <v>#N/A</v>
        <stp/>
        <stp>BDH|1586908857043720687</stp>
        <tr r="G29" s="4"/>
      </tp>
      <tp t="e">
        <v>#N/A</v>
        <stp/>
        <stp>BDH|8326200439185541422</stp>
        <tr r="P103" s="18"/>
      </tp>
      <tp t="e">
        <v>#N/A</v>
        <stp/>
        <stp>BDH|3660373503389868177</stp>
        <tr r="Q12" s="3"/>
        <tr r="O51" s="10"/>
        <tr r="O49" s="11"/>
        <tr r="O7" s="7"/>
      </tp>
      <tp t="e">
        <v>#N/A</v>
        <stp/>
        <stp>BDH|4741227433609838431</stp>
        <tr r="M9" s="29"/>
      </tp>
      <tp t="e">
        <v>#N/A</v>
        <stp/>
        <stp>BDH|2277100162689567480</stp>
        <tr r="Q35" s="21"/>
      </tp>
      <tp t="e">
        <v>#N/A</v>
        <stp/>
        <stp>BDH|9828585994455134886</stp>
        <tr r="S38" s="24"/>
      </tp>
      <tp t="e">
        <v>#N/A</v>
        <stp/>
        <stp>BDH|4632841971911986275</stp>
        <tr r="Z41" s="21"/>
      </tp>
      <tp t="e">
        <v>#N/A</v>
        <stp/>
        <stp>BDH|8038289616940010334</stp>
        <tr r="N27" s="21"/>
      </tp>
      <tp t="e">
        <v>#N/A</v>
        <stp/>
        <stp>BDH|3709723381163027796</stp>
        <tr r="O14" s="11"/>
      </tp>
      <tp t="e">
        <v>#N/A</v>
        <stp/>
        <stp>BDH|5114697671114648825</stp>
        <tr r="M20" s="11"/>
      </tp>
      <tp t="e">
        <v>#N/A</v>
        <stp/>
        <stp>BDH|6588564592595942757</stp>
        <tr r="F57" s="24"/>
      </tp>
      <tp t="e">
        <v>#N/A</v>
        <stp/>
        <stp>BDH|5070858067195911662</stp>
        <tr r="Y25" s="4"/>
        <tr r="Y61" s="10"/>
      </tp>
      <tp t="e">
        <v>#N/A</v>
        <stp/>
        <stp>BDH|9929125863981072754</stp>
        <tr r="W47" s="21"/>
      </tp>
      <tp t="e">
        <v>#N/A</v>
        <stp/>
        <stp>BDH|7246039357202854835</stp>
        <tr r="O67" s="24"/>
      </tp>
      <tp t="e">
        <v>#N/A</v>
        <stp/>
        <stp>BDH|4106885464094028608</stp>
        <tr r="T116" s="18"/>
      </tp>
      <tp t="e">
        <v>#N/A</v>
        <stp/>
        <stp>BDH|6268571470939861506</stp>
        <tr r="S13" s="11"/>
      </tp>
      <tp t="e">
        <v>#N/A</v>
        <stp/>
        <stp>BDH|4107591585495855471</stp>
        <tr r="S36" s="21"/>
      </tp>
      <tp t="e">
        <v>#N/A</v>
        <stp/>
        <stp>BDH|4706346788562050596</stp>
        <tr r="V19" s="25"/>
        <tr r="V12" s="27"/>
      </tp>
      <tp t="e">
        <v>#N/A</v>
        <stp/>
        <stp>BDH|8794724507845014204</stp>
        <tr r="G12" s="22"/>
      </tp>
      <tp t="e">
        <v>#N/A</v>
        <stp/>
        <stp>BDH|8492729534753517755</stp>
        <tr r="D59" s="10"/>
      </tp>
      <tp t="e">
        <v>#N/A</v>
        <stp/>
        <stp>BDH|7975902993307857800</stp>
        <tr r="P8" s="13"/>
      </tp>
      <tp t="e">
        <v>#N/A</v>
        <stp/>
        <stp>BDH|4275869485929677552</stp>
        <tr r="L24" s="26"/>
        <tr r="J14" s="9"/>
      </tp>
      <tp t="e">
        <v>#N/A</v>
        <stp/>
        <stp>BDH|2366571047383650873</stp>
        <tr r="C87" s="18"/>
        <tr r="C7" s="20"/>
      </tp>
      <tp t="e">
        <v>#N/A</v>
        <stp/>
        <stp>BDH|5231917827667327152</stp>
        <tr r="E21" s="6"/>
      </tp>
      <tp t="e">
        <v>#N/A</v>
        <stp/>
        <stp>BDH|7755239099982637693</stp>
        <tr r="F29" s="22"/>
      </tp>
      <tp t="e">
        <v>#N/A</v>
        <stp/>
        <stp>BDH|1346800215691018147</stp>
        <tr r="E13" s="28"/>
        <tr r="E90" s="17"/>
      </tp>
      <tp t="e">
        <v>#N/A</v>
        <stp/>
        <stp>BDH|1359957264104236224</stp>
        <tr r="S36" s="22"/>
      </tp>
      <tp t="e">
        <v>#N/A</v>
        <stp/>
        <stp>BDH|2976655244289307194</stp>
        <tr r="E25" s="26"/>
      </tp>
      <tp t="e">
        <v>#N/A</v>
        <stp/>
        <stp>BDH|2283876056971823692</stp>
        <tr r="O18" s="11"/>
      </tp>
      <tp t="e">
        <v>#N/A</v>
        <stp/>
        <stp>BDH|8450109208774952579</stp>
        <tr r="K28" s="10"/>
        <tr r="K26" s="11"/>
      </tp>
      <tp t="e">
        <v>#N/A</v>
        <stp/>
        <stp>BDH|5994855731937762184</stp>
        <tr r="Y14" s="8"/>
      </tp>
      <tp t="e">
        <v>#N/A</v>
        <stp/>
        <stp>BDH|8559636204925649368</stp>
        <tr r="Q26" s="10"/>
      </tp>
      <tp t="e">
        <v>#N/A</v>
        <stp/>
        <stp>BDH|7449638480649487814</stp>
        <tr r="P52" s="4"/>
        <tr r="R8" s="3"/>
        <tr r="P40" s="10"/>
        <tr r="P38" s="11"/>
        <tr r="R30" s="13"/>
      </tp>
      <tp t="e">
        <v>#N/A</v>
        <stp/>
        <stp>BDH|9090967191682679336</stp>
        <tr r="X52" s="24"/>
      </tp>
      <tp t="e">
        <v>#N/A</v>
        <stp/>
        <stp>BDH|8927642679525392455</stp>
        <tr r="Y31" s="21"/>
      </tp>
      <tp t="e">
        <v>#N/A</v>
        <stp/>
        <stp>BDH|6909926486976919967</stp>
        <tr r="V8" s="22"/>
      </tp>
      <tp t="e">
        <v>#N/A</v>
        <stp/>
        <stp>BDH|4694935152184260473</stp>
        <tr r="F8" s="13"/>
      </tp>
      <tp t="e">
        <v>#N/A</v>
        <stp/>
        <stp>BDH|6095840666508659861</stp>
        <tr r="T39" s="13"/>
      </tp>
      <tp t="e">
        <v>#N/A</v>
        <stp/>
        <stp>BDH|6120652643935656937</stp>
        <tr r="O45" s="21"/>
      </tp>
      <tp t="e">
        <v>#N/A</v>
        <stp/>
        <stp>BDH|9852272625337894606</stp>
        <tr r="H13" s="5"/>
      </tp>
      <tp t="e">
        <v>#N/A</v>
        <stp/>
        <stp>BDH|5518502636709876298</stp>
        <tr r="L33" s="10"/>
        <tr r="L31" s="11"/>
        <tr r="N31" s="13"/>
      </tp>
      <tp t="e">
        <v>#N/A</v>
        <stp/>
        <stp>BDH|3729191242038606689</stp>
        <tr r="C26" s="13"/>
      </tp>
      <tp t="e">
        <v>#N/A</v>
        <stp/>
        <stp>BDH|4917889507120178454</stp>
        <tr r="D13" s="6"/>
      </tp>
      <tp t="e">
        <v>#N/A</v>
        <stp/>
        <stp>BDH|3396684104724411996</stp>
        <tr r="J8" s="22"/>
      </tp>
      <tp t="e">
        <v>#N/A</v>
        <stp/>
        <stp>BDH|3882361688829546918</stp>
        <tr r="H18" s="11"/>
      </tp>
      <tp t="e">
        <v>#N/A</v>
        <stp/>
        <stp>BDH|8959100630866802430</stp>
        <tr r="D10" s="4"/>
        <tr r="C6" s="16"/>
        <tr r="F6" s="3"/>
        <tr r="D6" s="11"/>
      </tp>
      <tp t="e">
        <v>#N/A</v>
        <stp/>
        <stp>BDH|7031114123935267924</stp>
        <tr r="L48" s="18"/>
      </tp>
      <tp t="e">
        <v>#N/A</v>
        <stp/>
        <stp>BDH|4746376770510498862</stp>
        <tr r="V13" s="17"/>
        <tr r="V16" s="28"/>
      </tp>
      <tp t="e">
        <v>#N/A</v>
        <stp/>
        <stp>BDH|1030601948769339299</stp>
        <tr r="E17" s="10"/>
      </tp>
      <tp t="e">
        <v>#N/A</v>
        <stp/>
        <stp>BDH|9281045822424759713</stp>
        <tr r="R58" s="24"/>
      </tp>
      <tp t="e">
        <v>#N/A</v>
        <stp/>
        <stp>BDH|2404063346888264642</stp>
        <tr r="V36" s="10"/>
        <tr r="V34" s="11"/>
      </tp>
      <tp t="e">
        <v>#N/A</v>
        <stp/>
        <stp>BDH|7576724584725536549</stp>
        <tr r="E47" s="12"/>
      </tp>
      <tp t="e">
        <v>#N/A</v>
        <stp/>
        <stp>BDH|9453989181570809077</stp>
        <tr r="J63" s="24"/>
      </tp>
      <tp t="e">
        <v>#N/A</v>
        <stp/>
        <stp>BDH|1965231011072008886</stp>
        <tr r="S25" s="26"/>
      </tp>
      <tp t="e">
        <v>#N/A</v>
        <stp/>
        <stp>BDH|3489857901021686254</stp>
        <tr r="J52" s="21"/>
      </tp>
      <tp t="e">
        <v>#N/A</v>
        <stp/>
        <stp>BDH|7163123482095702356</stp>
        <tr r="V91" s="17"/>
      </tp>
      <tp t="e">
        <v>#N/A</v>
        <stp/>
        <stp>BDH|8634918443718687516</stp>
        <tr r="W25" s="21"/>
      </tp>
      <tp t="e">
        <v>#N/A</v>
        <stp/>
        <stp>BDH|6756680791443457291</stp>
        <tr r="F17" s="14"/>
      </tp>
      <tp t="e">
        <v>#N/A</v>
        <stp/>
        <stp>BDH|8086922274488280673</stp>
        <tr r="E131" s="18"/>
      </tp>
      <tp t="e">
        <v>#N/A</v>
        <stp/>
        <stp>BDH|4800227855553477880</stp>
        <tr r="O18" s="6"/>
      </tp>
      <tp t="e">
        <v>#N/A</v>
        <stp/>
        <stp>BDH|1399852634233051118</stp>
        <tr r="X53" s="17"/>
      </tp>
      <tp t="e">
        <v>#N/A</v>
        <stp/>
        <stp>BDH|2201823686839382364</stp>
        <tr r="R38" s="4"/>
        <tr r="R60" s="11"/>
        <tr r="T13" s="23"/>
      </tp>
      <tp t="e">
        <v>#N/A</v>
        <stp/>
        <stp>BDH|2377610312569177423</stp>
        <tr r="O55" s="17"/>
      </tp>
      <tp t="e">
        <v>#N/A</v>
        <stp/>
        <stp>BDH|7771965347333474110</stp>
        <tr r="T24" s="12"/>
      </tp>
      <tp t="e">
        <v>#N/A</v>
        <stp/>
        <stp>BDH|8565714123243775631</stp>
        <tr r="J84" s="17"/>
      </tp>
      <tp t="e">
        <v>#N/A</v>
        <stp/>
        <stp>BDH|5759724893466155546</stp>
        <tr r="H24" s="10"/>
      </tp>
      <tp t="e">
        <v>#N/A</v>
        <stp/>
        <stp>BDH|7484727083639689907</stp>
        <tr r="K31" s="22"/>
      </tp>
      <tp t="e">
        <v>#N/A</v>
        <stp/>
        <stp>BDH|9228643260083679230</stp>
        <tr r="Y44" s="24"/>
      </tp>
      <tp t="e">
        <v>#N/A</v>
        <stp/>
        <stp>BDH|2333492199682796577</stp>
        <tr r="C13" s="10"/>
      </tp>
      <tp t="e">
        <v>#N/A</v>
        <stp/>
        <stp>BDH|8552295424193389381</stp>
        <tr r="M26" s="22"/>
      </tp>
      <tp t="e">
        <v>#N/A</v>
        <stp/>
        <stp>BDH|1295862775743638547</stp>
        <tr r="I39" s="13"/>
      </tp>
      <tp t="e">
        <v>#N/A</v>
        <stp/>
        <stp>BDH|1360899510550014090</stp>
        <tr r="Q30" s="12"/>
      </tp>
      <tp t="e">
        <v>#N/A</v>
        <stp/>
        <stp>BDH|2893723625557803844</stp>
        <tr r="R15" s="20"/>
      </tp>
      <tp t="e">
        <v>#N/A</v>
        <stp/>
        <stp>BDH|5508177067283273949</stp>
        <tr r="D18" s="17"/>
      </tp>
      <tp t="e">
        <v>#N/A</v>
        <stp/>
        <stp>BDH|7667312053929136065</stp>
        <tr r="Z17" s="28"/>
        <tr r="Z14" s="17"/>
      </tp>
      <tp t="e">
        <v>#N/A</v>
        <stp/>
        <stp>BDH|6808653545544356889</stp>
        <tr r="J13" s="24"/>
      </tp>
      <tp t="e">
        <v>#N/A</v>
        <stp/>
        <stp>BDH|1272728357168079344</stp>
        <tr r="W37" s="22"/>
      </tp>
      <tp t="e">
        <v>#N/A</v>
        <stp/>
        <stp>BDH|6280465487034939693</stp>
        <tr r="L29" s="12"/>
      </tp>
      <tp t="e">
        <v>#N/A</v>
        <stp/>
        <stp>BDH|7960342488780197476</stp>
        <tr r="Z10" s="18"/>
      </tp>
      <tp t="e">
        <v>#N/A</v>
        <stp/>
        <stp>BDH|3148309186594604427</stp>
        <tr r="F41" s="34"/>
      </tp>
      <tp t="e">
        <v>#N/A</v>
        <stp/>
        <stp>BDH|9115083517059599984</stp>
        <tr r="Z30" s="21"/>
      </tp>
      <tp t="e">
        <v>#N/A</v>
        <stp/>
        <stp>BDH|4922696573598570559</stp>
        <tr r="Y73" s="17"/>
        <tr r="W9" s="5"/>
        <tr r="W9" s="9"/>
      </tp>
      <tp t="e">
        <v>#N/A</v>
        <stp/>
        <stp>BDH|7187565307448510266</stp>
        <tr r="W22" s="17"/>
      </tp>
      <tp t="e">
        <v>#N/A</v>
        <stp/>
        <stp>BDH|4911803522880153691</stp>
        <tr r="R100" s="18"/>
      </tp>
      <tp t="e">
        <v>#N/A</v>
        <stp/>
        <stp>BDH|4490861076290329379</stp>
        <tr r="Z10" s="23"/>
      </tp>
      <tp t="e">
        <v>#N/A</v>
        <stp/>
        <stp>BDH|7414053590955133308</stp>
        <tr r="Z25" s="18"/>
      </tp>
      <tp t="e">
        <v>#N/A</v>
        <stp/>
        <stp>BDH|1587825609499888861</stp>
        <tr r="I17" s="17"/>
        <tr r="I20" s="28"/>
      </tp>
      <tp t="e">
        <v>#N/A</v>
        <stp/>
        <stp>BDH|9998033588950250906</stp>
        <tr r="K35" s="10"/>
        <tr r="K33" s="11"/>
      </tp>
      <tp t="e">
        <v>#N/A</v>
        <stp/>
        <stp>BDH|2466651597150029567</stp>
        <tr r="S18" s="23"/>
      </tp>
      <tp t="e">
        <v>#N/A</v>
        <stp/>
        <stp>BDH|8514157257084374042</stp>
        <tr r="F82" s="18"/>
      </tp>
      <tp t="e">
        <v>#N/A</v>
        <stp/>
        <stp>BDH|7969726137063455886</stp>
        <tr r="W40" s="21"/>
      </tp>
      <tp t="e">
        <v>#N/A</v>
        <stp/>
        <stp>BDH|4810011518875033819</stp>
        <tr r="D42" s="21"/>
      </tp>
      <tp t="e">
        <v>#N/A</v>
        <stp/>
        <stp>BDH|8408044812615700450</stp>
        <tr r="O113" s="18"/>
      </tp>
      <tp t="e">
        <v>#N/A</v>
        <stp/>
        <stp>BDH|2778526701609617624</stp>
        <tr r="V35" s="4"/>
      </tp>
      <tp t="e">
        <v>#N/A</v>
        <stp/>
        <stp>BDH|3791774484886644223</stp>
        <tr r="G30" s="12"/>
      </tp>
      <tp t="e">
        <v>#N/A</v>
        <stp/>
        <stp>BDH|5323830762581724250</stp>
        <tr r="O104" s="18"/>
      </tp>
      <tp t="e">
        <v>#N/A</v>
        <stp/>
        <stp>BDH|8066142354417200324</stp>
        <tr r="Y20" s="17"/>
      </tp>
      <tp t="e">
        <v>#N/A</v>
        <stp/>
        <stp>BDH|4817937218082313603</stp>
        <tr r="Q66" s="18"/>
      </tp>
      <tp t="e">
        <v>#N/A</v>
        <stp/>
        <stp>BDH|4376732508322149994</stp>
        <tr r="K38" s="13"/>
      </tp>
      <tp t="e">
        <v>#N/A</v>
        <stp/>
        <stp>BDH|7281615440328207517</stp>
        <tr r="Z35" s="21"/>
      </tp>
      <tp t="e">
        <v>#N/A</v>
        <stp/>
        <stp>BDH|6472667733378896392</stp>
        <tr r="T58" s="11"/>
      </tp>
      <tp t="e">
        <v>#N/A</v>
        <stp/>
        <stp>BDH|1184870310295243546</stp>
        <tr r="X32" s="17"/>
      </tp>
      <tp t="e">
        <v>#N/A</v>
        <stp/>
        <stp>BDH|8323070706118095821</stp>
        <tr r="R19" s="22"/>
      </tp>
      <tp t="e">
        <v>#N/A</v>
        <stp/>
        <stp>BDH|3091892571197947315</stp>
        <tr r="O43" s="21"/>
      </tp>
      <tp t="e">
        <v>#N/A</v>
        <stp/>
        <stp>BDH|5108775431401726808</stp>
        <tr r="P75" s="17"/>
      </tp>
      <tp t="e">
        <v>#N/A</v>
        <stp/>
        <stp>BDH|6009878466738963884</stp>
        <tr r="V48" s="12"/>
      </tp>
      <tp t="e">
        <v>#N/A</v>
        <stp/>
        <stp>BDH|6598079604077651909</stp>
        <tr r="Q8" s="2"/>
      </tp>
      <tp t="e">
        <v>#N/A</v>
        <stp/>
        <stp>BDH|8267505501892548760</stp>
        <tr r="M15" s="20"/>
      </tp>
      <tp t="e">
        <v>#N/A</v>
        <stp/>
        <stp>BDH|1910217525931808850</stp>
        <tr r="Z19" s="25"/>
        <tr r="Z12" s="27"/>
      </tp>
      <tp t="e">
        <v>#N/A</v>
        <stp/>
        <stp>BDH|7381272185634400152</stp>
        <tr r="G40" s="34"/>
      </tp>
      <tp t="e">
        <v>#N/A</v>
        <stp/>
        <stp>BDH|8191049089188930043</stp>
        <tr r="N20" s="23"/>
      </tp>
      <tp t="e">
        <v>#N/A</v>
        <stp/>
        <stp>BDH|3519221186403228225</stp>
        <tr r="S71" s="17"/>
      </tp>
      <tp t="e">
        <v>#N/A</v>
        <stp/>
        <stp>BDH|8122703968893130299</stp>
        <tr r="U45" s="24"/>
      </tp>
      <tp t="e">
        <v>#N/A</v>
        <stp/>
        <stp>BDH|2623822312660077373</stp>
        <tr r="R22" s="5"/>
      </tp>
      <tp t="e">
        <v>#N/A</v>
        <stp/>
        <stp>BDH|7924084458062115895</stp>
        <tr r="K30" s="22"/>
      </tp>
      <tp t="e">
        <v>#N/A</v>
        <stp/>
        <stp>BDH|6115575975418263404</stp>
        <tr r="C19" s="26"/>
      </tp>
      <tp t="e">
        <v>#N/A</v>
        <stp/>
        <stp>BDH|9419217745720575744</stp>
        <tr r="T23" s="26"/>
      </tp>
      <tp t="e">
        <v>#N/A</v>
        <stp/>
        <stp>BDH|9212970727538490278</stp>
        <tr r="C31" s="18"/>
      </tp>
      <tp t="e">
        <v>#N/A</v>
        <stp/>
        <stp>BDH|9229402375686744417</stp>
        <tr r="K23" s="17"/>
      </tp>
      <tp t="e">
        <v>#N/A</v>
        <stp/>
        <stp>BDH|7183663051208788404</stp>
        <tr r="C38" s="17"/>
      </tp>
      <tp t="e">
        <v>#N/A</v>
        <stp/>
        <stp>BDH|5033073705369777440</stp>
        <tr r="H18" s="20"/>
      </tp>
      <tp t="e">
        <v>#N/A</v>
        <stp/>
        <stp>BDH|3861793510165912893</stp>
        <tr r="Q21" s="10"/>
      </tp>
      <tp t="e">
        <v>#N/A</v>
        <stp/>
        <stp>BDH|5719144450248515170</stp>
        <tr r="J18" s="26"/>
      </tp>
      <tp t="e">
        <v>#N/A</v>
        <stp/>
        <stp>BDH|8861290593229458278</stp>
        <tr r="H17" s="21"/>
      </tp>
      <tp t="e">
        <v>#N/A</v>
        <stp/>
        <stp>BDH|2560224406081725979</stp>
        <tr r="E29" s="29"/>
        <tr r="E7" s="29"/>
      </tp>
      <tp t="e">
        <v>#N/A</v>
        <stp/>
        <stp>BDH|2226322584147596603</stp>
        <tr r="F34" s="22"/>
      </tp>
      <tp t="e">
        <v>#N/A</v>
        <stp/>
        <stp>BDH|7266684557594459889</stp>
        <tr r="O14" s="13"/>
      </tp>
      <tp t="e">
        <v>#N/A</v>
        <stp/>
        <stp>BDH|8018399951985186382</stp>
        <tr r="O17" s="18"/>
      </tp>
      <tp t="e">
        <v>#N/A</v>
        <stp/>
        <stp>BDH|5335491369928365717</stp>
        <tr r="X63" s="21"/>
        <tr r="V23" s="7"/>
      </tp>
      <tp t="e">
        <v>#N/A</v>
        <stp/>
        <stp>BDH|5201003465222384955</stp>
        <tr r="V32" s="24"/>
      </tp>
      <tp t="e">
        <v>#N/A</v>
        <stp/>
        <stp>BDH|2352809042786447043</stp>
        <tr r="R26" s="6"/>
      </tp>
      <tp t="e">
        <v>#N/A</v>
        <stp/>
        <stp>BDH|5698073625617385868</stp>
        <tr r="X14" s="18"/>
      </tp>
      <tp t="e">
        <v>#N/A</v>
        <stp/>
        <stp>BDH|8312662311656551171</stp>
        <tr r="V30" s="12"/>
      </tp>
      <tp t="e">
        <v>#N/A</v>
        <stp/>
        <stp>BDH|1787872137675996784</stp>
        <tr r="V9" s="26"/>
      </tp>
      <tp t="e">
        <v>#N/A</v>
        <stp/>
        <stp>BDH|1476290433451047986</stp>
        <tr r="R62" s="12"/>
      </tp>
      <tp t="e">
        <v>#N/A</v>
        <stp/>
        <stp>BDH|3581165443228565639</stp>
        <tr r="X26" s="17"/>
      </tp>
      <tp t="e">
        <v>#N/A</v>
        <stp/>
        <stp>BDH|2854323352608919472</stp>
        <tr r="L35" s="12"/>
      </tp>
      <tp t="e">
        <v>#N/A</v>
        <stp/>
        <stp>BDH|2247894952781803672</stp>
        <tr r="O90" s="18"/>
      </tp>
      <tp t="e">
        <v>#N/A</v>
        <stp/>
        <stp>BDH|6376058344038098243</stp>
        <tr r="L82" s="18"/>
      </tp>
      <tp t="e">
        <v>#N/A</v>
        <stp/>
        <stp>BDH|7359740434142337960</stp>
        <tr r="U24" s="25"/>
        <tr r="S14" s="5"/>
        <tr r="U17" s="27"/>
      </tp>
      <tp t="e">
        <v>#N/A</v>
        <stp/>
        <stp>BDH|4475366592692406420</stp>
        <tr r="M46" s="4"/>
        <tr r="M25" s="10"/>
        <tr r="O27" s="13"/>
      </tp>
      <tp t="e">
        <v>#N/A</v>
        <stp/>
        <stp>BDH|2478572218347836952</stp>
        <tr r="O15" s="12"/>
      </tp>
      <tp t="e">
        <v>#N/A</v>
        <stp/>
        <stp>BDH|8368741763075620442</stp>
        <tr r="O17" s="12"/>
      </tp>
      <tp t="e">
        <v>#N/A</v>
        <stp/>
        <stp>BDH|1725309917928630308</stp>
        <tr r="T19" s="28"/>
        <tr r="T16" s="17"/>
      </tp>
      <tp t="e">
        <v>#N/A</v>
        <stp/>
        <stp>BDH|9597577571690560307</stp>
        <tr r="Q12" s="18"/>
      </tp>
      <tp t="e">
        <v>#N/A</v>
        <stp/>
        <stp>BDH|9235777467439685920</stp>
        <tr r="D34" s="6"/>
        <tr r="F9" s="8"/>
      </tp>
      <tp t="e">
        <v>#N/A</v>
        <stp/>
        <stp>BDH|3264760850990745951</stp>
        <tr r="N13" s="22"/>
      </tp>
      <tp t="e">
        <v>#N/A</v>
        <stp/>
        <stp>BDH|7489267976529378317</stp>
        <tr r="I8" s="17"/>
      </tp>
      <tp t="e">
        <v>#N/A</v>
        <stp/>
        <stp>BDH|4352248083544548271</stp>
        <tr r="P73" s="18"/>
      </tp>
      <tp t="e">
        <v>#N/A</v>
        <stp/>
        <stp>BDH|6116592216968954210</stp>
        <tr r="N53" s="18"/>
      </tp>
      <tp t="e">
        <v>#N/A</v>
        <stp/>
        <stp>BDH|4101857321560257618</stp>
        <tr r="E12" s="21"/>
      </tp>
      <tp t="e">
        <v>#N/A</v>
        <stp/>
        <stp>BDH|5852399489725927376</stp>
        <tr r="V25" s="3"/>
      </tp>
      <tp t="e">
        <v>#N/A</v>
        <stp/>
        <stp>BDH|7099015778261987968</stp>
        <tr r="Y52" s="12"/>
      </tp>
      <tp t="e">
        <v>#N/A</v>
        <stp/>
        <stp>BDH|5079417902368748136</stp>
        <tr r="G8" s="21"/>
      </tp>
      <tp t="e">
        <v>#N/A</v>
        <stp/>
        <stp>BDH|1749639792984947280</stp>
        <tr r="O34" s="22"/>
      </tp>
      <tp t="e">
        <v>#N/A</v>
        <stp/>
        <stp>BDH|5062488895940901037</stp>
        <tr r="X73" s="17"/>
        <tr r="V9" s="5"/>
        <tr r="V9" s="9"/>
      </tp>
      <tp t="e">
        <v>#N/A</v>
        <stp/>
        <stp>BDH|4106339773570073868</stp>
        <tr r="U103" s="18"/>
      </tp>
      <tp t="e">
        <v>#N/A</v>
        <stp/>
        <stp>BDH|7421674395405276537</stp>
        <tr r="K12" s="21"/>
      </tp>
      <tp t="e">
        <v>#N/A</v>
        <stp/>
        <stp>BDH|5052800077161237325</stp>
        <tr r="Z16" s="14"/>
      </tp>
      <tp t="e">
        <v>#N/A</v>
        <stp/>
        <stp>BDH|9978868544314471989</stp>
        <tr r="O36" s="18"/>
      </tp>
      <tp t="e">
        <v>#N/A</v>
        <stp/>
        <stp>BDH|2581752129476948978</stp>
        <tr r="H15" s="21"/>
      </tp>
      <tp t="e">
        <v>#N/A</v>
        <stp/>
        <stp>BDH|4653016892574417162</stp>
        <tr r="M67" s="24"/>
      </tp>
      <tp t="e">
        <v>#N/A</v>
        <stp/>
        <stp>BDH|5373840629384913302</stp>
        <tr r="W45" s="4"/>
        <tr r="W27" s="10"/>
        <tr r="W25" s="11"/>
        <tr r="Y26" s="13"/>
      </tp>
      <tp t="e">
        <v>#N/A</v>
        <stp/>
        <stp>BDH|6545171445488447342</stp>
        <tr r="M30" s="22"/>
      </tp>
      <tp t="e">
        <v>#N/A</v>
        <stp/>
        <stp>BDH|8229069548200383486</stp>
        <tr r="H50" s="17"/>
        <tr r="H10" s="25"/>
      </tp>
      <tp t="e">
        <v>#N/A</v>
        <stp/>
        <stp>BDH|5614174001158110463</stp>
        <tr r="U54" s="12"/>
      </tp>
      <tp t="e">
        <v>#N/A</v>
        <stp/>
        <stp>BDH|7767183961519107186</stp>
        <tr r="J61" s="18"/>
      </tp>
      <tp t="e">
        <v>#N/A</v>
        <stp/>
        <stp>BDH|9398799653757993477</stp>
        <tr r="U16" s="24"/>
      </tp>
      <tp t="e">
        <v>#N/A</v>
        <stp/>
        <stp>BDH|8363390592078681296</stp>
        <tr r="C9" s="24"/>
      </tp>
      <tp t="e">
        <v>#N/A</v>
        <stp/>
        <stp>BDH|9194331373344062167</stp>
        <tr r="Q20" s="25"/>
        <tr r="Q13" s="27"/>
      </tp>
      <tp t="e">
        <v>#N/A</v>
        <stp/>
        <stp>BDH|7357369088636349293</stp>
        <tr r="W21" s="25"/>
        <tr r="W14" s="27"/>
      </tp>
      <tp t="e">
        <v>#N/A</v>
        <stp/>
        <stp>BDH|3061910052916354176</stp>
        <tr r="O13" s="24"/>
      </tp>
      <tp t="e">
        <v>#N/A</v>
        <stp/>
        <stp>BDH|6659786199805427545</stp>
        <tr r="J20" s="11"/>
      </tp>
      <tp t="e">
        <v>#N/A</v>
        <stp/>
        <stp>BDH|3418155640439669708</stp>
        <tr r="X38" s="24"/>
      </tp>
      <tp t="e">
        <v>#N/A</v>
        <stp/>
        <stp>BDH|8957824733773894871</stp>
        <tr r="N38" s="34"/>
      </tp>
      <tp t="e">
        <v>#N/A</v>
        <stp/>
        <stp>BDH|6889805454304887707</stp>
        <tr r="S40" s="6"/>
      </tp>
      <tp t="e">
        <v>#N/A</v>
        <stp/>
        <stp>BDH|8043715843747401426</stp>
        <tr r="O24" s="25"/>
        <tr r="M14" s="5"/>
        <tr r="O17" s="27"/>
      </tp>
      <tp t="e">
        <v>#N/A</v>
        <stp/>
        <stp>BDH|1041874514742128265</stp>
        <tr r="D21" s="6"/>
      </tp>
      <tp t="e">
        <v>#N/A</v>
        <stp/>
        <stp>BDH|2427763224586525976</stp>
        <tr r="T10" s="13"/>
      </tp>
      <tp t="e">
        <v>#N/A</v>
        <stp/>
        <stp>BDH|8693085248310485464</stp>
        <tr r="X16" s="22"/>
      </tp>
      <tp t="e">
        <v>#N/A</v>
        <stp/>
        <stp>BDH|6875491482123763102</stp>
        <tr r="X30" s="9"/>
      </tp>
      <tp t="e">
        <v>#N/A</v>
        <stp/>
        <stp>BDH|9700947095547001620</stp>
        <tr r="P45" s="24"/>
      </tp>
      <tp t="e">
        <v>#N/A</v>
        <stp/>
        <stp>BDH|3193633570803081968</stp>
        <tr r="U17" s="10"/>
      </tp>
      <tp t="e">
        <v>#N/A</v>
        <stp/>
        <stp>BDH|8836237037378946911</stp>
        <tr r="V12" s="10"/>
      </tp>
      <tp t="e">
        <v>#N/A</v>
        <stp/>
        <stp>BDH|9375995883097463796</stp>
        <tr r="C11" s="28"/>
      </tp>
      <tp t="e">
        <v>#N/A</v>
        <stp/>
        <stp>BDH|8337922234433157902</stp>
        <tr r="N44" s="21"/>
      </tp>
      <tp t="e">
        <v>#N/A</v>
        <stp/>
        <stp>BDH|7249167034139469406</stp>
        <tr r="J54" s="24"/>
      </tp>
      <tp t="e">
        <v>#N/A</v>
        <stp/>
        <stp>BDH|3199800120236207779</stp>
        <tr r="AA75" s="17"/>
      </tp>
      <tp t="e">
        <v>#N/A</v>
        <stp/>
        <stp>BDH|5232227851348354260</stp>
        <tr r="S22" s="18"/>
      </tp>
      <tp t="e">
        <v>#N/A</v>
        <stp/>
        <stp>BDH|7806089875839778163</stp>
        <tr r="C63" s="18"/>
      </tp>
      <tp t="e">
        <v>#N/A</v>
        <stp/>
        <stp>BDH|6596322891695201108</stp>
        <tr r="AA20" s="23"/>
      </tp>
      <tp t="e">
        <v>#N/A</v>
        <stp/>
        <stp>BDH|8187345161307320239</stp>
        <tr r="R20" s="22"/>
      </tp>
      <tp t="e">
        <v>#N/A</v>
        <stp/>
        <stp>BDH|1695918622920953288</stp>
        <tr r="D40" s="29"/>
      </tp>
      <tp t="e">
        <v>#N/A</v>
        <stp/>
        <stp>BDH|6113115954202164815</stp>
        <tr r="Y31" s="18"/>
      </tp>
      <tp t="e">
        <v>#N/A</v>
        <stp/>
        <stp>BDH|5031357721438866482</stp>
        <tr r="D37" s="22"/>
      </tp>
      <tp t="e">
        <v>#N/A</v>
        <stp/>
        <stp>BDH|6740527597584532631</stp>
        <tr r="R27" s="12"/>
      </tp>
      <tp t="e">
        <v>#N/A</v>
        <stp/>
        <stp>BDH|2750801142114489259</stp>
        <tr r="C49" s="17"/>
        <tr r="C17" s="3"/>
      </tp>
      <tp t="e">
        <v>#N/A</v>
        <stp/>
        <stp>BDH|6690114466969749024</stp>
        <tr r="T9" s="28"/>
      </tp>
      <tp t="e">
        <v>#N/A</v>
        <stp/>
        <stp>BDH|5585430367286290974</stp>
        <tr r="Y29" s="17"/>
      </tp>
      <tp t="e">
        <v>#N/A</v>
        <stp/>
        <stp>BDH|8739404165582150071</stp>
        <tr r="C76" s="18"/>
      </tp>
      <tp t="e">
        <v>#N/A</v>
        <stp/>
        <stp>BDH|8230118717686858681</stp>
        <tr r="S69" s="10"/>
        <tr r="S67" s="11"/>
      </tp>
      <tp t="e">
        <v>#N/A</v>
        <stp/>
        <stp>BDH|3051716521336305879</stp>
        <tr r="I119" s="18"/>
      </tp>
      <tp t="e">
        <v>#N/A</v>
        <stp/>
        <stp>BDH|5754120741378286027</stp>
        <tr r="AA15" s="13"/>
      </tp>
      <tp t="e">
        <v>#N/A</v>
        <stp/>
        <stp>BDH|2488985690608131291</stp>
        <tr r="C14" s="14"/>
      </tp>
      <tp t="e">
        <v>#N/A</v>
        <stp/>
        <stp>BDH|2514608763032016820</stp>
        <tr r="N13" s="9"/>
      </tp>
      <tp t="e">
        <v>#N/A</v>
        <stp/>
        <stp>BDH|2674191296230557289</stp>
        <tr r="D63" s="18"/>
      </tp>
      <tp t="e">
        <v>#N/A</v>
        <stp/>
        <stp>BDH|4769194289944388108</stp>
        <tr r="Z12" s="18"/>
      </tp>
      <tp t="e">
        <v>#N/A</v>
        <stp/>
        <stp>BDH|4659759787755703670</stp>
        <tr r="N52" s="17"/>
      </tp>
      <tp t="e">
        <v>#N/A</v>
        <stp/>
        <stp>BDH|1791735120474222827</stp>
        <tr r="U59" s="10"/>
      </tp>
      <tp t="e">
        <v>#N/A</v>
        <stp/>
        <stp>BDH|7180302187166510277</stp>
        <tr r="O25" s="22"/>
      </tp>
      <tp t="e">
        <v>#N/A</v>
        <stp/>
        <stp>BDH|6947686060287085955</stp>
        <tr r="E83" s="17"/>
      </tp>
      <tp t="e">
        <v>#N/A</v>
        <stp/>
        <stp>BDH|4553238890794769351</stp>
        <tr r="I25" s="4"/>
        <tr r="I61" s="10"/>
      </tp>
      <tp t="e">
        <v>#N/A</v>
        <stp/>
        <stp>BDH|9646523098394912919</stp>
        <tr r="C54" s="18"/>
      </tp>
      <tp t="e">
        <v>#N/A</v>
        <stp/>
        <stp>BDH|1785127187333256346</stp>
        <tr r="Q101" s="18"/>
      </tp>
      <tp t="e">
        <v>#N/A</v>
        <stp/>
        <stp>BDH|5849952915980884548</stp>
        <tr r="U65" s="17"/>
        <tr r="S8" s="5"/>
        <tr r="S8" s="9"/>
      </tp>
      <tp t="e">
        <v>#N/A</v>
        <stp/>
        <stp>BDH|6510607881647795777</stp>
        <tr r="Q18" s="6"/>
      </tp>
      <tp t="e">
        <v>#N/A</v>
        <stp/>
        <stp>BDH|2838768660808832331</stp>
        <tr r="P15" s="4"/>
      </tp>
      <tp t="e">
        <v>#N/A</v>
        <stp/>
        <stp>BDH|7474927861350542076</stp>
        <tr r="K40" s="34"/>
      </tp>
      <tp t="e">
        <v>#N/A</v>
        <stp/>
        <stp>BDH|4907343969729918085</stp>
        <tr r="G18" s="2"/>
        <tr r="G53" s="4"/>
        <tr r="G42" s="10"/>
        <tr r="G40" s="11"/>
        <tr r="I34" s="13"/>
      </tp>
      <tp t="e">
        <v>#N/A</v>
        <stp/>
        <stp>BDH|9904223803106464597</stp>
        <tr r="E9" s="6"/>
      </tp>
      <tp t="e">
        <v>#N/A</v>
        <stp/>
        <stp>BDH|8572742610942087446</stp>
        <tr r="Z63" s="18"/>
      </tp>
      <tp t="e">
        <v>#N/A</v>
        <stp/>
        <stp>BDH|3700907934361552033</stp>
        <tr r="AA8" s="23"/>
      </tp>
      <tp t="e">
        <v>#N/A</v>
        <stp/>
        <stp>BDH|5722490487071574090</stp>
        <tr r="E60" s="18"/>
      </tp>
      <tp t="e">
        <v>#N/A</v>
        <stp/>
        <stp>BDH|3136624464918125339</stp>
        <tr r="N11" s="11"/>
      </tp>
      <tp t="e">
        <v>#N/A</v>
        <stp/>
        <stp>BDH|5617197989733478772</stp>
        <tr r="I62" s="21"/>
      </tp>
      <tp t="e">
        <v>#N/A</v>
        <stp/>
        <stp>BDH|7444973436971085400</stp>
        <tr r="E34" s="6"/>
        <tr r="G9" s="8"/>
      </tp>
      <tp t="e">
        <v>#N/A</v>
        <stp/>
        <stp>BDH|8013833151765026871</stp>
        <tr r="D95" s="18"/>
      </tp>
      <tp t="e">
        <v>#N/A</v>
        <stp/>
        <stp>BDH|8336188019810205055</stp>
        <tr r="P58" s="21"/>
        <tr r="P30" s="25"/>
        <tr r="N31" s="4"/>
        <tr r="N56" s="11"/>
      </tp>
      <tp t="e">
        <v>#N/A</v>
        <stp/>
        <stp>BDH|7569904568559120993</stp>
        <tr r="P116" s="18"/>
      </tp>
      <tp t="e">
        <v>#N/A</v>
        <stp/>
        <stp>BDH|3649664291750583416</stp>
        <tr r="Z8" s="18"/>
      </tp>
      <tp t="e">
        <v>#N/A</v>
        <stp/>
        <stp>BDH|9774708475018278950</stp>
        <tr r="I47" s="24"/>
      </tp>
      <tp t="e">
        <v>#N/A</v>
        <stp/>
        <stp>BDH|9636818635809405338</stp>
        <tr r="S42" s="24"/>
      </tp>
      <tp t="e">
        <v>#N/A</v>
        <stp/>
        <stp>BDH|7198284794546110292</stp>
        <tr r="I99" s="18"/>
      </tp>
      <tp t="e">
        <v>#N/A</v>
        <stp/>
        <stp>BDH|9313729666248211801</stp>
        <tr r="Z17" s="20"/>
      </tp>
      <tp t="e">
        <v>#N/A</v>
        <stp/>
        <stp>BDH|1620443312878329461</stp>
        <tr r="H28" s="10"/>
        <tr r="H26" s="11"/>
      </tp>
      <tp t="e">
        <v>#N/A</v>
        <stp/>
        <stp>BDH|5908948088424903896</stp>
        <tr r="H17" s="29"/>
        <tr r="H37" s="29"/>
      </tp>
      <tp t="e">
        <v>#N/A</v>
        <stp/>
        <stp>BDH|8532628406005474301</stp>
        <tr r="V9" s="29"/>
      </tp>
      <tp t="e">
        <v>#N/A</v>
        <stp/>
        <stp>BDH|4868526625413280881</stp>
        <tr r="T6" s="19"/>
        <tr r="T34" s="17"/>
        <tr r="T16" s="3"/>
      </tp>
      <tp t="e">
        <v>#N/A</v>
        <stp/>
        <stp>BDH|1410748254738170305</stp>
        <tr r="N18" s="24"/>
      </tp>
      <tp t="e">
        <v>#N/A</v>
        <stp/>
        <stp>BDH|5932009922049916677</stp>
        <tr r="Q54" s="21"/>
      </tp>
      <tp t="e">
        <v>#N/A</v>
        <stp/>
        <stp>BDH|11261313285459360</stp>
        <tr r="J33" s="10"/>
        <tr r="J31" s="11"/>
        <tr r="L31" s="13"/>
      </tp>
      <tp t="e">
        <v>#N/A</v>
        <stp/>
        <stp>BDH|40155466823277150</stp>
        <tr r="H47" s="12"/>
      </tp>
      <tp t="e">
        <v>#N/A</v>
        <stp/>
        <stp>BDH|56648610140573255</stp>
        <tr r="M9" s="34"/>
      </tp>
      <tp t="e">
        <v>#N/A</v>
        <stp/>
        <stp>BDH|97375735110306537</stp>
        <tr r="O73" s="18"/>
      </tp>
      <tp t="e">
        <v>#N/A</v>
        <stp/>
        <stp>BDH|51091047410202165</stp>
        <tr r="K14" s="23"/>
      </tp>
      <tp t="e">
        <v>#N/A</v>
        <stp/>
        <stp>BDH|8449768348874871682</stp>
        <tr r="E43" s="17"/>
      </tp>
      <tp t="e">
        <v>#N/A</v>
        <stp/>
        <stp>BDH|4802193932666959900</stp>
        <tr r="X10" s="21"/>
      </tp>
      <tp t="e">
        <v>#N/A</v>
        <stp/>
        <stp>BDH|7953887457306964554</stp>
        <tr r="T81" s="18"/>
      </tp>
      <tp t="e">
        <v>#N/A</v>
        <stp/>
        <stp>BDH|6281886186959762613</stp>
        <tr r="Y67" s="12"/>
      </tp>
      <tp t="e">
        <v>#N/A</v>
        <stp/>
        <stp>BDH|7711627702581973946</stp>
        <tr r="N21" s="5"/>
      </tp>
      <tp t="e">
        <v>#N/A</v>
        <stp/>
        <stp>BDH|6746690399184828452</stp>
        <tr r="F7" s="17"/>
      </tp>
      <tp t="e">
        <v>#N/A</v>
        <stp/>
        <stp>BDH|2521802514054900625</stp>
        <tr r="E19" s="34"/>
      </tp>
      <tp t="e">
        <v>#N/A</v>
        <stp/>
        <stp>BDH|9969700041281365216</stp>
        <tr r="E17" s="22"/>
      </tp>
      <tp t="e">
        <v>#N/A</v>
        <stp/>
        <stp>BDH|6653146092770292789</stp>
        <tr r="D19" s="24"/>
      </tp>
      <tp t="e">
        <v>#N/A</v>
        <stp/>
        <stp>BDH|8044469783274883970</stp>
        <tr r="P74" s="17"/>
        <tr r="P19" s="3"/>
      </tp>
      <tp t="e">
        <v>#N/A</v>
        <stp/>
        <stp>BDH|2460710309349105572</stp>
        <tr r="U69" s="10"/>
        <tr r="U67" s="11"/>
      </tp>
      <tp t="e">
        <v>#N/A</v>
        <stp/>
        <stp>BDH|3775607098833295676</stp>
        <tr r="C42" s="17"/>
      </tp>
      <tp t="e">
        <v>#N/A</v>
        <stp/>
        <stp>BDH|1974828790660179909</stp>
        <tr r="I19" s="6"/>
      </tp>
      <tp t="e">
        <v>#N/A</v>
        <stp/>
        <stp>BDH|6061566419482702923</stp>
        <tr r="N62" s="12"/>
      </tp>
      <tp t="e">
        <v>#N/A</v>
        <stp/>
        <stp>BDH|1941609306276213877</stp>
        <tr r="AA38" s="22"/>
      </tp>
      <tp t="e">
        <v>#N/A</v>
        <stp/>
        <stp>BDH|8531129274032106582</stp>
        <tr r="I60" s="10"/>
      </tp>
      <tp t="e">
        <v>#N/A</v>
        <stp/>
        <stp>BDH|7934073273989701002</stp>
        <tr r="H119" s="18"/>
      </tp>
      <tp t="e">
        <v>#N/A</v>
        <stp/>
        <stp>BDH|6473499325971442869</stp>
        <tr r="V13" s="5"/>
      </tp>
      <tp t="e">
        <v>#N/A</v>
        <stp/>
        <stp>BDH|9442567310464944019</stp>
        <tr r="U24" s="24"/>
      </tp>
      <tp t="e">
        <v>#N/A</v>
        <stp/>
        <stp>BDH|1904806187870779833</stp>
        <tr r="J111" s="18"/>
      </tp>
      <tp t="e">
        <v>#N/A</v>
        <stp/>
        <stp>BDH|9741049114198873956</stp>
        <tr r="P12" s="24"/>
      </tp>
      <tp t="e">
        <v>#N/A</v>
        <stp/>
        <stp>BDH|6751708085900190091</stp>
        <tr r="T65" s="10"/>
      </tp>
      <tp t="e">
        <v>#N/A</v>
        <stp/>
        <stp>BDH|9817150483499319078</stp>
        <tr r="T34" s="12"/>
      </tp>
      <tp t="e">
        <v>#N/A</v>
        <stp/>
        <stp>BDH|2610148930698191199</stp>
        <tr r="Q90" s="18"/>
      </tp>
      <tp t="e">
        <v>#N/A</v>
        <stp/>
        <stp>BDH|3196888477976205366</stp>
        <tr r="F14" s="4"/>
      </tp>
      <tp t="e">
        <v>#N/A</v>
        <stp/>
        <stp>BDH|3598675066662974873</stp>
        <tr r="C8" s="23"/>
      </tp>
      <tp t="e">
        <v>#N/A</v>
        <stp/>
        <stp>BDH|8577587556123062206</stp>
        <tr r="X11" s="7"/>
      </tp>
      <tp t="e">
        <v>#N/A</v>
        <stp/>
        <stp>BDH|3002783405395495829</stp>
        <tr r="P24" s="26"/>
        <tr r="N14" s="9"/>
      </tp>
      <tp t="e">
        <v>#N/A</v>
        <stp/>
        <stp>BDH|2845367324902592841</stp>
        <tr r="O58" s="24"/>
      </tp>
      <tp t="e">
        <v>#N/A</v>
        <stp/>
        <stp>BDH|2617896841013158440</stp>
        <tr r="O18" s="5"/>
        <tr r="N31" s="6"/>
      </tp>
      <tp t="e">
        <v>#N/A</v>
        <stp/>
        <stp>BDH|7946797236909587380</stp>
        <tr r="D10" s="34"/>
      </tp>
      <tp t="e">
        <v>#N/A</v>
        <stp/>
        <stp>BDH|4934570640339276572</stp>
        <tr r="V115" s="18"/>
      </tp>
      <tp t="e">
        <v>#N/A</v>
        <stp/>
        <stp>BDH|7838913646921341278</stp>
        <tr r="V113" s="18"/>
      </tp>
      <tp t="e">
        <v>#N/A</v>
        <stp/>
        <stp>BDH|8264776806510145694</stp>
        <tr r="E8" s="22"/>
      </tp>
      <tp t="e">
        <v>#N/A</v>
        <stp/>
        <stp>BDH|3043794426657171855</stp>
        <tr r="U66" s="10"/>
        <tr r="U64" s="11"/>
        <tr r="U20" s="7"/>
      </tp>
      <tp t="e">
        <v>#N/A</v>
        <stp/>
        <stp>BDH|9218368035832921234</stp>
        <tr r="E36" s="12"/>
      </tp>
      <tp t="e">
        <v>#N/A</v>
        <stp/>
        <stp>BDH|3709670308414330800</stp>
        <tr r="I70" s="10"/>
        <tr r="I68" s="11"/>
      </tp>
      <tp t="e">
        <v>#N/A</v>
        <stp/>
        <stp>BDH|4189808958329545971</stp>
        <tr r="K89" s="17"/>
        <tr r="K7" s="27"/>
      </tp>
      <tp t="e">
        <v>#N/A</v>
        <stp/>
        <stp>BDH|9709309339793175341</stp>
        <tr r="F16" s="14"/>
      </tp>
      <tp t="e">
        <v>#N/A</v>
        <stp/>
        <stp>BDH|4801291082981104690</stp>
        <tr r="L16" s="23"/>
      </tp>
      <tp t="e">
        <v>#N/A</v>
        <stp/>
        <stp>BDH|5109626611558137388</stp>
        <tr r="AA11" s="13"/>
      </tp>
      <tp t="e">
        <v>#N/A</v>
        <stp/>
        <stp>BDH|5839289459208464365</stp>
        <tr r="O64" s="18"/>
      </tp>
      <tp t="e">
        <v>#N/A</v>
        <stp/>
        <stp>BDH|5572284846992814881</stp>
        <tr r="O32" s="22"/>
      </tp>
      <tp t="e">
        <v>#N/A</v>
        <stp/>
        <stp>BDH|9530710932814839052</stp>
        <tr r="I21" s="25"/>
        <tr r="I14" s="27"/>
      </tp>
      <tp t="e">
        <v>#N/A</v>
        <stp/>
        <stp>BDH|2452949132311904002</stp>
        <tr r="C73" s="18"/>
      </tp>
      <tp t="e">
        <v>#N/A</v>
        <stp/>
        <stp>BDH|2223484082100127729</stp>
        <tr r="D38" s="34"/>
      </tp>
      <tp t="e">
        <v>#N/A</v>
        <stp/>
        <stp>BDH|1812532145021591806</stp>
        <tr r="G18" s="24"/>
      </tp>
      <tp t="e">
        <v>#N/A</v>
        <stp/>
        <stp>BDH|4949691120339294093</stp>
        <tr r="U49" s="4"/>
      </tp>
      <tp t="e">
        <v>#N/A</v>
        <stp/>
        <stp>BDH|2729549178170645962</stp>
        <tr r="N12" s="21"/>
      </tp>
      <tp t="e">
        <v>#N/A</v>
        <stp/>
        <stp>BDH|4789990637445301210</stp>
        <tr r="L11" s="12"/>
      </tp>
      <tp t="e">
        <v>#N/A</v>
        <stp/>
        <stp>BDH|7116300209095079839</stp>
        <tr r="V108" s="18"/>
      </tp>
      <tp t="e">
        <v>#N/A</v>
        <stp/>
        <stp>BDH|5207433187046847659</stp>
        <tr r="U14" s="12"/>
      </tp>
      <tp t="e">
        <v>#N/A</v>
        <stp/>
        <stp>BDH|5261083591120230516</stp>
        <tr r="J108" s="18"/>
      </tp>
      <tp t="e">
        <v>#N/A</v>
        <stp/>
        <stp>BDH|8138750326424205086</stp>
        <tr r="Y56" s="12"/>
      </tp>
      <tp t="e">
        <v>#N/A</v>
        <stp/>
        <stp>BDH|2867942910253242063</stp>
        <tr r="Y9" s="27"/>
      </tp>
      <tp t="e">
        <v>#N/A</v>
        <stp/>
        <stp>BDH|8807572507462979691</stp>
        <tr r="R16" s="10"/>
      </tp>
      <tp t="e">
        <v>#N/A</v>
        <stp/>
        <stp>BDH|7657903573472801251</stp>
        <tr r="Q35" s="6"/>
        <tr r="S10" s="8"/>
      </tp>
      <tp t="e">
        <v>#N/A</v>
        <stp/>
        <stp>BDH|9060325030109337992</stp>
        <tr r="F85" s="17"/>
      </tp>
      <tp t="e">
        <v>#N/A</v>
        <stp/>
        <stp>BDH|5818616979479157495</stp>
        <tr r="P24" s="10"/>
      </tp>
      <tp t="e">
        <v>#N/A</v>
        <stp/>
        <stp>BDH|2093079669099660405</stp>
        <tr r="J29" s="22"/>
      </tp>
      <tp t="e">
        <v>#N/A</v>
        <stp/>
        <stp>BDH|7464797383476779711</stp>
        <tr r="Z8" s="17"/>
      </tp>
      <tp t="e">
        <v>#N/A</v>
        <stp/>
        <stp>BDH|3173379818299285146</stp>
        <tr r="AA56" s="24"/>
      </tp>
      <tp t="e">
        <v>#N/A</v>
        <stp/>
        <stp>BDH|6447991261266734636</stp>
        <tr r="AA11" s="14"/>
      </tp>
      <tp t="e">
        <v>#N/A</v>
        <stp/>
        <stp>BDH|5025204498055627266</stp>
        <tr r="S64" s="12"/>
      </tp>
      <tp t="e">
        <v>#N/A</v>
        <stp/>
        <stp>BDH|8434372882018932200</stp>
        <tr r="W11" s="14"/>
      </tp>
      <tp t="e">
        <v>#N/A</v>
        <stp/>
        <stp>BDH|1006010139488407346</stp>
        <tr r="D20" s="6"/>
      </tp>
      <tp t="e">
        <v>#N/A</v>
        <stp/>
        <stp>BDH|2236087424170143974</stp>
        <tr r="L14" s="10"/>
      </tp>
      <tp t="e">
        <v>#N/A</v>
        <stp/>
        <stp>BDH|1830023863447220933</stp>
        <tr r="S23" s="17"/>
      </tp>
      <tp t="e">
        <v>#N/A</v>
        <stp/>
        <stp>BDH|6082830628923352600</stp>
        <tr r="V9" s="10"/>
      </tp>
      <tp t="e">
        <v>#N/A</v>
        <stp/>
        <stp>BDH|7370842095376824920</stp>
        <tr r="O29" s="9"/>
      </tp>
      <tp t="e">
        <v>#N/A</v>
        <stp/>
        <stp>BDH|5103468040434818879</stp>
        <tr r="J8" s="21"/>
      </tp>
      <tp t="e">
        <v>#N/A</v>
        <stp/>
        <stp>BDH|3940470966768676060</stp>
        <tr r="J16" s="6"/>
      </tp>
      <tp t="e">
        <v>#N/A</v>
        <stp/>
        <stp>BDH|7776237010438815542</stp>
        <tr r="I18" s="6"/>
      </tp>
      <tp t="e">
        <v>#N/A</v>
        <stp/>
        <stp>BDH|1196079990704643584</stp>
        <tr r="W118" s="18"/>
      </tp>
      <tp t="e">
        <v>#N/A</v>
        <stp/>
        <stp>BDH|1888781489960457752</stp>
        <tr r="T17" s="9"/>
      </tp>
      <tp t="e">
        <v>#N/A</v>
        <stp/>
        <stp>BDH|5906525780670455170</stp>
        <tr r="U16" s="30"/>
      </tp>
      <tp t="e">
        <v>#N/A</v>
        <stp/>
        <stp>BDH|5960095562872235881</stp>
        <tr r="E30" s="34"/>
      </tp>
      <tp t="e">
        <v>#N/A</v>
        <stp/>
        <stp>BDH|8736877484521904059</stp>
        <tr r="K43" s="10"/>
        <tr r="K41" s="11"/>
      </tp>
      <tp t="e">
        <v>#N/A</v>
        <stp/>
        <stp>BDH|6681894503942199554</stp>
        <tr r="R53" s="10"/>
        <tr r="R51" s="11"/>
        <tr r="R18" s="7"/>
        <tr r="T40" s="13"/>
      </tp>
      <tp t="e">
        <v>#N/A</v>
        <stp/>
        <stp>BDH|1019682782613592577</stp>
        <tr r="W30" s="9"/>
      </tp>
      <tp t="e">
        <v>#N/A</v>
        <stp/>
        <stp>BDH|3689467548153812984</stp>
        <tr r="D25" s="12"/>
      </tp>
      <tp t="e">
        <v>#N/A</v>
        <stp/>
        <stp>BDH|9667059345624954071</stp>
        <tr r="C60" s="18"/>
      </tp>
      <tp t="e">
        <v>#N/A</v>
        <stp/>
        <stp>BDH|5530974730706859029</stp>
        <tr r="L20" s="11"/>
      </tp>
      <tp t="e">
        <v>#N/A</v>
        <stp/>
        <stp>BDH|7427203197944868132</stp>
        <tr r="T13" s="17"/>
        <tr r="T16" s="28"/>
      </tp>
      <tp t="e">
        <v>#N/A</v>
        <stp/>
        <stp>BDH|6661015381203884466</stp>
        <tr r="W28" s="17"/>
      </tp>
      <tp t="e">
        <v>#N/A</v>
        <stp/>
        <stp>BDH|4677894402482603738</stp>
        <tr r="R56" s="12"/>
      </tp>
      <tp t="e">
        <v>#N/A</v>
        <stp/>
        <stp>BDH|8877908283180162026</stp>
        <tr r="W64" s="10"/>
      </tp>
      <tp t="e">
        <v>#N/A</v>
        <stp/>
        <stp>BDH|5931645207989552374</stp>
        <tr r="M20" s="29"/>
      </tp>
      <tp t="e">
        <v>#N/A</v>
        <stp/>
        <stp>BDH|3287872027915257597</stp>
        <tr r="S10" s="17"/>
      </tp>
      <tp t="e">
        <v>#N/A</v>
        <stp/>
        <stp>BDH|7072390527188067771</stp>
        <tr r="T21" s="26"/>
      </tp>
      <tp t="e">
        <v>#N/A</v>
        <stp/>
        <stp>BDH|7734277688747608373</stp>
        <tr r="X14" s="14"/>
      </tp>
      <tp t="e">
        <v>#N/A</v>
        <stp/>
        <stp>BDH|1860964570592663411</stp>
        <tr r="O18" s="24"/>
      </tp>
      <tp t="e">
        <v>#N/A</v>
        <stp/>
        <stp>BDH|4814074409108659591</stp>
        <tr r="D27" s="13"/>
      </tp>
      <tp t="e">
        <v>#N/A</v>
        <stp/>
        <stp>BDH|6593898514567109104</stp>
        <tr r="I20" s="12"/>
      </tp>
      <tp t="e">
        <v>#N/A</v>
        <stp/>
        <stp>BDH|1955532214364647813</stp>
        <tr r="X97" s="18"/>
      </tp>
      <tp t="e">
        <v>#N/A</v>
        <stp/>
        <stp>BDH|5005589767919614602</stp>
        <tr r="O39" s="34"/>
      </tp>
      <tp t="e">
        <v>#N/A</v>
        <stp/>
        <stp>BDH|6815037464590447924</stp>
        <tr r="K87" s="18"/>
        <tr r="K7" s="20"/>
      </tp>
      <tp t="e">
        <v>#N/A</v>
        <stp/>
        <stp>BDH|9888659634545465041</stp>
        <tr r="M13" s="21"/>
      </tp>
      <tp t="e">
        <v>#N/A</v>
        <stp/>
        <stp>BDH|1231113742988086582</stp>
        <tr r="D14" s="28"/>
      </tp>
      <tp t="e">
        <v>#N/A</v>
        <stp/>
        <stp>BDH|3011279539792788902</stp>
        <tr r="N65" s="24"/>
      </tp>
      <tp t="e">
        <v>#N/A</v>
        <stp/>
        <stp>BDH|8254243321335617481</stp>
        <tr r="S106" s="18"/>
      </tp>
      <tp t="e">
        <v>#N/A</v>
        <stp/>
        <stp>BDH|2832093990503145194</stp>
        <tr r="F19" s="20"/>
      </tp>
      <tp t="e">
        <v>#N/A</v>
        <stp/>
        <stp>BDH|9764598420921268654</stp>
        <tr r="R50" s="18"/>
      </tp>
      <tp t="e">
        <v>#N/A</v>
        <stp/>
        <stp>BDH|3173695951748538151</stp>
        <tr r="AA66" s="17"/>
      </tp>
      <tp t="e">
        <v>#N/A</v>
        <stp/>
        <stp>BDH|2625027018073710923</stp>
        <tr r="V25" s="12"/>
      </tp>
      <tp t="e">
        <v>#N/A</v>
        <stp/>
        <stp>BDH|1320884905967010778</stp>
        <tr r="G42" s="17"/>
      </tp>
      <tp t="e">
        <v>#N/A</v>
        <stp/>
        <stp>BDH|9829880489974909490</stp>
        <tr r="Z76" s="18"/>
      </tp>
      <tp t="e">
        <v>#N/A</v>
        <stp/>
        <stp>BDH|9563044719490595144</stp>
        <tr r="P9" s="3"/>
        <tr r="N47" s="10"/>
        <tr r="N45" s="11"/>
        <tr r="N14" s="7"/>
      </tp>
      <tp t="e">
        <v>#N/A</v>
        <stp/>
        <stp>BDH|2246714796033838648</stp>
        <tr r="O108" s="18"/>
      </tp>
      <tp t="e">
        <v>#N/A</v>
        <stp/>
        <stp>BDH|8699861008979955089</stp>
        <tr r="I70" s="18"/>
      </tp>
      <tp t="e">
        <v>#N/A</v>
        <stp/>
        <stp>BDH|3087911919347867590</stp>
        <tr r="P7" s="2"/>
        <tr r="P7" s="5"/>
        <tr r="P7" s="9"/>
        <tr r="R14" s="3"/>
      </tp>
      <tp t="e">
        <v>#N/A</v>
        <stp/>
        <stp>BDH|8789435804410810517</stp>
        <tr r="F39" s="24"/>
      </tp>
      <tp t="e">
        <v>#N/A</v>
        <stp/>
        <stp>BDH|4212367908837045955</stp>
        <tr r="T18" s="12"/>
      </tp>
      <tp t="e">
        <v>#N/A</v>
        <stp/>
        <stp>BDH|4423983229853500597</stp>
        <tr r="R111" s="18"/>
      </tp>
      <tp t="e">
        <v>#N/A</v>
        <stp/>
        <stp>BDH|3022544287433286484</stp>
        <tr r="W9" s="17"/>
      </tp>
      <tp t="e">
        <v>#N/A</v>
        <stp/>
        <stp>BDH|7758922863937774687</stp>
        <tr r="G30" s="22"/>
      </tp>
      <tp t="e">
        <v>#N/A</v>
        <stp/>
        <stp>BDH|5054708802659334286</stp>
        <tr r="G27" s="18"/>
      </tp>
      <tp t="e">
        <v>#N/A</v>
        <stp/>
        <stp>BDH|6613607889251808095</stp>
        <tr r="J22" s="27"/>
      </tp>
      <tp t="e">
        <v>#N/A</v>
        <stp/>
        <stp>BDH|4334558390000096183</stp>
        <tr r="D13" s="10"/>
      </tp>
      <tp t="e">
        <v>#N/A</v>
        <stp/>
        <stp>BDH|5264881771385227677</stp>
        <tr r="P24" s="22"/>
      </tp>
      <tp t="e">
        <v>#N/A</v>
        <stp/>
        <stp>BDH|8914008837954385639</stp>
        <tr r="H12" s="3"/>
        <tr r="F51" s="10"/>
        <tr r="F49" s="11"/>
        <tr r="F7" s="7"/>
      </tp>
      <tp t="e">
        <v>#N/A</v>
        <stp/>
        <stp>BDH|9543114079597271113</stp>
        <tr r="C113" s="18"/>
      </tp>
      <tp t="e">
        <v>#N/A</v>
        <stp/>
        <stp>BDH|3691803468622683664</stp>
        <tr r="Y22" s="27"/>
      </tp>
      <tp t="e">
        <v>#N/A</v>
        <stp/>
        <stp>BDH|7695309326727956872</stp>
        <tr r="O22" s="18"/>
      </tp>
      <tp t="e">
        <v>#N/A</v>
        <stp/>
        <stp>BDH|8665615668691917084</stp>
        <tr r="R33" s="18"/>
      </tp>
      <tp t="e">
        <v>#N/A</v>
        <stp/>
        <stp>BDH|5974509247379189415</stp>
        <tr r="Z23" s="22"/>
      </tp>
      <tp t="e">
        <v>#N/A</v>
        <stp/>
        <stp>BDH|5611680040698848681</stp>
        <tr r="N35" s="4"/>
      </tp>
      <tp t="e">
        <v>#N/A</v>
        <stp/>
        <stp>BDH|9820458994615274859</stp>
        <tr r="S36" s="18"/>
      </tp>
      <tp t="e">
        <v>#N/A</v>
        <stp/>
        <stp>BDH|9981033005499391924</stp>
        <tr r="AA53" s="17"/>
      </tp>
      <tp t="e">
        <v>#N/A</v>
        <stp/>
        <stp>BDH|5751935656499455983</stp>
        <tr r="O17" s="22"/>
      </tp>
      <tp t="e">
        <v>#N/A</v>
        <stp/>
        <stp>BDH|3828027483397430530</stp>
        <tr r="T11" s="17"/>
      </tp>
      <tp t="e">
        <v>#N/A</v>
        <stp/>
        <stp>BDH|7941052492116078105</stp>
        <tr r="M24" s="22"/>
      </tp>
      <tp t="e">
        <v>#N/A</v>
        <stp/>
        <stp>BDH|2170922823493970372</stp>
        <tr r="W58" s="24"/>
      </tp>
      <tp t="e">
        <v>#N/A</v>
        <stp/>
        <stp>BDH|9534006967477556193</stp>
        <tr r="I23" s="24"/>
      </tp>
      <tp t="e">
        <v>#N/A</v>
        <stp/>
        <stp>BDH|4834957971522565171</stp>
        <tr r="N16" s="12"/>
      </tp>
      <tp t="e">
        <v>#N/A</v>
        <stp/>
        <stp>BDH|8621125845822807676</stp>
        <tr r="AA17" s="18"/>
      </tp>
      <tp t="e">
        <v>#N/A</v>
        <stp/>
        <stp>BDH|9007886814548491163</stp>
        <tr r="S14" s="18"/>
      </tp>
      <tp t="e">
        <v>#N/A</v>
        <stp/>
        <stp>BDH|7460271004488119489</stp>
        <tr r="C65" s="24"/>
      </tp>
      <tp t="e">
        <v>#N/A</v>
        <stp/>
        <stp>BDH|6065941496259587691</stp>
        <tr r="Z9" s="27"/>
      </tp>
      <tp t="e">
        <v>#N/A</v>
        <stp/>
        <stp>BDH|5305973940066984737</stp>
        <tr r="S11" s="18"/>
      </tp>
      <tp t="e">
        <v>#N/A</v>
        <stp/>
        <stp>BDH|1841113891645644509</stp>
        <tr r="G25" s="12"/>
      </tp>
      <tp t="e">
        <v>#N/A</v>
        <stp/>
        <stp>BDH|5129466873429875629</stp>
        <tr r="G13" s="10"/>
      </tp>
      <tp t="e">
        <v>#N/A</v>
        <stp/>
        <stp>BDH|9531116153300843403</stp>
        <tr r="P43" s="34"/>
      </tp>
      <tp t="e">
        <v>#N/A</v>
        <stp/>
        <stp>BDH|7383216682936922265</stp>
        <tr r="K43" s="24"/>
      </tp>
      <tp t="e">
        <v>#N/A</v>
        <stp/>
        <stp>BDH|7629151483844786383</stp>
        <tr r="G26" s="21"/>
      </tp>
      <tp t="e">
        <v>#N/A</v>
        <stp/>
        <stp>BDH|6950546317283472815</stp>
        <tr r="J46" s="18"/>
      </tp>
      <tp t="e">
        <v>#N/A</v>
        <stp/>
        <stp>BDH|6937051316928403619</stp>
        <tr r="O14" s="30"/>
      </tp>
      <tp t="e">
        <v>#N/A</v>
        <stp/>
        <stp>BDH|3569914023661069087</stp>
        <tr r="G69" s="17"/>
      </tp>
      <tp t="e">
        <v>#N/A</v>
        <stp/>
        <stp>BDH|9488548702506451394</stp>
        <tr r="W10" s="12"/>
      </tp>
      <tp t="e">
        <v>#N/A</v>
        <stp/>
        <stp>BDH|2188942325259956969</stp>
        <tr r="R8" s="22"/>
      </tp>
      <tp t="e">
        <v>#N/A</v>
        <stp/>
        <stp>BDH|3441660000024869856</stp>
        <tr r="P67" s="12"/>
      </tp>
      <tp t="e">
        <v>#N/A</v>
        <stp/>
        <stp>BDH|5746333397761802747</stp>
        <tr r="S33" s="18"/>
      </tp>
      <tp t="e">
        <v>#N/A</v>
        <stp/>
        <stp>BDH|8043868742058899532</stp>
        <tr r="P71" s="18"/>
      </tp>
      <tp t="e">
        <v>#N/A</v>
        <stp/>
        <stp>BDH|3810417695257165024</stp>
        <tr r="S14" s="20"/>
      </tp>
      <tp t="e">
        <v>#N/A</v>
        <stp/>
        <stp>BDH|3953455156829592207</stp>
        <tr r="H92" s="18"/>
      </tp>
      <tp t="e">
        <v>#N/A</v>
        <stp/>
        <stp>BDH|8820121972422122563</stp>
        <tr r="I7" s="24"/>
      </tp>
      <tp t="e">
        <v>#N/A</v>
        <stp/>
        <stp>BDH|8378375312212061190</stp>
        <tr r="I60" s="21"/>
      </tp>
      <tp t="e">
        <v>#N/A</v>
        <stp/>
        <stp>BDH|7998081886714174291</stp>
        <tr r="L25" s="21"/>
      </tp>
      <tp t="e">
        <v>#N/A</v>
        <stp/>
        <stp>BDH|3211093989116599483</stp>
        <tr r="T44" s="17"/>
      </tp>
      <tp t="e">
        <v>#N/A</v>
        <stp/>
        <stp>BDH|3261099891033728024</stp>
        <tr r="P7" s="8"/>
      </tp>
      <tp t="e">
        <v>#N/A</v>
        <stp/>
        <stp>BDH|1373489483984089077</stp>
        <tr r="N27" s="7"/>
      </tp>
      <tp t="e">
        <v>#N/A</v>
        <stp/>
        <stp>BDH|5492095325869751709</stp>
        <tr r="J8" s="14"/>
      </tp>
      <tp t="e">
        <v>#N/A</v>
        <stp/>
        <stp>BDH|9666927174996998869</stp>
        <tr r="R20" s="27"/>
      </tp>
      <tp t="e">
        <v>#N/A</v>
        <stp/>
        <stp>BDH|4432829558250405050</stp>
        <tr r="Y6" s="15"/>
        <tr r="Y12" s="2"/>
        <tr r="Y11" s="4"/>
        <tr r="Y6" s="10"/>
      </tp>
      <tp t="e">
        <v>#N/A</v>
        <stp/>
        <stp>BDH|5468694390811678245</stp>
        <tr r="J8" s="23"/>
      </tp>
      <tp t="e">
        <v>#N/A</v>
        <stp/>
        <stp>BDH|8827525812824332144</stp>
        <tr r="Z47" s="24"/>
      </tp>
      <tp t="e">
        <v>#N/A</v>
        <stp/>
        <stp>BDH|3294914715392901006</stp>
        <tr r="I30" s="17"/>
      </tp>
      <tp t="e">
        <v>#N/A</v>
        <stp/>
        <stp>BDH|4341008122929649689</stp>
        <tr r="P39" s="18"/>
      </tp>
      <tp t="e">
        <v>#N/A</v>
        <stp/>
        <stp>BDH|7078772855364889855</stp>
        <tr r="V128" s="18"/>
      </tp>
      <tp t="e">
        <v>#N/A</v>
        <stp/>
        <stp>BDH|6891863421316261325</stp>
        <tr r="M25" s="17"/>
      </tp>
      <tp t="e">
        <v>#N/A</v>
        <stp/>
        <stp>BDH|9084332947652371581</stp>
        <tr r="O88" s="17"/>
      </tp>
      <tp t="e">
        <v>#N/A</v>
        <stp/>
        <stp>BDH|7772737589568491961</stp>
        <tr r="Y65" s="12"/>
      </tp>
      <tp t="e">
        <v>#N/A</v>
        <stp/>
        <stp>BDH|2384790806725748944</stp>
        <tr r="H21" s="2"/>
      </tp>
      <tp t="e">
        <v>#N/A</v>
        <stp/>
        <stp>BDH|6424274569862306960</stp>
        <tr r="L7" s="34"/>
      </tp>
      <tp t="e">
        <v>#N/A</v>
        <stp/>
        <stp>BDH|2319093317262624873</stp>
        <tr r="S31" s="25"/>
      </tp>
      <tp t="e">
        <v>#N/A</v>
        <stp/>
        <stp>BDH|8083133416952006392</stp>
        <tr r="V10" s="4"/>
        <tr r="U6" s="16"/>
        <tr r="X6" s="3"/>
        <tr r="V6" s="11"/>
      </tp>
      <tp t="e">
        <v>#N/A</v>
        <stp/>
        <stp>BDH|3379356826343573895</stp>
        <tr r="Y20" s="23"/>
      </tp>
      <tp t="e">
        <v>#N/A</v>
        <stp/>
        <stp>BDH|2831323698695624484</stp>
        <tr r="S33" s="6"/>
        <tr r="U6" s="8"/>
      </tp>
      <tp t="e">
        <v>#N/A</v>
        <stp/>
        <stp>BDH|5503598632032581873</stp>
        <tr r="X38" s="18"/>
      </tp>
      <tp t="e">
        <v>#N/A</v>
        <stp/>
        <stp>BDH|7908607741189747531</stp>
        <tr r="N111" s="18"/>
      </tp>
      <tp t="e">
        <v>#N/A</v>
        <stp/>
        <stp>BDH|9876616777061468064</stp>
        <tr r="V39" s="24"/>
      </tp>
      <tp t="e">
        <v>#N/A</v>
        <stp/>
        <stp>BDH|6539227892107148382</stp>
        <tr r="K53" s="10"/>
        <tr r="K51" s="11"/>
        <tr r="K18" s="7"/>
        <tr r="M40" s="13"/>
      </tp>
      <tp t="e">
        <v>#N/A</v>
        <stp/>
        <stp>BDH|1266808273684586383</stp>
        <tr r="G31" s="34"/>
      </tp>
      <tp t="e">
        <v>#N/A</v>
        <stp/>
        <stp>BDH|6490144083261887775</stp>
        <tr r="W69" s="17"/>
      </tp>
      <tp t="e">
        <v>#N/A</v>
        <stp/>
        <stp>BDH|3263985257365734366</stp>
        <tr r="AA43" s="17"/>
      </tp>
      <tp t="e">
        <v>#N/A</v>
        <stp/>
        <stp>BDH|7854894684216157882</stp>
        <tr r="P30" s="10"/>
        <tr r="P28" s="11"/>
      </tp>
      <tp t="e">
        <v>#N/A</v>
        <stp/>
        <stp>BDH|9081828177637189889</stp>
        <tr r="W51" s="17"/>
      </tp>
      <tp t="e">
        <v>#N/A</v>
        <stp/>
        <stp>BDH|3052732723287963855</stp>
        <tr r="Y34" s="10"/>
        <tr r="Y32" s="11"/>
        <tr r="AA32" s="13"/>
      </tp>
      <tp t="e">
        <v>#N/A</v>
        <stp/>
        <stp>BDH|7254206468252280840</stp>
        <tr r="U9" s="26"/>
      </tp>
      <tp t="e">
        <v>#N/A</v>
        <stp/>
        <stp>BDH|2022882335810162007</stp>
        <tr r="I20" s="11"/>
      </tp>
      <tp t="e">
        <v>#N/A</v>
        <stp/>
        <stp>BDH|9805621126911629563</stp>
        <tr r="K49" s="24"/>
      </tp>
      <tp t="e">
        <v>#N/A</v>
        <stp/>
        <stp>BDH|2039932167962920613</stp>
        <tr r="I9" s="18"/>
      </tp>
      <tp t="e">
        <v>#N/A</v>
        <stp/>
        <stp>BDH|3693998563967609261</stp>
        <tr r="F63" s="11"/>
      </tp>
      <tp t="e">
        <v>#N/A</v>
        <stp/>
        <stp>BDH|9093828559288534529</stp>
        <tr r="N31" s="34"/>
      </tp>
      <tp t="e">
        <v>#N/A</v>
        <stp/>
        <stp>BDH|6407921728461058528</stp>
        <tr r="O28" s="17"/>
      </tp>
      <tp t="e">
        <v>#N/A</v>
        <stp/>
        <stp>BDH|4877805957073614358</stp>
        <tr r="V51" s="12"/>
      </tp>
      <tp t="e">
        <v>#N/A</v>
        <stp/>
        <stp>BDH|7315824030101568489</stp>
        <tr r="Z16" s="17"/>
        <tr r="Z19" s="28"/>
      </tp>
      <tp t="e">
        <v>#N/A</v>
        <stp/>
        <stp>BDH|6174143299346158118</stp>
        <tr r="U25" s="17"/>
      </tp>
      <tp t="e">
        <v>#N/A</v>
        <stp/>
        <stp>BDH|7554159293460823677</stp>
        <tr r="U37" s="10"/>
        <tr r="U35" s="11"/>
      </tp>
      <tp t="e">
        <v>#N/A</v>
        <stp/>
        <stp>BDH|8682250021557768696</stp>
        <tr r="E91" s="17"/>
      </tp>
      <tp t="e">
        <v>#N/A</v>
        <stp/>
        <stp>BDH|3517507871838872006</stp>
        <tr r="O12" s="20"/>
      </tp>
      <tp t="e">
        <v>#N/A</v>
        <stp/>
        <stp>BDH|7965736405608686150</stp>
        <tr r="Q10" s="6"/>
      </tp>
      <tp t="e">
        <v>#N/A</v>
        <stp/>
        <stp>BDH|1650278883061817362</stp>
        <tr r="M12" s="3"/>
        <tr r="K51" s="10"/>
        <tr r="K49" s="11"/>
        <tr r="K7" s="7"/>
      </tp>
      <tp t="e">
        <v>#N/A</v>
        <stp/>
        <stp>BDH|6559488822629782052</stp>
        <tr r="Z75" s="17"/>
      </tp>
      <tp t="e">
        <v>#N/A</v>
        <stp/>
        <stp>BDH|7486449124689066190</stp>
        <tr r="Y26" s="18"/>
      </tp>
      <tp t="e">
        <v>#N/A</v>
        <stp/>
        <stp>BDH|1510896767505716313</stp>
        <tr r="M63" s="18"/>
      </tp>
      <tp t="e">
        <v>#N/A</v>
        <stp/>
        <stp>BDH|6467535086201412383</stp>
        <tr r="N38" s="10"/>
        <tr r="N36" s="11"/>
      </tp>
      <tp t="e">
        <v>#N/A</v>
        <stp/>
        <stp>BDH|6823272273659552340</stp>
        <tr r="P48" s="18"/>
      </tp>
      <tp t="e">
        <v>#N/A</v>
        <stp/>
        <stp>BDH|2732042684297942434</stp>
        <tr r="D9" s="24"/>
      </tp>
      <tp t="e">
        <v>#N/A</v>
        <stp/>
        <stp>BDH|7314575741536018983</stp>
        <tr r="T19" s="17"/>
      </tp>
      <tp t="e">
        <v>#N/A</v>
        <stp/>
        <stp>BDH|5890863434694196366</stp>
        <tr r="Q23" s="24"/>
      </tp>
      <tp t="e">
        <v>#N/A</v>
        <stp/>
        <stp>BDH|5938745186053748010</stp>
        <tr r="Y17" s="12"/>
      </tp>
      <tp t="e">
        <v>#N/A</v>
        <stp/>
        <stp>BDH|3797754695127281381</stp>
        <tr r="F88" s="17"/>
      </tp>
      <tp t="e">
        <v>#N/A</v>
        <stp/>
        <stp>BDH|1707222999014410756</stp>
        <tr r="C21" s="2"/>
      </tp>
      <tp t="e">
        <v>#N/A</v>
        <stp/>
        <stp>BDH|5738854960741960362</stp>
        <tr r="U58" s="18"/>
      </tp>
      <tp t="e">
        <v>#N/A</v>
        <stp/>
        <stp>BDH|3272880616366913581</stp>
        <tr r="V67" s="10"/>
        <tr r="V65" s="11"/>
      </tp>
      <tp t="e">
        <v>#N/A</v>
        <stp/>
        <stp>BDH|1049883201797775731</stp>
        <tr r="N30" s="24"/>
      </tp>
      <tp t="e">
        <v>#N/A</v>
        <stp/>
        <stp>BDH|8755493006427136248</stp>
        <tr r="V60" s="17"/>
      </tp>
      <tp t="e">
        <v>#N/A</v>
        <stp/>
        <stp>BDH|8820630407196520148</stp>
        <tr r="V33" s="17"/>
      </tp>
      <tp t="e">
        <v>#N/A</v>
        <stp/>
        <stp>BDH|6250629699085001544</stp>
        <tr r="G20" s="12"/>
      </tp>
      <tp t="e">
        <v>#N/A</v>
        <stp/>
        <stp>BDH|7552888638560055586</stp>
        <tr r="H14" s="2"/>
        <tr r="H11" s="10"/>
      </tp>
      <tp t="e">
        <v>#N/A</v>
        <stp/>
        <stp>BDH|4043168072783946804</stp>
        <tr r="R11" s="11"/>
      </tp>
      <tp t="e">
        <v>#N/A</v>
        <stp/>
        <stp>BDH|5340489990919386857</stp>
        <tr r="AA52" s="18"/>
      </tp>
      <tp t="e">
        <v>#N/A</v>
        <stp/>
        <stp>BDH|4243720380741492390</stp>
        <tr r="C19" s="9"/>
      </tp>
      <tp t="e">
        <v>#N/A</v>
        <stp/>
        <stp>BDH|7448349193755868161</stp>
        <tr r="Q60" s="17"/>
      </tp>
      <tp t="e">
        <v>#N/A</v>
        <stp/>
        <stp>BDH|8196802151398509485</stp>
        <tr r="AA29" s="17"/>
      </tp>
      <tp t="e">
        <v>#N/A</v>
        <stp/>
        <stp>BDH|7871732085898217910</stp>
        <tr r="AA50" s="12"/>
      </tp>
      <tp t="e">
        <v>#N/A</v>
        <stp/>
        <stp>BDH|9132222800952962070</stp>
        <tr r="R9" s="3"/>
        <tr r="P47" s="10"/>
        <tr r="P45" s="11"/>
        <tr r="P14" s="7"/>
      </tp>
      <tp t="e">
        <v>#N/A</v>
        <stp/>
        <stp>BDH|3856315170527950921</stp>
        <tr r="L38" s="13"/>
      </tp>
      <tp t="e">
        <v>#N/A</v>
        <stp/>
        <stp>BDH|6720325974642263914</stp>
        <tr r="N47" s="17"/>
      </tp>
      <tp t="e">
        <v>#N/A</v>
        <stp/>
        <stp>BDH|7420821233093745604</stp>
        <tr r="T56" s="24"/>
      </tp>
      <tp t="e">
        <v>#N/A</v>
        <stp/>
        <stp>BDH|5673071883566517251</stp>
        <tr r="C14" s="22"/>
      </tp>
      <tp t="e">
        <v>#N/A</v>
        <stp/>
        <stp>BDH|8306107730837688474</stp>
        <tr r="AA57" s="17"/>
      </tp>
      <tp t="e">
        <v>#N/A</v>
        <stp/>
        <stp>BDH|9616546398888194494</stp>
        <tr r="T10" s="10"/>
      </tp>
      <tp t="e">
        <v>#N/A</v>
        <stp/>
        <stp>BDH|6273992647353776197</stp>
        <tr r="L36" s="22"/>
      </tp>
      <tp t="e">
        <v>#N/A</v>
        <stp/>
        <stp>BDH|7304137237649165541</stp>
        <tr r="X56" s="18"/>
      </tp>
      <tp t="e">
        <v>#N/A</v>
        <stp/>
        <stp>BDH|1020896444272722682</stp>
        <tr r="G36" s="34"/>
      </tp>
      <tp t="e">
        <v>#N/A</v>
        <stp/>
        <stp>BDH|4275826614647305351</stp>
        <tr r="T14" s="23"/>
      </tp>
      <tp t="e">
        <v>#N/A</v>
        <stp/>
        <stp>BDH|6685074046959353266</stp>
        <tr r="P19" s="10"/>
        <tr r="R16" s="13"/>
        <tr r="R23" s="13"/>
      </tp>
      <tp t="e">
        <v>#N/A</v>
        <stp/>
        <stp>BDH|1891834617280717196</stp>
        <tr r="U57" s="17"/>
      </tp>
      <tp t="e">
        <v>#N/A</v>
        <stp/>
        <stp>BDH|1054559808239915465</stp>
        <tr r="L25" s="24"/>
      </tp>
      <tp t="e">
        <v>#N/A</v>
        <stp/>
        <stp>BDH|3566738566649170232</stp>
        <tr r="O11" s="28"/>
      </tp>
      <tp t="e">
        <v>#N/A</v>
        <stp/>
        <stp>BDH|9677113571131201768</stp>
        <tr r="H26" s="17"/>
      </tp>
      <tp t="e">
        <v>#N/A</v>
        <stp/>
        <stp>BDH|9735151618848828805</stp>
        <tr r="C53" s="10"/>
        <tr r="C51" s="11"/>
        <tr r="C18" s="7"/>
        <tr r="E40" s="13"/>
      </tp>
      <tp t="e">
        <v>#N/A</v>
        <stp/>
        <stp>BDH|3384942152751391748</stp>
        <tr r="R37" s="17"/>
      </tp>
      <tp t="e">
        <v>#N/A</v>
        <stp/>
        <stp>BDH|4696771933239543052</stp>
        <tr r="L17" s="21"/>
      </tp>
      <tp t="e">
        <v>#N/A</v>
        <stp/>
        <stp>BDH|5438372076879649112</stp>
        <tr r="Q16" s="11"/>
      </tp>
      <tp t="e">
        <v>#N/A</v>
        <stp/>
        <stp>BDH|1250859216748321907</stp>
        <tr r="T39" s="10"/>
        <tr r="T37" s="11"/>
      </tp>
      <tp t="e">
        <v>#N/A</v>
        <stp/>
        <stp>BDH|6443834287107686858</stp>
        <tr r="U56" s="24"/>
      </tp>
      <tp t="e">
        <v>#N/A</v>
        <stp/>
        <stp>BDH|1437973219464029497</stp>
        <tr r="H10" s="34"/>
      </tp>
      <tp t="e">
        <v>#N/A</v>
        <stp/>
        <stp>BDH|7130488370234910938</stp>
        <tr r="L69" s="18"/>
      </tp>
      <tp t="e">
        <v>#N/A</v>
        <stp/>
        <stp>BDH|2660927012582763122</stp>
        <tr r="U96" s="18"/>
      </tp>
      <tp t="e">
        <v>#N/A</v>
        <stp/>
        <stp>BDH|4310746004539967397</stp>
        <tr r="W17" s="11"/>
      </tp>
      <tp t="e">
        <v>#N/A</v>
        <stp/>
        <stp>BDH|9141831460768933682</stp>
        <tr r="F39" s="22"/>
      </tp>
      <tp t="e">
        <v>#N/A</v>
        <stp/>
        <stp>BDH|1294898938024127710</stp>
        <tr r="X22" s="12"/>
      </tp>
      <tp t="e">
        <v>#N/A</v>
        <stp/>
        <stp>BDH|6863691621842280915</stp>
        <tr r="F21" s="6"/>
      </tp>
      <tp t="e">
        <v>#N/A</v>
        <stp/>
        <stp>BDH|3565005935238402173</stp>
        <tr r="G38" s="4"/>
        <tr r="G60" s="11"/>
        <tr r="I13" s="23"/>
      </tp>
      <tp t="e">
        <v>#N/A</v>
        <stp/>
        <stp>BDH|6400614953365377962</stp>
        <tr r="U26" s="6"/>
      </tp>
      <tp t="e">
        <v>#N/A</v>
        <stp/>
        <stp>BDH|9737667735286544327</stp>
        <tr r="P9" s="34"/>
      </tp>
      <tp t="e">
        <v>#N/A</v>
        <stp/>
        <stp>BDH|1724193463886995975</stp>
        <tr r="T29" s="18"/>
      </tp>
      <tp t="e">
        <v>#N/A</v>
        <stp/>
        <stp>BDH|8879078539337786521</stp>
        <tr r="F90" s="17"/>
        <tr r="F13" s="28"/>
      </tp>
      <tp t="e">
        <v>#N/A</v>
        <stp/>
        <stp>BDH|5394806455622598305</stp>
        <tr r="Q128" s="18"/>
      </tp>
      <tp t="e">
        <v>#N/A</v>
        <stp/>
        <stp>BDH|3425156316758310276</stp>
        <tr r="N89" s="18"/>
        <tr r="N9" s="20"/>
      </tp>
      <tp t="e">
        <v>#N/A</v>
        <stp/>
        <stp>BDH|8705325740732743410</stp>
        <tr r="F18" s="5"/>
        <tr r="E31" s="6"/>
      </tp>
      <tp t="e">
        <v>#N/A</v>
        <stp/>
        <stp>BDH|3301344464199112612</stp>
        <tr r="G39" s="22"/>
      </tp>
      <tp t="e">
        <v>#N/A</v>
        <stp/>
        <stp>BDH|6837864996247913922</stp>
        <tr r="K14" s="20"/>
      </tp>
      <tp t="e">
        <v>#N/A</v>
        <stp/>
        <stp>BDH|5374558395721192118</stp>
        <tr r="M15" s="24"/>
      </tp>
      <tp t="e">
        <v>#N/A</v>
        <stp/>
        <stp>BDH|6064241270838025275</stp>
        <tr r="V29" s="10"/>
        <tr r="V27" s="11"/>
      </tp>
      <tp t="e">
        <v>#N/A</v>
        <stp/>
        <stp>BDH|2204729587174169055</stp>
        <tr r="V50" s="17"/>
        <tr r="V10" s="25"/>
      </tp>
      <tp t="e">
        <v>#N/A</v>
        <stp/>
        <stp>BDH|2167805102900384338</stp>
        <tr r="I24" s="29"/>
      </tp>
      <tp t="e">
        <v>#N/A</v>
        <stp/>
        <stp>BDH|6313418095422682028</stp>
        <tr r="V65" s="18"/>
      </tp>
      <tp t="e">
        <v>#N/A</v>
        <stp/>
        <stp>BDH|9026687824187687393</stp>
        <tr r="T16" s="22"/>
      </tp>
      <tp t="e">
        <v>#N/A</v>
        <stp/>
        <stp>BDH|3574233185852533250</stp>
        <tr r="L98" s="18"/>
      </tp>
      <tp t="e">
        <v>#N/A</v>
        <stp/>
        <stp>BDH|7772970923912225723</stp>
        <tr r="E15" s="29"/>
        <tr r="E35" s="29"/>
      </tp>
      <tp t="e">
        <v>#N/A</v>
        <stp/>
        <stp>BDH|6229925551993001020</stp>
        <tr r="V34" s="12"/>
      </tp>
      <tp t="e">
        <v>#N/A</v>
        <stp/>
        <stp>BDH|3668600056588183125</stp>
        <tr r="X10" s="26"/>
      </tp>
      <tp t="e">
        <v>#N/A</v>
        <stp/>
        <stp>BDH|5332415996783665226</stp>
        <tr r="F48" s="12"/>
      </tp>
      <tp t="e">
        <v>#N/A</v>
        <stp/>
        <stp>BDH|3553102114798269237</stp>
        <tr r="G19" s="24"/>
      </tp>
      <tp t="e">
        <v>#N/A</v>
        <stp/>
        <stp>BDH|5273156180344562124</stp>
        <tr r="L32" s="12"/>
      </tp>
      <tp t="e">
        <v>#N/A</v>
        <stp/>
        <stp>BDH|2569183368569259575</stp>
        <tr r="O52" s="21"/>
      </tp>
      <tp t="e">
        <v>#N/A</v>
        <stp/>
        <stp>BDH|8761443406647275277</stp>
        <tr r="S88" s="18"/>
        <tr r="S8" s="20"/>
      </tp>
      <tp t="e">
        <v>#N/A</v>
        <stp/>
        <stp>BDH|9059123940083762653</stp>
        <tr r="Z21" s="3"/>
      </tp>
      <tp t="e">
        <v>#N/A</v>
        <stp/>
        <stp>BDH|8446907776049003621</stp>
        <tr r="I54" s="18"/>
      </tp>
      <tp t="e">
        <v>#N/A</v>
        <stp/>
        <stp>BDH|2831851208626261570</stp>
        <tr r="G14" s="18"/>
      </tp>
      <tp t="e">
        <v>#N/A</v>
        <stp/>
        <stp>BDH|9232707305732144563</stp>
        <tr r="I13" s="14"/>
      </tp>
      <tp t="e">
        <v>#N/A</v>
        <stp/>
        <stp>BDH|8736997193648901945</stp>
        <tr r="F18" s="17"/>
      </tp>
      <tp t="e">
        <v>#N/A</v>
        <stp/>
        <stp>BDH|2708651970329335317</stp>
        <tr r="T111" s="18"/>
      </tp>
      <tp t="e">
        <v>#N/A</v>
        <stp/>
        <stp>BDH|7771293868742072862</stp>
        <tr r="X127" s="18"/>
      </tp>
      <tp t="e">
        <v>#N/A</v>
        <stp/>
        <stp>BDH|3349923121307872685</stp>
        <tr r="K8" s="21"/>
      </tp>
      <tp t="e">
        <v>#N/A</v>
        <stp/>
        <stp>BDH|7283842030441337454</stp>
        <tr r="F132" s="18"/>
      </tp>
      <tp t="e">
        <v>#N/A</v>
        <stp/>
        <stp>BDH|7585584981581426282</stp>
        <tr r="H110" s="18"/>
      </tp>
      <tp t="e">
        <v>#N/A</v>
        <stp/>
        <stp>BDH|9287504303056865391</stp>
        <tr r="N34" s="6"/>
        <tr r="P9" s="8"/>
      </tp>
      <tp t="e">
        <v>#N/A</v>
        <stp/>
        <stp>BDH|6034421155656367849</stp>
        <tr r="R17" s="11"/>
      </tp>
      <tp t="e">
        <v>#N/A</v>
        <stp/>
        <stp>BDH|2077804737469693914</stp>
        <tr r="I16" s="17"/>
        <tr r="I19" s="28"/>
      </tp>
      <tp t="e">
        <v>#N/A</v>
        <stp/>
        <stp>BDH|9909915280558022988</stp>
        <tr r="G80" s="17"/>
      </tp>
      <tp t="e">
        <v>#N/A</v>
        <stp/>
        <stp>BDH|8207045001472749308</stp>
        <tr r="Y22" s="5"/>
      </tp>
      <tp t="e">
        <v>#N/A</v>
        <stp/>
        <stp>BDH|4650429464508430746</stp>
        <tr r="K22" s="9"/>
      </tp>
      <tp t="e">
        <v>#N/A</v>
        <stp/>
        <stp>BDH|9013036274053335448</stp>
        <tr r="Y8" s="22"/>
      </tp>
      <tp t="e">
        <v>#N/A</v>
        <stp/>
        <stp>BDH|3578977712804627666</stp>
        <tr r="J18" s="25"/>
        <tr r="J10" s="27"/>
      </tp>
      <tp t="e">
        <v>#N/A</v>
        <stp/>
        <stp>BDH|4382542796633323221</stp>
        <tr r="W78" s="18"/>
      </tp>
      <tp t="e">
        <v>#N/A</v>
        <stp/>
        <stp>BDH|2286454915367513971</stp>
        <tr r="S46" s="4"/>
        <tr r="S25" s="10"/>
        <tr r="U27" s="13"/>
      </tp>
      <tp t="e">
        <v>#N/A</v>
        <stp/>
        <stp>BDH|7775713620939572234</stp>
        <tr r="P32" s="17"/>
      </tp>
      <tp t="e">
        <v>#N/A</v>
        <stp/>
        <stp>BDH|4463211267869479066</stp>
        <tr r="O52" s="24"/>
      </tp>
      <tp t="e">
        <v>#N/A</v>
        <stp/>
        <stp>BDH|9760781664888362998</stp>
        <tr r="J11" s="3"/>
        <tr r="H46" s="10"/>
        <tr r="H44" s="11"/>
        <tr r="H8" s="7"/>
      </tp>
      <tp t="e">
        <v>#N/A</v>
        <stp/>
        <stp>BDH|1748685799635611217</stp>
        <tr r="X49" s="18"/>
      </tp>
      <tp t="e">
        <v>#N/A</v>
        <stp/>
        <stp>BDH|6041568344787388903</stp>
        <tr r="R14" s="4"/>
      </tp>
      <tp t="e">
        <v>#N/A</v>
        <stp/>
        <stp>BDH|4179299529249156419</stp>
        <tr r="I22" s="9"/>
      </tp>
      <tp t="e">
        <v>#N/A</v>
        <stp/>
        <stp>BDH|9945887866467632904</stp>
        <tr r="R70" s="17"/>
      </tp>
      <tp t="e">
        <v>#N/A</v>
        <stp/>
        <stp>BDH|2949389927429183362</stp>
        <tr r="O74" s="18"/>
      </tp>
      <tp t="e">
        <v>#N/A</v>
        <stp/>
        <stp>BDH|6761134056829298210</stp>
        <tr r="D75" s="18"/>
      </tp>
      <tp t="e">
        <v>#N/A</v>
        <stp/>
        <stp>BDH|7588719372018401633</stp>
        <tr r="S20" s="10"/>
      </tp>
      <tp t="e">
        <v>#N/A</v>
        <stp/>
        <stp>BDH|6783963627061076579</stp>
        <tr r="L14" s="17"/>
        <tr r="L17" s="28"/>
      </tp>
      <tp t="e">
        <v>#N/A</v>
        <stp/>
        <stp>BDH|5296073744760816889</stp>
        <tr r="F20" s="6"/>
      </tp>
      <tp t="e">
        <v>#N/A</v>
        <stp/>
        <stp>BDH|1977394979628092488</stp>
        <tr r="S105" s="18"/>
      </tp>
      <tp t="e">
        <v>#N/A</v>
        <stp/>
        <stp>BDH|1701033181214600426</stp>
        <tr r="K13" s="7"/>
      </tp>
      <tp t="e">
        <v>#N/A</v>
        <stp/>
        <stp>BDH|7049221327936334878</stp>
        <tr r="F33" s="22"/>
      </tp>
      <tp t="e">
        <v>#N/A</v>
        <stp/>
        <stp>BDH|7713700810398773013</stp>
        <tr r="N17" s="24"/>
      </tp>
      <tp t="e">
        <v>#N/A</v>
        <stp/>
        <stp>BDH|6209123838405873816</stp>
        <tr r="H30" s="12"/>
      </tp>
      <tp t="e">
        <v>#N/A</v>
        <stp/>
        <stp>BDH|6141878886286899991</stp>
        <tr r="G31" s="25"/>
      </tp>
      <tp t="e">
        <v>#N/A</v>
        <stp/>
        <stp>BDH|7491864805796057066</stp>
        <tr r="K20" s="10"/>
      </tp>
      <tp t="e">
        <v>#N/A</v>
        <stp/>
        <stp>BDH|5575606405882160806</stp>
        <tr r="F9" s="26"/>
      </tp>
      <tp t="e">
        <v>#N/A</v>
        <stp/>
        <stp>BDH|5145318583157572072</stp>
        <tr r="N52" s="24"/>
      </tp>
      <tp t="e">
        <v>#N/A</v>
        <stp/>
        <stp>BDH|4018202502147688852</stp>
        <tr r="W101" s="18"/>
      </tp>
      <tp t="e">
        <v>#N/A</v>
        <stp/>
        <stp>BDH|7996320248138655146</stp>
        <tr r="I10" s="11"/>
      </tp>
      <tp t="e">
        <v>#N/A</v>
        <stp/>
        <stp>BDH|1539365732781688962</stp>
        <tr r="V30" s="29"/>
        <tr r="V8" s="29"/>
      </tp>
      <tp t="e">
        <v>#N/A</v>
        <stp/>
        <stp>BDH|6081343595274813185</stp>
        <tr r="E68" s="10"/>
        <tr r="E66" s="11"/>
      </tp>
      <tp t="e">
        <v>#N/A</v>
        <stp/>
        <stp>BDH|2084447628604971943</stp>
        <tr r="C61" s="11"/>
        <tr r="E15" s="23"/>
      </tp>
      <tp t="e">
        <v>#N/A</v>
        <stp/>
        <stp>BDH|1254313511448678258</stp>
        <tr r="N69" s="10"/>
        <tr r="N67" s="11"/>
      </tp>
      <tp t="e">
        <v>#N/A</v>
        <stp/>
        <stp>BDH|1719979230042376022</stp>
        <tr r="L28" s="12"/>
      </tp>
      <tp t="e">
        <v>#N/A</v>
        <stp/>
        <stp>BDH|2581802407742448174</stp>
        <tr r="R22" s="9"/>
      </tp>
      <tp t="e">
        <v>#N/A</v>
        <stp/>
        <stp>BDH|8829386363031188530</stp>
        <tr r="X18" s="26"/>
      </tp>
      <tp t="e">
        <v>#N/A</v>
        <stp/>
        <stp>BDH|6586925772297073644</stp>
        <tr r="I15" s="13"/>
      </tp>
      <tp t="e">
        <v>#N/A</v>
        <stp/>
        <stp>BDH|8895752140795462785</stp>
        <tr r="G49" s="10"/>
        <tr r="G47" s="11"/>
        <tr r="G16" s="7"/>
      </tp>
      <tp t="e">
        <v>#N/A</v>
        <stp/>
        <stp>BDH|8102455638692842459</stp>
        <tr r="M59" s="18"/>
      </tp>
      <tp t="e">
        <v>#N/A</v>
        <stp/>
        <stp>BDH|1145108097667831788</stp>
        <tr r="W24" s="22"/>
      </tp>
      <tp t="e">
        <v>#N/A</v>
        <stp/>
        <stp>BDH|3263976944433504424</stp>
        <tr r="O20" s="24"/>
      </tp>
      <tp t="e">
        <v>#N/A</v>
        <stp/>
        <stp>BDH|8733880516729829176</stp>
        <tr r="W12" s="24"/>
      </tp>
      <tp t="e">
        <v>#N/A</v>
        <stp/>
        <stp>BDH|7564969035120299427</stp>
        <tr r="P6" s="19"/>
        <tr r="P34" s="17"/>
        <tr r="P16" s="3"/>
      </tp>
      <tp t="e">
        <v>#N/A</v>
        <stp/>
        <stp>BDH|6247466087571641230</stp>
        <tr r="W21" s="22"/>
      </tp>
      <tp t="e">
        <v>#N/A</v>
        <stp/>
        <stp>BDH|5967839789814071852</stp>
        <tr r="M33" s="6"/>
        <tr r="O6" s="8"/>
      </tp>
      <tp t="e">
        <v>#N/A</v>
        <stp/>
        <stp>BDH|7502183367408933156</stp>
        <tr r="J81" s="18"/>
      </tp>
      <tp t="e">
        <v>#N/A</v>
        <stp/>
        <stp>BDH|6201579190746281513</stp>
        <tr r="V11" s="21"/>
      </tp>
      <tp t="e">
        <v>#N/A</v>
        <stp/>
        <stp>BDH|3304594229779064451</stp>
        <tr r="Z35" s="12"/>
      </tp>
      <tp t="e">
        <v>#N/A</v>
        <stp/>
        <stp>BDH|6936093176278126014</stp>
        <tr r="U98" s="18"/>
      </tp>
      <tp t="e">
        <v>#N/A</v>
        <stp/>
        <stp>BDH|1549761443849688201</stp>
        <tr r="U117" s="18"/>
      </tp>
      <tp t="e">
        <v>#N/A</v>
        <stp/>
        <stp>BDH|9877981317881583941</stp>
        <tr r="O44" s="21"/>
      </tp>
      <tp t="e">
        <v>#N/A</v>
        <stp/>
        <stp>BDH|9095404905586674259</stp>
        <tr r="C68" s="18"/>
      </tp>
      <tp t="e">
        <v>#N/A</v>
        <stp/>
        <stp>BDH|4107086218378553426</stp>
        <tr r="S61" s="11"/>
        <tr r="U15" s="23"/>
      </tp>
      <tp t="e">
        <v>#N/A</v>
        <stp/>
        <stp>BDH|6542076090656055047</stp>
        <tr r="M12" s="20"/>
      </tp>
      <tp t="e">
        <v>#N/A</v>
        <stp/>
        <stp>BDH|5231734580061572229</stp>
        <tr r="W46" s="18"/>
      </tp>
      <tp t="e">
        <v>#N/A</v>
        <stp/>
        <stp>BDH|8164694158646158478</stp>
        <tr r="R92" s="18"/>
      </tp>
      <tp t="e">
        <v>#N/A</v>
        <stp/>
        <stp>BDH|9553693464661810169</stp>
        <tr r="O51" s="12"/>
      </tp>
      <tp t="e">
        <v>#N/A</v>
        <stp/>
        <stp>BDH|2224343390309290820</stp>
        <tr r="H132" s="18"/>
      </tp>
      <tp t="e">
        <v>#N/A</v>
        <stp/>
        <stp>BDH|6168496247716095995</stp>
        <tr r="Y20" s="25"/>
        <tr r="Y13" s="27"/>
      </tp>
      <tp t="e">
        <v>#N/A</v>
        <stp/>
        <stp>BDH|4459213184005152268</stp>
        <tr r="G39" s="13"/>
      </tp>
      <tp t="e">
        <v>#N/A</v>
        <stp/>
        <stp>BDH|8094750380627461973</stp>
        <tr r="T30" s="26"/>
      </tp>
      <tp t="e">
        <v>#N/A</v>
        <stp/>
        <stp>BDH|2465006181087389402</stp>
        <tr r="G42" s="4"/>
      </tp>
      <tp t="e">
        <v>#N/A</v>
        <stp/>
        <stp>BDH|8868968559038209533</stp>
        <tr r="P56" s="24"/>
      </tp>
      <tp t="e">
        <v>#N/A</v>
        <stp/>
        <stp>BDH|6748305892983441670</stp>
        <tr r="U61" s="11"/>
        <tr r="W15" s="23"/>
      </tp>
      <tp t="e">
        <v>#N/A</v>
        <stp/>
        <stp>BDH|9679471712811255477</stp>
        <tr r="I40" s="24"/>
      </tp>
      <tp t="e">
        <v>#N/A</v>
        <stp/>
        <stp>BDH|7346702709359890043</stp>
        <tr r="N57" s="17"/>
      </tp>
      <tp t="e">
        <v>#N/A</v>
        <stp/>
        <stp>BDH|8699773962442768227</stp>
        <tr r="C23" s="24"/>
      </tp>
      <tp t="e">
        <v>#N/A</v>
        <stp/>
        <stp>BDH|2872686377042264839</stp>
        <tr r="O62" s="11"/>
        <tr r="Q19" s="23"/>
      </tp>
      <tp t="e">
        <v>#N/A</v>
        <stp/>
        <stp>BDH|6241035890951001776</stp>
        <tr r="F79" s="17"/>
        <tr r="F20" s="3"/>
        <tr r="D6" s="7"/>
      </tp>
      <tp t="e">
        <v>#N/A</v>
        <stp/>
        <stp>BDH|2803224187528865926</stp>
        <tr r="Y24" s="25"/>
        <tr r="W14" s="5"/>
        <tr r="Y17" s="27"/>
      </tp>
      <tp t="e">
        <v>#N/A</v>
        <stp/>
        <stp>BDH|9590045144791795553</stp>
        <tr r="M38" s="13"/>
      </tp>
      <tp t="e">
        <v>#N/A</v>
        <stp/>
        <stp>BDH|2155606697695110105</stp>
        <tr r="H33" s="10"/>
        <tr r="H31" s="11"/>
        <tr r="J31" s="13"/>
      </tp>
      <tp t="e">
        <v>#N/A</v>
        <stp/>
        <stp>BDH|2668030869698862537</stp>
        <tr r="L33" s="13"/>
      </tp>
      <tp t="e">
        <v>#N/A</v>
        <stp/>
        <stp>BDH|2016473073290774847</stp>
        <tr r="I22" s="27"/>
      </tp>
      <tp t="e">
        <v>#N/A</v>
        <stp/>
        <stp>BDH|8528011273101946795</stp>
        <tr r="U24" s="22"/>
      </tp>
      <tp t="e">
        <v>#N/A</v>
        <stp/>
        <stp>BDH|1340264101203298918</stp>
        <tr r="I9" s="22"/>
      </tp>
      <tp t="e">
        <v>#N/A</v>
        <stp/>
        <stp>BDH|5523612234080768904</stp>
        <tr r="C23" s="25"/>
        <tr r="C16" s="27"/>
      </tp>
      <tp t="e">
        <v>#N/A</v>
        <stp/>
        <stp>BDH|3153293639682232941</stp>
        <tr r="W6" s="2"/>
        <tr r="W6" s="5"/>
        <tr r="W6" s="9"/>
        <tr r="X12" s="8"/>
        <tr r="Y10" s="29"/>
        <tr r="Y19" s="29"/>
        <tr r="Y25" s="29"/>
      </tp>
      <tp t="e">
        <v>#N/A</v>
        <stp/>
        <stp>BDH|6800286993282197658</stp>
        <tr r="I13" s="12"/>
      </tp>
      <tp t="e">
        <v>#N/A</v>
        <stp/>
        <stp>BDH|6304641485237314667</stp>
        <tr r="Z15" s="18"/>
      </tp>
      <tp t="e">
        <v>#N/A</v>
        <stp/>
        <stp>BDH|8602119054923221667</stp>
        <tr r="W49" s="12"/>
      </tp>
      <tp t="e">
        <v>#N/A</v>
        <stp/>
        <stp>BDH|9197325899443986945</stp>
        <tr r="R24" s="4"/>
        <tr r="R59" s="11"/>
      </tp>
      <tp t="e">
        <v>#N/A</v>
        <stp/>
        <stp>BDH|5214394822905683881</stp>
        <tr r="W14" s="11"/>
      </tp>
      <tp t="e">
        <v>#N/A</v>
        <stp/>
        <stp>BDH|2454866726215752440</stp>
        <tr r="S11" s="13"/>
      </tp>
      <tp t="e">
        <v>#N/A</v>
        <stp/>
        <stp>BDH|7392798339568241267</stp>
        <tr r="Q9" s="11"/>
      </tp>
      <tp t="e">
        <v>#N/A</v>
        <stp/>
        <stp>BDH|9376060249902303689</stp>
        <tr r="E11" s="21"/>
      </tp>
      <tp t="e">
        <v>#N/A</v>
        <stp/>
        <stp>BDH|5682900296534320848</stp>
        <tr r="R28" s="5"/>
      </tp>
      <tp t="e">
        <v>#N/A</v>
        <stp/>
        <stp>BDH|6978099686647979088</stp>
        <tr r="Q7" s="21"/>
      </tp>
      <tp t="e">
        <v>#N/A</v>
        <stp/>
        <stp>BDH|1432456241941098972</stp>
        <tr r="R31" s="26"/>
      </tp>
      <tp t="e">
        <v>#N/A</v>
        <stp/>
        <stp>BDH|9212851370426255927</stp>
        <tr r="U62" s="17"/>
      </tp>
      <tp t="e">
        <v>#N/A</v>
        <stp/>
        <stp>BDH|7214988489877336874</stp>
        <tr r="R50" s="21"/>
      </tp>
      <tp t="e">
        <v>#N/A</v>
        <stp/>
        <stp>BDH|7534400384653063165</stp>
        <tr r="D40" s="34"/>
      </tp>
      <tp t="e">
        <v>#N/A</v>
        <stp/>
        <stp>BDH|1333812325991977399</stp>
        <tr r="T23" s="11"/>
      </tp>
      <tp t="e">
        <v>#N/A</v>
        <stp/>
        <stp>BDH|7857627109108448001</stp>
        <tr r="R46" s="21"/>
      </tp>
      <tp t="e">
        <v>#N/A</v>
        <stp/>
        <stp>BDH|9352995189428669924</stp>
        <tr r="I72" s="18"/>
      </tp>
      <tp t="e">
        <v>#N/A</v>
        <stp/>
        <stp>BDH|2119633179603562994</stp>
        <tr r="S42" s="18"/>
      </tp>
      <tp t="e">
        <v>#N/A</v>
        <stp/>
        <stp>BDH|5443902396789642533</stp>
        <tr r="G52" s="18"/>
      </tp>
      <tp t="e">
        <v>#N/A</v>
        <stp/>
        <stp>BDH|7797654886328513866</stp>
        <tr r="V71" s="18"/>
      </tp>
      <tp t="e">
        <v>#N/A</v>
        <stp/>
        <stp>BDH|9697808977209035669</stp>
        <tr r="O26" s="24"/>
      </tp>
      <tp t="e">
        <v>#N/A</v>
        <stp/>
        <stp>BDH|5431709420311722843</stp>
        <tr r="J113" s="18"/>
      </tp>
      <tp t="e">
        <v>#N/A</v>
        <stp/>
        <stp>BDH|5925884350954572530</stp>
        <tr r="I11" s="11"/>
      </tp>
      <tp t="e">
        <v>#N/A</v>
        <stp/>
        <stp>BDH|4660093769692535948</stp>
        <tr r="Y116" s="18"/>
      </tp>
      <tp t="e">
        <v>#N/A</v>
        <stp/>
        <stp>BDH|9320671522094527049</stp>
        <tr r="F55" s="17"/>
      </tp>
      <tp t="e">
        <v>#N/A</v>
        <stp/>
        <stp>BDH|4221435166369496646</stp>
        <tr r="H20" s="22"/>
      </tp>
      <tp t="e">
        <v>#N/A</v>
        <stp/>
        <stp>BDH|5290730634231678947</stp>
        <tr r="F15" s="10"/>
      </tp>
      <tp t="e">
        <v>#N/A</v>
        <stp/>
        <stp>BDH|6356289598630745434</stp>
        <tr r="J35" s="12"/>
      </tp>
      <tp t="e">
        <v>#N/A</v>
        <stp/>
        <stp>BDH|1697644267281769954</stp>
        <tr r="K11" s="9"/>
      </tp>
      <tp t="e">
        <v>#N/A</v>
        <stp/>
        <stp>BDH|8436458613655291179</stp>
        <tr r="L58" s="17"/>
      </tp>
      <tp t="e">
        <v>#N/A</v>
        <stp/>
        <stp>BDH|9240707565803571251</stp>
        <tr r="C88" s="18"/>
        <tr r="C8" s="20"/>
      </tp>
      <tp t="e">
        <v>#N/A</v>
        <stp/>
        <stp>BDH|3951755173013192994</stp>
        <tr r="O21" s="4"/>
      </tp>
      <tp t="e">
        <v>#N/A</v>
        <stp/>
        <stp>BDH|8397102629535944746</stp>
        <tr r="S36" s="4"/>
      </tp>
      <tp t="e">
        <v>#N/A</v>
        <stp/>
        <stp>BDH|1157811004268526868</stp>
        <tr r="O61" s="12"/>
      </tp>
      <tp t="e">
        <v>#N/A</v>
        <stp/>
        <stp>BDH|9311839703568569017</stp>
        <tr r="N8" s="10"/>
      </tp>
      <tp t="e">
        <v>#N/A</v>
        <stp/>
        <stp>BDH|9055529799565533995</stp>
        <tr r="P15" s="10"/>
      </tp>
      <tp t="e">
        <v>#N/A</v>
        <stp/>
        <stp>BDH|7116352575523511938</stp>
        <tr r="M54" s="18"/>
      </tp>
      <tp t="e">
        <v>#N/A</v>
        <stp/>
        <stp>BDH|7477047385297751158</stp>
        <tr r="Q46" s="18"/>
      </tp>
      <tp t="e">
        <v>#N/A</v>
        <stp/>
        <stp>BDH|7868681696573355228</stp>
        <tr r="K62" s="11"/>
        <tr r="M19" s="23"/>
      </tp>
      <tp t="e">
        <v>#N/A</v>
        <stp/>
        <stp>BDH|7294574952267073907</stp>
        <tr r="I28" s="5"/>
      </tp>
      <tp t="e">
        <v>#N/A</v>
        <stp/>
        <stp>BDH|4452996422504931224</stp>
        <tr r="P19" s="6"/>
      </tp>
      <tp t="e">
        <v>#N/A</v>
        <stp/>
        <stp>BDH|8367614736506220224</stp>
        <tr r="D91" s="18"/>
      </tp>
      <tp t="e">
        <v>#N/A</v>
        <stp/>
        <stp>BDH|7237946861256337705</stp>
        <tr r="J30" s="34"/>
      </tp>
      <tp t="e">
        <v>#N/A</v>
        <stp/>
        <stp>BDH|2395530094196296120</stp>
        <tr r="X21" s="22"/>
      </tp>
      <tp t="e">
        <v>#N/A</v>
        <stp/>
        <stp>BDH|9647256697479232225</stp>
        <tr r="C56" s="12"/>
      </tp>
      <tp t="e">
        <v>#N/A</v>
        <stp/>
        <stp>BDH|2016831337239959997</stp>
        <tr r="R128" s="18"/>
      </tp>
      <tp t="e">
        <v>#N/A</v>
        <stp/>
        <stp>BDH|9754099514595600489</stp>
        <tr r="K13" s="12"/>
      </tp>
      <tp t="e">
        <v>#N/A</v>
        <stp/>
        <stp>BDH|3038537916559526740</stp>
        <tr r="U63" s="11"/>
      </tp>
      <tp t="e">
        <v>#N/A</v>
        <stp/>
        <stp>BDH|9318555063044741763</stp>
        <tr r="D8" s="27"/>
      </tp>
      <tp t="e">
        <v>#N/A</v>
        <stp/>
        <stp>BDH|7216458010119391203</stp>
        <tr r="H27" s="7"/>
      </tp>
      <tp t="e">
        <v>#N/A</v>
        <stp/>
        <stp>BDH|3024935617552145014</stp>
        <tr r="T74" s="17"/>
        <tr r="T19" s="3"/>
      </tp>
      <tp t="e">
        <v>#N/A</v>
        <stp/>
        <stp>BDH|5335122457110622840</stp>
        <tr r="G48" s="18"/>
      </tp>
      <tp t="e">
        <v>#N/A</v>
        <stp/>
        <stp>BDH|1542961810003449333</stp>
        <tr r="E14" s="6"/>
      </tp>
      <tp t="e">
        <v>#N/A</v>
        <stp/>
        <stp>BDH|7266614122609613331</stp>
        <tr r="AA9" s="23"/>
      </tp>
      <tp t="e">
        <v>#N/A</v>
        <stp/>
        <stp>BDH|5702142486211665472</stp>
        <tr r="D9" s="29"/>
      </tp>
      <tp t="e">
        <v>#N/A</v>
        <stp/>
        <stp>BDH|6511432317352423815</stp>
        <tr r="L78" s="18"/>
      </tp>
      <tp t="e">
        <v>#N/A</v>
        <stp/>
        <stp>BDH|8402193934740432391</stp>
        <tr r="M18" s="34"/>
      </tp>
      <tp t="e">
        <v>#N/A</v>
        <stp/>
        <stp>BDH|9857750739855701174</stp>
        <tr r="U85" s="18"/>
      </tp>
      <tp t="e">
        <v>#N/A</v>
        <stp/>
        <stp>BDH|7756295675088686390</stp>
        <tr r="T44" s="18"/>
      </tp>
      <tp t="e">
        <v>#N/A</v>
        <stp/>
        <stp>BDH|9630422390064732979</stp>
        <tr r="Z69" s="18"/>
      </tp>
      <tp t="e">
        <v>#N/A</v>
        <stp/>
        <stp>BDH|6574639292456793678</stp>
        <tr r="R17" s="17"/>
        <tr r="R20" s="28"/>
      </tp>
      <tp t="e">
        <v>#N/A</v>
        <stp/>
        <stp>BDH|4667860804193052608</stp>
        <tr r="R62" s="18"/>
      </tp>
      <tp t="e">
        <v>#N/A</v>
        <stp/>
        <stp>BDH|4689418582021287032</stp>
        <tr r="O11" s="24"/>
      </tp>
      <tp t="e">
        <v>#N/A</v>
        <stp/>
        <stp>BDH|8211378443854595275</stp>
        <tr r="C8" s="22"/>
      </tp>
      <tp t="e">
        <v>#N/A</v>
        <stp/>
        <stp>BDH|7213745632408842289</stp>
        <tr r="Q36" s="4"/>
      </tp>
      <tp t="e">
        <v>#N/A</v>
        <stp/>
        <stp>BDH|6285131507576775856</stp>
        <tr r="P30" s="34"/>
      </tp>
      <tp t="e">
        <v>#N/A</v>
        <stp/>
        <stp>BDH|7295625593886090770</stp>
        <tr r="Y11" s="13"/>
      </tp>
      <tp t="e">
        <v>#N/A</v>
        <stp/>
        <stp>BDH|4366121499011488482</stp>
        <tr r="D18" s="9"/>
      </tp>
      <tp t="e">
        <v>#N/A</v>
        <stp/>
        <stp>BDH|1735339430340432846</stp>
        <tr r="AA15" s="29"/>
        <tr r="AA35" s="29"/>
      </tp>
      <tp t="e">
        <v>#N/A</v>
        <stp/>
        <stp>BDH|2475087889362560149</stp>
        <tr r="Z40" s="21"/>
      </tp>
      <tp t="e">
        <v>#N/A</v>
        <stp/>
        <stp>BDH|3175418444882889880</stp>
        <tr r="S48" s="18"/>
      </tp>
      <tp t="e">
        <v>#N/A</v>
        <stp/>
        <stp>BDH|2144267287252790337</stp>
        <tr r="S35" s="10"/>
        <tr r="S33" s="11"/>
      </tp>
      <tp t="e">
        <v>#N/A</v>
        <stp/>
        <stp>BDH|3875608609929291571</stp>
        <tr r="R38" s="18"/>
      </tp>
      <tp t="e">
        <v>#N/A</v>
        <stp/>
        <stp>BDH|9378152944031334446</stp>
        <tr r="C67" s="24"/>
      </tp>
      <tp t="e">
        <v>#N/A</v>
        <stp/>
        <stp>BDH|2426089114353915949</stp>
        <tr r="Y11" s="18"/>
      </tp>
      <tp t="e">
        <v>#N/A</v>
        <stp/>
        <stp>BDH|8643547972332014151</stp>
        <tr r="H68" s="18"/>
      </tp>
      <tp t="e">
        <v>#N/A</v>
        <stp/>
        <stp>BDH|7808987787716345914</stp>
        <tr r="Z18" s="30"/>
      </tp>
      <tp t="e">
        <v>#N/A</v>
        <stp/>
        <stp>BDH|6332356722319768763</stp>
        <tr r="I11" s="3"/>
        <tr r="G46" s="10"/>
        <tr r="G44" s="11"/>
        <tr r="G8" s="7"/>
      </tp>
      <tp t="e">
        <v>#N/A</v>
        <stp/>
        <stp>BDH|5107628154918672744</stp>
        <tr r="G27" s="12"/>
      </tp>
      <tp t="e">
        <v>#N/A</v>
        <stp/>
        <stp>BDH|6288783298146397741</stp>
        <tr r="Y68" s="10"/>
        <tr r="Y66" s="11"/>
      </tp>
      <tp t="e">
        <v>#N/A</v>
        <stp/>
        <stp>BDH|3513488741749090392</stp>
        <tr r="Q25" s="12"/>
      </tp>
      <tp t="e">
        <v>#N/A</v>
        <stp/>
        <stp>BDH|4317417621069254246</stp>
        <tr r="I62" s="11"/>
        <tr r="K19" s="23"/>
      </tp>
      <tp t="e">
        <v>#N/A</v>
        <stp/>
        <stp>BDH|8102030335482496068</stp>
        <tr r="G72" s="18"/>
      </tp>
      <tp t="e">
        <v>#N/A</v>
        <stp/>
        <stp>BDH|1324816879056819161</stp>
        <tr r="T60" s="24"/>
      </tp>
      <tp t="e">
        <v>#N/A</v>
        <stp/>
        <stp>BDH|2029334349488973461</stp>
        <tr r="M71" s="17"/>
      </tp>
      <tp t="e">
        <v>#N/A</v>
        <stp/>
        <stp>BDH|6425378178858650383</stp>
        <tr r="I47" s="17"/>
      </tp>
      <tp t="e">
        <v>#N/A</v>
        <stp/>
        <stp>BDH|9856247225217914755</stp>
        <tr r="W36" s="4"/>
      </tp>
      <tp t="e">
        <v>#N/A</v>
        <stp/>
        <stp>BDH|5789875993214680900</stp>
        <tr r="X35" s="24"/>
      </tp>
      <tp t="e">
        <v>#N/A</v>
        <stp/>
        <stp>BDH|9481106818830895018</stp>
        <tr r="I49" s="10"/>
        <tr r="I47" s="11"/>
        <tr r="I16" s="7"/>
      </tp>
      <tp t="e">
        <v>#N/A</v>
        <stp/>
        <stp>BDH|6276943882687022916</stp>
        <tr r="C27" s="17"/>
      </tp>
      <tp t="e">
        <v>#N/A</v>
        <stp/>
        <stp>BDH|1424971139895949769</stp>
        <tr r="J24" s="12"/>
      </tp>
      <tp t="e">
        <v>#N/A</v>
        <stp/>
        <stp>BDH|5234608052326587906</stp>
        <tr r="Q10" s="22"/>
      </tp>
      <tp t="e">
        <v>#N/A</v>
        <stp/>
        <stp>BDH|9574775676118411854</stp>
        <tr r="P37" s="22"/>
      </tp>
      <tp t="e">
        <v>#N/A</v>
        <stp/>
        <stp>BDH|9707474035002775575</stp>
        <tr r="X25" s="21"/>
      </tp>
      <tp t="e">
        <v>#N/A</v>
        <stp/>
        <stp>BDH|5138604294171681267</stp>
        <tr r="S30" s="26"/>
      </tp>
      <tp t="e">
        <v>#N/A</v>
        <stp/>
        <stp>BDH|3710932771354291021</stp>
        <tr r="Q23" s="25"/>
        <tr r="Q16" s="27"/>
      </tp>
      <tp t="e">
        <v>#N/A</v>
        <stp/>
        <stp>BDH|8754419483604705971</stp>
        <tr r="O23" s="22"/>
      </tp>
      <tp t="e">
        <v>#N/A</v>
        <stp/>
        <stp>BDH|9473351416305392717</stp>
        <tr r="C27" s="6"/>
      </tp>
      <tp t="e">
        <v>#N/A</v>
        <stp/>
        <stp>BDH|9364354616980057255</stp>
        <tr r="AA45" s="17"/>
      </tp>
      <tp t="e">
        <v>#N/A</v>
        <stp/>
        <stp>BDH|5267142905965336855</stp>
        <tr r="T60" s="21"/>
      </tp>
      <tp t="e">
        <v>#N/A</v>
        <stp/>
        <stp>BDH|6851990847695304709</stp>
        <tr r="Q6" s="27"/>
      </tp>
      <tp t="e">
        <v>#N/A</v>
        <stp/>
        <stp>BDH|4048391995133085496</stp>
        <tr r="Y114" s="18"/>
      </tp>
      <tp t="e">
        <v>#N/A</v>
        <stp/>
        <stp>BDH|9826029452730870551</stp>
        <tr r="L112" s="18"/>
      </tp>
      <tp t="e">
        <v>#N/A</v>
        <stp/>
        <stp>BDH|2708920222007129738</stp>
        <tr r="Q70" s="24"/>
      </tp>
      <tp t="e">
        <v>#N/A</v>
        <stp/>
        <stp>BDH|2101681291890915442</stp>
        <tr r="Z28" s="21"/>
      </tp>
      <tp t="e">
        <v>#N/A</v>
        <stp/>
        <stp>BDH|5771712664999651413</stp>
        <tr r="O119" s="18"/>
      </tp>
      <tp t="e">
        <v>#N/A</v>
        <stp/>
        <stp>BDH|4063732505682672859</stp>
        <tr r="L8" s="27"/>
      </tp>
      <tp t="e">
        <v>#N/A</v>
        <stp/>
        <stp>BDH|4940193042178119068</stp>
        <tr r="K18" s="23"/>
      </tp>
      <tp t="e">
        <v>#N/A</v>
        <stp/>
        <stp>BDH|1948239113229453285</stp>
        <tr r="E38" s="34"/>
      </tp>
      <tp t="e">
        <v>#N/A</v>
        <stp/>
        <stp>BDH|3353775135697781931</stp>
        <tr r="K7" s="21"/>
      </tp>
      <tp t="e">
        <v>#N/A</v>
        <stp/>
        <stp>BDH|7060699634558844300</stp>
        <tr r="U20" s="17"/>
      </tp>
      <tp t="e">
        <v>#N/A</v>
        <stp/>
        <stp>BDH|81091872391754283</stp>
        <tr r="D12" s="20"/>
      </tp>
      <tp t="e">
        <v>#N/A</v>
        <stp/>
        <stp>BDH|28473104188015876</stp>
        <tr r="V59" s="21"/>
        <tr r="T57" s="11"/>
      </tp>
      <tp t="e">
        <v>#N/A</v>
        <stp/>
        <stp>BDH|23191433760983666</stp>
        <tr r="O12" s="11"/>
      </tp>
      <tp t="e">
        <v>#N/A</v>
        <stp/>
        <stp>BDH|97580227734807758</stp>
        <tr r="W7" s="17"/>
      </tp>
      <tp t="e">
        <v>#N/A</v>
        <stp/>
        <stp>BDH|60957734998583644</stp>
        <tr r="AA50" s="17"/>
        <tr r="AA10" s="25"/>
      </tp>
      <tp t="e">
        <v>#N/A</v>
        <stp/>
        <stp>BDH|51115115507466307</stp>
        <tr r="C31" s="12"/>
      </tp>
      <tp t="e">
        <v>#N/A</v>
        <stp/>
        <stp>BDH|18547951434206061</stp>
        <tr r="F8" s="26"/>
        <tr r="D10" s="9"/>
      </tp>
      <tp t="e">
        <v>#N/A</v>
        <stp/>
        <stp>BDH|67673154995808217</stp>
        <tr r="R14" s="18"/>
      </tp>
      <tp t="e">
        <v>#N/A</v>
        <stp/>
        <stp>BDH|7263259391854807246</stp>
        <tr r="O29" s="17"/>
      </tp>
      <tp t="e">
        <v>#N/A</v>
        <stp/>
        <stp>BDH|3878098584082866378</stp>
        <tr r="C25" s="21"/>
      </tp>
      <tp t="e">
        <v>#N/A</v>
        <stp/>
        <stp>BDH|6793616128841355973</stp>
        <tr r="L36" s="10"/>
        <tr r="L34" s="11"/>
      </tp>
      <tp t="e">
        <v>#N/A</v>
        <stp/>
        <stp>BDH|1623092888290411390</stp>
        <tr r="H17" s="12"/>
      </tp>
      <tp t="e">
        <v>#N/A</v>
        <stp/>
        <stp>BDH|2952734646892629909</stp>
        <tr r="H15" s="6"/>
      </tp>
      <tp t="e">
        <v>#N/A</v>
        <stp/>
        <stp>BDH|6707921154530876031</stp>
        <tr r="R18" s="12"/>
      </tp>
      <tp t="e">
        <v>#N/A</v>
        <stp/>
        <stp>BDH|3354796604707096948</stp>
        <tr r="V36" s="18"/>
      </tp>
      <tp t="e">
        <v>#N/A</v>
        <stp/>
        <stp>BDH|2993354286927804480</stp>
        <tr r="N22" s="5"/>
      </tp>
      <tp t="e">
        <v>#N/A</v>
        <stp/>
        <stp>BDH|1793379798537426663</stp>
        <tr r="R16" s="2"/>
        <tr r="R32" s="4"/>
        <tr r="R58" s="10"/>
        <tr r="T19" s="13"/>
      </tp>
      <tp t="e">
        <v>#N/A</v>
        <stp/>
        <stp>BDH|6578836350375818445</stp>
        <tr r="AA40" s="29"/>
      </tp>
      <tp t="e">
        <v>#N/A</v>
        <stp/>
        <stp>BDH|7039308379219376008</stp>
        <tr r="M10" s="22"/>
      </tp>
      <tp t="e">
        <v>#N/A</v>
        <stp/>
        <stp>BDH|1689297787659791859</stp>
        <tr r="J17" s="22"/>
      </tp>
      <tp t="e">
        <v>#N/A</v>
        <stp/>
        <stp>BDH|8789341525184532793</stp>
        <tr r="E16" s="12"/>
      </tp>
      <tp t="e">
        <v>#N/A</v>
        <stp/>
        <stp>BDH|1157800194889973362</stp>
        <tr r="N62" s="24"/>
      </tp>
      <tp t="e">
        <v>#N/A</v>
        <stp/>
        <stp>BDH|8499139975600986415</stp>
        <tr r="O43" s="10"/>
        <tr r="O41" s="11"/>
      </tp>
      <tp t="e">
        <v>#N/A</v>
        <stp/>
        <stp>BDH|7249620838521382912</stp>
        <tr r="F116" s="18"/>
      </tp>
      <tp t="e">
        <v>#N/A</v>
        <stp/>
        <stp>BDH|9876013936939220974</stp>
        <tr r="U86" s="18"/>
        <tr r="U6" s="20"/>
      </tp>
      <tp t="e">
        <v>#N/A</v>
        <stp/>
        <stp>BDH|4467002154929362291</stp>
        <tr r="Y28" s="12"/>
      </tp>
      <tp t="e">
        <v>#N/A</v>
        <stp/>
        <stp>BDH|4688287316544280908</stp>
        <tr r="D42" s="24"/>
      </tp>
      <tp t="e">
        <v>#N/A</v>
        <stp/>
        <stp>BDH|5507185982981690738</stp>
        <tr r="O28" s="25"/>
      </tp>
      <tp t="e">
        <v>#N/A</v>
        <stp/>
        <stp>BDH|8568611383968971444</stp>
        <tr r="I16" s="2"/>
        <tr r="I32" s="4"/>
        <tr r="I58" s="10"/>
        <tr r="K19" s="13"/>
      </tp>
      <tp t="e">
        <v>#N/A</v>
        <stp/>
        <stp>BDH|3003617014377881973</stp>
        <tr r="E19" s="26"/>
      </tp>
      <tp t="e">
        <v>#N/A</v>
        <stp/>
        <stp>BDH|1557983052551644638</stp>
        <tr r="L15" s="13"/>
      </tp>
      <tp t="e">
        <v>#N/A</v>
        <stp/>
        <stp>BDH|3060369751757838854</stp>
        <tr r="W16" s="17"/>
        <tr r="W19" s="28"/>
      </tp>
      <tp t="e">
        <v>#N/A</v>
        <stp/>
        <stp>BDH|8631809274764976914</stp>
        <tr r="S52" s="18"/>
      </tp>
      <tp t="e">
        <v>#N/A</v>
        <stp/>
        <stp>BDH|7766692514782542859</stp>
        <tr r="V129" s="18"/>
      </tp>
      <tp t="e">
        <v>#N/A</v>
        <stp/>
        <stp>BDH|5377812620474942105</stp>
        <tr r="D7" s="10"/>
      </tp>
      <tp t="e">
        <v>#N/A</v>
        <stp/>
        <stp>BDH|6352203588813368538</stp>
        <tr r="AA12" s="13"/>
      </tp>
      <tp t="e">
        <v>#N/A</v>
        <stp/>
        <stp>BDH|7988981835666986164</stp>
        <tr r="Y67" s="17"/>
      </tp>
      <tp t="e">
        <v>#N/A</v>
        <stp/>
        <stp>BDH|3992204314989035364</stp>
        <tr r="K40" s="12"/>
      </tp>
      <tp t="e">
        <v>#N/A</v>
        <stp/>
        <stp>BDH|9051053159842756409</stp>
        <tr r="AA47" s="21"/>
      </tp>
      <tp t="e">
        <v>#N/A</v>
        <stp/>
        <stp>BDH|3855063586390406177</stp>
        <tr r="J20" s="34"/>
      </tp>
      <tp t="e">
        <v>#N/A</v>
        <stp/>
        <stp>BDH|8949200856421461403</stp>
        <tr r="O46" s="24"/>
      </tp>
      <tp t="e">
        <v>#N/A</v>
        <stp/>
        <stp>BDH|2919852277491749676</stp>
        <tr r="M113" s="18"/>
      </tp>
      <tp t="e">
        <v>#N/A</v>
        <stp/>
        <stp>BDH|2512629318156350978</stp>
        <tr r="O18" s="22"/>
      </tp>
      <tp t="e">
        <v>#N/A</v>
        <stp/>
        <stp>BDH|9174762308612144650</stp>
        <tr r="U18" s="17"/>
      </tp>
      <tp t="e">
        <v>#N/A</v>
        <stp/>
        <stp>BDH|4300440694590048387</stp>
        <tr r="U67" s="12"/>
      </tp>
      <tp t="e">
        <v>#N/A</v>
        <stp/>
        <stp>BDH|9128323598921288826</stp>
        <tr r="Z9" s="24"/>
      </tp>
      <tp t="e">
        <v>#N/A</v>
        <stp/>
        <stp>BDH|1452992523486572602</stp>
        <tr r="N129" s="18"/>
      </tp>
      <tp t="e">
        <v>#N/A</v>
        <stp/>
        <stp>BDH|7634193921669289776</stp>
        <tr r="P109" s="18"/>
      </tp>
      <tp t="e">
        <v>#N/A</v>
        <stp/>
        <stp>BDH|8022010475873702681</stp>
        <tr r="AA24" s="12"/>
      </tp>
      <tp t="e">
        <v>#N/A</v>
        <stp/>
        <stp>BDH|2936105371687032938</stp>
        <tr r="S42" s="12"/>
      </tp>
      <tp t="e">
        <v>#N/A</v>
        <stp/>
        <stp>BDH|5799074271630293889</stp>
        <tr r="W66" s="18"/>
      </tp>
      <tp t="e">
        <v>#N/A</v>
        <stp/>
        <stp>BDH|7020025336856862873</stp>
        <tr r="I41" s="17"/>
      </tp>
      <tp t="e">
        <v>#N/A</v>
        <stp/>
        <stp>BDH|7193046591911781584</stp>
        <tr r="E14" s="10"/>
      </tp>
      <tp t="e">
        <v>#N/A</v>
        <stp/>
        <stp>BDH|7382580601959583143</stp>
        <tr r="E13" s="9"/>
      </tp>
      <tp t="e">
        <v>#N/A</v>
        <stp/>
        <stp>BDH|8629843620991122987</stp>
        <tr r="S82" s="17"/>
      </tp>
      <tp t="e">
        <v>#N/A</v>
        <stp/>
        <stp>BDH|4613264864859729382</stp>
        <tr r="H19" s="6"/>
      </tp>
      <tp t="e">
        <v>#N/A</v>
        <stp/>
        <stp>BDH|8373583543962326100</stp>
        <tr r="P31" s="22"/>
      </tp>
      <tp t="e">
        <v>#N/A</v>
        <stp/>
        <stp>BDH|8312892188215871719</stp>
        <tr r="C6" s="6"/>
      </tp>
      <tp t="e">
        <v>#N/A</v>
        <stp/>
        <stp>BDH|3946426285937418215</stp>
        <tr r="H24" s="17"/>
      </tp>
      <tp t="e">
        <v>#N/A</v>
        <stp/>
        <stp>BDH|4622987343591062269</stp>
        <tr r="J68" s="18"/>
      </tp>
      <tp t="e">
        <v>#N/A</v>
        <stp/>
        <stp>BDH|6508679038161132805</stp>
        <tr r="J51" s="18"/>
      </tp>
      <tp t="e">
        <v>#N/A</v>
        <stp/>
        <stp>BDH|2994831887670163876</stp>
        <tr r="Y109" s="18"/>
      </tp>
      <tp t="e">
        <v>#N/A</v>
        <stp/>
        <stp>BDH|2613240589981101329</stp>
        <tr r="N65" s="10"/>
      </tp>
      <tp t="e">
        <v>#N/A</v>
        <stp/>
        <stp>BDH|5295660119439383166</stp>
        <tr r="M6" s="6"/>
      </tp>
      <tp t="e">
        <v>#N/A</v>
        <stp/>
        <stp>BDH|9334575012536870167</stp>
        <tr r="F39" s="6"/>
      </tp>
      <tp t="e">
        <v>#N/A</v>
        <stp/>
        <stp>BDH|4977830230117314214</stp>
        <tr r="Q49" s="4"/>
      </tp>
      <tp t="e">
        <v>#N/A</v>
        <stp/>
        <stp>BDH|4387391591161136529</stp>
        <tr r="M45" s="4"/>
        <tr r="M27" s="10"/>
        <tr r="M25" s="11"/>
        <tr r="O26" s="13"/>
      </tp>
      <tp t="e">
        <v>#N/A</v>
        <stp/>
        <stp>BDH|9940473106546686168</stp>
        <tr r="Y50" s="12"/>
      </tp>
      <tp t="e">
        <v>#N/A</v>
        <stp/>
        <stp>BDH|4641450693381077282</stp>
        <tr r="Q6" s="6"/>
      </tp>
      <tp t="e">
        <v>#N/A</v>
        <stp/>
        <stp>BDH|8428665347082519284</stp>
        <tr r="J8" s="10"/>
      </tp>
      <tp t="e">
        <v>#N/A</v>
        <stp/>
        <stp>BDH|4166983971542811284</stp>
        <tr r="S14" s="14"/>
      </tp>
      <tp t="e">
        <v>#N/A</v>
        <stp/>
        <stp>BDH|7250933094035930841</stp>
        <tr r="M13" s="17"/>
        <tr r="M16" s="28"/>
      </tp>
      <tp t="e">
        <v>#N/A</v>
        <stp/>
        <stp>BDH|8341890215179687219</stp>
        <tr r="J23" s="17"/>
      </tp>
      <tp t="e">
        <v>#N/A</v>
        <stp/>
        <stp>BDH|9864864422490759935</stp>
        <tr r="O49" s="24"/>
      </tp>
      <tp t="e">
        <v>#N/A</v>
        <stp/>
        <stp>BDH|4956516891681918382</stp>
        <tr r="E58" s="11"/>
      </tp>
      <tp t="e">
        <v>#N/A</v>
        <stp/>
        <stp>BDH|2808747541902477910</stp>
        <tr r="M26" s="6"/>
      </tp>
      <tp t="e">
        <v>#N/A</v>
        <stp/>
        <stp>BDH|1327043181113782090</stp>
        <tr r="T46" s="21"/>
      </tp>
      <tp t="e">
        <v>#N/A</v>
        <stp/>
        <stp>BDH|9559939539029645010</stp>
        <tr r="G23" s="25"/>
        <tr r="G16" s="27"/>
      </tp>
      <tp t="e">
        <v>#N/A</v>
        <stp/>
        <stp>BDH|1548381296366388705</stp>
        <tr r="N93" s="18"/>
      </tp>
      <tp t="e">
        <v>#N/A</v>
        <stp/>
        <stp>BDH|6521867002323894714</stp>
        <tr r="P11" s="14"/>
      </tp>
      <tp t="e">
        <v>#N/A</v>
        <stp/>
        <stp>BDH|2740017388048697801</stp>
        <tr r="L15" s="9"/>
      </tp>
      <tp t="e">
        <v>#N/A</v>
        <stp/>
        <stp>BDH|6452618091004556792</stp>
        <tr r="X10" s="2"/>
        <tr r="X11" s="5"/>
        <tr r="W37" s="6"/>
        <tr r="Z31" s="29"/>
        <tr r="Z39" s="29"/>
      </tp>
      <tp t="e">
        <v>#N/A</v>
        <stp/>
        <stp>BDH|8942400710887949085</stp>
        <tr r="G21" s="18"/>
      </tp>
      <tp t="e">
        <v>#N/A</v>
        <stp/>
        <stp>BDH|8232090601113770158</stp>
        <tr r="E19" s="17"/>
      </tp>
      <tp t="e">
        <v>#N/A</v>
        <stp/>
        <stp>BDH|5195360749168242040</stp>
        <tr r="N7" s="17"/>
      </tp>
      <tp t="e">
        <v>#N/A</v>
        <stp/>
        <stp>BDH|3421779094751603690</stp>
        <tr r="W65" s="17"/>
        <tr r="U8" s="5"/>
        <tr r="U8" s="9"/>
      </tp>
      <tp t="e">
        <v>#N/A</v>
        <stp/>
        <stp>BDH|9409351512897831635</stp>
        <tr r="E12" s="30"/>
      </tp>
      <tp t="e">
        <v>#N/A</v>
        <stp/>
        <stp>BDH|5000926533462043799</stp>
        <tr r="O11" s="11"/>
      </tp>
      <tp t="e">
        <v>#N/A</v>
        <stp/>
        <stp>BDH|4157836188406717859</stp>
        <tr r="V49" s="12"/>
      </tp>
      <tp t="e">
        <v>#N/A</v>
        <stp/>
        <stp>BDH|6041573549735661808</stp>
        <tr r="I64" s="18"/>
      </tp>
      <tp t="e">
        <v>#N/A</v>
        <stp/>
        <stp>BDH|7079303036684898965</stp>
        <tr r="U33" s="13"/>
      </tp>
      <tp t="e">
        <v>#N/A</v>
        <stp/>
        <stp>BDH|9723062304532598182</stp>
        <tr r="T30" s="21"/>
      </tp>
      <tp t="e">
        <v>#N/A</v>
        <stp/>
        <stp>BDH|4460634083409507987</stp>
        <tr r="V10" s="12"/>
      </tp>
      <tp t="e">
        <v>#N/A</v>
        <stp/>
        <stp>BDH|8753493075200267102</stp>
        <tr r="Q69" s="17"/>
      </tp>
      <tp t="e">
        <v>#N/A</v>
        <stp/>
        <stp>BDH|9903534163725841587</stp>
        <tr r="D21" s="27"/>
      </tp>
      <tp t="e">
        <v>#N/A</v>
        <stp/>
        <stp>BDH|3128226099451493379</stp>
        <tr r="F30" s="24"/>
      </tp>
      <tp t="e">
        <v>#N/A</v>
        <stp/>
        <stp>BDH|8221876570378876543</stp>
        <tr r="S12" s="7"/>
      </tp>
      <tp t="e">
        <v>#N/A</v>
        <stp/>
        <stp>BDH|5152650089131329075</stp>
        <tr r="E15" s="22"/>
      </tp>
      <tp t="e">
        <v>#N/A</v>
        <stp/>
        <stp>BDH|3358507098451750451</stp>
        <tr r="S18" s="18"/>
      </tp>
      <tp t="e">
        <v>#N/A</v>
        <stp/>
        <stp>BDH|8089763689359496424</stp>
        <tr r="P18" s="34"/>
      </tp>
      <tp t="e">
        <v>#N/A</v>
        <stp/>
        <stp>BDH|4019042142678991269</stp>
        <tr r="U46" s="12"/>
      </tp>
      <tp t="e">
        <v>#N/A</v>
        <stp/>
        <stp>BDH|2545247066724865866</stp>
        <tr r="K20" s="20"/>
      </tp>
      <tp t="e">
        <v>#N/A</v>
        <stp/>
        <stp>BDH|6948282183204852235</stp>
        <tr r="L18" s="14"/>
      </tp>
      <tp t="e">
        <v>#N/A</v>
        <stp/>
        <stp>BDH|7554388165839270135</stp>
        <tr r="P54" s="17"/>
      </tp>
      <tp t="e">
        <v>#N/A</v>
        <stp/>
        <stp>BDH|3710321663438916462</stp>
        <tr r="G17" s="20"/>
      </tp>
      <tp t="e">
        <v>#N/A</v>
        <stp/>
        <stp>BDH|3984656348948420392</stp>
        <tr r="O40" s="17"/>
        <tr r="O9" s="25"/>
      </tp>
      <tp t="e">
        <v>#N/A</v>
        <stp/>
        <stp>BDH|2045168188610086174</stp>
        <tr r="Z65" s="18"/>
      </tp>
      <tp t="e">
        <v>#N/A</v>
        <stp/>
        <stp>BDH|9571727856433144296</stp>
        <tr r="U17" s="4"/>
        <tr r="W10" s="3"/>
        <tr r="U52" s="10"/>
        <tr r="U50" s="11"/>
        <tr r="U17" s="7"/>
        <tr r="W37" s="13"/>
      </tp>
      <tp t="e">
        <v>#N/A</v>
        <stp/>
        <stp>BDH|4831704695802352273</stp>
        <tr r="S89" s="18"/>
        <tr r="S9" s="20"/>
      </tp>
      <tp t="e">
        <v>#N/A</v>
        <stp/>
        <stp>BDH|9580680824677976090</stp>
        <tr r="Y16" s="17"/>
        <tr r="Y19" s="28"/>
      </tp>
      <tp t="e">
        <v>#N/A</v>
        <stp/>
        <stp>BDH|8011020328925427572</stp>
        <tr r="V64" s="24"/>
      </tp>
      <tp t="e">
        <v>#N/A</v>
        <stp/>
        <stp>BDH|9703564869065379528</stp>
        <tr r="T118" s="18"/>
      </tp>
      <tp t="e">
        <v>#N/A</v>
        <stp/>
        <stp>BDH|4820372401668094575</stp>
        <tr r="AA31" s="26"/>
      </tp>
      <tp t="e">
        <v>#N/A</v>
        <stp/>
        <stp>BDH|3261406611545893926</stp>
        <tr r="G46" s="17"/>
      </tp>
      <tp t="e">
        <v>#N/A</v>
        <stp/>
        <stp>BDH|7297280814869289753</stp>
        <tr r="K44" s="24"/>
      </tp>
      <tp t="e">
        <v>#N/A</v>
        <stp/>
        <stp>BDH|8314919078308316407</stp>
        <tr r="R43" s="18"/>
      </tp>
      <tp t="e">
        <v>#N/A</v>
        <stp/>
        <stp>BDH|9511547676834661584</stp>
        <tr r="V16" s="21"/>
      </tp>
      <tp t="e">
        <v>#N/A</v>
        <stp/>
        <stp>BDH|5330310372458091392</stp>
        <tr r="K48" s="17"/>
      </tp>
      <tp t="e">
        <v>#N/A</v>
        <stp/>
        <stp>BDH|5923590939729216028</stp>
        <tr r="S43" s="10"/>
        <tr r="S41" s="11"/>
      </tp>
      <tp t="e">
        <v>#N/A</v>
        <stp/>
        <stp>BDH|7570548988465720575</stp>
        <tr r="G9" s="18"/>
      </tp>
      <tp t="e">
        <v>#N/A</v>
        <stp/>
        <stp>BDH|5248024344353849859</stp>
        <tr r="T100" s="18"/>
      </tp>
      <tp t="e">
        <v>#N/A</v>
        <stp/>
        <stp>BDH|9342299854926581222</stp>
        <tr r="E42" s="17"/>
      </tp>
      <tp t="e">
        <v>#N/A</v>
        <stp/>
        <stp>BDH|2658700893467983128</stp>
        <tr r="D18" s="24"/>
      </tp>
      <tp t="e">
        <v>#N/A</v>
        <stp/>
        <stp>BDH|4688846819055593206</stp>
        <tr r="M87" s="17"/>
        <tr r="M27" s="25"/>
      </tp>
      <tp t="e">
        <v>#N/A</v>
        <stp/>
        <stp>BDH|5077651212569878114</stp>
        <tr r="E31" s="24"/>
      </tp>
      <tp t="e">
        <v>#N/A</v>
        <stp/>
        <stp>BDH|7888216580092688515</stp>
        <tr r="O69" s="18"/>
      </tp>
      <tp t="e">
        <v>#N/A</v>
        <stp/>
        <stp>BDH|9685795604935464110</stp>
        <tr r="Y21" s="25"/>
        <tr r="Y14" s="27"/>
      </tp>
      <tp t="e">
        <v>#N/A</v>
        <stp/>
        <stp>BDH|2171442880915990127</stp>
        <tr r="R11" s="22"/>
      </tp>
      <tp t="e">
        <v>#N/A</v>
        <stp/>
        <stp>BDH|3591783880856237013</stp>
        <tr r="Q33" s="22"/>
      </tp>
      <tp t="e">
        <v>#N/A</v>
        <stp/>
        <stp>BDH|4679033845533775993</stp>
        <tr r="X20" s="24"/>
      </tp>
      <tp t="e">
        <v>#N/A</v>
        <stp/>
        <stp>BDH|1993462554253282974</stp>
        <tr r="J31" s="26"/>
      </tp>
      <tp t="e">
        <v>#N/A</v>
        <stp/>
        <stp>BDH|3666457955351138994</stp>
        <tr r="I29" s="4"/>
      </tp>
      <tp t="e">
        <v>#N/A</v>
        <stp/>
        <stp>BDH|8019560088087139817</stp>
        <tr r="L17" s="11"/>
      </tp>
      <tp t="e">
        <v>#N/A</v>
        <stp/>
        <stp>BDH|5800373251009319037</stp>
        <tr r="T40" s="17"/>
        <tr r="T9" s="25"/>
      </tp>
      <tp t="e">
        <v>#N/A</v>
        <stp/>
        <stp>BDH|4499109114996957878</stp>
        <tr r="D79" s="17"/>
        <tr r="D20" s="3"/>
      </tp>
      <tp t="e">
        <v>#N/A</v>
        <stp/>
        <stp>BDH|4774065807087105996</stp>
        <tr r="E54" s="12"/>
      </tp>
      <tp t="e">
        <v>#N/A</v>
        <stp/>
        <stp>BDH|4451960411246425093</stp>
        <tr r="M63" s="10"/>
      </tp>
      <tp t="e">
        <v>#N/A</v>
        <stp/>
        <stp>BDH|7201282075130665873</stp>
        <tr r="L71" s="18"/>
      </tp>
      <tp t="e">
        <v>#N/A</v>
        <stp/>
        <stp>BDH|8417616008061285516</stp>
        <tr r="J64" s="12"/>
      </tp>
      <tp t="e">
        <v>#N/A</v>
        <stp/>
        <stp>BDH|8465335336495682796</stp>
        <tr r="U27" s="5"/>
        <tr r="U28" s="9"/>
      </tp>
      <tp t="e">
        <v>#N/A</v>
        <stp/>
        <stp>BDH|3647998955714001142</stp>
        <tr r="O18" s="25"/>
        <tr r="O10" s="27"/>
      </tp>
      <tp t="e">
        <v>#N/A</v>
        <stp/>
        <stp>BDH|3090892817480440043</stp>
        <tr r="W23" s="9"/>
      </tp>
      <tp t="e">
        <v>#N/A</v>
        <stp/>
        <stp>BDH|3927192588864204440</stp>
        <tr r="E73" s="17"/>
        <tr r="C9" s="5"/>
        <tr r="C9" s="9"/>
      </tp>
      <tp t="e">
        <v>#N/A</v>
        <stp/>
        <stp>BDH|7822923448935516592</stp>
        <tr r="Q61" s="24"/>
      </tp>
      <tp t="e">
        <v>#N/A</v>
        <stp/>
        <stp>BDH|1878416986073086413</stp>
        <tr r="R18" s="17"/>
      </tp>
      <tp t="e">
        <v>#N/A</v>
        <stp/>
        <stp>BDH|4413825808417132119</stp>
        <tr r="Q36" s="18"/>
      </tp>
      <tp t="e">
        <v>#N/A</v>
        <stp/>
        <stp>BDH|8482086351620629750</stp>
        <tr r="F46" s="24"/>
      </tp>
      <tp t="e">
        <v>#N/A</v>
        <stp/>
        <stp>BDH|1346045761138999513</stp>
        <tr r="N45" s="12"/>
      </tp>
      <tp t="e">
        <v>#N/A</v>
        <stp/>
        <stp>BDH|9736613958765838588</stp>
        <tr r="L13" s="11"/>
      </tp>
      <tp t="e">
        <v>#N/A</v>
        <stp/>
        <stp>BDH|9768777211804823177</stp>
        <tr r="G10" s="13"/>
      </tp>
      <tp t="e">
        <v>#N/A</v>
        <stp/>
        <stp>BDH|1736854337265884532</stp>
        <tr r="G16" s="25"/>
        <tr r="E22" s="11"/>
      </tp>
      <tp t="e">
        <v>#N/A</v>
        <stp/>
        <stp>BDH|7002422505840833916</stp>
        <tr r="W8" s="28"/>
      </tp>
      <tp t="e">
        <v>#N/A</v>
        <stp/>
        <stp>BDH|2638150269966161953</stp>
        <tr r="P30" s="17"/>
      </tp>
      <tp t="e">
        <v>#N/A</v>
        <stp/>
        <stp>BDH|8842827687011100332</stp>
        <tr r="F17" s="13"/>
      </tp>
      <tp t="e">
        <v>#N/A</v>
        <stp/>
        <stp>BDH|4198992543900639321</stp>
        <tr r="E84" s="18"/>
      </tp>
      <tp t="e">
        <v>#N/A</v>
        <stp/>
        <stp>BDH|6131995617166120215</stp>
        <tr r="I98" s="18"/>
      </tp>
      <tp t="e">
        <v>#N/A</v>
        <stp/>
        <stp>BDH|8072067601005197799</stp>
        <tr r="U7" s="24"/>
      </tp>
      <tp t="e">
        <v>#N/A</v>
        <stp/>
        <stp>BDH|8038384227466127512</stp>
        <tr r="Y23" s="9"/>
      </tp>
      <tp t="e">
        <v>#N/A</v>
        <stp/>
        <stp>BDH|7832290766718142192</stp>
        <tr r="L88" s="18"/>
        <tr r="L8" s="20"/>
      </tp>
      <tp t="e">
        <v>#N/A</v>
        <stp/>
        <stp>BDH|5354233600645861873</stp>
        <tr r="E20" s="10"/>
      </tp>
      <tp t="e">
        <v>#N/A</v>
        <stp/>
        <stp>BDH|7537524711289185088</stp>
        <tr r="Q63" s="17"/>
      </tp>
      <tp t="e">
        <v>#N/A</v>
        <stp/>
        <stp>BDH|3988154125578156279</stp>
        <tr r="K24" s="10"/>
      </tp>
      <tp t="e">
        <v>#N/A</v>
        <stp/>
        <stp>BDH|6719459815669118098</stp>
        <tr r="R19" s="20"/>
      </tp>
      <tp t="e">
        <v>#N/A</v>
        <stp/>
        <stp>BDH|7233418096776937639</stp>
        <tr r="X74" s="18"/>
      </tp>
      <tp t="e">
        <v>#N/A</v>
        <stp/>
        <stp>BDH|2917260405263388963</stp>
        <tr r="U60" s="12"/>
      </tp>
      <tp t="e">
        <v>#N/A</v>
        <stp/>
        <stp>BDH|6408034466433687983</stp>
        <tr r="U28" s="4"/>
      </tp>
      <tp t="e">
        <v>#N/A</v>
        <stp/>
        <stp>BDH|3685608909058593753</stp>
        <tr r="V38" s="18"/>
      </tp>
      <tp t="e">
        <v>#N/A</v>
        <stp/>
        <stp>BDH|9270527067638989814</stp>
        <tr r="Z69" s="17"/>
      </tp>
      <tp t="e">
        <v>#N/A</v>
        <stp/>
        <stp>BDH|7876814706967556253</stp>
        <tr r="C34" s="12"/>
      </tp>
      <tp t="e">
        <v>#N/A</v>
        <stp/>
        <stp>BDH|7247684793045787714</stp>
        <tr r="F20" s="12"/>
      </tp>
      <tp t="e">
        <v>#N/A</v>
        <stp/>
        <stp>BDH|9999603166372702175</stp>
        <tr r="L126" s="18"/>
      </tp>
      <tp t="e">
        <v>#N/A</v>
        <stp/>
        <stp>BDH|2689455938199062646</stp>
        <tr r="M40" s="12"/>
      </tp>
      <tp t="e">
        <v>#N/A</v>
        <stp/>
        <stp>BDH|8799655845671803105</stp>
        <tr r="J32" s="22"/>
      </tp>
      <tp t="e">
        <v>#N/A</v>
        <stp/>
        <stp>BDH|8689333127782420190</stp>
        <tr r="Z13" s="24"/>
      </tp>
      <tp t="e">
        <v>#N/A</v>
        <stp/>
        <stp>BDH|5929039050318471211</stp>
        <tr r="Z6" s="27"/>
      </tp>
      <tp t="e">
        <v>#N/A</v>
        <stp/>
        <stp>BDH|2410884667971255758</stp>
        <tr r="Z130" s="18"/>
      </tp>
      <tp t="e">
        <v>#N/A</v>
        <stp/>
        <stp>BDH|3335397765878388405</stp>
        <tr r="AA30" s="21"/>
      </tp>
      <tp t="e">
        <v>#N/A</v>
        <stp/>
        <stp>BDH|4887642100098332038</stp>
        <tr r="F22" s="17"/>
      </tp>
      <tp t="e">
        <v>#N/A</v>
        <stp/>
        <stp>BDH|5519188733424582974</stp>
        <tr r="K59" s="12"/>
      </tp>
      <tp t="e">
        <v>#N/A</v>
        <stp/>
        <stp>BDH|8544782978355961702</stp>
        <tr r="Q32" s="18"/>
      </tp>
      <tp t="e">
        <v>#N/A</v>
        <stp/>
        <stp>BDH|8398668729852981490</stp>
        <tr r="F56" s="17"/>
      </tp>
      <tp t="e">
        <v>#N/A</v>
        <stp/>
        <stp>BDH|4565964152277584588</stp>
        <tr r="H43" s="10"/>
        <tr r="H41" s="11"/>
      </tp>
      <tp t="e">
        <v>#N/A</v>
        <stp/>
        <stp>BDH|8058599185028187717</stp>
        <tr r="N81" s="18"/>
      </tp>
      <tp t="e">
        <v>#N/A</v>
        <stp/>
        <stp>BDH|9843652871561061306</stp>
        <tr r="R9" s="12"/>
      </tp>
      <tp t="e">
        <v>#N/A</v>
        <stp/>
        <stp>BDH|4253586103823799821</stp>
        <tr r="J28" s="21"/>
      </tp>
      <tp t="e">
        <v>#N/A</v>
        <stp/>
        <stp>BDH|1302224280354970542</stp>
        <tr r="N131" s="18"/>
      </tp>
      <tp t="e">
        <v>#N/A</v>
        <stp/>
        <stp>BDH|3678128327848718284</stp>
        <tr r="Z14" s="28"/>
      </tp>
      <tp t="e">
        <v>#N/A</v>
        <stp/>
        <stp>BDH|3816916130903180043</stp>
        <tr r="R35" s="10"/>
        <tr r="R33" s="11"/>
      </tp>
      <tp t="e">
        <v>#N/A</v>
        <stp/>
        <stp>BDH|2633082871549618651</stp>
        <tr r="G32" s="17"/>
      </tp>
      <tp t="e">
        <v>#N/A</v>
        <stp/>
        <stp>BDH|8766172105671846211</stp>
        <tr r="T10" s="30"/>
      </tp>
      <tp t="e">
        <v>#N/A</v>
        <stp/>
        <stp>BDH|4697833969302062208</stp>
        <tr r="Q10" s="18"/>
      </tp>
      <tp t="e">
        <v>#N/A</v>
        <stp/>
        <stp>BDH|5252649389099223819</stp>
        <tr r="M59" s="24"/>
      </tp>
      <tp t="e">
        <v>#N/A</v>
        <stp/>
        <stp>BDH|2733310274815962974</stp>
        <tr r="N11" s="22"/>
      </tp>
      <tp t="e">
        <v>#N/A</v>
        <stp/>
        <stp>BDH|5880194745672843807</stp>
        <tr r="X62" s="17"/>
      </tp>
      <tp t="e">
        <v>#N/A</v>
        <stp/>
        <stp>BDH|9433688515574355063</stp>
        <tr r="G91" s="17"/>
      </tp>
      <tp t="e">
        <v>#N/A</v>
        <stp/>
        <stp>BDH|8113491305075894391</stp>
        <tr r="C33" s="17"/>
      </tp>
      <tp t="e">
        <v>#N/A</v>
        <stp/>
        <stp>BDH|5454802259955079711</stp>
        <tr r="V49" s="17"/>
        <tr r="V17" s="3"/>
      </tp>
      <tp t="e">
        <v>#N/A</v>
        <stp/>
        <stp>BDH|6032897185278495444</stp>
        <tr r="M19" s="22"/>
      </tp>
      <tp t="e">
        <v>#N/A</v>
        <stp/>
        <stp>BDH|8828249528086847404</stp>
        <tr r="O55" s="18"/>
      </tp>
      <tp t="e">
        <v>#N/A</v>
        <stp/>
        <stp>BDH|9889737605103772752</stp>
        <tr r="W10" s="18"/>
      </tp>
      <tp t="e">
        <v>#N/A</v>
        <stp/>
        <stp>BDH|5998300356411524864</stp>
        <tr r="I21" s="11"/>
      </tp>
      <tp t="e">
        <v>#N/A</v>
        <stp/>
        <stp>BDH|6128084007404186830</stp>
        <tr r="H57" s="24"/>
      </tp>
      <tp t="e">
        <v>#N/A</v>
        <stp/>
        <stp>BDH|2425842282999831167</stp>
        <tr r="W72" s="18"/>
      </tp>
      <tp t="e">
        <v>#N/A</v>
        <stp/>
        <stp>BDH|6989914061772403117</stp>
        <tr r="J18" s="5"/>
        <tr r="I31" s="6"/>
      </tp>
      <tp t="e">
        <v>#N/A</v>
        <stp/>
        <stp>BDH|9146787312267488235</stp>
        <tr r="D35" s="6"/>
        <tr r="F10" s="8"/>
      </tp>
      <tp t="e">
        <v>#N/A</v>
        <stp/>
        <stp>BDH|1038939764275347183</stp>
        <tr r="E69" s="10"/>
        <tr r="E67" s="11"/>
      </tp>
      <tp t="e">
        <v>#N/A</v>
        <stp/>
        <stp>BDH|9969655115262566608</stp>
        <tr r="M9" s="12"/>
      </tp>
      <tp t="e">
        <v>#N/A</v>
        <stp/>
        <stp>BDH|4076035707049847708</stp>
        <tr r="L9" s="22"/>
      </tp>
      <tp t="e">
        <v>#N/A</v>
        <stp/>
        <stp>BDH|6734647758417000860</stp>
        <tr r="S56" s="18"/>
      </tp>
      <tp t="e">
        <v>#N/A</v>
        <stp/>
        <stp>BDH|8090990918148923259</stp>
        <tr r="P104" s="18"/>
      </tp>
      <tp t="e">
        <v>#N/A</v>
        <stp/>
        <stp>BDH|6889507605478092101</stp>
        <tr r="D8" s="13"/>
      </tp>
      <tp t="e">
        <v>#N/A</v>
        <stp/>
        <stp>BDH|8727228987428896074</stp>
        <tr r="V23" s="17"/>
      </tp>
      <tp t="e">
        <v>#N/A</v>
        <stp/>
        <stp>BDH|4941339844978198129</stp>
        <tr r="M59" s="21"/>
        <tr r="K57" s="11"/>
      </tp>
      <tp t="e">
        <v>#N/A</v>
        <stp/>
        <stp>BDH|5356444067435900842</stp>
        <tr r="Q23" s="9"/>
      </tp>
      <tp t="e">
        <v>#N/A</v>
        <stp/>
        <stp>BDH|5355930619612776532</stp>
        <tr r="F122" s="18"/>
      </tp>
      <tp t="e">
        <v>#N/A</v>
        <stp/>
        <stp>BDH|1698928956134725384</stp>
        <tr r="C31" s="26"/>
      </tp>
      <tp t="e">
        <v>#N/A</v>
        <stp/>
        <stp>BDH|4272082401716403829</stp>
        <tr r="G58" s="18"/>
      </tp>
      <tp t="e">
        <v>#N/A</v>
        <stp/>
        <stp>BDH|4359251261328357299</stp>
        <tr r="K128" s="18"/>
      </tp>
      <tp t="e">
        <v>#N/A</v>
        <stp/>
        <stp>BDH|8738166100617994457</stp>
        <tr r="Y37" s="24"/>
      </tp>
      <tp t="e">
        <v>#N/A</v>
        <stp/>
        <stp>BDH|7456525044119980565</stp>
        <tr r="R40" s="6"/>
      </tp>
      <tp t="e">
        <v>#N/A</v>
        <stp/>
        <stp>BDH|6401650956008899725</stp>
        <tr r="M19" s="10"/>
        <tr r="O16" s="13"/>
        <tr r="O23" s="13"/>
      </tp>
      <tp t="e">
        <v>#N/A</v>
        <stp/>
        <stp>BDH|1922879887523508811</stp>
        <tr r="Q66" s="10"/>
        <tr r="Q64" s="11"/>
        <tr r="Q20" s="7"/>
      </tp>
      <tp t="e">
        <v>#N/A</v>
        <stp/>
        <stp>BDH|5381648788658924945</stp>
        <tr r="I28" s="21"/>
      </tp>
      <tp t="e">
        <v>#N/A</v>
        <stp/>
        <stp>BDH|8618239946036980281</stp>
        <tr r="C45" s="17"/>
      </tp>
      <tp t="e">
        <v>#N/A</v>
        <stp/>
        <stp>BDH|8060615615792515734</stp>
        <tr r="Z40" s="18"/>
      </tp>
      <tp t="e">
        <v>#N/A</v>
        <stp/>
        <stp>BDH|9177756532015441205</stp>
        <tr r="X15" s="6"/>
      </tp>
      <tp t="e">
        <v>#N/A</v>
        <stp/>
        <stp>BDH|6530326062741691818</stp>
        <tr r="Q26" s="7"/>
      </tp>
      <tp t="e">
        <v>#N/A</v>
        <stp/>
        <stp>BDH|5744724497188858987</stp>
        <tr r="Y89" s="17"/>
        <tr r="Y7" s="27"/>
      </tp>
      <tp t="e">
        <v>#N/A</v>
        <stp/>
        <stp>BDH|6133304774358759002</stp>
        <tr r="M10" s="34"/>
      </tp>
      <tp t="e">
        <v>#N/A</v>
        <stp/>
        <stp>BDH|8615595454723047195</stp>
        <tr r="Q48" s="18"/>
      </tp>
      <tp t="e">
        <v>#N/A</v>
        <stp/>
        <stp>BDH|8177724494619561501</stp>
        <tr r="Y17" s="21"/>
      </tp>
      <tp t="e">
        <v>#N/A</v>
        <stp/>
        <stp>BDH|1101196022588001081</stp>
        <tr r="F16" s="25"/>
        <tr r="D22" s="11"/>
      </tp>
      <tp t="e">
        <v>#N/A</v>
        <stp/>
        <stp>BDH|7357444625698473344</stp>
        <tr r="K18" s="14"/>
      </tp>
      <tp t="e">
        <v>#N/A</v>
        <stp/>
        <stp>BDH|8953236039614209731</stp>
        <tr r="G18" s="11"/>
      </tp>
      <tp t="e">
        <v>#N/A</v>
        <stp/>
        <stp>BDH|7138617896243364177</stp>
        <tr r="W14" s="2"/>
        <tr r="W11" s="10"/>
      </tp>
      <tp t="e">
        <v>#N/A</v>
        <stp/>
        <stp>BDH|4671661497119213870</stp>
        <tr r="R93" s="18"/>
      </tp>
      <tp t="e">
        <v>#N/A</v>
        <stp/>
        <stp>BDH|8156224635425257669</stp>
        <tr r="T9" s="2"/>
        <tr r="V8" s="25"/>
        <tr r="T10" s="5"/>
      </tp>
      <tp t="e">
        <v>#N/A</v>
        <stp/>
        <stp>BDH|7404400263969288678</stp>
        <tr r="E18" s="23"/>
      </tp>
      <tp t="e">
        <v>#N/A</v>
        <stp/>
        <stp>BDH|8647579851732707053</stp>
        <tr r="S58" s="11"/>
      </tp>
      <tp t="e">
        <v>#N/A</v>
        <stp/>
        <stp>BDH|3764151006070381857</stp>
        <tr r="N51" s="17"/>
      </tp>
      <tp t="e">
        <v>#N/A</v>
        <stp/>
        <stp>BDH|9401532557236323518</stp>
        <tr r="N14" s="12"/>
      </tp>
      <tp t="e">
        <v>#N/A</v>
        <stp/>
        <stp>BDH|8699381628171665225</stp>
        <tr r="I24" s="11"/>
      </tp>
      <tp t="e">
        <v>#N/A</v>
        <stp/>
        <stp>BDH|5812582847027016958</stp>
        <tr r="O20" s="26"/>
      </tp>
      <tp t="e">
        <v>#N/A</v>
        <stp/>
        <stp>BDH|6236018246040615816</stp>
        <tr r="Q44" s="18"/>
      </tp>
      <tp t="e">
        <v>#N/A</v>
        <stp/>
        <stp>BDH|1107359880714441426</stp>
        <tr r="J50" s="12"/>
      </tp>
      <tp t="e">
        <v>#N/A</v>
        <stp/>
        <stp>BDH|7018616178119911528</stp>
        <tr r="N31" s="29"/>
        <tr r="N39" s="29"/>
        <tr r="L10" s="2"/>
        <tr r="L11" s="5"/>
        <tr r="K37" s="6"/>
      </tp>
      <tp t="e">
        <v>#N/A</v>
        <stp/>
        <stp>BDH|9821048104763922031</stp>
        <tr r="W10" s="21"/>
      </tp>
      <tp t="e">
        <v>#N/A</v>
        <stp/>
        <stp>BDH|5961070718867153955</stp>
        <tr r="G28" s="17"/>
      </tp>
      <tp t="e">
        <v>#N/A</v>
        <stp/>
        <stp>BDH|8374254845851330526</stp>
        <tr r="U14" s="2"/>
        <tr r="U11" s="10"/>
      </tp>
      <tp t="e">
        <v>#N/A</v>
        <stp/>
        <stp>BDH|6279861077740167309</stp>
        <tr r="Q44" s="17"/>
      </tp>
      <tp t="e">
        <v>#N/A</v>
        <stp/>
        <stp>BDH|1195686488947402267</stp>
        <tr r="S80" s="18"/>
      </tp>
      <tp t="e">
        <v>#N/A</v>
        <stp/>
        <stp>BDH|2280055367367172928</stp>
        <tr r="J24" s="10"/>
      </tp>
      <tp t="e">
        <v>#N/A</v>
        <stp/>
        <stp>BDH|6484819242772718236</stp>
        <tr r="E89" s="17"/>
        <tr r="E7" s="27"/>
      </tp>
      <tp t="e">
        <v>#N/A</v>
        <stp/>
        <stp>BDH|7059642222119030054</stp>
        <tr r="H46" s="34"/>
      </tp>
      <tp t="e">
        <v>#N/A</v>
        <stp/>
        <stp>BDH|2589511847668357139</stp>
        <tr r="K20" s="27"/>
      </tp>
      <tp t="e">
        <v>#N/A</v>
        <stp/>
        <stp>BDH|5753922339295828075</stp>
        <tr r="D60" s="21"/>
      </tp>
      <tp t="e">
        <v>#N/A</v>
        <stp/>
        <stp>BDH|1856108488335359709</stp>
        <tr r="E47" s="17"/>
      </tp>
      <tp t="e">
        <v>#N/A</v>
        <stp/>
        <stp>BDH|7803584085369543936</stp>
        <tr r="V60" s="24"/>
      </tp>
      <tp t="e">
        <v>#N/A</v>
        <stp/>
        <stp>BDH|5022550562515701932</stp>
        <tr r="I53" s="17"/>
      </tp>
      <tp t="e">
        <v>#N/A</v>
        <stp/>
        <stp>BDH|8257085589742217823</stp>
        <tr r="U18" s="23"/>
      </tp>
      <tp t="e">
        <v>#N/A</v>
        <stp/>
        <stp>BDH|8741001799283836851</stp>
        <tr r="O28" s="22"/>
      </tp>
      <tp t="e">
        <v>#N/A</v>
        <stp/>
        <stp>BDH|3401962520342175002</stp>
        <tr r="AA37" s="22"/>
      </tp>
      <tp t="e">
        <v>#N/A</v>
        <stp/>
        <stp>BDH|9411564836125226052</stp>
        <tr r="M130" s="18"/>
      </tp>
      <tp t="e">
        <v>#N/A</v>
        <stp/>
        <stp>BDH|5929295211515372911</stp>
        <tr r="S24" s="10"/>
      </tp>
      <tp t="e">
        <v>#N/A</v>
        <stp/>
        <stp>BDH|6292223780943579560</stp>
        <tr r="C38" s="10"/>
        <tr r="C36" s="11"/>
      </tp>
      <tp t="e">
        <v>#N/A</v>
        <stp/>
        <stp>BDH|1109837154021150746</stp>
        <tr r="P132" s="18"/>
      </tp>
      <tp t="e">
        <v>#N/A</v>
        <stp/>
        <stp>BDH|7499474392994115432</stp>
        <tr r="F40" s="17"/>
        <tr r="F9" s="25"/>
      </tp>
      <tp t="e">
        <v>#N/A</v>
        <stp/>
        <stp>BDH|4582464893960135321</stp>
        <tr r="L113" s="18"/>
      </tp>
      <tp t="e">
        <v>#N/A</v>
        <stp/>
        <stp>BDH|8702833882265507706</stp>
        <tr r="L103" s="18"/>
      </tp>
      <tp t="e">
        <v>#N/A</v>
        <stp/>
        <stp>BDH|8950746710183944771</stp>
        <tr r="T85" s="17"/>
      </tp>
      <tp t="e">
        <v>#N/A</v>
        <stp/>
        <stp>BDH|8410792089244300947</stp>
        <tr r="I21" s="12"/>
      </tp>
      <tp t="e">
        <v>#N/A</v>
        <stp/>
        <stp>BDH|4074128182464491374</stp>
        <tr r="K126" s="18"/>
      </tp>
      <tp t="e">
        <v>#N/A</v>
        <stp/>
        <stp>BDH|3905647603198496797</stp>
        <tr r="L22" s="9"/>
      </tp>
      <tp t="e">
        <v>#N/A</v>
        <stp/>
        <stp>BDH|9210234911645334508</stp>
        <tr r="AA39" s="24"/>
      </tp>
      <tp t="e">
        <v>#N/A</v>
        <stp/>
        <stp>BDH|4443474723940727847</stp>
        <tr r="W57" s="18"/>
      </tp>
      <tp t="e">
        <v>#N/A</v>
        <stp/>
        <stp>BDH|8216344450355625138</stp>
        <tr r="D20" s="26"/>
      </tp>
      <tp t="e">
        <v>#N/A</v>
        <stp/>
        <stp>BDH|5545349553421278832</stp>
        <tr r="C129" s="18"/>
      </tp>
      <tp t="e">
        <v>#N/A</v>
        <stp/>
        <stp>BDH|7457969496604031977</stp>
        <tr r="L18" s="10"/>
      </tp>
      <tp t="e">
        <v>#N/A</v>
        <stp/>
        <stp>BDH|2949795453958735275</stp>
        <tr r="AA27" s="12"/>
      </tp>
      <tp t="e">
        <v>#N/A</v>
        <stp/>
        <stp>BDH|6583430801278429039</stp>
        <tr r="N15" s="9"/>
      </tp>
      <tp t="e">
        <v>#N/A</v>
        <stp/>
        <stp>BDH|8619417485796525872</stp>
        <tr r="F18" s="13"/>
      </tp>
      <tp t="e">
        <v>#N/A</v>
        <stp/>
        <stp>BDH|6230954611037047362</stp>
        <tr r="N23" s="25"/>
        <tr r="N16" s="27"/>
      </tp>
      <tp t="e">
        <v>#N/A</v>
        <stp/>
        <stp>BDH|5708000187261258627</stp>
        <tr r="F46" s="21"/>
      </tp>
      <tp t="e">
        <v>#N/A</v>
        <stp/>
        <stp>BDH|4475402453406341945</stp>
        <tr r="P51" s="18"/>
      </tp>
      <tp t="e">
        <v>#N/A</v>
        <stp/>
        <stp>BDH|7037959070421194244</stp>
        <tr r="P16" s="2"/>
        <tr r="P32" s="4"/>
        <tr r="P58" s="10"/>
        <tr r="R19" s="13"/>
      </tp>
      <tp t="e">
        <v>#N/A</v>
        <stp/>
        <stp>BDH|7638306984746208001</stp>
        <tr r="J51" s="17"/>
      </tp>
      <tp t="e">
        <v>#N/A</v>
        <stp/>
        <stp>BDH|9478906090095231660</stp>
        <tr r="J28" s="22"/>
      </tp>
      <tp t="e">
        <v>#N/A</v>
        <stp/>
        <stp>BDH|2849620980043317597</stp>
        <tr r="T80" s="18"/>
      </tp>
      <tp t="e">
        <v>#N/A</v>
        <stp/>
        <stp>BDH|5922983759426914516</stp>
        <tr r="F50" s="18"/>
      </tp>
      <tp t="e">
        <v>#N/A</v>
        <stp/>
        <stp>BDH|4259273552148512124</stp>
        <tr r="H22" s="18"/>
      </tp>
      <tp t="e">
        <v>#N/A</v>
        <stp/>
        <stp>BDH|8813792135807619128</stp>
        <tr r="F84" s="18"/>
      </tp>
      <tp t="e">
        <v>#N/A</v>
        <stp/>
        <stp>BDH|4090228345451205950</stp>
        <tr r="N35" s="12"/>
      </tp>
      <tp t="e">
        <v>#N/A</v>
        <stp/>
        <stp>BDH|5619973365137076741</stp>
        <tr r="Z34" s="12"/>
      </tp>
      <tp t="e">
        <v>#N/A</v>
        <stp/>
        <stp>BDH|6491372582956129105</stp>
        <tr r="O19" s="17"/>
      </tp>
      <tp t="e">
        <v>#N/A</v>
        <stp/>
        <stp>BDH|4621187819376548826</stp>
        <tr r="W9" s="24"/>
      </tp>
      <tp t="e">
        <v>#N/A</v>
        <stp/>
        <stp>BDH|7624209225015080837</stp>
        <tr r="Y15" s="11"/>
      </tp>
      <tp t="e">
        <v>#N/A</v>
        <stp/>
        <stp>BDH|3855952793511902876</stp>
        <tr r="J61" s="11"/>
        <tr r="L15" s="23"/>
      </tp>
      <tp t="e">
        <v>#N/A</v>
        <stp/>
        <stp>BDH|4483766761406495977</stp>
        <tr r="R113" s="18"/>
      </tp>
      <tp t="e">
        <v>#N/A</v>
        <stp/>
        <stp>BDH|6515298556882979931</stp>
        <tr r="Z34" s="22"/>
      </tp>
      <tp t="e">
        <v>#N/A</v>
        <stp/>
        <stp>BDH|9735307647326429242</stp>
        <tr r="P70" s="10"/>
        <tr r="P68" s="11"/>
      </tp>
      <tp t="e">
        <v>#N/A</v>
        <stp/>
        <stp>BDH|4599851265674206479</stp>
        <tr r="G46" s="24"/>
      </tp>
      <tp t="e">
        <v>#N/A</v>
        <stp/>
        <stp>BDH|2510426386147780368</stp>
        <tr r="W109" s="18"/>
      </tp>
      <tp t="e">
        <v>#N/A</v>
        <stp/>
        <stp>BDH|4561324530467088978</stp>
        <tr r="F38" s="18"/>
      </tp>
      <tp t="e">
        <v>#N/A</v>
        <stp/>
        <stp>BDH|7583861196455631936</stp>
        <tr r="AA7" s="23"/>
      </tp>
      <tp t="e">
        <v>#N/A</v>
        <stp/>
        <stp>BDH|3960072285409930829</stp>
        <tr r="N16" s="6"/>
      </tp>
      <tp t="e">
        <v>#N/A</v>
        <stp/>
        <stp>BDH|7649923063222291056</stp>
        <tr r="I75" s="17"/>
      </tp>
      <tp t="e">
        <v>#N/A</v>
        <stp/>
        <stp>BDH|3550279016458334276</stp>
        <tr r="X68" s="17"/>
      </tp>
      <tp t="e">
        <v>#N/A</v>
        <stp/>
        <stp>BDH|6639414704269139129</stp>
        <tr r="C18" s="6"/>
      </tp>
      <tp t="e">
        <v>#N/A</v>
        <stp/>
        <stp>BDH|6676926936340145639</stp>
        <tr r="J28" s="4"/>
      </tp>
      <tp t="e">
        <v>#N/A</v>
        <stp/>
        <stp>BDH|7980606385800488381</stp>
        <tr r="P44" s="34"/>
      </tp>
      <tp t="e">
        <v>#N/A</v>
        <stp/>
        <stp>BDH|8063372708428688989</stp>
        <tr r="L39" s="24"/>
      </tp>
      <tp t="e">
        <v>#N/A</v>
        <stp/>
        <stp>BDH|1929184345048044653</stp>
        <tr r="P17" s="21"/>
      </tp>
      <tp t="e">
        <v>#N/A</v>
        <stp/>
        <stp>BDH|8233602053136426742</stp>
        <tr r="N39" s="13"/>
      </tp>
      <tp t="e">
        <v>#N/A</v>
        <stp/>
        <stp>BDH|6617235753149643211</stp>
        <tr r="L8" s="26"/>
        <tr r="J10" s="9"/>
      </tp>
      <tp t="e">
        <v>#N/A</v>
        <stp/>
        <stp>BDH|8741097510867614498</stp>
        <tr r="H73" s="18"/>
      </tp>
      <tp t="e">
        <v>#N/A</v>
        <stp/>
        <stp>BDH|8052563171127560733</stp>
        <tr r="O14" s="21"/>
      </tp>
      <tp t="e">
        <v>#N/A</v>
        <stp/>
        <stp>BDH|2508124395312245211</stp>
        <tr r="T76" s="18"/>
      </tp>
      <tp t="e">
        <v>#N/A</v>
        <stp/>
        <stp>BDH|5578803970138576817</stp>
        <tr r="K10" s="24"/>
      </tp>
      <tp t="e">
        <v>#N/A</v>
        <stp/>
        <stp>BDH|9356647426736534153</stp>
        <tr r="X14" s="12"/>
      </tp>
      <tp t="e">
        <v>#N/A</v>
        <stp/>
        <stp>BDH|4143462065114244816</stp>
        <tr r="O35" s="22"/>
      </tp>
      <tp t="e">
        <v>#N/A</v>
        <stp/>
        <stp>BDH|9199553345382380034</stp>
        <tr r="K43" s="34"/>
      </tp>
      <tp t="e">
        <v>#N/A</v>
        <stp/>
        <stp>BDH|1485105285324485642</stp>
        <tr r="J106" s="18"/>
      </tp>
      <tp t="e">
        <v>#N/A</v>
        <stp/>
        <stp>BDH|1617516596213567455</stp>
        <tr r="S9" s="26"/>
      </tp>
      <tp t="e">
        <v>#N/A</v>
        <stp/>
        <stp>BDH|8177491569465141510</stp>
        <tr r="F13" s="10"/>
      </tp>
      <tp t="e">
        <v>#N/A</v>
        <stp/>
        <stp>BDH|6745071336268720703</stp>
        <tr r="X27" s="6"/>
      </tp>
      <tp t="e">
        <v>#N/A</v>
        <stp/>
        <stp>BDH|7516515022559110366</stp>
        <tr r="E64" s="12"/>
      </tp>
      <tp t="e">
        <v>#N/A</v>
        <stp/>
        <stp>BDH|9156523077598744921</stp>
        <tr r="G14" s="12"/>
      </tp>
      <tp t="e">
        <v>#N/A</v>
        <stp/>
        <stp>BDH|4796548075294389842</stp>
        <tr r="P8" s="24"/>
      </tp>
      <tp t="e">
        <v>#N/A</v>
        <stp/>
        <stp>BDH|7427776596351197257</stp>
        <tr r="J12" s="14"/>
      </tp>
      <tp t="e">
        <v>#N/A</v>
        <stp/>
        <stp>BDH|6578879546835164549</stp>
        <tr r="S7" s="24"/>
      </tp>
      <tp t="e">
        <v>#N/A</v>
        <stp/>
        <stp>BDH|4672829014610465756</stp>
        <tr r="E28" s="6"/>
      </tp>
      <tp t="e">
        <v>#N/A</v>
        <stp/>
        <stp>BDH|4033968460322414331</stp>
        <tr r="T30" s="22"/>
      </tp>
      <tp t="e">
        <v>#N/A</v>
        <stp/>
        <stp>BDH|9403489606095320283</stp>
        <tr r="X38" s="13"/>
      </tp>
      <tp t="e">
        <v>#N/A</v>
        <stp/>
        <stp>BDH|7018787498920424356</stp>
        <tr r="H57" s="18"/>
      </tp>
      <tp t="e">
        <v>#N/A</v>
        <stp/>
        <stp>BDH|6922862032457464088</stp>
        <tr r="L29" s="10"/>
        <tr r="L27" s="11"/>
      </tp>
      <tp t="e">
        <v>#N/A</v>
        <stp/>
        <stp>BDH|8762477474946703725</stp>
        <tr r="G38" s="22"/>
      </tp>
      <tp t="e">
        <v>#N/A</v>
        <stp/>
        <stp>BDH|1685577977460156962</stp>
        <tr r="S9" s="12"/>
      </tp>
      <tp t="e">
        <v>#N/A</v>
        <stp/>
        <stp>BDH|6979576239329072369</stp>
        <tr r="R19" s="24"/>
      </tp>
      <tp t="e">
        <v>#N/A</v>
        <stp/>
        <stp>BDH|9099176827102224233</stp>
        <tr r="M11" s="11"/>
      </tp>
      <tp t="e">
        <v>#N/A</v>
        <stp/>
        <stp>BDH|5943445661305957849</stp>
        <tr r="Q28" s="10"/>
        <tr r="Q26" s="11"/>
      </tp>
      <tp t="e">
        <v>#N/A</v>
        <stp/>
        <stp>BDH|6538415942529703572</stp>
        <tr r="N38" s="17"/>
      </tp>
      <tp t="e">
        <v>#N/A</v>
        <stp/>
        <stp>BDH|6704468412129486011</stp>
        <tr r="V60" s="12"/>
      </tp>
      <tp t="e">
        <v>#N/A</v>
        <stp/>
        <stp>BDH|1466422874588760037</stp>
        <tr r="C38" s="4"/>
        <tr r="C60" s="11"/>
        <tr r="E13" s="23"/>
      </tp>
      <tp t="e">
        <v>#N/A</v>
        <stp/>
        <stp>BDH|2739731221154559966</stp>
        <tr r="U12" s="20"/>
      </tp>
      <tp t="e">
        <v>#N/A</v>
        <stp/>
        <stp>BDH|2716960876096035012</stp>
        <tr r="N122" s="18"/>
      </tp>
      <tp t="e">
        <v>#N/A</v>
        <stp/>
        <stp>BDH|6511637273098318507</stp>
        <tr r="P14" s="20"/>
      </tp>
      <tp t="e">
        <v>#N/A</v>
        <stp/>
        <stp>BDH|5282954473891404064</stp>
        <tr r="X56" s="17"/>
      </tp>
      <tp t="e">
        <v>#N/A</v>
        <stp/>
        <stp>BDH|2549350665298032536</stp>
        <tr r="G47" s="24"/>
      </tp>
      <tp t="e">
        <v>#N/A</v>
        <stp/>
        <stp>BDH|3922122234629844211</stp>
        <tr r="X53" s="10"/>
        <tr r="X51" s="11"/>
        <tr r="X18" s="7"/>
        <tr r="Z40" s="13"/>
      </tp>
      <tp t="e">
        <v>#N/A</v>
        <stp/>
        <stp>BDH|6743260286386259031</stp>
        <tr r="D7" s="4"/>
      </tp>
      <tp t="e">
        <v>#N/A</v>
        <stp/>
        <stp>BDH|2657890208352902284</stp>
        <tr r="R20" s="12"/>
      </tp>
      <tp t="e">
        <v>#N/A</v>
        <stp/>
        <stp>BDH|1150556088210812622</stp>
        <tr r="S8" s="14"/>
      </tp>
      <tp t="e">
        <v>#N/A</v>
        <stp/>
        <stp>BDH|4609216849140121890</stp>
        <tr r="R39" s="22"/>
      </tp>
      <tp t="e">
        <v>#N/A</v>
        <stp/>
        <stp>BDH|9370857771369161500</stp>
        <tr r="O40" s="34"/>
      </tp>
      <tp t="e">
        <v>#N/A</v>
        <stp/>
        <stp>BDH|4517392787067505286</stp>
        <tr r="R84" s="18"/>
      </tp>
      <tp t="e">
        <v>#N/A</v>
        <stp/>
        <stp>BDH|8033779932813328505</stp>
        <tr r="P54" s="12"/>
      </tp>
      <tp t="e">
        <v>#N/A</v>
        <stp/>
        <stp>BDH|8197825881390395273</stp>
        <tr r="J10" s="26"/>
      </tp>
      <tp t="e">
        <v>#N/A</v>
        <stp/>
        <stp>BDH|6972392520298518532</stp>
        <tr r="AA20" s="28"/>
        <tr r="AA17" s="17"/>
      </tp>
      <tp t="e">
        <v>#N/A</v>
        <stp/>
        <stp>BDH|2533974368185508292</stp>
        <tr r="D57" s="18"/>
      </tp>
      <tp t="e">
        <v>#N/A</v>
        <stp/>
        <stp>BDH|8859413123416834245</stp>
        <tr r="AA112" s="18"/>
      </tp>
      <tp t="e">
        <v>#N/A</v>
        <stp/>
        <stp>BDH|4304699931698986340</stp>
        <tr r="Y29" s="5"/>
      </tp>
      <tp t="e">
        <v>#N/A</v>
        <stp/>
        <stp>BDH|6720242623264213844</stp>
        <tr r="I105" s="18"/>
      </tp>
      <tp t="e">
        <v>#N/A</v>
        <stp/>
        <stp>BDH|7383679776549633520</stp>
        <tr r="W20" s="2"/>
        <tr r="W18" s="4"/>
        <tr r="W54" s="10"/>
        <tr r="W52" s="11"/>
        <tr r="W19" s="7"/>
        <tr r="Y41" s="13"/>
      </tp>
      <tp t="e">
        <v>#N/A</v>
        <stp/>
        <stp>BDH|3091471882832025735</stp>
        <tr r="K91" s="18"/>
      </tp>
      <tp t="e">
        <v>#N/A</v>
        <stp/>
        <stp>BDH|9146921001993125959</stp>
        <tr r="T8" s="6"/>
      </tp>
      <tp t="e">
        <v>#N/A</v>
        <stp/>
        <stp>BDH|3110702946653094915</stp>
        <tr r="Y31" s="24"/>
      </tp>
      <tp t="e">
        <v>#N/A</v>
        <stp/>
        <stp>BDH|7392221684966318109</stp>
        <tr r="X20" s="27"/>
      </tp>
      <tp t="e">
        <v>#N/A</v>
        <stp/>
        <stp>BDH|5793500615692348973</stp>
        <tr r="Y42" s="21"/>
      </tp>
      <tp t="e">
        <v>#N/A</v>
        <stp/>
        <stp>BDH|4136897318703593432</stp>
        <tr r="H102" s="18"/>
      </tp>
      <tp t="e">
        <v>#N/A</v>
        <stp/>
        <stp>BDH|2713958011205067556</stp>
        <tr r="I64" s="24"/>
      </tp>
      <tp t="e">
        <v>#N/A</v>
        <stp/>
        <stp>BDH|7052929307445360105</stp>
        <tr r="D6" s="28"/>
      </tp>
      <tp t="e">
        <v>#N/A</v>
        <stp/>
        <stp>BDH|9932306678845243252</stp>
        <tr r="W25" s="7"/>
      </tp>
      <tp t="e">
        <v>#N/A</v>
        <stp/>
        <stp>BDH|6526228880011202731</stp>
        <tr r="Z18" s="25"/>
        <tr r="Z10" s="27"/>
      </tp>
      <tp t="e">
        <v>#N/A</v>
        <stp/>
        <stp>BDH|8972107750981974765</stp>
        <tr r="I46" s="34"/>
      </tp>
      <tp t="e">
        <v>#N/A</v>
        <stp/>
        <stp>BDH|8698490795998930759</stp>
        <tr r="X61" s="24"/>
      </tp>
      <tp t="e">
        <v>#N/A</v>
        <stp/>
        <stp>BDH|5132488948229740607</stp>
        <tr r="Y20" s="20"/>
      </tp>
      <tp t="e">
        <v>#N/A</v>
        <stp/>
        <stp>BDH|3117571897857729207</stp>
        <tr r="R50" s="17"/>
        <tr r="R10" s="25"/>
      </tp>
      <tp t="e">
        <v>#N/A</v>
        <stp/>
        <stp>BDH|9533779666931396316</stp>
        <tr r="I81" s="18"/>
      </tp>
      <tp t="e">
        <v>#N/A</v>
        <stp/>
        <stp>BDH|2361078682691051101</stp>
        <tr r="F8" s="14"/>
      </tp>
      <tp t="e">
        <v>#N/A</v>
        <stp/>
        <stp>BDH|2579579097550043433</stp>
        <tr r="V21" s="21"/>
      </tp>
      <tp t="e">
        <v>#N/A</v>
        <stp/>
        <stp>BDH|2638036787676597616</stp>
        <tr r="J53" s="12"/>
      </tp>
      <tp t="e">
        <v>#N/A</v>
        <stp/>
        <stp>BDH|3148433583844669116</stp>
        <tr r="Y31" s="26"/>
      </tp>
      <tp t="e">
        <v>#N/A</v>
        <stp/>
        <stp>BDH|8623275370810182768</stp>
        <tr r="G53" s="18"/>
      </tp>
      <tp t="e">
        <v>#N/A</v>
        <stp/>
        <stp>BDH|3260251054877302961</stp>
        <tr r="D105" s="18"/>
      </tp>
      <tp t="e">
        <v>#N/A</v>
        <stp/>
        <stp>BDH|8356575872589013914</stp>
        <tr r="H11" s="6"/>
      </tp>
      <tp t="e">
        <v>#N/A</v>
        <stp/>
        <stp>BDH|8138130011707558511</stp>
        <tr r="Z49" s="21"/>
      </tp>
      <tp t="e">
        <v>#N/A</v>
        <stp/>
        <stp>BDH|6859840650294838534</stp>
        <tr r="Y27" s="5"/>
        <tr r="Y28" s="9"/>
      </tp>
      <tp t="e">
        <v>#N/A</v>
        <stp/>
        <stp>BDH|1024229030208481212</stp>
        <tr r="H13" s="34"/>
      </tp>
      <tp t="e">
        <v>#N/A</v>
        <stp/>
        <stp>BDH|3902280036310235823</stp>
        <tr r="F38" s="13"/>
      </tp>
      <tp t="e">
        <v>#N/A</v>
        <stp/>
        <stp>BDH|9103540695479251652</stp>
        <tr r="G8" s="28"/>
      </tp>
      <tp t="e">
        <v>#N/A</v>
        <stp/>
        <stp>BDH|4740968479913619397</stp>
        <tr r="S20" s="5"/>
        <tr r="S21" s="9"/>
      </tp>
      <tp t="e">
        <v>#N/A</v>
        <stp/>
        <stp>BDH|3569025558664951813</stp>
        <tr r="W125" s="18"/>
      </tp>
      <tp t="e">
        <v>#N/A</v>
        <stp/>
        <stp>BDH|3532883644683847660</stp>
        <tr r="W18" s="30"/>
      </tp>
      <tp t="e">
        <v>#N/A</v>
        <stp/>
        <stp>BDH|8223597133707832374</stp>
        <tr r="L118" s="18"/>
      </tp>
      <tp t="e">
        <v>#N/A</v>
        <stp/>
        <stp>BDH|2380828136724307733</stp>
        <tr r="Q33" s="10"/>
        <tr r="Q31" s="11"/>
        <tr r="S31" s="13"/>
      </tp>
      <tp t="e">
        <v>#N/A</v>
        <stp/>
        <stp>BDH|3502881859692434670</stp>
        <tr r="Y21" s="18"/>
      </tp>
      <tp t="e">
        <v>#N/A</v>
        <stp/>
        <stp>BDH|8269765209914977139</stp>
        <tr r="K114" s="18"/>
      </tp>
      <tp t="e">
        <v>#N/A</v>
        <stp/>
        <stp>BDH|1217217360596559911</stp>
        <tr r="C13" s="29"/>
        <tr r="C22" s="29"/>
        <tr r="C33" s="29"/>
      </tp>
      <tp t="e">
        <v>#N/A</v>
        <stp/>
        <stp>BDH|3270965526700050257</stp>
        <tr r="H28" s="12"/>
      </tp>
      <tp t="e">
        <v>#N/A</v>
        <stp/>
        <stp>BDH|8929035820228866854</stp>
        <tr r="H81" s="18"/>
      </tp>
      <tp t="e">
        <v>#N/A</v>
        <stp/>
        <stp>BDH|1974600227938114789</stp>
        <tr r="O26" s="18"/>
      </tp>
      <tp t="e">
        <v>#N/A</v>
        <stp/>
        <stp>BDH|6736813776312002175</stp>
        <tr r="E78" s="18"/>
      </tp>
      <tp t="e">
        <v>#N/A</v>
        <stp/>
        <stp>BDH|5460563404883648970</stp>
        <tr r="V131" s="18"/>
      </tp>
      <tp t="e">
        <v>#N/A</v>
        <stp/>
        <stp>BDH|8003442641306180430</stp>
        <tr r="T109" s="18"/>
      </tp>
      <tp t="e">
        <v>#N/A</v>
        <stp/>
        <stp>BDH|9746099028653806292</stp>
        <tr r="C65" s="18"/>
      </tp>
      <tp t="e">
        <v>#N/A</v>
        <stp/>
        <stp>BDH|7319248175580606835</stp>
        <tr r="E10" s="4"/>
        <tr r="D6" s="16"/>
        <tr r="G6" s="3"/>
        <tr r="E6" s="11"/>
      </tp>
      <tp t="e">
        <v>#N/A</v>
        <stp/>
        <stp>BDH|6509837995074360978</stp>
        <tr r="N52" s="4"/>
        <tr r="P8" s="3"/>
        <tr r="N40" s="10"/>
        <tr r="N38" s="11"/>
        <tr r="P30" s="13"/>
      </tp>
      <tp t="e">
        <v>#N/A</v>
        <stp/>
        <stp>BDH|4010135029788495593</stp>
        <tr r="I13" s="13"/>
      </tp>
      <tp t="e">
        <v>#N/A</v>
        <stp/>
        <stp>BDH|7355866912610883485</stp>
        <tr r="AA64" s="24"/>
      </tp>
      <tp t="e">
        <v>#N/A</v>
        <stp/>
        <stp>BDH|8868140959806164033</stp>
        <tr r="P14" s="30"/>
      </tp>
      <tp t="e">
        <v>#N/A</v>
        <stp/>
        <stp>BDH|9326021597839991389</stp>
        <tr r="K17" s="14"/>
      </tp>
      <tp t="e">
        <v>#N/A</v>
        <stp/>
        <stp>BDH|9652168413391124251</stp>
        <tr r="G13" s="22"/>
      </tp>
      <tp t="e">
        <v>#N/A</v>
        <stp/>
        <stp>BDH|5636931923340585445</stp>
        <tr r="E11" s="24"/>
      </tp>
      <tp t="e">
        <v>#N/A</v>
        <stp/>
        <stp>BDH|1478130742148584672</stp>
        <tr r="Q28" s="18"/>
      </tp>
      <tp t="e">
        <v>#N/A</v>
        <stp/>
        <stp>BDH|5342742238223020888</stp>
        <tr r="H99" s="18"/>
      </tp>
      <tp t="e">
        <v>#N/A</v>
        <stp/>
        <stp>BDH|9614480982379297695</stp>
        <tr r="K35" s="12"/>
      </tp>
      <tp t="e">
        <v>#N/A</v>
        <stp/>
        <stp>BDH|2079112096119257911</stp>
        <tr r="Z86" s="18"/>
        <tr r="Z6" s="20"/>
      </tp>
      <tp t="e">
        <v>#N/A</v>
        <stp/>
        <stp>BDH|9849182396168743353</stp>
        <tr r="S15" s="24"/>
      </tp>
      <tp t="e">
        <v>#N/A</v>
        <stp/>
        <stp>BDH|1718804751803697544</stp>
        <tr r="E127" s="18"/>
      </tp>
      <tp t="e">
        <v>#N/A</v>
        <stp/>
        <stp>BDH|8878625579016434531</stp>
        <tr r="V8" s="17"/>
      </tp>
      <tp t="e">
        <v>#N/A</v>
        <stp/>
        <stp>BDH|8260774541182141314</stp>
        <tr r="N24" s="10"/>
      </tp>
      <tp t="e">
        <v>#N/A</v>
        <stp/>
        <stp>BDH|5762132611459234631</stp>
        <tr r="Q11" s="17"/>
      </tp>
      <tp t="e">
        <v>#N/A</v>
        <stp/>
        <stp>BDH|1026915434448886999</stp>
        <tr r="D16" s="10"/>
      </tp>
      <tp t="e">
        <v>#N/A</v>
        <stp/>
        <stp>BDH|9100975041988596667</stp>
        <tr r="U32" s="26"/>
      </tp>
      <tp t="e">
        <v>#N/A</v>
        <stp/>
        <stp>BDH|8702637091454818990</stp>
        <tr r="J16" s="11"/>
      </tp>
      <tp t="e">
        <v>#N/A</v>
        <stp/>
        <stp>BDH|4066876226566015251</stp>
        <tr r="P21" s="2"/>
      </tp>
      <tp t="e">
        <v>#N/A</v>
        <stp/>
        <stp>BDH|9293851775475280941</stp>
        <tr r="N17" s="4"/>
        <tr r="P10" s="3"/>
        <tr r="N52" s="10"/>
        <tr r="N50" s="11"/>
        <tr r="N17" s="7"/>
        <tr r="P37" s="13"/>
      </tp>
      <tp t="e">
        <v>#N/A</v>
        <stp/>
        <stp>BDH|5550337658581221880</stp>
        <tr r="C59" s="12"/>
      </tp>
      <tp t="e">
        <v>#N/A</v>
        <stp/>
        <stp>BDH|6743056515828470579</stp>
        <tr r="T25" s="2"/>
        <tr r="V61" s="21"/>
      </tp>
      <tp t="e">
        <v>#N/A</v>
        <stp/>
        <stp>BDH|2893185681856682738</stp>
        <tr r="Y13" s="10"/>
      </tp>
      <tp t="e">
        <v>#N/A</v>
        <stp/>
        <stp>BDH|9005018825782102318</stp>
        <tr r="K23" s="24"/>
      </tp>
      <tp t="e">
        <v>#N/A</v>
        <stp/>
        <stp>BDH|7555228360709257018</stp>
        <tr r="R96" s="18"/>
      </tp>
      <tp t="e">
        <v>#N/A</v>
        <stp/>
        <stp>BDH|6795934624277309078</stp>
        <tr r="Y53" s="12"/>
      </tp>
      <tp t="e">
        <v>#N/A</v>
        <stp/>
        <stp>BDH|9568928131649792057</stp>
        <tr r="P26" s="7"/>
      </tp>
      <tp t="e">
        <v>#N/A</v>
        <stp/>
        <stp>BDH|1129020786811246238</stp>
        <tr r="Y121" s="18"/>
      </tp>
      <tp t="e">
        <v>#N/A</v>
        <stp/>
        <stp>BDH|9324619625176016132</stp>
        <tr r="P62" s="21"/>
      </tp>
      <tp t="e">
        <v>#N/A</v>
        <stp/>
        <stp>BDH|8116900695400697264</stp>
        <tr r="H36" s="18"/>
      </tp>
      <tp t="e">
        <v>#N/A</v>
        <stp/>
        <stp>BDH|5028149620695775972</stp>
        <tr r="V104" s="18"/>
      </tp>
      <tp t="e">
        <v>#N/A</v>
        <stp/>
        <stp>BDH|3125310591716249579</stp>
        <tr r="X11" s="21"/>
      </tp>
      <tp t="e">
        <v>#N/A</v>
        <stp/>
        <stp>BDH|9974747259317986690</stp>
        <tr r="U14" s="11"/>
      </tp>
      <tp t="e">
        <v>#N/A</v>
        <stp/>
        <stp>BDH|6415359263418654102</stp>
        <tr r="X32" s="12"/>
      </tp>
      <tp t="e">
        <v>#N/A</v>
        <stp/>
        <stp>BDH|9285601850054717412</stp>
        <tr r="F7" s="10"/>
      </tp>
      <tp t="e">
        <v>#N/A</v>
        <stp/>
        <stp>BDH|5665089397396867050</stp>
        <tr r="E110" s="18"/>
      </tp>
      <tp t="e">
        <v>#N/A</v>
        <stp/>
        <stp>BDH|7233412195713798355</stp>
        <tr r="Y80" s="17"/>
      </tp>
      <tp t="e">
        <v>#N/A</v>
        <stp/>
        <stp>BDH|8643756143739492801</stp>
        <tr r="F100" s="18"/>
      </tp>
      <tp t="e">
        <v>#N/A</v>
        <stp/>
        <stp>BDH|5061131724549093537</stp>
        <tr r="W19" s="25"/>
        <tr r="W12" s="27"/>
      </tp>
      <tp t="e">
        <v>#N/A</v>
        <stp/>
        <stp>BDH|4787068220695432919</stp>
        <tr r="N21" s="6"/>
      </tp>
      <tp t="e">
        <v>#N/A</v>
        <stp/>
        <stp>BDH|6422639340328074631</stp>
        <tr r="Y29" s="22"/>
      </tp>
      <tp t="e">
        <v>#N/A</v>
        <stp/>
        <stp>BDH|2203601385585438379</stp>
        <tr r="I20" s="5"/>
        <tr r="I21" s="9"/>
      </tp>
      <tp t="e">
        <v>#N/A</v>
        <stp/>
        <stp>BDH|4505498968735302931</stp>
        <tr r="P20" s="29"/>
      </tp>
      <tp t="e">
        <v>#N/A</v>
        <stp/>
        <stp>BDH|1338744357931092849</stp>
        <tr r="S70" s="17"/>
      </tp>
      <tp t="e">
        <v>#N/A</v>
        <stp/>
        <stp>BDH|8621462640660262271</stp>
        <tr r="F24" s="11"/>
      </tp>
      <tp t="e">
        <v>#N/A</v>
        <stp/>
        <stp>BDH|3858176857699424496</stp>
        <tr r="S58" s="18"/>
      </tp>
      <tp t="e">
        <v>#N/A</v>
        <stp/>
        <stp>BDH|1123147992043507074</stp>
        <tr r="O9" s="17"/>
      </tp>
      <tp t="e">
        <v>#N/A</v>
        <stp/>
        <stp>BDH|2902700688206067144</stp>
        <tr r="E18" s="6"/>
      </tp>
      <tp t="e">
        <v>#N/A</v>
        <stp/>
        <stp>BDH|9418776124453021522</stp>
        <tr r="G55" s="17"/>
      </tp>
      <tp t="e">
        <v>#N/A</v>
        <stp/>
        <stp>BDH|4290205643870062840</stp>
        <tr r="M42" s="18"/>
      </tp>
      <tp t="e">
        <v>#N/A</v>
        <stp/>
        <stp>BDH|4424206132097063830</stp>
        <tr r="F38" s="17"/>
      </tp>
      <tp t="e">
        <v>#N/A</v>
        <stp/>
        <stp>BDH|7193912325444336239</stp>
        <tr r="P30" s="12"/>
      </tp>
      <tp t="e">
        <v>#N/A</v>
        <stp/>
        <stp>BDH|9194147232860202103</stp>
        <tr r="Y6" s="27"/>
      </tp>
      <tp t="e">
        <v>#N/A</v>
        <stp/>
        <stp>BDH|5977044274558508093</stp>
        <tr r="U27" s="12"/>
      </tp>
      <tp t="e">
        <v>#N/A</v>
        <stp/>
        <stp>BDH|8257978781993413050</stp>
        <tr r="S89" s="17"/>
        <tr r="S7" s="27"/>
      </tp>
      <tp t="e">
        <v>#N/A</v>
        <stp/>
        <stp>BDH|3661111393858624979</stp>
        <tr r="P67" s="18"/>
      </tp>
      <tp t="e">
        <v>#N/A</v>
        <stp/>
        <stp>BDH|6636273717556161924</stp>
        <tr r="R11" s="7"/>
      </tp>
      <tp t="e">
        <v>#N/A</v>
        <stp/>
        <stp>BDH|6106271560161534964</stp>
        <tr r="H8" s="34"/>
      </tp>
      <tp t="e">
        <v>#N/A</v>
        <stp/>
        <stp>BDH|3718604826604126957</stp>
        <tr r="V39" s="18"/>
      </tp>
      <tp t="e">
        <v>#N/A</v>
        <stp/>
        <stp>BDH|4459871916651381633</stp>
        <tr r="F21" s="26"/>
      </tp>
      <tp t="e">
        <v>#N/A</v>
        <stp/>
        <stp>BDH|1613829721920081100</stp>
        <tr r="R27" s="24"/>
      </tp>
      <tp t="e">
        <v>#N/A</v>
        <stp/>
        <stp>BDH|4567452893871202245</stp>
        <tr r="T11" s="29"/>
      </tp>
      <tp t="e">
        <v>#N/A</v>
        <stp/>
        <stp>BDH|4085703588736866752</stp>
        <tr r="N79" s="17"/>
        <tr r="N20" s="3"/>
        <tr r="L6" s="7"/>
      </tp>
      <tp t="e">
        <v>#N/A</v>
        <stp/>
        <stp>BDH|1069095580831877244</stp>
        <tr r="E62" s="17"/>
      </tp>
      <tp t="e">
        <v>#N/A</v>
        <stp/>
        <stp>BDH|2090811921074127642</stp>
        <tr r="O20" s="27"/>
      </tp>
      <tp t="e">
        <v>#N/A</v>
        <stp/>
        <stp>BDH|1690956124546322612</stp>
        <tr r="U28" s="22"/>
      </tp>
      <tp t="e">
        <v>#N/A</v>
        <stp/>
        <stp>BDH|6789744965755354804</stp>
        <tr r="P21" s="6"/>
      </tp>
      <tp t="e">
        <v>#N/A</v>
        <stp/>
        <stp>BDH|3636847271873411527</stp>
        <tr r="Z15" s="13"/>
      </tp>
      <tp t="e">
        <v>#N/A</v>
        <stp/>
        <stp>BDH|4928551769714418948</stp>
        <tr r="T60" s="18"/>
      </tp>
      <tp t="e">
        <v>#N/A</v>
        <stp/>
        <stp>BDH|4749945563733381263</stp>
        <tr r="I71" s="17"/>
      </tp>
      <tp t="e">
        <v>#N/A</v>
        <stp/>
        <stp>BDH|9152369067473348560</stp>
        <tr r="T45" s="12"/>
      </tp>
      <tp t="e">
        <v>#N/A</v>
        <stp/>
        <stp>BDH|8685074376503739656</stp>
        <tr r="R9" s="21"/>
      </tp>
      <tp t="e">
        <v>#N/A</v>
        <stp/>
        <stp>BDH|6772108082106765377</stp>
        <tr r="S97" s="18"/>
      </tp>
      <tp t="e">
        <v>#N/A</v>
        <stp/>
        <stp>BDH|9882670221541219693</stp>
        <tr r="J100" s="18"/>
      </tp>
      <tp t="e">
        <v>#N/A</v>
        <stp/>
        <stp>BDH|4410699119020351923</stp>
        <tr r="W112" s="18"/>
      </tp>
      <tp t="e">
        <v>#N/A</v>
        <stp/>
        <stp>BDH|81933475339666075</stp>
        <tr r="N16" s="24"/>
      </tp>
      <tp t="e">
        <v>#N/A</v>
        <stp/>
        <stp>BDH|23526023602176244</stp>
        <tr r="O37" s="17"/>
      </tp>
      <tp t="e">
        <v>#N/A</v>
        <stp/>
        <stp>BDH|22382411741300487</stp>
        <tr r="Z49" s="12"/>
      </tp>
      <tp t="e">
        <v>#N/A</v>
        <stp/>
        <stp>BDH|10232397334838819</stp>
        <tr r="F12" s="14"/>
      </tp>
      <tp t="e">
        <v>#N/A</v>
        <stp/>
        <stp>BDH|73186464932544246</stp>
        <tr r="O8" s="11"/>
      </tp>
      <tp t="e">
        <v>#N/A</v>
        <stp/>
        <stp>BDH|83379545744836402</stp>
        <tr r="M62" s="12"/>
      </tp>
      <tp t="e">
        <v>#N/A</v>
        <stp/>
        <stp>BDH|41596070052367712</stp>
        <tr r="E8" s="14"/>
      </tp>
      <tp t="e">
        <v>#N/A</v>
        <stp/>
        <stp>BDH|80366952764968569</stp>
        <tr r="L43" s="12"/>
      </tp>
      <tp t="e">
        <v>#N/A</v>
        <stp/>
        <stp>BDH|40621909677744640</stp>
        <tr r="I35" s="12"/>
      </tp>
      <tp t="e">
        <v>#N/A</v>
        <stp/>
        <stp>BDH|7094037014149497494</stp>
        <tr r="Z125" s="18"/>
      </tp>
      <tp t="e">
        <v>#N/A</v>
        <stp/>
        <stp>BDH|7353267058098241354</stp>
        <tr r="X24" s="2"/>
      </tp>
      <tp t="e">
        <v>#N/A</v>
        <stp/>
        <stp>BDH|1188316239482384807</stp>
        <tr r="Z34" s="21"/>
      </tp>
      <tp t="e">
        <v>#N/A</v>
        <stp/>
        <stp>BDH|8960526700547531142</stp>
        <tr r="P42" s="12"/>
      </tp>
      <tp t="e">
        <v>#N/A</v>
        <stp/>
        <stp>BDH|2473920050316931353</stp>
        <tr r="Z27" s="24"/>
      </tp>
      <tp t="e">
        <v>#N/A</v>
        <stp/>
        <stp>BDH|6176376267799219190</stp>
        <tr r="P29" s="17"/>
      </tp>
      <tp t="e">
        <v>#N/A</v>
        <stp/>
        <stp>BDH|9363220668810493671</stp>
        <tr r="Q29" s="21"/>
      </tp>
      <tp t="e">
        <v>#N/A</v>
        <stp/>
        <stp>BDH|8367786419186858302</stp>
        <tr r="P67" s="10"/>
        <tr r="P65" s="11"/>
      </tp>
      <tp t="e">
        <v>#N/A</v>
        <stp/>
        <stp>BDH|8294700662743337195</stp>
        <tr r="J46" s="12"/>
      </tp>
      <tp t="e">
        <v>#N/A</v>
        <stp/>
        <stp>BDH|3728538619734345841</stp>
        <tr r="G11" s="22"/>
      </tp>
      <tp t="e">
        <v>#N/A</v>
        <stp/>
        <stp>BDH|8367453261048890956</stp>
        <tr r="T42" s="21"/>
      </tp>
      <tp t="e">
        <v>#N/A</v>
        <stp/>
        <stp>BDH|8126114678944018124</stp>
        <tr r="T56" s="12"/>
      </tp>
      <tp t="e">
        <v>#N/A</v>
        <stp/>
        <stp>BDH|6154609039328422061</stp>
        <tr r="C10" s="18"/>
      </tp>
      <tp t="e">
        <v>#N/A</v>
        <stp/>
        <stp>BDH|2081636289182915592</stp>
        <tr r="N9" s="17"/>
      </tp>
      <tp t="e">
        <v>#N/A</v>
        <stp/>
        <stp>BDH|2934295020239288080</stp>
        <tr r="J10" s="11"/>
      </tp>
      <tp t="e">
        <v>#N/A</v>
        <stp/>
        <stp>BDH|4929039616389318757</stp>
        <tr r="Z94" s="18"/>
      </tp>
      <tp t="e">
        <v>#N/A</v>
        <stp/>
        <stp>BDH|7641790605192763962</stp>
        <tr r="F37" s="17"/>
      </tp>
      <tp t="e">
        <v>#N/A</v>
        <stp/>
        <stp>BDH|2671214662879989472</stp>
        <tr r="O63" s="17"/>
      </tp>
      <tp t="e">
        <v>#N/A</v>
        <stp/>
        <stp>BDH|3207812489208883098</stp>
        <tr r="R21" s="18"/>
      </tp>
      <tp t="e">
        <v>#N/A</v>
        <stp/>
        <stp>BDH|2548806106956997711</stp>
        <tr r="O13" s="21"/>
      </tp>
      <tp t="e">
        <v>#N/A</v>
        <stp/>
        <stp>BDH|4963595589956362419</stp>
        <tr r="W18" s="22"/>
      </tp>
      <tp t="e">
        <v>#N/A</v>
        <stp/>
        <stp>BDH|5252023997350835743</stp>
        <tr r="O61" s="18"/>
      </tp>
      <tp t="e">
        <v>#N/A</v>
        <stp/>
        <stp>BDH|3305652597131967631</stp>
        <tr r="D19" s="28"/>
        <tr r="D16" s="17"/>
      </tp>
      <tp t="e">
        <v>#N/A</v>
        <stp/>
        <stp>BDH|6060547289815696504</stp>
        <tr r="P8" s="6"/>
      </tp>
      <tp t="e">
        <v>#N/A</v>
        <stp/>
        <stp>BDH|6586480893940349061</stp>
        <tr r="K20" s="24"/>
      </tp>
      <tp t="e">
        <v>#N/A</v>
        <stp/>
        <stp>BDH|4657692704129344035</stp>
        <tr r="C111" s="18"/>
      </tp>
      <tp t="e">
        <v>#N/A</v>
        <stp/>
        <stp>BDH|4320198034189581404</stp>
        <tr r="D94" s="18"/>
      </tp>
      <tp t="e">
        <v>#N/A</v>
        <stp/>
        <stp>BDH|2250023449018525572</stp>
        <tr r="V52" s="12"/>
      </tp>
      <tp t="e">
        <v>#N/A</v>
        <stp/>
        <stp>BDH|1404573239838800492</stp>
        <tr r="Q30" s="24"/>
      </tp>
      <tp t="e">
        <v>#N/A</v>
        <stp/>
        <stp>BDH|4450317486360088481</stp>
        <tr r="Z87" s="18"/>
        <tr r="Z7" s="20"/>
      </tp>
      <tp t="e">
        <v>#N/A</v>
        <stp/>
        <stp>BDH|2862378232461471826</stp>
        <tr r="F63" s="12"/>
      </tp>
      <tp t="e">
        <v>#N/A</v>
        <stp/>
        <stp>BDH|4696101488496142043</stp>
        <tr r="F32" s="26"/>
      </tp>
      <tp t="e">
        <v>#N/A</v>
        <stp/>
        <stp>BDH|9413371744945422086</stp>
        <tr r="AA37" s="17"/>
      </tp>
      <tp t="e">
        <v>#N/A</v>
        <stp/>
        <stp>BDH|1999452353183161851</stp>
        <tr r="S46" s="12"/>
      </tp>
      <tp t="e">
        <v>#N/A</v>
        <stp/>
        <stp>BDH|6754816156984870431</stp>
        <tr r="N16" s="25"/>
        <tr r="L22" s="11"/>
      </tp>
      <tp t="e">
        <v>#N/A</v>
        <stp/>
        <stp>BDH|7566766988043442048</stp>
        <tr r="S20" s="17"/>
      </tp>
      <tp t="e">
        <v>#N/A</v>
        <stp/>
        <stp>BDH|9127018309237123535</stp>
        <tr r="J99" s="18"/>
      </tp>
      <tp t="e">
        <v>#N/A</v>
        <stp/>
        <stp>BDH|1836107324829016072</stp>
        <tr r="F86" s="18"/>
        <tr r="F6" s="20"/>
      </tp>
      <tp t="e">
        <v>#N/A</v>
        <stp/>
        <stp>BDH|8690022518716017472</stp>
        <tr r="W26" s="22"/>
      </tp>
      <tp t="e">
        <v>#N/A</v>
        <stp/>
        <stp>BDH|1370446622345895965</stp>
        <tr r="J9" s="13"/>
      </tp>
      <tp t="e">
        <v>#N/A</v>
        <stp/>
        <stp>BDH|8810521861997756772</stp>
        <tr r="N20" s="24"/>
      </tp>
      <tp t="e">
        <v>#N/A</v>
        <stp/>
        <stp>BDH|6750889333556177060</stp>
        <tr r="M19" s="17"/>
      </tp>
      <tp t="e">
        <v>#N/A</v>
        <stp/>
        <stp>BDH|7146811046185591583</stp>
        <tr r="R45" s="17"/>
      </tp>
      <tp t="e">
        <v>#N/A</v>
        <stp/>
        <stp>BDH|8370195135769571823</stp>
        <tr r="D23" s="24"/>
      </tp>
      <tp t="e">
        <v>#N/A</v>
        <stp/>
        <stp>BDH|8637002478097290349</stp>
        <tr r="G15" s="29"/>
        <tr r="G35" s="29"/>
      </tp>
      <tp t="e">
        <v>#N/A</v>
        <stp/>
        <stp>BDH|7745693521538558026</stp>
        <tr r="F30" s="10"/>
        <tr r="F28" s="11"/>
      </tp>
      <tp t="e">
        <v>#N/A</v>
        <stp/>
        <stp>BDH|9229806491656875535</stp>
        <tr r="E33" s="22"/>
      </tp>
      <tp t="e">
        <v>#N/A</v>
        <stp/>
        <stp>BDH|3693329194314996619</stp>
        <tr r="R54" s="17"/>
      </tp>
      <tp t="e">
        <v>#N/A</v>
        <stp/>
        <stp>BDH|8122700590239021491</stp>
        <tr r="L67" s="18"/>
      </tp>
      <tp t="e">
        <v>#N/A</v>
        <stp/>
        <stp>BDH|4290365968499431308</stp>
        <tr r="H11" s="9"/>
      </tp>
      <tp t="e">
        <v>#N/A</v>
        <stp/>
        <stp>BDH|3950075816290269927</stp>
        <tr r="H39" s="17"/>
      </tp>
      <tp t="e">
        <v>#N/A</v>
        <stp/>
        <stp>BDH|7008971011791848561</stp>
        <tr r="R42" s="12"/>
      </tp>
      <tp t="e">
        <v>#N/A</v>
        <stp/>
        <stp>BDH|5502487426118412075</stp>
        <tr r="G31" s="21"/>
      </tp>
      <tp t="e">
        <v>#N/A</v>
        <stp/>
        <stp>BDH|3368735597485945361</stp>
        <tr r="I15" s="22"/>
      </tp>
      <tp t="e">
        <v>#N/A</v>
        <stp/>
        <stp>BDH|7853808633627066038</stp>
        <tr r="O8" s="8"/>
      </tp>
      <tp t="e">
        <v>#N/A</v>
        <stp/>
        <stp>BDH|7782303489996549132</stp>
        <tr r="Y19" s="25"/>
        <tr r="Y12" s="27"/>
      </tp>
      <tp t="e">
        <v>#N/A</v>
        <stp/>
        <stp>BDH|7669993624941417679</stp>
        <tr r="H85" s="18"/>
      </tp>
      <tp t="e">
        <v>#N/A</v>
        <stp/>
        <stp>BDH|8840374396689346026</stp>
        <tr r="J7" s="8"/>
      </tp>
      <tp t="e">
        <v>#N/A</v>
        <stp/>
        <stp>BDH|8144696036594368257</stp>
        <tr r="N37" s="10"/>
        <tr r="N35" s="11"/>
      </tp>
      <tp t="e">
        <v>#N/A</v>
        <stp/>
        <stp>BDH|8054145268653000740</stp>
        <tr r="T33" s="18"/>
      </tp>
      <tp t="e">
        <v>#N/A</v>
        <stp/>
        <stp>BDH|1570756509468349527</stp>
        <tr r="K11" s="18"/>
      </tp>
      <tp t="e">
        <v>#N/A</v>
        <stp/>
        <stp>BDH|7445829377542981109</stp>
        <tr r="J10" s="4"/>
        <tr r="I6" s="16"/>
        <tr r="L6" s="3"/>
        <tr r="J6" s="11"/>
      </tp>
      <tp t="e">
        <v>#N/A</v>
        <stp/>
        <stp>BDH|4130290789154996103</stp>
        <tr r="Y30" s="26"/>
      </tp>
      <tp t="e">
        <v>#N/A</v>
        <stp/>
        <stp>BDH|3110486464742711829</stp>
        <tr r="X40" s="24"/>
      </tp>
      <tp t="e">
        <v>#N/A</v>
        <stp/>
        <stp>BDH|5981358351841557907</stp>
        <tr r="M21" s="6"/>
      </tp>
      <tp t="e">
        <v>#N/A</v>
        <stp/>
        <stp>BDH|6714451510349314198</stp>
        <tr r="H10" s="17"/>
      </tp>
      <tp t="e">
        <v>#N/A</v>
        <stp/>
        <stp>BDH|4721192093870450710</stp>
        <tr r="L34" s="6"/>
        <tr r="N9" s="8"/>
      </tp>
      <tp t="e">
        <v>#N/A</v>
        <stp/>
        <stp>BDH|9523458162192956233</stp>
        <tr r="G14" s="10"/>
      </tp>
      <tp t="e">
        <v>#N/A</v>
        <stp/>
        <stp>BDH|9199769722803900445</stp>
        <tr r="X15" s="17"/>
        <tr r="X18" s="28"/>
      </tp>
      <tp t="e">
        <v>#N/A</v>
        <stp/>
        <stp>BDH|9824816923889481168</stp>
        <tr r="D16" s="14"/>
      </tp>
      <tp t="e">
        <v>#N/A</v>
        <stp/>
        <stp>BDH|4891463761525356846</stp>
        <tr r="X46" s="24"/>
      </tp>
      <tp t="e">
        <v>#N/A</v>
        <stp/>
        <stp>BDH|3805098669649956794</stp>
        <tr r="Z29" s="21"/>
      </tp>
      <tp t="e">
        <v>#N/A</v>
        <stp/>
        <stp>BDH|7350040690302813779</stp>
        <tr r="D11" s="21"/>
      </tp>
      <tp t="e">
        <v>#N/A</v>
        <stp/>
        <stp>BDH|8035617359984808483</stp>
        <tr r="V55" s="24"/>
      </tp>
      <tp t="e">
        <v>#N/A</v>
        <stp/>
        <stp>BDH|4810978025733721752</stp>
        <tr r="K9" s="21"/>
      </tp>
      <tp t="e">
        <v>#N/A</v>
        <stp/>
        <stp>BDH|5900079865330042830</stp>
        <tr r="C11" s="11"/>
      </tp>
      <tp t="e">
        <v>#N/A</v>
        <stp/>
        <stp>BDH|6060040815214120888</stp>
        <tr r="AA10" s="21"/>
      </tp>
      <tp t="e">
        <v>#N/A</v>
        <stp/>
        <stp>BDH|4168217886135637092</stp>
        <tr r="N20" s="6"/>
      </tp>
      <tp t="e">
        <v>#N/A</v>
        <stp/>
        <stp>BDH|3833925501429004823</stp>
        <tr r="D20" s="12"/>
      </tp>
      <tp t="e">
        <v>#N/A</v>
        <stp/>
        <stp>BDH|5052782883559472864</stp>
        <tr r="M11" s="9"/>
      </tp>
      <tp t="e">
        <v>#N/A</v>
        <stp/>
        <stp>BDH|9009930180226367594</stp>
        <tr r="Z44" s="12"/>
      </tp>
      <tp t="e">
        <v>#N/A</v>
        <stp/>
        <stp>BDH|1741143174974856868</stp>
        <tr r="R44" s="12"/>
      </tp>
      <tp t="e">
        <v>#N/A</v>
        <stp/>
        <stp>BDH|6917885710611072586</stp>
        <tr r="J32" s="18"/>
      </tp>
      <tp t="e">
        <v>#N/A</v>
        <stp/>
        <stp>BDH|2334535163602235881</stp>
        <tr r="C20" s="27"/>
      </tp>
      <tp t="e">
        <v>#N/A</v>
        <stp/>
        <stp>BDH|8755515637221815407</stp>
        <tr r="G49" s="12"/>
      </tp>
      <tp t="e">
        <v>#N/A</v>
        <stp/>
        <stp>BDH|5663524982142823175</stp>
        <tr r="D32" s="26"/>
      </tp>
      <tp t="e">
        <v>#N/A</v>
        <stp/>
        <stp>BDH|2265557253458829150</stp>
        <tr r="M11" s="28"/>
      </tp>
      <tp t="e">
        <v>#N/A</v>
        <stp/>
        <stp>BDH|6381428690714806401</stp>
        <tr r="I28" s="12"/>
      </tp>
      <tp t="e">
        <v>#N/A</v>
        <stp/>
        <stp>BDH|9550285231270664332</stp>
        <tr r="M84" s="18"/>
      </tp>
      <tp t="e">
        <v>#N/A</v>
        <stp/>
        <stp>BDH|5192154013336919879</stp>
        <tr r="S79" s="18"/>
      </tp>
      <tp t="e">
        <v>#N/A</v>
        <stp/>
        <stp>BDH|1109203737903734880</stp>
        <tr r="D49" s="21"/>
      </tp>
      <tp t="e">
        <v>#N/A</v>
        <stp/>
        <stp>BDH|6633780016013198803</stp>
        <tr r="S9" s="6"/>
      </tp>
      <tp t="e">
        <v>#N/A</v>
        <stp/>
        <stp>BDH|9082497505522622433</stp>
        <tr r="L26" s="18"/>
      </tp>
      <tp t="e">
        <v>#N/A</v>
        <stp/>
        <stp>BDH|1382481386766157051</stp>
        <tr r="G40" s="18"/>
      </tp>
      <tp t="e">
        <v>#N/A</v>
        <stp/>
        <stp>BDH|4333243695126325289</stp>
        <tr r="U55" s="24"/>
      </tp>
      <tp t="e">
        <v>#N/A</v>
        <stp/>
        <stp>BDH|5752224189626483212</stp>
        <tr r="E16" s="14"/>
      </tp>
      <tp t="e">
        <v>#N/A</v>
        <stp/>
        <stp>BDH|6813923067894071640</stp>
        <tr r="R15" s="21"/>
      </tp>
      <tp t="e">
        <v>#N/A</v>
        <stp/>
        <stp>BDH|3669867010756897713</stp>
        <tr r="K46" s="12"/>
      </tp>
      <tp t="e">
        <v>#N/A</v>
        <stp/>
        <stp>BDH|4801902343800544271</stp>
        <tr r="K98" s="18"/>
      </tp>
      <tp t="e">
        <v>#N/A</v>
        <stp/>
        <stp>BDH|8143589895357541805</stp>
        <tr r="U86" s="17"/>
      </tp>
      <tp t="e">
        <v>#N/A</v>
        <stp/>
        <stp>BDH|8902630635765717318</stp>
        <tr r="P53" s="17"/>
      </tp>
      <tp t="e">
        <v>#N/A</v>
        <stp/>
        <stp>BDH|4894244770479248373</stp>
        <tr r="T63" s="24"/>
      </tp>
      <tp t="e">
        <v>#N/A</v>
        <stp/>
        <stp>BDH|2528618881680907752</stp>
        <tr r="P52" s="21"/>
      </tp>
      <tp t="e">
        <v>#N/A</v>
        <stp/>
        <stp>BDH|6305105195642911713</stp>
        <tr r="W46" s="24"/>
      </tp>
      <tp t="e">
        <v>#N/A</v>
        <stp/>
        <stp>BDH|9973914230470055862</stp>
        <tr r="L52" s="12"/>
      </tp>
      <tp t="e">
        <v>#N/A</v>
        <stp/>
        <stp>BDH|9682041950941510691</stp>
        <tr r="Q45" s="21"/>
      </tp>
      <tp t="e">
        <v>#N/A</v>
        <stp/>
        <stp>BDH|9970701850598403830</stp>
        <tr r="AA54" s="12"/>
      </tp>
      <tp t="e">
        <v>#N/A</v>
        <stp/>
        <stp>BDH|2270993785110805887</stp>
        <tr r="E9" s="22"/>
      </tp>
      <tp t="e">
        <v>#N/A</v>
        <stp/>
        <stp>BDH|9973712090355419925</stp>
        <tr r="D59" s="24"/>
      </tp>
      <tp t="e">
        <v>#N/A</v>
        <stp/>
        <stp>BDH|2142294681652419135</stp>
        <tr r="Y120" s="18"/>
      </tp>
      <tp t="e">
        <v>#N/A</v>
        <stp/>
        <stp>BDH|9981613495835321804</stp>
        <tr r="V38" s="4"/>
        <tr r="V60" s="11"/>
        <tr r="X13" s="23"/>
      </tp>
      <tp t="e">
        <v>#N/A</v>
        <stp/>
        <stp>BDH|3332099705530234838</stp>
        <tr r="C66" s="18"/>
      </tp>
      <tp t="e">
        <v>#N/A</v>
        <stp/>
        <stp>BDH|9291061085018971269</stp>
        <tr r="C45" s="4"/>
        <tr r="C27" s="10"/>
        <tr r="C25" s="11"/>
        <tr r="E26" s="13"/>
      </tp>
      <tp t="e">
        <v>#N/A</v>
        <stp/>
        <stp>BDH|3895659431859389416</stp>
        <tr r="K17" s="29"/>
        <tr r="K37" s="29"/>
      </tp>
      <tp t="e">
        <v>#N/A</v>
        <stp/>
        <stp>BDH|5014416217179961218</stp>
        <tr r="G22" s="5"/>
      </tp>
      <tp t="e">
        <v>#N/A</v>
        <stp/>
        <stp>BDH|2571991820751617348</stp>
        <tr r="C89" s="17"/>
        <tr r="C7" s="27"/>
      </tp>
      <tp t="e">
        <v>#N/A</v>
        <stp/>
        <stp>BDH|9466801066465915959</stp>
        <tr r="M20" s="5"/>
        <tr r="M21" s="9"/>
      </tp>
      <tp t="e">
        <v>#N/A</v>
        <stp/>
        <stp>BDH|8864594758831621213</stp>
        <tr r="S96" s="18"/>
      </tp>
      <tp t="e">
        <v>#N/A</v>
        <stp/>
        <stp>BDH|1268433288320251658</stp>
        <tr r="AA88" s="17"/>
      </tp>
      <tp t="e">
        <v>#N/A</v>
        <stp/>
        <stp>BDH|7663580235402285870</stp>
        <tr r="W107" s="18"/>
      </tp>
      <tp t="e">
        <v>#N/A</v>
        <stp/>
        <stp>BDH|8983007660591639413</stp>
        <tr r="I13" s="8"/>
      </tp>
      <tp t="e">
        <v>#N/A</v>
        <stp/>
        <stp>BDH|9257227064360992632</stp>
        <tr r="L86" s="17"/>
      </tp>
      <tp t="e">
        <v>#N/A</v>
        <stp/>
        <stp>BDH|2683980936651433227</stp>
        <tr r="C38" s="22"/>
      </tp>
      <tp t="e">
        <v>#N/A</v>
        <stp/>
        <stp>BDH|6967545290847215617</stp>
        <tr r="K26" s="22"/>
      </tp>
      <tp t="e">
        <v>#N/A</v>
        <stp/>
        <stp>BDH|5728919371040967000</stp>
        <tr r="U9" s="18"/>
      </tp>
      <tp t="e">
        <v>#N/A</v>
        <stp/>
        <stp>BDH|3482505585382619793</stp>
        <tr r="T120" s="18"/>
      </tp>
      <tp t="e">
        <v>#N/A</v>
        <stp/>
        <stp>BDH|6028366992074392393</stp>
        <tr r="X12" s="30"/>
      </tp>
      <tp t="e">
        <v>#N/A</v>
        <stp/>
        <stp>BDH|1640868136637145690</stp>
        <tr r="V19" s="22"/>
      </tp>
      <tp t="e">
        <v>#N/A</v>
        <stp/>
        <stp>BDH|9754521158453281116</stp>
        <tr r="N23" s="26"/>
      </tp>
      <tp t="e">
        <v>#N/A</v>
        <stp/>
        <stp>BDH|4927876440223612069</stp>
        <tr r="Y39" s="17"/>
      </tp>
      <tp t="e">
        <v>#N/A</v>
        <stp/>
        <stp>BDH|9340216236860825339</stp>
        <tr r="L34" s="34"/>
      </tp>
      <tp t="e">
        <v>#N/A</v>
        <stp/>
        <stp>BDH|8166741245063827375</stp>
        <tr r="U59" s="24"/>
      </tp>
      <tp t="e">
        <v>#N/A</v>
        <stp/>
        <stp>BDH|9701537554024801677</stp>
        <tr r="O11" s="22"/>
      </tp>
      <tp t="e">
        <v>#N/A</v>
        <stp/>
        <stp>BDH|3248998046844574173</stp>
        <tr r="Q22" s="21"/>
      </tp>
      <tp t="e">
        <v>#N/A</v>
        <stp/>
        <stp>BDH|3800069254809564404</stp>
        <tr r="R16" s="26"/>
      </tp>
      <tp t="e">
        <v>#N/A</v>
        <stp/>
        <stp>BDH|9486828529370665866</stp>
        <tr r="G61" s="24"/>
      </tp>
      <tp t="e">
        <v>#N/A</v>
        <stp/>
        <stp>BDH|8857266951536246221</stp>
        <tr r="Z47" s="17"/>
      </tp>
      <tp t="e">
        <v>#N/A</v>
        <stp/>
        <stp>BDH|4081042182314025399</stp>
        <tr r="Q32" s="25"/>
        <tr r="Q7" s="3"/>
        <tr r="O19" s="11"/>
        <tr r="Q22" s="13"/>
        <tr r="Q7" s="13"/>
      </tp>
      <tp t="e">
        <v>#N/A</v>
        <stp/>
        <stp>BDH|6563860725766176184</stp>
        <tr r="E37" s="24"/>
      </tp>
      <tp t="e">
        <v>#N/A</v>
        <stp/>
        <stp>BDH|7550914527353514491</stp>
        <tr r="N63" s="11"/>
      </tp>
      <tp t="e">
        <v>#N/A</v>
        <stp/>
        <stp>BDH|6381089321677119843</stp>
        <tr r="U12" s="22"/>
      </tp>
      <tp t="e">
        <v>#N/A</v>
        <stp/>
        <stp>BDH|1510778006625291891</stp>
        <tr r="K21" s="6"/>
      </tp>
      <tp t="e">
        <v>#N/A</v>
        <stp/>
        <stp>BDH|9079006731608895969</stp>
        <tr r="S23" s="22"/>
      </tp>
      <tp t="e">
        <v>#N/A</v>
        <stp/>
        <stp>BDH|6451145996663822612</stp>
        <tr r="R15" s="29"/>
        <tr r="R35" s="29"/>
      </tp>
      <tp t="e">
        <v>#N/A</v>
        <stp/>
        <stp>BDH|2424223070479958506</stp>
        <tr r="S59" s="12"/>
      </tp>
      <tp t="e">
        <v>#N/A</v>
        <stp/>
        <stp>BDH|7121801903865973145</stp>
        <tr r="N26" s="22"/>
      </tp>
      <tp t="e">
        <v>#N/A</v>
        <stp/>
        <stp>BDH|7969820621601611739</stp>
        <tr r="W126" s="18"/>
      </tp>
      <tp t="e">
        <v>#N/A</v>
        <stp/>
        <stp>BDH|5316933976947032790</stp>
        <tr r="I24" s="4"/>
        <tr r="I59" s="11"/>
      </tp>
      <tp t="e">
        <v>#N/A</v>
        <stp/>
        <stp>BDH|8441136749266919089</stp>
        <tr r="K38" s="22"/>
      </tp>
      <tp t="e">
        <v>#N/A</v>
        <stp/>
        <stp>BDH|2037094078019783794</stp>
        <tr r="G21" s="21"/>
      </tp>
      <tp t="e">
        <v>#N/A</v>
        <stp/>
        <stp>BDH|6143528694664125593</stp>
        <tr r="S10" s="30"/>
      </tp>
      <tp t="e">
        <v>#N/A</v>
        <stp/>
        <stp>BDH|4027281311819609500</stp>
        <tr r="Z38" s="17"/>
      </tp>
      <tp t="e">
        <v>#N/A</v>
        <stp/>
        <stp>BDH|3830286993063986057</stp>
        <tr r="P45" s="17"/>
      </tp>
      <tp t="e">
        <v>#N/A</v>
        <stp/>
        <stp>BDH|5712605094351421088</stp>
        <tr r="M73" s="18"/>
      </tp>
      <tp t="e">
        <v>#N/A</v>
        <stp/>
        <stp>BDH|3853736160830251962</stp>
        <tr r="P7" s="28"/>
      </tp>
      <tp t="e">
        <v>#N/A</v>
        <stp/>
        <stp>BDH|5846967958150992207</stp>
        <tr r="S13" s="2"/>
      </tp>
      <tp t="e">
        <v>#N/A</v>
        <stp/>
        <stp>BDH|9971092290819846276</stp>
        <tr r="X20" s="29"/>
      </tp>
      <tp t="e">
        <v>#N/A</v>
        <stp/>
        <stp>BDH|9262674270422207189</stp>
        <tr r="V22" s="24"/>
      </tp>
      <tp t="e">
        <v>#N/A</v>
        <stp/>
        <stp>BDH|9023381531830730216</stp>
        <tr r="K53" s="18"/>
      </tp>
      <tp t="e">
        <v>#N/A</v>
        <stp/>
        <stp>BDH|3405837106635810551</stp>
        <tr r="N18" s="5"/>
        <tr r="M31" s="6"/>
      </tp>
      <tp t="e">
        <v>#N/A</v>
        <stp/>
        <stp>BDH|9604712509743367612</stp>
        <tr r="G26" s="17"/>
      </tp>
      <tp t="e">
        <v>#N/A</v>
        <stp/>
        <stp>BDH|6359946459296137733</stp>
        <tr r="M29" s="12"/>
      </tp>
      <tp t="e">
        <v>#N/A</v>
        <stp/>
        <stp>BDH|8213181319985899673</stp>
        <tr r="K29" s="21"/>
      </tp>
      <tp t="e">
        <v>#N/A</v>
        <stp/>
        <stp>BDH|7810017603744335850</stp>
        <tr r="G65" s="10"/>
      </tp>
      <tp t="e">
        <v>#N/A</v>
        <stp/>
        <stp>BDH|5961586993305827763</stp>
        <tr r="I24" s="21"/>
      </tp>
      <tp t="e">
        <v>#N/A</v>
        <stp/>
        <stp>BDH|9734940265809963439</stp>
        <tr r="U58" s="24"/>
      </tp>
      <tp t="e">
        <v>#N/A</v>
        <stp/>
        <stp>BDH|8643465272527884768</stp>
        <tr r="G49" s="4"/>
      </tp>
      <tp t="e">
        <v>#N/A</v>
        <stp/>
        <stp>BDH|9846031662545313167</stp>
        <tr r="D13" s="7"/>
      </tp>
      <tp t="e">
        <v>#N/A</v>
        <stp/>
        <stp>BDH|7104632442718409683</stp>
        <tr r="V31" s="12"/>
      </tp>
      <tp t="e">
        <v>#N/A</v>
        <stp/>
        <stp>BDH|6617224949513005816</stp>
        <tr r="U16" s="14"/>
      </tp>
      <tp t="e">
        <v>#N/A</v>
        <stp/>
        <stp>BDH|8903726774163794047</stp>
        <tr r="Y54" s="12"/>
      </tp>
      <tp t="e">
        <v>#N/A</v>
        <stp/>
        <stp>BDH|4534257532996968872</stp>
        <tr r="M9" s="10"/>
      </tp>
      <tp t="e">
        <v>#N/A</v>
        <stp/>
        <stp>BDH|1567085182852632051</stp>
        <tr r="H25" s="26"/>
      </tp>
      <tp t="e">
        <v>#N/A</v>
        <stp/>
        <stp>BDH|8263220878364281264</stp>
        <tr r="Y44" s="17"/>
      </tp>
      <tp t="e">
        <v>#N/A</v>
        <stp/>
        <stp>BDH|1843153383257188434</stp>
        <tr r="E19" s="9"/>
      </tp>
      <tp t="e">
        <v>#N/A</v>
        <stp/>
        <stp>BDH|2160552868938538255</stp>
        <tr r="I38" s="17"/>
      </tp>
      <tp t="e">
        <v>#N/A</v>
        <stp/>
        <stp>BDH|3118079261036920820</stp>
        <tr r="J129" s="18"/>
      </tp>
      <tp t="e">
        <v>#N/A</v>
        <stp/>
        <stp>BDH|8681455143525859647</stp>
        <tr r="O60" s="18"/>
      </tp>
      <tp t="e">
        <v>#N/A</v>
        <stp/>
        <stp>BDH|3961322814999351305</stp>
        <tr r="T25" s="12"/>
      </tp>
      <tp t="e">
        <v>#N/A</v>
        <stp/>
        <stp>BDH|6854562534108526338</stp>
        <tr r="M61" s="24"/>
      </tp>
      <tp t="e">
        <v>#N/A</v>
        <stp/>
        <stp>BDH|7114228381300933676</stp>
        <tr r="K83" s="18"/>
      </tp>
      <tp t="e">
        <v>#N/A</v>
        <stp/>
        <stp>BDH|8991045967743228647</stp>
        <tr r="L67" s="24"/>
      </tp>
      <tp t="e">
        <v>#N/A</v>
        <stp/>
        <stp>BDH|4967777912588926198</stp>
        <tr r="U64" s="24"/>
      </tp>
      <tp t="e">
        <v>#N/A</v>
        <stp/>
        <stp>BDH|5804010295512625569</stp>
        <tr r="V8" s="11"/>
      </tp>
      <tp t="e">
        <v>#N/A</v>
        <stp/>
        <stp>BDH|7736995450709181937</stp>
        <tr r="D46" s="4"/>
        <tr r="D25" s="10"/>
        <tr r="F27" s="13"/>
      </tp>
      <tp t="e">
        <v>#N/A</v>
        <stp/>
        <stp>BDH|2850755144612772831</stp>
        <tr r="Q26" s="17"/>
      </tp>
      <tp t="e">
        <v>#N/A</v>
        <stp/>
        <stp>BDH|9976318054245081115</stp>
        <tr r="L70" s="18"/>
      </tp>
      <tp t="e">
        <v>#N/A</v>
        <stp/>
        <stp>BDH|3342983138206730495</stp>
        <tr r="W14" s="20"/>
      </tp>
      <tp t="e">
        <v>#N/A</v>
        <stp/>
        <stp>BDH|8604140612564443793</stp>
        <tr r="R21" s="2"/>
      </tp>
      <tp t="e">
        <v>#N/A</v>
        <stp/>
        <stp>BDH|6874546054178173545</stp>
        <tr r="V62" s="18"/>
      </tp>
      <tp t="e">
        <v>#N/A</v>
        <stp/>
        <stp>BDH|7750571966598329781</stp>
        <tr r="H56" s="17"/>
      </tp>
      <tp t="e">
        <v>#N/A</v>
        <stp/>
        <stp>BDH|3704402246760589898</stp>
        <tr r="G81" s="18"/>
      </tp>
      <tp t="e">
        <v>#N/A</v>
        <stp/>
        <stp>BDH|4158405696365825725</stp>
        <tr r="Q10" s="28"/>
      </tp>
      <tp t="e">
        <v>#N/A</v>
        <stp/>
        <stp>BDH|6799050319514104878</stp>
        <tr r="H39" s="10"/>
        <tr r="H37" s="11"/>
      </tp>
      <tp t="e">
        <v>#N/A</v>
        <stp/>
        <stp>BDH|8403872108042043961</stp>
        <tr r="L13" s="17"/>
        <tr r="L16" s="28"/>
      </tp>
      <tp t="e">
        <v>#N/A</v>
        <stp/>
        <stp>BDH|1851017296887780455</stp>
        <tr r="K63" s="17"/>
      </tp>
      <tp t="e">
        <v>#N/A</v>
        <stp/>
        <stp>BDH|9669339852225986133</stp>
        <tr r="Z54" s="24"/>
      </tp>
      <tp t="e">
        <v>#N/A</v>
        <stp/>
        <stp>BDH|4389197472109713029</stp>
        <tr r="M17" s="13"/>
      </tp>
      <tp t="e">
        <v>#N/A</v>
        <stp/>
        <stp>BDH|8507660778942343054</stp>
        <tr r="Y9" s="11"/>
      </tp>
      <tp t="e">
        <v>#N/A</v>
        <stp/>
        <stp>BDH|4046702748818659432</stp>
        <tr r="M26" s="29"/>
      </tp>
      <tp t="e">
        <v>#N/A</v>
        <stp/>
        <stp>BDH|5997337374039600355</stp>
        <tr r="U113" s="18"/>
      </tp>
      <tp t="e">
        <v>#N/A</v>
        <stp/>
        <stp>BDH|5315868517797665093</stp>
        <tr r="G9" s="23"/>
      </tp>
      <tp t="e">
        <v>#N/A</v>
        <stp/>
        <stp>BDH|7882852377654758704</stp>
        <tr r="I19" s="10"/>
        <tr r="K16" s="13"/>
        <tr r="K23" s="13"/>
      </tp>
      <tp t="e">
        <v>#N/A</v>
        <stp/>
        <stp>BDH|9838850270989374431</stp>
        <tr r="D21" s="5"/>
      </tp>
      <tp t="e">
        <v>#N/A</v>
        <stp/>
        <stp>BDH|9824848690354704765</stp>
        <tr r="U9" s="12"/>
      </tp>
      <tp t="e">
        <v>#N/A</v>
        <stp/>
        <stp>BDH|3754962037813805130</stp>
        <tr r="AA37" s="18"/>
      </tp>
      <tp t="e">
        <v>#N/A</v>
        <stp/>
        <stp>BDH|4173573438828549166</stp>
        <tr r="K62" s="21"/>
      </tp>
      <tp t="e">
        <v>#N/A</v>
        <stp/>
        <stp>BDH|8282643391294254882</stp>
        <tr r="C99" s="18"/>
      </tp>
      <tp t="e">
        <v>#N/A</v>
        <stp/>
        <stp>BDH|3367459595840970580</stp>
        <tr r="R60" s="17"/>
      </tp>
      <tp t="e">
        <v>#N/A</v>
        <stp/>
        <stp>BDH|8917848666034080991</stp>
        <tr r="AA21" s="25"/>
        <tr r="AA14" s="27"/>
      </tp>
      <tp t="e">
        <v>#N/A</v>
        <stp/>
        <stp>BDH|8179957371399487438</stp>
        <tr r="J35" s="22"/>
      </tp>
      <tp t="e">
        <v>#N/A</v>
        <stp/>
        <stp>BDH|3062589317754892852</stp>
        <tr r="AA79" s="18"/>
      </tp>
      <tp t="e">
        <v>#N/A</v>
        <stp/>
        <stp>BDH|2562168676877432836</stp>
        <tr r="C18" s="5"/>
      </tp>
      <tp t="e">
        <v>#N/A</v>
        <stp/>
        <stp>BDH|9648716860303222070</stp>
        <tr r="E59" s="17"/>
      </tp>
      <tp t="e">
        <v>#N/A</v>
        <stp/>
        <stp>BDH|5981053519989254654</stp>
        <tr r="T18" s="5"/>
        <tr r="S31" s="6"/>
      </tp>
      <tp t="e">
        <v>#N/A</v>
        <stp/>
        <stp>BDH|8383026822049344829</stp>
        <tr r="Y38" s="24"/>
      </tp>
      <tp t="e">
        <v>#N/A</v>
        <stp/>
        <stp>BDH|1022450164248671055</stp>
        <tr r="M21" s="18"/>
      </tp>
      <tp t="e">
        <v>#N/A</v>
        <stp/>
        <stp>BDH|3060984658341364515</stp>
        <tr r="C24" s="10"/>
      </tp>
      <tp t="e">
        <v>#N/A</v>
        <stp/>
        <stp>BDH|8081162004030808288</stp>
        <tr r="Y50" s="21"/>
      </tp>
      <tp t="e">
        <v>#N/A</v>
        <stp/>
        <stp>BDH|9554497318744408327</stp>
        <tr r="G58" s="21"/>
        <tr r="G30" s="25"/>
        <tr r="E31" s="4"/>
        <tr r="E56" s="11"/>
      </tp>
      <tp t="e">
        <v>#N/A</v>
        <stp/>
        <stp>BDH|4998544042086582880</stp>
        <tr r="D9" s="26"/>
      </tp>
      <tp t="e">
        <v>#N/A</v>
        <stp/>
        <stp>BDH|8947285824341026275</stp>
        <tr r="S82" s="18"/>
      </tp>
      <tp t="e">
        <v>#N/A</v>
        <stp/>
        <stp>BDH|8304690740207177691</stp>
        <tr r="V84" s="17"/>
      </tp>
      <tp t="e">
        <v>#N/A</v>
        <stp/>
        <stp>BDH|4816195103326600860</stp>
        <tr r="M66" s="18"/>
      </tp>
      <tp t="e">
        <v>#N/A</v>
        <stp/>
        <stp>BDH|7439136039917585993</stp>
        <tr r="H8" s="18"/>
      </tp>
      <tp t="e">
        <v>#N/A</v>
        <stp/>
        <stp>BDH|1526771705078616534</stp>
        <tr r="K39" s="12"/>
      </tp>
      <tp t="e">
        <v>#N/A</v>
        <stp/>
        <stp>BDH|7165570355258048416</stp>
        <tr r="H24" s="24"/>
      </tp>
      <tp t="e">
        <v>#N/A</v>
        <stp/>
        <stp>BDH|3724575593836747262</stp>
        <tr r="H9" s="34"/>
      </tp>
      <tp t="e">
        <v>#N/A</v>
        <stp/>
        <stp>BDH|9664167116935199758</stp>
        <tr r="Q18" s="9"/>
      </tp>
      <tp t="e">
        <v>#N/A</v>
        <stp/>
        <stp>BDH|2196931755423070653</stp>
        <tr r="T13" s="21"/>
      </tp>
      <tp t="e">
        <v>#N/A</v>
        <stp/>
        <stp>BDH|9449660673926177522</stp>
        <tr r="R7" s="17"/>
      </tp>
      <tp t="e">
        <v>#N/A</v>
        <stp/>
        <stp>BDH|1484783513364511882</stp>
        <tr r="P14" s="12"/>
      </tp>
      <tp t="e">
        <v>#N/A</v>
        <stp/>
        <stp>BDH|8876665874942182099</stp>
        <tr r="E38" s="13"/>
      </tp>
      <tp t="e">
        <v>#N/A</v>
        <stp/>
        <stp>BDH|9947453099886124960</stp>
        <tr r="R15" s="10"/>
      </tp>
      <tp t="e">
        <v>#N/A</v>
        <stp/>
        <stp>BDH|4990046082065512282</stp>
        <tr r="T101" s="18"/>
      </tp>
      <tp t="e">
        <v>#N/A</v>
        <stp/>
        <stp>BDH|3048873167584385215</stp>
        <tr r="X8" s="11"/>
      </tp>
      <tp t="e">
        <v>#N/A</v>
        <stp/>
        <stp>BDH|9920633059143185207</stp>
        <tr r="X14" s="22"/>
      </tp>
      <tp t="e">
        <v>#N/A</v>
        <stp/>
        <stp>BDH|2270544614839479442</stp>
        <tr r="K42" s="24"/>
      </tp>
      <tp t="e">
        <v>#N/A</v>
        <stp/>
        <stp>BDH|5638925157706961489</stp>
        <tr r="Y48" s="10"/>
        <tr r="Y46" s="11"/>
        <tr r="Y15" s="7"/>
      </tp>
      <tp t="e">
        <v>#N/A</v>
        <stp/>
        <stp>BDH|6158818243684469553</stp>
        <tr r="I28" s="26"/>
      </tp>
      <tp t="e">
        <v>#N/A</v>
        <stp/>
        <stp>BDH|2362326001013434972</stp>
        <tr r="Z42" s="21"/>
      </tp>
      <tp t="e">
        <v>#N/A</v>
        <stp/>
        <stp>BDH|5453253011135373801</stp>
        <tr r="S15" s="17"/>
        <tr r="S18" s="28"/>
      </tp>
      <tp t="e">
        <v>#N/A</v>
        <stp/>
        <stp>BDH|6276737474978187572</stp>
        <tr r="P106" s="18"/>
      </tp>
      <tp t="e">
        <v>#N/A</v>
        <stp/>
        <stp>BDH|9119609210975359016</stp>
        <tr r="O8" s="28"/>
      </tp>
      <tp t="e">
        <v>#N/A</v>
        <stp/>
        <stp>BDH|3642369065808770510</stp>
        <tr r="S43" s="12"/>
      </tp>
      <tp t="e">
        <v>#N/A</v>
        <stp/>
        <stp>BDH|2995792745698286247</stp>
        <tr r="H9" s="12"/>
      </tp>
      <tp t="e">
        <v>#N/A</v>
        <stp/>
        <stp>BDH|7007852010636382359</stp>
        <tr r="Z20" s="30"/>
      </tp>
      <tp t="e">
        <v>#N/A</v>
        <stp/>
        <stp>BDH|5766447805738144247</stp>
        <tr r="H15" s="17"/>
        <tr r="H18" s="28"/>
      </tp>
      <tp t="e">
        <v>#N/A</v>
        <stp/>
        <stp>BDH|6066462964597230834</stp>
        <tr r="E46" s="18"/>
      </tp>
      <tp t="e">
        <v>#N/A</v>
        <stp/>
        <stp>BDH|9424005239424816564</stp>
        <tr r="Q46" s="4"/>
        <tr r="Q25" s="10"/>
        <tr r="S27" s="13"/>
      </tp>
      <tp t="e">
        <v>#N/A</v>
        <stp/>
        <stp>BDH|7657734142769513611</stp>
        <tr r="Y20" s="12"/>
      </tp>
      <tp t="e">
        <v>#N/A</v>
        <stp/>
        <stp>BDH|2439879031306586447</stp>
        <tr r="J14" s="2"/>
        <tr r="J11" s="10"/>
      </tp>
      <tp t="e">
        <v>#N/A</v>
        <stp/>
        <stp>BDH|5419387951218859067</stp>
        <tr r="G12" s="30"/>
      </tp>
      <tp t="e">
        <v>#N/A</v>
        <stp/>
        <stp>BDH|9718960781574461774</stp>
        <tr r="I14" s="30"/>
      </tp>
      <tp t="e">
        <v>#N/A</v>
        <stp/>
        <stp>BDH|4408601685602065327</stp>
        <tr r="D19" s="13"/>
      </tp>
      <tp t="e">
        <v>#N/A</v>
        <stp/>
        <stp>BDH|4236426032399848199</stp>
        <tr r="N24" s="4"/>
        <tr r="N59" s="11"/>
      </tp>
      <tp t="e">
        <v>#N/A</v>
        <stp/>
        <stp>BDH|3840592557939065152</stp>
        <tr r="W35" s="21"/>
      </tp>
      <tp t="e">
        <v>#N/A</v>
        <stp/>
        <stp>BDH|7663929768866988562</stp>
        <tr r="E7" s="10"/>
      </tp>
      <tp t="e">
        <v>#N/A</v>
        <stp/>
        <stp>BDH|4243097404727599892</stp>
        <tr r="L14" s="8"/>
      </tp>
      <tp t="e">
        <v>#N/A</v>
        <stp/>
        <stp>BDH|7135388629658278515</stp>
        <tr r="U19" s="10"/>
        <tr r="W16" s="13"/>
        <tr r="W23" s="13"/>
      </tp>
      <tp t="e">
        <v>#N/A</v>
        <stp/>
        <stp>BDH|7692846971422172113</stp>
        <tr r="P87" s="18"/>
        <tr r="P7" s="20"/>
      </tp>
      <tp t="e">
        <v>#N/A</v>
        <stp/>
        <stp>BDH|8035902385601788311</stp>
        <tr r="E13" s="13"/>
      </tp>
      <tp t="e">
        <v>#N/A</v>
        <stp/>
        <stp>BDH|2504182270269455694</stp>
        <tr r="W16" s="11"/>
      </tp>
      <tp t="e">
        <v>#N/A</v>
        <stp/>
        <stp>BDH|6051883551575151587</stp>
        <tr r="U13" s="6"/>
      </tp>
      <tp t="e">
        <v>#N/A</v>
        <stp/>
        <stp>BDH|4775904835135521070</stp>
        <tr r="G74" s="18"/>
      </tp>
      <tp t="e">
        <v>#N/A</v>
        <stp/>
        <stp>BDH|7674015677782236925</stp>
        <tr r="U40" s="24"/>
      </tp>
      <tp t="e">
        <v>#N/A</v>
        <stp/>
        <stp>BDH|2622333987655451761</stp>
        <tr r="Y7" s="30"/>
      </tp>
      <tp t="e">
        <v>#N/A</v>
        <stp/>
        <stp>BDH|4070865276584835487</stp>
        <tr r="P45" s="18"/>
      </tp>
      <tp t="e">
        <v>#N/A</v>
        <stp/>
        <stp>BDH|6184999259326911781</stp>
        <tr r="F26" s="22"/>
      </tp>
      <tp t="e">
        <v>#N/A</v>
        <stp/>
        <stp>BDH|5609738684996239730</stp>
        <tr r="X17" s="18"/>
      </tp>
      <tp t="e">
        <v>#N/A</v>
        <stp/>
        <stp>BDH|6973890243459002836</stp>
        <tr r="J6" s="15"/>
        <tr r="J12" s="2"/>
        <tr r="J11" s="4"/>
        <tr r="J6" s="10"/>
      </tp>
      <tp t="e">
        <v>#N/A</v>
        <stp/>
        <stp>BDH|4396624948479059499</stp>
        <tr r="O32" s="24"/>
      </tp>
      <tp t="e">
        <v>#N/A</v>
        <stp/>
        <stp>BDH|3338547243158235163</stp>
        <tr r="Z13" s="14"/>
      </tp>
      <tp t="e">
        <v>#N/A</v>
        <stp/>
        <stp>BDH|5060419210213382821</stp>
        <tr r="I110" s="18"/>
      </tp>
      <tp t="e">
        <v>#N/A</v>
        <stp/>
        <stp>BDH|7697206568358798091</stp>
        <tr r="V18" s="13"/>
      </tp>
      <tp t="e">
        <v>#N/A</v>
        <stp/>
        <stp>BDH|3151083223163346994</stp>
        <tr r="J55" s="12"/>
      </tp>
      <tp t="e">
        <v>#N/A</v>
        <stp/>
        <stp>BDH|9092213325791331379</stp>
        <tr r="L59" s="10"/>
      </tp>
      <tp t="e">
        <v>#N/A</v>
        <stp/>
        <stp>BDH|3759085011700909971</stp>
        <tr r="J17" s="11"/>
      </tp>
      <tp t="e">
        <v>#N/A</v>
        <stp/>
        <stp>BDH|9761020416841223214</stp>
        <tr r="H11" s="3"/>
        <tr r="F46" s="10"/>
        <tr r="F44" s="11"/>
        <tr r="F8" s="7"/>
      </tp>
      <tp t="e">
        <v>#N/A</v>
        <stp/>
        <stp>BDH|7113819296348176577</stp>
        <tr r="D15" s="24"/>
      </tp>
      <tp t="e">
        <v>#N/A</v>
        <stp/>
        <stp>BDH|1695813082783167940</stp>
        <tr r="J7" s="4"/>
      </tp>
      <tp t="e">
        <v>#N/A</v>
        <stp/>
        <stp>BDH|4518907514630899795</stp>
        <tr r="R22" s="10"/>
      </tp>
      <tp t="e">
        <v>#N/A</v>
        <stp/>
        <stp>BDH|9190211378134105397</stp>
        <tr r="T11" s="7"/>
      </tp>
      <tp t="e">
        <v>#N/A</v>
        <stp/>
        <stp>BDH|9410246651866516340</stp>
        <tr r="AA18" s="14"/>
      </tp>
      <tp t="e">
        <v>#N/A</v>
        <stp/>
        <stp>BDH|8710767351875556455</stp>
        <tr r="M32" s="18"/>
      </tp>
      <tp t="e">
        <v>#N/A</v>
        <stp/>
        <stp>BDH|8408777434246424139</stp>
        <tr r="Q22" s="4"/>
      </tp>
      <tp t="e">
        <v>#N/A</v>
        <stp/>
        <stp>BDH|6063555509320473896</stp>
        <tr r="R130" s="18"/>
      </tp>
      <tp t="e">
        <v>#N/A</v>
        <stp/>
        <stp>BDH|3012956677686028033</stp>
        <tr r="U21" s="3"/>
      </tp>
      <tp t="e">
        <v>#N/A</v>
        <stp/>
        <stp>BDH|4141464844796433964</stp>
        <tr r="Z75" s="18"/>
      </tp>
      <tp t="e">
        <v>#N/A</v>
        <stp/>
        <stp>BDH|7457213887101366701</stp>
        <tr r="T24" s="21"/>
      </tp>
      <tp t="e">
        <v>#N/A</v>
        <stp/>
        <stp>BDH|9820167490328601295</stp>
        <tr r="W28" s="4"/>
      </tp>
      <tp t="e">
        <v>#N/A</v>
        <stp/>
        <stp>BDH|2562916180341456915</stp>
        <tr r="K14" s="18"/>
      </tp>
      <tp t="e">
        <v>#N/A</v>
        <stp/>
        <stp>BDH|3202914155345607115</stp>
        <tr r="T75" s="17"/>
      </tp>
      <tp t="e">
        <v>#N/A</v>
        <stp/>
        <stp>BDH|4388039522149739441</stp>
        <tr r="S92" s="18"/>
      </tp>
      <tp t="e">
        <v>#N/A</v>
        <stp/>
        <stp>BDH|9817191417674406634</stp>
        <tr r="M43" s="12"/>
      </tp>
      <tp t="e">
        <v>#N/A</v>
        <stp/>
        <stp>BDH|9250388726753988040</stp>
        <tr r="D52" s="18"/>
      </tp>
      <tp t="e">
        <v>#N/A</v>
        <stp/>
        <stp>BDH|9828038631216358788</stp>
        <tr r="N40" s="24"/>
      </tp>
      <tp t="e">
        <v>#N/A</v>
        <stp/>
        <stp>BDH|4057748491667499607</stp>
        <tr r="M39" s="22"/>
      </tp>
      <tp t="e">
        <v>#N/A</v>
        <stp/>
        <stp>BDH|5469992869260441115</stp>
        <tr r="I18" s="11"/>
      </tp>
      <tp t="e">
        <v>#N/A</v>
        <stp/>
        <stp>BDH|4087063182233576409</stp>
        <tr r="AA54" s="18"/>
      </tp>
      <tp t="e">
        <v>#N/A</v>
        <stp/>
        <stp>BDH|8125135957811417609</stp>
        <tr r="D7" s="17"/>
      </tp>
      <tp t="e">
        <v>#N/A</v>
        <stp/>
        <stp>BDH|2150631431438106436</stp>
        <tr r="T31" s="17"/>
      </tp>
      <tp t="e">
        <v>#N/A</v>
        <stp/>
        <stp>BDH|5772189842782479987</stp>
        <tr r="K20" s="26"/>
      </tp>
      <tp t="e">
        <v>#N/A</v>
        <stp/>
        <stp>BDH|9534740542307603648</stp>
        <tr r="L28" s="22"/>
      </tp>
      <tp t="e">
        <v>#N/A</v>
        <stp/>
        <stp>BDH|1352029342567663944</stp>
        <tr r="U43" s="24"/>
      </tp>
      <tp t="e">
        <v>#N/A</v>
        <stp/>
        <stp>BDH|7739259596487533006</stp>
        <tr r="V40" s="18"/>
      </tp>
      <tp t="e">
        <v>#N/A</v>
        <stp/>
        <stp>BDH|5350525723420097936</stp>
        <tr r="H22" s="12"/>
      </tp>
      <tp t="e">
        <v>#N/A</v>
        <stp/>
        <stp>BDH|6660586344889306583</stp>
        <tr r="G25" s="24"/>
      </tp>
      <tp t="e">
        <v>#N/A</v>
        <stp/>
        <stp>BDH|8920379960591836777</stp>
        <tr r="H26" s="29"/>
      </tp>
      <tp t="e">
        <v>#N/A</v>
        <stp/>
        <stp>BDH|7877425572997976801</stp>
        <tr r="J49" s="24"/>
      </tp>
      <tp t="e">
        <v>#N/A</v>
        <stp/>
        <stp>BDH|2097859640983527617</stp>
        <tr r="J81" s="17"/>
      </tp>
      <tp t="e">
        <v>#N/A</v>
        <stp/>
        <stp>BDH|6389173552320340940</stp>
        <tr r="AA21" s="3"/>
      </tp>
      <tp t="e">
        <v>#N/A</v>
        <stp/>
        <stp>BDH|2879008898339238933</stp>
        <tr r="J19" s="10"/>
        <tr r="L16" s="13"/>
        <tr r="L23" s="13"/>
      </tp>
      <tp t="e">
        <v>#N/A</v>
        <stp/>
        <stp>BDH|7013545124948774365</stp>
        <tr r="F49" s="17"/>
        <tr r="F17" s="3"/>
      </tp>
      <tp t="e">
        <v>#N/A</v>
        <stp/>
        <stp>BDH|9095951411532169844</stp>
        <tr r="D26" s="24"/>
      </tp>
      <tp t="e">
        <v>#N/A</v>
        <stp/>
        <stp>BDH|7900145346371963841</stp>
        <tr r="H49" s="12"/>
      </tp>
      <tp t="e">
        <v>#N/A</v>
        <stp/>
        <stp>BDH|9149613263694563606</stp>
        <tr r="P49" s="17"/>
        <tr r="P17" s="3"/>
      </tp>
      <tp t="e">
        <v>#N/A</v>
        <stp/>
        <stp>BDH|9284889366698847422</stp>
        <tr r="O32" s="25"/>
        <tr r="O7" s="3"/>
        <tr r="M19" s="11"/>
        <tr r="O22" s="13"/>
        <tr r="O7" s="13"/>
      </tp>
      <tp t="e">
        <v>#N/A</v>
        <stp/>
        <stp>BDH|3380648337368495528</stp>
        <tr r="J20" s="18"/>
      </tp>
      <tp t="e">
        <v>#N/A</v>
        <stp/>
        <stp>BDH|7588748483551223265</stp>
        <tr r="K36" s="10"/>
        <tr r="K34" s="11"/>
      </tp>
      <tp t="e">
        <v>#N/A</v>
        <stp/>
        <stp>BDH|3132822701224770431</stp>
        <tr r="N29" s="21"/>
      </tp>
      <tp t="e">
        <v>#N/A</v>
        <stp/>
        <stp>BDH|2630350257486448967</stp>
        <tr r="U16" s="10"/>
      </tp>
      <tp t="e">
        <v>#N/A</v>
        <stp/>
        <stp>BDH|8665299838944598648</stp>
        <tr r="U12" s="11"/>
      </tp>
      <tp t="e">
        <v>#N/A</v>
        <stp/>
        <stp>BDH|6272273420464738944</stp>
        <tr r="M52" s="18"/>
      </tp>
      <tp t="e">
        <v>#N/A</v>
        <stp/>
        <stp>BDH|2233272276519065554</stp>
        <tr r="W26" s="18"/>
      </tp>
      <tp t="e">
        <v>#N/A</v>
        <stp/>
        <stp>BDH|7017722986087376412</stp>
        <tr r="D69" s="10"/>
        <tr r="D67" s="11"/>
      </tp>
      <tp t="e">
        <v>#N/A</v>
        <stp/>
        <stp>BDH|9769641773912204148</stp>
        <tr r="Z30" s="29"/>
        <tr r="Z8" s="29"/>
      </tp>
      <tp t="e">
        <v>#N/A</v>
        <stp/>
        <stp>BDH|8324443775095385570</stp>
        <tr r="W7" s="11"/>
      </tp>
      <tp t="e">
        <v>#N/A</v>
        <stp/>
        <stp>BDH|5731512500532040908</stp>
        <tr r="D20" s="25"/>
        <tr r="D13" s="27"/>
      </tp>
      <tp t="e">
        <v>#N/A</v>
        <stp/>
        <stp>BDH|9442942271175095976</stp>
        <tr r="Q10" s="11"/>
      </tp>
      <tp t="e">
        <v>#N/A</v>
        <stp/>
        <stp>BDH|9650421345657618518</stp>
        <tr r="AA21" s="21"/>
      </tp>
      <tp t="e">
        <v>#N/A</v>
        <stp/>
        <stp>BDH|8184429967108598973</stp>
        <tr r="O45" s="18"/>
      </tp>
      <tp t="e">
        <v>#N/A</v>
        <stp/>
        <stp>BDH|9176119357141224737</stp>
        <tr r="W17" s="23"/>
      </tp>
      <tp t="e">
        <v>#N/A</v>
        <stp/>
        <stp>BDH|7982144554478644091</stp>
        <tr r="L24" s="21"/>
      </tp>
      <tp t="e">
        <v>#N/A</v>
        <stp/>
        <stp>BDH|5796721290442745245</stp>
        <tr r="O43" s="24"/>
      </tp>
      <tp t="e">
        <v>#N/A</v>
        <stp/>
        <stp>BDH|7351939721080591728</stp>
        <tr r="U64" s="17"/>
        <tr r="U18" s="3"/>
      </tp>
      <tp t="e">
        <v>#N/A</v>
        <stp/>
        <stp>BDH|1632959077007631346</stp>
        <tr r="S10" s="4"/>
        <tr r="R6" s="16"/>
        <tr r="U6" s="3"/>
        <tr r="S6" s="11"/>
      </tp>
      <tp t="e">
        <v>#N/A</v>
        <stp/>
        <stp>BDH|8917220159195670128</stp>
        <tr r="E17" s="11"/>
      </tp>
      <tp t="e">
        <v>#N/A</v>
        <stp/>
        <stp>BDH|7078883707565874118</stp>
        <tr r="R61" s="24"/>
      </tp>
      <tp t="e">
        <v>#N/A</v>
        <stp/>
        <stp>BDH|9496507151473397112</stp>
        <tr r="U93" s="18"/>
      </tp>
      <tp t="e">
        <v>#N/A</v>
        <stp/>
        <stp>BDH|9307615113334014166</stp>
        <tr r="N21" s="26"/>
      </tp>
      <tp t="e">
        <v>#N/A</v>
        <stp/>
        <stp>BDH|8717516075324718534</stp>
        <tr r="L22" s="7"/>
      </tp>
      <tp t="e">
        <v>#N/A</v>
        <stp/>
        <stp>BDH|9958873180764802610</stp>
        <tr r="U14" s="28"/>
      </tp>
      <tp t="e">
        <v>#N/A</v>
        <stp/>
        <stp>BDH|5606925617093675522</stp>
        <tr r="Y39" s="18"/>
      </tp>
      <tp t="e">
        <v>#N/A</v>
        <stp/>
        <stp>BDH|3462036875846296972</stp>
        <tr r="Y58" s="11"/>
      </tp>
      <tp t="e">
        <v>#N/A</v>
        <stp/>
        <stp>BDH|4359558136659014079</stp>
        <tr r="I112" s="18"/>
      </tp>
      <tp t="e">
        <v>#N/A</v>
        <stp/>
        <stp>BDH|7455172733696711802</stp>
        <tr r="E9" s="24"/>
      </tp>
      <tp t="e">
        <v>#N/A</v>
        <stp/>
        <stp>BDH|8832478631787877319</stp>
        <tr r="X31" s="26"/>
      </tp>
      <tp t="e">
        <v>#N/A</v>
        <stp/>
        <stp>BDH|7321817136525547261</stp>
        <tr r="Z66" s="18"/>
      </tp>
      <tp t="e">
        <v>#N/A</v>
        <stp/>
        <stp>BDH|9520219474310146769</stp>
        <tr r="V8" s="2"/>
      </tp>
      <tp t="e">
        <v>#N/A</v>
        <stp/>
        <stp>BDH|6497981430391298696</stp>
        <tr r="G21" s="17"/>
        <tr r="G15" s="3"/>
      </tp>
      <tp t="e">
        <v>#N/A</v>
        <stp/>
        <stp>BDH|2659832061941623655</stp>
        <tr r="J26" s="10"/>
      </tp>
      <tp t="e">
        <v>#N/A</v>
        <stp/>
        <stp>BDH|9217935283464399760</stp>
        <tr r="X20" s="22"/>
      </tp>
      <tp t="e">
        <v>#N/A</v>
        <stp/>
        <stp>BDH|1174801014357587476</stp>
        <tr r="E10" s="2"/>
        <tr r="E11" s="5"/>
        <tr r="D37" s="6"/>
        <tr r="G31" s="29"/>
        <tr r="G39" s="29"/>
      </tp>
      <tp t="e">
        <v>#N/A</v>
        <stp/>
        <stp>BDH|9407668547766475663</stp>
        <tr r="W83" s="17"/>
      </tp>
      <tp t="e">
        <v>#N/A</v>
        <stp/>
        <stp>BDH|8495974384747257525</stp>
        <tr r="Q10" s="23"/>
      </tp>
      <tp t="e">
        <v>#N/A</v>
        <stp/>
        <stp>BDH|5352847669153897316</stp>
        <tr r="D17" s="22"/>
      </tp>
      <tp t="e">
        <v>#N/A</v>
        <stp/>
        <stp>BDH|1456760935276893882</stp>
        <tr r="H74" s="18"/>
      </tp>
      <tp t="e">
        <v>#N/A</v>
        <stp/>
        <stp>BDH|5569489598976190533</stp>
        <tr r="Y129" s="18"/>
      </tp>
      <tp t="e">
        <v>#N/A</v>
        <stp/>
        <stp>BDH|1043019236578850182</stp>
        <tr r="W24" s="2"/>
      </tp>
      <tp t="e">
        <v>#N/A</v>
        <stp/>
        <stp>BDH|8020472335623497710</stp>
        <tr r="P15" s="29"/>
        <tr r="P35" s="29"/>
      </tp>
      <tp t="e">
        <v>#N/A</v>
        <stp/>
        <stp>BDH|8597356072010096759</stp>
        <tr r="U13" s="14"/>
      </tp>
      <tp t="e">
        <v>#N/A</v>
        <stp/>
        <stp>BDH|1079068483077377516</stp>
        <tr r="J58" s="18"/>
      </tp>
      <tp t="e">
        <v>#N/A</v>
        <stp/>
        <stp>BDH|3894030892620895168</stp>
        <tr r="X49" s="10"/>
        <tr r="X47" s="11"/>
        <tr r="X16" s="7"/>
      </tp>
      <tp t="e">
        <v>#N/A</v>
        <stp/>
        <stp>BDH|4638574690602122142</stp>
        <tr r="G52" s="4"/>
        <tr r="I8" s="3"/>
        <tr r="G40" s="10"/>
        <tr r="G38" s="11"/>
        <tr r="I30" s="13"/>
      </tp>
      <tp t="e">
        <v>#N/A</v>
        <stp/>
        <stp>BDH|8654861694634312633</stp>
        <tr r="V27" s="12"/>
      </tp>
      <tp t="e">
        <v>#N/A</v>
        <stp/>
        <stp>BDH|3237017282136772620</stp>
        <tr r="Q46" s="12"/>
      </tp>
      <tp t="e">
        <v>#N/A</v>
        <stp/>
        <stp>BDH|2626896059356266203</stp>
        <tr r="K29" s="22"/>
      </tp>
      <tp t="e">
        <v>#N/A</v>
        <stp/>
        <stp>BDH|2841058705371595893</stp>
        <tr r="F42" s="21"/>
      </tp>
      <tp t="e">
        <v>#N/A</v>
        <stp/>
        <stp>BDH|5174761732612266833</stp>
        <tr r="V18" s="22"/>
      </tp>
      <tp t="e">
        <v>#N/A</v>
        <stp/>
        <stp>BDH|4579360999071850467</stp>
        <tr r="G63" s="11"/>
      </tp>
      <tp t="e">
        <v>#N/A</v>
        <stp/>
        <stp>BDH|8953219640994556195</stp>
        <tr r="G27" s="21"/>
      </tp>
      <tp t="e">
        <v>#N/A</v>
        <stp/>
        <stp>BDH|1464816107262336055</stp>
        <tr r="F62" s="11"/>
        <tr r="H19" s="23"/>
      </tp>
      <tp t="e">
        <v>#N/A</v>
        <stp/>
        <stp>BDH|2759210110529028326</stp>
        <tr r="U8" s="13"/>
      </tp>
      <tp t="e">
        <v>#N/A</v>
        <stp/>
        <stp>BDH|4147811375176859695</stp>
        <tr r="T88" s="18"/>
        <tr r="T8" s="20"/>
      </tp>
      <tp t="e">
        <v>#N/A</v>
        <stp/>
        <stp>BDH|7256499604630897835</stp>
        <tr r="S17" s="17"/>
        <tr r="S20" s="28"/>
      </tp>
      <tp t="e">
        <v>#N/A</v>
        <stp/>
        <stp>BDH|3122483569742275867</stp>
        <tr r="U20" s="22"/>
      </tp>
      <tp t="e">
        <v>#N/A</v>
        <stp/>
        <stp>BDH|5761532729759171082</stp>
        <tr r="D100" s="18"/>
      </tp>
      <tp t="e">
        <v>#N/A</v>
        <stp/>
        <stp>BDH|9118679326094051244</stp>
        <tr r="U29" s="17"/>
      </tp>
      <tp t="e">
        <v>#N/A</v>
        <stp/>
        <stp>BDH|1720025255119397677</stp>
        <tr r="U8" s="23"/>
      </tp>
      <tp t="e">
        <v>#N/A</v>
        <stp/>
        <stp>BDH|6795134667013031976</stp>
        <tr r="W51" s="12"/>
      </tp>
      <tp t="e">
        <v>#N/A</v>
        <stp/>
        <stp>BDH|3963102049328688527</stp>
        <tr r="N25" s="2"/>
        <tr r="P61" s="21"/>
      </tp>
      <tp t="e">
        <v>#N/A</v>
        <stp/>
        <stp>BDH|7134752613383385901</stp>
        <tr r="C14" s="13"/>
      </tp>
      <tp t="e">
        <v>#N/A</v>
        <stp/>
        <stp>BDH|6378078650019807184</stp>
        <tr r="F9" s="21"/>
      </tp>
      <tp t="e">
        <v>#N/A</v>
        <stp/>
        <stp>BDH|7227859933267405043</stp>
        <tr r="P60" s="12"/>
      </tp>
      <tp t="e">
        <v>#N/A</v>
        <stp/>
        <stp>BDH|9748758460591500234</stp>
        <tr r="H101" s="18"/>
      </tp>
      <tp t="e">
        <v>#N/A</v>
        <stp/>
        <stp>BDH|9934790741852376361</stp>
        <tr r="O11" s="7"/>
      </tp>
      <tp t="e">
        <v>#N/A</v>
        <stp/>
        <stp>BDH|9025401358576483583</stp>
        <tr r="I46" s="21"/>
      </tp>
      <tp t="e">
        <v>#N/A</v>
        <stp/>
        <stp>BDH|1287941589129233296</stp>
        <tr r="J26" s="18"/>
      </tp>
      <tp t="e">
        <v>#N/A</v>
        <stp/>
        <stp>BDH|9089797078047640536</stp>
        <tr r="R61" s="12"/>
      </tp>
      <tp t="e">
        <v>#N/A</v>
        <stp/>
        <stp>BDH|6659747683435683733</stp>
        <tr r="L15" s="21"/>
      </tp>
      <tp t="e">
        <v>#N/A</v>
        <stp/>
        <stp>BDH|6195921105204700056</stp>
        <tr r="U50" s="12"/>
      </tp>
      <tp t="e">
        <v>#N/A</v>
        <stp/>
        <stp>BDH|9350308329667901477</stp>
        <tr r="D28" s="4"/>
      </tp>
      <tp t="e">
        <v>#N/A</v>
        <stp/>
        <stp>BDH|6698190955391959873</stp>
        <tr r="M9" s="27"/>
      </tp>
      <tp t="e">
        <v>#N/A</v>
        <stp/>
        <stp>BDH|7238972510765903188</stp>
        <tr r="F79" s="18"/>
      </tp>
      <tp t="e">
        <v>#N/A</v>
        <stp/>
        <stp>BDH|1343567713586118826</stp>
        <tr r="J88" s="17"/>
      </tp>
      <tp t="e">
        <v>#N/A</v>
        <stp/>
        <stp>BDH|3612575186082779752</stp>
        <tr r="L27" s="24"/>
      </tp>
      <tp t="e">
        <v>#N/A</v>
        <stp/>
        <stp>BDH|4061380195947097287</stp>
        <tr r="Q109" s="18"/>
      </tp>
      <tp t="e">
        <v>#N/A</v>
        <stp/>
        <stp>BDH|8049220133566063447</stp>
        <tr r="L11" s="3"/>
        <tr r="J46" s="10"/>
        <tr r="J44" s="11"/>
        <tr r="J8" s="7"/>
      </tp>
      <tp t="e">
        <v>#N/A</v>
        <stp/>
        <stp>BDH|7653266039008930553</stp>
        <tr r="U10" s="6"/>
      </tp>
      <tp t="e">
        <v>#N/A</v>
        <stp/>
        <stp>BDH|5116556497542638002</stp>
        <tr r="O13" s="7"/>
      </tp>
      <tp t="e">
        <v>#N/A</v>
        <stp/>
        <stp>BDH|1101766941359254013</stp>
        <tr r="C34" s="22"/>
      </tp>
      <tp t="e">
        <v>#N/A</v>
        <stp/>
        <stp>BDH|2646781900556324880</stp>
        <tr r="Q65" s="18"/>
      </tp>
      <tp t="e">
        <v>#N/A</v>
        <stp/>
        <stp>BDH|6325609942148393771</stp>
        <tr r="W75" s="17"/>
      </tp>
      <tp t="e">
        <v>#N/A</v>
        <stp/>
        <stp>BDH|3322068975897434814</stp>
        <tr r="AA9" s="24"/>
      </tp>
      <tp t="e">
        <v>#N/A</v>
        <stp/>
        <stp>BDH|9562064311800091376</stp>
        <tr r="R20" s="24"/>
      </tp>
      <tp t="e">
        <v>#N/A</v>
        <stp/>
        <stp>BDH|7720573952945394944</stp>
        <tr r="T67" s="12"/>
      </tp>
      <tp t="e">
        <v>#N/A</v>
        <stp/>
        <stp>BDH|6354770083747743552</stp>
        <tr r="V18" s="30"/>
      </tp>
      <tp t="e">
        <v>#N/A</v>
        <stp/>
        <stp>BDH|2807412445770108981</stp>
        <tr r="C23" s="9"/>
      </tp>
      <tp t="e">
        <v>#N/A</v>
        <stp/>
        <stp>BDH|1452891938823682260</stp>
        <tr r="AA8" s="24"/>
      </tp>
      <tp t="e">
        <v>#N/A</v>
        <stp/>
        <stp>BDH|4680825635317614328</stp>
        <tr r="Y34" s="21"/>
      </tp>
      <tp t="e">
        <v>#N/A</v>
        <stp/>
        <stp>BDH|3667968049582542799</stp>
        <tr r="H44" s="34"/>
      </tp>
      <tp t="e">
        <v>#N/A</v>
        <stp/>
        <stp>BDH|3702540803364190943</stp>
        <tr r="AA9" s="21"/>
      </tp>
      <tp t="e">
        <v>#N/A</v>
        <stp/>
        <stp>BDH|9052031632875314475</stp>
        <tr r="H23" s="2"/>
        <tr r="J18" s="21"/>
        <tr r="J23" s="3"/>
      </tp>
      <tp t="e">
        <v>#N/A</v>
        <stp/>
        <stp>BDH|9038489392398910760</stp>
        <tr r="M18" s="26"/>
      </tp>
      <tp t="e">
        <v>#N/A</v>
        <stp/>
        <stp>BDH|6211079394213106751</stp>
        <tr r="N69" s="17"/>
      </tp>
      <tp t="e">
        <v>#N/A</v>
        <stp/>
        <stp>BDH|3462967468245904269</stp>
        <tr r="C59" s="21"/>
      </tp>
      <tp t="e">
        <v>#N/A</v>
        <stp/>
        <stp>BDH|2038248296787221554</stp>
        <tr r="U11" s="12"/>
      </tp>
      <tp t="e">
        <v>#N/A</v>
        <stp/>
        <stp>BDH|2721621466889478021</stp>
        <tr r="S6" s="27"/>
      </tp>
      <tp t="e">
        <v>#N/A</v>
        <stp/>
        <stp>BDH|2339568255431540806</stp>
        <tr r="N45" s="4"/>
        <tr r="N27" s="10"/>
        <tr r="N25" s="11"/>
        <tr r="P26" s="13"/>
      </tp>
      <tp t="e">
        <v>#N/A</v>
        <stp/>
        <stp>BDH|1062098381042435092</stp>
        <tr r="D30" s="9"/>
      </tp>
      <tp t="e">
        <v>#N/A</v>
        <stp/>
        <stp>BDH|8356062658785199396</stp>
        <tr r="K16" s="2"/>
        <tr r="K32" s="4"/>
        <tr r="K58" s="10"/>
        <tr r="M19" s="13"/>
      </tp>
      <tp t="e">
        <v>#N/A</v>
        <stp/>
        <stp>BDH|4626922103234658248</stp>
        <tr r="Z85" s="17"/>
      </tp>
      <tp t="e">
        <v>#N/A</v>
        <stp/>
        <stp>BDH|1911834111076929578</stp>
        <tr r="P16" s="14"/>
      </tp>
      <tp t="e">
        <v>#N/A</v>
        <stp/>
        <stp>BDH|7283910151906376648</stp>
        <tr r="H55" s="18"/>
      </tp>
      <tp t="e">
        <v>#N/A</v>
        <stp/>
        <stp>BDH|6517819114057775321</stp>
        <tr r="M10" s="28"/>
      </tp>
      <tp t="e">
        <v>#N/A</v>
        <stp/>
        <stp>BDH|29869792764865380</stp>
        <tr r="O63" s="21"/>
        <tr r="M23" s="7"/>
      </tp>
      <tp t="e">
        <v>#N/A</v>
        <stp/>
        <stp>BDH|10309673366178402</stp>
        <tr r="AA31" s="22"/>
      </tp>
      <tp t="e">
        <v>#N/A</v>
        <stp/>
        <stp>BDH|17097228931503540</stp>
        <tr r="AA24" s="22"/>
      </tp>
      <tp t="e">
        <v>#N/A</v>
        <stp/>
        <stp>BDH|37505675151232581</stp>
        <tr r="J21" s="4"/>
      </tp>
      <tp t="e">
        <v>#N/A</v>
        <stp/>
        <stp>BDH|86598083642049917</stp>
        <tr r="M10" s="4"/>
        <tr r="L6" s="16"/>
        <tr r="O6" s="3"/>
        <tr r="M6" s="11"/>
      </tp>
      <tp t="e">
        <v>#N/A</v>
        <stp/>
        <stp>BDH|68431448500360608</stp>
        <tr r="V13" s="2"/>
      </tp>
      <tp t="e">
        <v>#N/A</v>
        <stp/>
        <stp>BDH|26278031832613588</stp>
        <tr r="P18" s="29"/>
        <tr r="P38" s="29"/>
      </tp>
      <tp t="e">
        <v>#N/A</v>
        <stp/>
        <stp>BDH|7104294522500144314</stp>
        <tr r="W38" s="17"/>
      </tp>
      <tp t="e">
        <v>#N/A</v>
        <stp/>
        <stp>BDH|5993083627103989052</stp>
        <tr r="J8" s="2"/>
      </tp>
      <tp t="e">
        <v>#N/A</v>
        <stp/>
        <stp>BDH|2159529728029686875</stp>
        <tr r="M127" s="18"/>
      </tp>
      <tp t="e">
        <v>#N/A</v>
        <stp/>
        <stp>BDH|4164382104614032771</stp>
        <tr r="G32" s="24"/>
      </tp>
      <tp t="e">
        <v>#N/A</v>
        <stp/>
        <stp>BDH|7783909198363043056</stp>
        <tr r="D11" s="17"/>
      </tp>
      <tp t="e">
        <v>#N/A</v>
        <stp/>
        <stp>BDH|9638354652853893836</stp>
        <tr r="C13" s="23"/>
      </tp>
      <tp t="e">
        <v>#N/A</v>
        <stp/>
        <stp>BDH|9794081287847438263</stp>
        <tr r="I17" s="14"/>
      </tp>
      <tp t="e">
        <v>#N/A</v>
        <stp/>
        <stp>BDH|5913181161286261084</stp>
        <tr r="Q125" s="18"/>
      </tp>
      <tp t="e">
        <v>#N/A</v>
        <stp/>
        <stp>BDH|7479236559182160655</stp>
        <tr r="D49" s="10"/>
        <tr r="D47" s="11"/>
        <tr r="D16" s="7"/>
      </tp>
      <tp t="e">
        <v>#N/A</v>
        <stp/>
        <stp>BDH|4340702635826856248</stp>
        <tr r="D29" s="21"/>
      </tp>
      <tp t="e">
        <v>#N/A</v>
        <stp/>
        <stp>BDH|4856418227561626728</stp>
        <tr r="L8" s="17"/>
      </tp>
      <tp t="e">
        <v>#N/A</v>
        <stp/>
        <stp>BDH|7167484157527723537</stp>
        <tr r="O129" s="18"/>
      </tp>
      <tp t="e">
        <v>#N/A</v>
        <stp/>
        <stp>BDH|1656697845151018600</stp>
        <tr r="R7" s="4"/>
      </tp>
      <tp t="e">
        <v>#N/A</v>
        <stp/>
        <stp>BDH|4099459877196846507</stp>
        <tr r="E17" s="13"/>
      </tp>
      <tp t="e">
        <v>#N/A</v>
        <stp/>
        <stp>BDH|1896318814374220355</stp>
        <tr r="C124" s="18"/>
      </tp>
      <tp t="e">
        <v>#N/A</v>
        <stp/>
        <stp>BDH|4271191522053171025</stp>
        <tr r="AA63" s="17"/>
      </tp>
      <tp t="e">
        <v>#N/A</v>
        <stp/>
        <stp>BDH|8370959456580894026</stp>
        <tr r="J74" s="17"/>
        <tr r="J19" s="3"/>
      </tp>
      <tp t="e">
        <v>#N/A</v>
        <stp/>
        <stp>BDH|2189989286142061550</stp>
        <tr r="L16" s="25"/>
        <tr r="J22" s="11"/>
      </tp>
      <tp t="e">
        <v>#N/A</v>
        <stp/>
        <stp>BDH|3981557975630170528</stp>
        <tr r="J18" s="18"/>
      </tp>
      <tp t="e">
        <v>#N/A</v>
        <stp/>
        <stp>BDH|1246067299858734401</stp>
        <tr r="G10" s="23"/>
      </tp>
      <tp t="e">
        <v>#N/A</v>
        <stp/>
        <stp>BDH|1291066958682267246</stp>
        <tr r="D53" s="12"/>
      </tp>
      <tp t="e">
        <v>#N/A</v>
        <stp/>
        <stp>BDH|1459302609383740509</stp>
        <tr r="R7" s="10"/>
      </tp>
      <tp t="e">
        <v>#N/A</v>
        <stp/>
        <stp>BDH|9310382473528567178</stp>
        <tr r="G51" s="12"/>
      </tp>
      <tp t="e">
        <v>#N/A</v>
        <stp/>
        <stp>BDH|4073486241330490073</stp>
        <tr r="V56" s="12"/>
      </tp>
      <tp t="e">
        <v>#N/A</v>
        <stp/>
        <stp>BDH|3061299298695933921</stp>
        <tr r="V15" s="10"/>
      </tp>
      <tp t="e">
        <v>#N/A</v>
        <stp/>
        <stp>BDH|3285297167180765313</stp>
        <tr r="M60" s="17"/>
      </tp>
      <tp t="e">
        <v>#N/A</v>
        <stp/>
        <stp>BDH|6633774413982124697</stp>
        <tr r="Q88" s="17"/>
      </tp>
      <tp t="e">
        <v>#N/A</v>
        <stp/>
        <stp>BDH|1865471801626033748</stp>
        <tr r="F60" s="10"/>
      </tp>
      <tp t="e">
        <v>#N/A</v>
        <stp/>
        <stp>BDH|3023091160592446378</stp>
        <tr r="C8" s="8"/>
      </tp>
      <tp t="e">
        <v>#N/A</v>
        <stp/>
        <stp>BDH|8595568888834931580</stp>
        <tr r="U131" s="18"/>
      </tp>
      <tp t="e">
        <v>#N/A</v>
        <stp/>
        <stp>BDH|7815663044379538858</stp>
        <tr r="V18" s="26"/>
      </tp>
      <tp t="e">
        <v>#N/A</v>
        <stp/>
        <stp>BDH|5995856506318185119</stp>
        <tr r="G10" s="29"/>
        <tr r="E6" s="5"/>
        <tr r="E6" s="2"/>
        <tr r="E6" s="9"/>
        <tr r="F12" s="8"/>
        <tr r="G25" s="29"/>
        <tr r="G19" s="29"/>
      </tp>
      <tp t="e">
        <v>#N/A</v>
        <stp/>
        <stp>BDH|6244690043855169537</stp>
        <tr r="Z55" s="24"/>
      </tp>
      <tp t="e">
        <v>#N/A</v>
        <stp/>
        <stp>BDH|7532674878414770679</stp>
        <tr r="O27" s="5"/>
        <tr r="O28" s="9"/>
      </tp>
      <tp t="e">
        <v>#N/A</v>
        <stp/>
        <stp>BDH|7618746648816156616</stp>
        <tr r="G63" s="10"/>
      </tp>
      <tp t="e">
        <v>#N/A</v>
        <stp/>
        <stp>BDH|6945018546075323370</stp>
        <tr r="Q18" s="2"/>
        <tr r="Q53" s="4"/>
        <tr r="Q42" s="10"/>
        <tr r="Q40" s="11"/>
        <tr r="S34" s="13"/>
      </tp>
      <tp t="e">
        <v>#N/A</v>
        <stp/>
        <stp>BDH|7451973392096307588</stp>
        <tr r="U11" s="7"/>
      </tp>
      <tp t="e">
        <v>#N/A</v>
        <stp/>
        <stp>BDH|2500004628595285157</stp>
        <tr r="Y15" s="10"/>
      </tp>
      <tp t="e">
        <v>#N/A</v>
        <stp/>
        <stp>BDH|1316543217088928921</stp>
        <tr r="J21" s="11"/>
      </tp>
      <tp t="e">
        <v>#N/A</v>
        <stp/>
        <stp>BDH|2264435540167365195</stp>
        <tr r="M41" s="21"/>
      </tp>
      <tp t="e">
        <v>#N/A</v>
        <stp/>
        <stp>BDH|1760005295888180482</stp>
        <tr r="Q87" s="18"/>
        <tr r="Q7" s="20"/>
      </tp>
      <tp t="e">
        <v>#N/A</v>
        <stp/>
        <stp>BDH|4392319328012494359</stp>
        <tr r="K13" s="11"/>
      </tp>
      <tp t="e">
        <v>#N/A</v>
        <stp/>
        <stp>BDH|3766845440003004880</stp>
        <tr r="G70" s="18"/>
      </tp>
      <tp t="e">
        <v>#N/A</v>
        <stp/>
        <stp>BDH|2574297916512548744</stp>
        <tr r="M31" s="24"/>
      </tp>
      <tp t="e">
        <v>#N/A</v>
        <stp/>
        <stp>BDH|2657746842986981326</stp>
        <tr r="W40" s="29"/>
      </tp>
      <tp t="e">
        <v>#N/A</v>
        <stp/>
        <stp>BDH|7100221184598578195</stp>
        <tr r="L13" s="9"/>
      </tp>
      <tp t="e">
        <v>#N/A</v>
        <stp/>
        <stp>BDH|8233842219457447208</stp>
        <tr r="W26" s="10"/>
      </tp>
      <tp t="e">
        <v>#N/A</v>
        <stp/>
        <stp>BDH|9959828373834455678</stp>
        <tr r="U34" s="22"/>
      </tp>
      <tp t="e">
        <v>#N/A</v>
        <stp/>
        <stp>BDH|8018400441468297487</stp>
        <tr r="E44" s="24"/>
      </tp>
      <tp t="e">
        <v>#N/A</v>
        <stp/>
        <stp>BDH|2354481823312689255</stp>
        <tr r="N88" s="17"/>
      </tp>
      <tp t="e">
        <v>#N/A</v>
        <stp/>
        <stp>BDH|8346916431815943314</stp>
        <tr r="H13" s="13"/>
      </tp>
      <tp t="e">
        <v>#N/A</v>
        <stp/>
        <stp>BDH|2768822723009894557</stp>
        <tr r="W32" s="12"/>
      </tp>
      <tp t="e">
        <v>#N/A</v>
        <stp/>
        <stp>BDH|5497926395239846804</stp>
        <tr r="F57" s="18"/>
      </tp>
      <tp t="e">
        <v>#N/A</v>
        <stp/>
        <stp>BDH|9189773591632400180</stp>
        <tr r="I27" s="6"/>
      </tp>
      <tp t="e">
        <v>#N/A</v>
        <stp/>
        <stp>BDH|1308116121376086080</stp>
        <tr r="R65" s="18"/>
      </tp>
      <tp t="e">
        <v>#N/A</v>
        <stp/>
        <stp>BDH|4597697234541105424</stp>
        <tr r="R10" s="22"/>
      </tp>
      <tp t="e">
        <v>#N/A</v>
        <stp/>
        <stp>BDH|6882304671902033429</stp>
        <tr r="J13" s="9"/>
      </tp>
      <tp t="e">
        <v>#N/A</v>
        <stp/>
        <stp>BDH|3975867767960346902</stp>
        <tr r="S121" s="18"/>
      </tp>
      <tp t="e">
        <v>#N/A</v>
        <stp/>
        <stp>BDH|9851283784591793685</stp>
        <tr r="M32" s="25"/>
        <tr r="M7" s="3"/>
        <tr r="K19" s="11"/>
        <tr r="M22" s="13"/>
        <tr r="M7" s="13"/>
      </tp>
      <tp t="e">
        <v>#N/A</v>
        <stp/>
        <stp>BDH|2624188141387457402</stp>
        <tr r="T33" s="10"/>
        <tr r="T31" s="11"/>
        <tr r="V31" s="13"/>
      </tp>
      <tp t="e">
        <v>#N/A</v>
        <stp/>
        <stp>BDH|5208740536601118496</stp>
        <tr r="T21" s="17"/>
        <tr r="T15" s="3"/>
      </tp>
      <tp t="e">
        <v>#N/A</v>
        <stp/>
        <stp>BDH|1920004037353263542</stp>
        <tr r="H13" s="21"/>
      </tp>
      <tp t="e">
        <v>#N/A</v>
        <stp/>
        <stp>BDH|9331353858828405329</stp>
        <tr r="H54" s="12"/>
      </tp>
      <tp t="e">
        <v>#N/A</v>
        <stp/>
        <stp>BDH|4496461505490653498</stp>
        <tr r="R11" s="28"/>
      </tp>
      <tp t="e">
        <v>#N/A</v>
        <stp/>
        <stp>BDH|7302122789368718271</stp>
        <tr r="AA29" s="12"/>
      </tp>
      <tp t="e">
        <v>#N/A</v>
        <stp/>
        <stp>BDH|7473660256474528491</stp>
        <tr r="V99" s="18"/>
      </tp>
      <tp t="e">
        <v>#N/A</v>
        <stp/>
        <stp>BDH|6049393211734667466</stp>
        <tr r="K37" s="18"/>
      </tp>
      <tp t="e">
        <v>#N/A</v>
        <stp/>
        <stp>BDH|1105604798802899895</stp>
        <tr r="G59" s="24"/>
      </tp>
      <tp t="e">
        <v>#N/A</v>
        <stp/>
        <stp>BDH|9599884839697488180</stp>
        <tr r="R61" s="11"/>
        <tr r="T15" s="23"/>
      </tp>
      <tp t="e">
        <v>#N/A</v>
        <stp/>
        <stp>BDH|5719392452555651220</stp>
        <tr r="T8" s="21"/>
      </tp>
      <tp t="e">
        <v>#N/A</v>
        <stp/>
        <stp>BDH|6337039328093686360</stp>
        <tr r="F8" s="12"/>
      </tp>
      <tp t="e">
        <v>#N/A</v>
        <stp/>
        <stp>BDH|2254718317267581792</stp>
        <tr r="L123" s="18"/>
      </tp>
      <tp t="e">
        <v>#N/A</v>
        <stp/>
        <stp>BDH|5941635195659576725</stp>
        <tr r="P18" s="6"/>
      </tp>
      <tp t="e">
        <v>#N/A</v>
        <stp/>
        <stp>BDH|6982321062624133309</stp>
        <tr r="X18" s="2"/>
        <tr r="X53" s="4"/>
        <tr r="X42" s="10"/>
        <tr r="X40" s="11"/>
        <tr r="Z34" s="13"/>
      </tp>
      <tp t="e">
        <v>#N/A</v>
        <stp/>
        <stp>BDH|9305939858927047601</stp>
        <tr r="M9" s="17"/>
      </tp>
      <tp t="e">
        <v>#N/A</v>
        <stp/>
        <stp>BDH|1847636555631225742</stp>
        <tr r="L68" s="10"/>
        <tr r="L66" s="11"/>
      </tp>
      <tp t="e">
        <v>#N/A</v>
        <stp/>
        <stp>BDH|3475356321340156693</stp>
        <tr r="U88" s="18"/>
        <tr r="U8" s="20"/>
      </tp>
      <tp t="e">
        <v>#N/A</v>
        <stp/>
        <stp>BDH|8255797083132065101</stp>
        <tr r="I7" s="2"/>
        <tr r="I7" s="5"/>
        <tr r="I7" s="9"/>
        <tr r="K14" s="3"/>
      </tp>
      <tp t="e">
        <v>#N/A</v>
        <stp/>
        <stp>BDH|6643004439129374841</stp>
        <tr r="X13" s="22"/>
      </tp>
      <tp t="e">
        <v>#N/A</v>
        <stp/>
        <stp>BDH|6624456155095851666</stp>
        <tr r="G68" s="18"/>
      </tp>
      <tp t="e">
        <v>#N/A</v>
        <stp/>
        <stp>BDH|8652698120660126860</stp>
        <tr r="Y8" s="10"/>
      </tp>
      <tp t="e">
        <v>#N/A</v>
        <stp/>
        <stp>BDH|5105631069296591763</stp>
        <tr r="F35" s="6"/>
        <tr r="H10" s="8"/>
      </tp>
      <tp t="e">
        <v>#N/A</v>
        <stp/>
        <stp>BDH|5860717141686764478</stp>
        <tr r="Z65" s="17"/>
        <tr r="X8" s="5"/>
        <tr r="X8" s="9"/>
      </tp>
      <tp t="e">
        <v>#N/A</v>
        <stp/>
        <stp>BDH|4878214546164021279</stp>
        <tr r="P83" s="18"/>
      </tp>
      <tp t="e">
        <v>#N/A</v>
        <stp/>
        <stp>BDH|8563069915238839566</stp>
        <tr r="H60" s="17"/>
      </tp>
      <tp t="e">
        <v>#N/A</v>
        <stp/>
        <stp>BDH|3984669085560460969</stp>
        <tr r="G23" s="26"/>
      </tp>
      <tp t="e">
        <v>#N/A</v>
        <stp/>
        <stp>BDH|9487672838268627051</stp>
        <tr r="C10" s="28"/>
      </tp>
      <tp t="e">
        <v>#N/A</v>
        <stp/>
        <stp>BDH|7065307098149596053</stp>
        <tr r="Z68" s="24"/>
      </tp>
      <tp t="e">
        <v>#N/A</v>
        <stp/>
        <stp>BDH|2927653545935472155</stp>
        <tr r="K21" s="11"/>
      </tp>
      <tp t="e">
        <v>#N/A</v>
        <stp/>
        <stp>BDH|7924636265835349642</stp>
        <tr r="E67" s="12"/>
      </tp>
      <tp t="e">
        <v>#N/A</v>
        <stp/>
        <stp>BDH|9450029488030185579</stp>
        <tr r="R57" s="12"/>
      </tp>
      <tp t="e">
        <v>#N/A</v>
        <stp/>
        <stp>BDH|4999452282538127471</stp>
        <tr r="G7" s="11"/>
      </tp>
      <tp t="e">
        <v>#N/A</v>
        <stp/>
        <stp>BDH|8025258693733868466</stp>
        <tr r="Q20" s="20"/>
      </tp>
      <tp t="e">
        <v>#N/A</v>
        <stp/>
        <stp>BDH|6245537018714890291</stp>
        <tr r="X16" s="14"/>
      </tp>
      <tp t="e">
        <v>#N/A</v>
        <stp/>
        <stp>BDH|7514099553714695219</stp>
        <tr r="X98" s="18"/>
      </tp>
      <tp t="e">
        <v>#N/A</v>
        <stp/>
        <stp>BDH|2565799915119281939</stp>
        <tr r="D16" s="24"/>
      </tp>
      <tp t="e">
        <v>#N/A</v>
        <stp/>
        <stp>BDH|4885394734296402691</stp>
        <tr r="U10" s="13"/>
      </tp>
      <tp t="e">
        <v>#N/A</v>
        <stp/>
        <stp>BDH|1347169337571256683</stp>
        <tr r="R7" s="30"/>
      </tp>
      <tp t="e">
        <v>#N/A</v>
        <stp/>
        <stp>BDH|3378447190483621998</stp>
        <tr r="C18" s="18"/>
      </tp>
      <tp t="e">
        <v>#N/A</v>
        <stp/>
        <stp>BDH|6465734078652204045</stp>
        <tr r="F65" s="18"/>
      </tp>
      <tp t="e">
        <v>#N/A</v>
        <stp/>
        <stp>BDH|5378526869191716360</stp>
        <tr r="D12" s="3"/>
      </tp>
      <tp t="e">
        <v>#N/A</v>
        <stp/>
        <stp>BDH|2949863788737615180</stp>
        <tr r="J43" s="12"/>
      </tp>
      <tp t="e">
        <v>#N/A</v>
        <stp/>
        <stp>BDH|4741331818030730227</stp>
        <tr r="S27" s="26"/>
      </tp>
      <tp t="e">
        <v>#N/A</v>
        <stp/>
        <stp>BDH|2339510756637518187</stp>
        <tr r="D31" s="29"/>
        <tr r="D39" s="29"/>
      </tp>
      <tp t="e">
        <v>#N/A</v>
        <stp/>
        <stp>BDH|1571477837272468087</stp>
        <tr r="M33" s="17"/>
      </tp>
      <tp t="e">
        <v>#N/A</v>
        <stp/>
        <stp>BDH|6846372198788643087</stp>
        <tr r="I14" s="10"/>
      </tp>
      <tp t="e">
        <v>#N/A</v>
        <stp/>
        <stp>BDH|1659828075912012887</stp>
        <tr r="Z84" s="17"/>
      </tp>
      <tp t="e">
        <v>#N/A</v>
        <stp/>
        <stp>BDH|7442272877915891354</stp>
        <tr r="J13" s="34"/>
      </tp>
      <tp t="e">
        <v>#N/A</v>
        <stp/>
        <stp>BDH|2576053298637306827</stp>
        <tr r="Q10" s="29"/>
        <tr r="Q19" s="29"/>
        <tr r="Q25" s="29"/>
        <tr r="O6" s="2"/>
        <tr r="O6" s="5"/>
        <tr r="P12" s="8"/>
        <tr r="O6" s="9"/>
      </tp>
      <tp t="e">
        <v>#N/A</v>
        <stp/>
        <stp>BDH|2162292358262139380</stp>
        <tr r="H40" s="29"/>
      </tp>
      <tp t="e">
        <v>#N/A</v>
        <stp/>
        <stp>BDH|5274735428446228220</stp>
        <tr r="O59" s="18"/>
      </tp>
      <tp t="e">
        <v>#N/A</v>
        <stp/>
        <stp>BDH|1702772988918884297</stp>
        <tr r="D20" s="17"/>
      </tp>
      <tp t="e">
        <v>#N/A</v>
        <stp/>
        <stp>BDH|8979541281773674232</stp>
        <tr r="W18" s="24"/>
      </tp>
      <tp t="e">
        <v>#N/A</v>
        <stp/>
        <stp>BDH|3311332638231151603</stp>
        <tr r="L67" s="12"/>
      </tp>
      <tp t="e">
        <v>#N/A</v>
        <stp/>
        <stp>BDH|8575013028789328766</stp>
        <tr r="X33" s="22"/>
      </tp>
      <tp t="e">
        <v>#N/A</v>
        <stp/>
        <stp>BDH|7098487630110317429</stp>
        <tr r="J39" s="17"/>
      </tp>
      <tp t="e">
        <v>#N/A</v>
        <stp/>
        <stp>BDH|1425530063135947341</stp>
        <tr r="X30" s="24"/>
      </tp>
      <tp t="e">
        <v>#N/A</v>
        <stp/>
        <stp>BDH|8932342602368613705</stp>
        <tr r="H18" s="9"/>
      </tp>
      <tp t="e">
        <v>#N/A</v>
        <stp/>
        <stp>BDH|9302828217481997563</stp>
        <tr r="S11" s="9"/>
      </tp>
      <tp t="e">
        <v>#N/A</v>
        <stp/>
        <stp>BDH|5247131216210688186</stp>
        <tr r="P18" s="9"/>
      </tp>
      <tp t="e">
        <v>#N/A</v>
        <stp/>
        <stp>BDH|9361482590845679542</stp>
        <tr r="N16" s="30"/>
      </tp>
      <tp t="e">
        <v>#N/A</v>
        <stp/>
        <stp>BDH|1302317818897730044</stp>
        <tr r="I16" s="12"/>
      </tp>
      <tp t="e">
        <v>#N/A</v>
        <stp/>
        <stp>BDH|7639744756340869159</stp>
        <tr r="J25" s="25"/>
        <tr r="J18" s="27"/>
      </tp>
      <tp t="e">
        <v>#N/A</v>
        <stp/>
        <stp>BDH|8664089883635633121</stp>
        <tr r="V7" s="2"/>
        <tr r="V7" s="5"/>
        <tr r="V7" s="9"/>
        <tr r="X14" s="3"/>
      </tp>
      <tp t="e">
        <v>#N/A</v>
        <stp/>
        <stp>BDH|1776495412052799220</stp>
        <tr r="G14" s="30"/>
      </tp>
      <tp t="e">
        <v>#N/A</v>
        <stp/>
        <stp>BDH|4879839996484157555</stp>
        <tr r="K61" s="11"/>
        <tr r="M15" s="23"/>
      </tp>
      <tp t="e">
        <v>#N/A</v>
        <stp/>
        <stp>BDH|7157799492185163821</stp>
        <tr r="Q27" s="7"/>
      </tp>
      <tp t="e">
        <v>#N/A</v>
        <stp/>
        <stp>BDH|3526498153055178370</stp>
        <tr r="I12" s="22"/>
      </tp>
      <tp t="e">
        <v>#N/A</v>
        <stp/>
        <stp>BDH|6341750515430983434</stp>
        <tr r="J110" s="18"/>
      </tp>
      <tp t="e">
        <v>#N/A</v>
        <stp/>
        <stp>BDH|8593783984150926395</stp>
        <tr r="V26" s="29"/>
      </tp>
      <tp t="e">
        <v>#N/A</v>
        <stp/>
        <stp>BDH|9311505141524871839</stp>
        <tr r="J22" s="17"/>
      </tp>
      <tp t="e">
        <v>#N/A</v>
        <stp/>
        <stp>BDH|2443283153573790215</stp>
        <tr r="H15" s="5"/>
      </tp>
      <tp t="e">
        <v>#N/A</v>
        <stp/>
        <stp>BDH|6682369581750185990</stp>
        <tr r="U11" s="13"/>
      </tp>
      <tp t="e">
        <v>#N/A</v>
        <stp/>
        <stp>BDH|3077192624284629054</stp>
        <tr r="D15" s="17"/>
        <tr r="D18" s="28"/>
      </tp>
      <tp t="e">
        <v>#N/A</v>
        <stp/>
        <stp>BDH|9907416775069070731</stp>
        <tr r="G38" s="24"/>
      </tp>
      <tp t="e">
        <v>#N/A</v>
        <stp/>
        <stp>BDH|4900410553377225671</stp>
        <tr r="Q120" s="18"/>
      </tp>
      <tp t="e">
        <v>#N/A</v>
        <stp/>
        <stp>BDH|7620454348511425211</stp>
        <tr r="C67" s="12"/>
      </tp>
      <tp t="e">
        <v>#N/A</v>
        <stp/>
        <stp>BDH|1862633941482652524</stp>
        <tr r="N32" s="10"/>
        <tr r="N44" s="10"/>
        <tr r="N30" s="11"/>
        <tr r="N42" s="11"/>
      </tp>
      <tp t="e">
        <v>#N/A</v>
        <stp/>
        <stp>BDH|6042274605468951851</stp>
        <tr r="R64" s="10"/>
      </tp>
      <tp t="e">
        <v>#N/A</v>
        <stp/>
        <stp>BDH|8260695793946730519</stp>
        <tr r="U20" s="24"/>
      </tp>
      <tp t="e">
        <v>#N/A</v>
        <stp/>
        <stp>BDH|8488577808171279879</stp>
        <tr r="W7" s="2"/>
        <tr r="W7" s="5"/>
        <tr r="W7" s="9"/>
        <tr r="Y14" s="3"/>
      </tp>
      <tp t="e">
        <v>#N/A</v>
        <stp/>
        <stp>BDH|4708983294563361363</stp>
        <tr r="G8" s="6"/>
      </tp>
      <tp t="e">
        <v>#N/A</v>
        <stp/>
        <stp>BDH|4015474245010800047</stp>
        <tr r="F26" s="18"/>
      </tp>
      <tp t="e">
        <v>#N/A</v>
        <stp/>
        <stp>BDH|7640138036803963247</stp>
        <tr r="J45" s="24"/>
      </tp>
      <tp t="e">
        <v>#N/A</v>
        <stp/>
        <stp>BDH|9068697552767430910</stp>
        <tr r="U39" s="17"/>
      </tp>
      <tp t="e">
        <v>#N/A</v>
        <stp/>
        <stp>BDH|9655874022710523780</stp>
        <tr r="D37" s="34"/>
      </tp>
      <tp t="e">
        <v>#N/A</v>
        <stp/>
        <stp>BDH|6574321270253053595</stp>
        <tr r="Q51" s="18"/>
      </tp>
      <tp t="e">
        <v>#N/A</v>
        <stp/>
        <stp>BDH|3773072813263971544</stp>
        <tr r="C62" s="21"/>
      </tp>
      <tp t="e">
        <v>#N/A</v>
        <stp/>
        <stp>BDH|5666875777587006982</stp>
        <tr r="Q71" s="17"/>
      </tp>
      <tp t="e">
        <v>#N/A</v>
        <stp/>
        <stp>BDH|4453151302382421391</stp>
        <tr r="M29" s="34"/>
      </tp>
      <tp t="e">
        <v>#N/A</v>
        <stp/>
        <stp>BDH|2692007324281413589</stp>
        <tr r="D61" s="17"/>
      </tp>
      <tp t="e">
        <v>#N/A</v>
        <stp/>
        <stp>BDH|9347003568342275974</stp>
        <tr r="S44" s="12"/>
      </tp>
      <tp t="e">
        <v>#N/A</v>
        <stp/>
        <stp>BDH|2967347952620730063</stp>
        <tr r="V17" s="21"/>
      </tp>
      <tp t="e">
        <v>#N/A</v>
        <stp/>
        <stp>BDH|4864110114288633850</stp>
        <tr r="X42" s="4"/>
      </tp>
      <tp t="e">
        <v>#N/A</v>
        <stp/>
        <stp>BDH|4182613604497997131</stp>
        <tr r="X25" s="24"/>
      </tp>
      <tp t="e">
        <v>#N/A</v>
        <stp/>
        <stp>BDH|7774967478325047871</stp>
        <tr r="T18" s="14"/>
      </tp>
      <tp t="e">
        <v>#N/A</v>
        <stp/>
        <stp>BDH|5821092459715384159</stp>
        <tr r="Y20" s="2"/>
        <tr r="Y18" s="4"/>
        <tr r="Y54" s="10"/>
        <tr r="Y52" s="11"/>
        <tr r="Y19" s="7"/>
        <tr r="AA41" s="13"/>
      </tp>
      <tp t="e">
        <v>#N/A</v>
        <stp/>
        <stp>BDH|4603242164185923117</stp>
        <tr r="V9" s="28"/>
      </tp>
      <tp t="e">
        <v>#N/A</v>
        <stp/>
        <stp>BDH|8185155459988656058</stp>
        <tr r="W45" s="18"/>
      </tp>
      <tp t="e">
        <v>#N/A</v>
        <stp/>
        <stp>BDH|2366043559820774372</stp>
        <tr r="U14" s="13"/>
      </tp>
      <tp t="e">
        <v>#N/A</v>
        <stp/>
        <stp>BDH|6184561095707511997</stp>
        <tr r="I31" s="25"/>
      </tp>
      <tp t="e">
        <v>#N/A</v>
        <stp/>
        <stp>BDH|8600190426877085878</stp>
        <tr r="C30" s="12"/>
      </tp>
      <tp t="e">
        <v>#N/A</v>
        <stp/>
        <stp>BDH|7423093001145123639</stp>
        <tr r="K15" s="11"/>
      </tp>
      <tp t="e">
        <v>#N/A</v>
        <stp/>
        <stp>BDH|6608681045942401213</stp>
        <tr r="D55" s="18"/>
      </tp>
      <tp t="e">
        <v>#N/A</v>
        <stp/>
        <stp>BDH|4024891006071607979</stp>
        <tr r="G34" s="18"/>
      </tp>
      <tp t="e">
        <v>#N/A</v>
        <stp/>
        <stp>BDH|3498718919888076924</stp>
        <tr r="K50" s="12"/>
      </tp>
      <tp t="e">
        <v>#N/A</v>
        <stp/>
        <stp>BDH|4137411927371086793</stp>
        <tr r="V38" s="10"/>
        <tr r="V36" s="11"/>
      </tp>
      <tp t="e">
        <v>#N/A</v>
        <stp/>
        <stp>BDH|9986410867427024814</stp>
        <tr r="O17" s="20"/>
      </tp>
      <tp t="e">
        <v>#N/A</v>
        <stp/>
        <stp>BDH|7001091963722081744</stp>
        <tr r="R14" s="14"/>
      </tp>
      <tp t="e">
        <v>#N/A</v>
        <stp/>
        <stp>BDH|2650539570451875532</stp>
        <tr r="Q17" s="24"/>
      </tp>
      <tp t="e">
        <v>#N/A</v>
        <stp/>
        <stp>BDH|3088284782774051943</stp>
        <tr r="M39" s="17"/>
      </tp>
      <tp t="e">
        <v>#N/A</v>
        <stp/>
        <stp>BDH|6915594215571850739</stp>
        <tr r="S20" s="27"/>
      </tp>
      <tp t="e">
        <v>#N/A</v>
        <stp/>
        <stp>BDH|4182019915952866332</stp>
        <tr r="Q82" s="17"/>
      </tp>
      <tp t="e">
        <v>#N/A</v>
        <stp/>
        <stp>BDH|2584240106480086498</stp>
        <tr r="O17" s="5"/>
        <tr r="N25" s="6"/>
      </tp>
      <tp t="e">
        <v>#N/A</v>
        <stp/>
        <stp>BDH|8113943748818351900</stp>
        <tr r="C7" s="17"/>
      </tp>
      <tp t="e">
        <v>#N/A</v>
        <stp/>
        <stp>BDH|7992465165447759632</stp>
        <tr r="R71" s="17"/>
      </tp>
      <tp t="e">
        <v>#N/A</v>
        <stp/>
        <stp>BDH|6240982388453859056</stp>
        <tr r="E65" s="12"/>
      </tp>
      <tp t="e">
        <v>#N/A</v>
        <stp/>
        <stp>BDH|1083698476823801788</stp>
        <tr r="S25" s="21"/>
      </tp>
      <tp t="e">
        <v>#N/A</v>
        <stp/>
        <stp>BDH|3150983099407927060</stp>
        <tr r="T91" s="17"/>
      </tp>
      <tp t="e">
        <v>#N/A</v>
        <stp/>
        <stp>BDH|9526695532421730960</stp>
        <tr r="L8" s="11"/>
      </tp>
      <tp t="e">
        <v>#N/A</v>
        <stp/>
        <stp>BDH|6836655472340616367</stp>
        <tr r="O19" s="9"/>
      </tp>
      <tp t="e">
        <v>#N/A</v>
        <stp/>
        <stp>BDH|2989785269991535625</stp>
        <tr r="U19" s="28"/>
        <tr r="U16" s="17"/>
      </tp>
      <tp t="e">
        <v>#N/A</v>
        <stp/>
        <stp>BDH|2423184418343335583</stp>
        <tr r="Z25" s="21"/>
      </tp>
      <tp t="e">
        <v>#N/A</v>
        <stp/>
        <stp>BDH|4055792311164006273</stp>
        <tr r="T14" s="14"/>
      </tp>
      <tp t="e">
        <v>#N/A</v>
        <stp/>
        <stp>BDH|6385592208760893751</stp>
        <tr r="X60" s="21"/>
      </tp>
      <tp t="e">
        <v>#N/A</v>
        <stp/>
        <stp>BDH|4401595564330344357</stp>
        <tr r="S17" s="9"/>
      </tp>
      <tp t="e">
        <v>#N/A</v>
        <stp/>
        <stp>BDH|9175673388173152007</stp>
        <tr r="P20" s="17"/>
      </tp>
      <tp t="e">
        <v>#N/A</v>
        <stp/>
        <stp>BDH|3581425225980433190</stp>
        <tr r="T85" s="18"/>
      </tp>
      <tp t="e">
        <v>#N/A</v>
        <stp/>
        <stp>BDH|8363287906077469961</stp>
        <tr r="W39" s="17"/>
      </tp>
      <tp t="e">
        <v>#N/A</v>
        <stp/>
        <stp>BDH|6013726399855395970</stp>
        <tr r="K60" s="24"/>
      </tp>
      <tp t="e">
        <v>#N/A</v>
        <stp/>
        <stp>BDH|2158334461371413285</stp>
        <tr r="O31" s="21"/>
      </tp>
      <tp t="e">
        <v>#N/A</v>
        <stp/>
        <stp>BDH|1211117761877459592</stp>
        <tr r="Y110" s="18"/>
      </tp>
      <tp t="e">
        <v>#N/A</v>
        <stp/>
        <stp>BDH|1151179728415886398</stp>
        <tr r="I65" s="12"/>
      </tp>
      <tp t="e">
        <v>#N/A</v>
        <stp/>
        <stp>BDH|2540107747927911440</stp>
        <tr r="I35" s="34"/>
      </tp>
      <tp t="e">
        <v>#N/A</v>
        <stp/>
        <stp>BDH|2932520050001206768</stp>
        <tr r="J17" s="24"/>
      </tp>
      <tp t="e">
        <v>#N/A</v>
        <stp/>
        <stp>BDH|1855671627006265759</stp>
        <tr r="F66" s="12"/>
      </tp>
      <tp t="e">
        <v>#N/A</v>
        <stp/>
        <stp>BDH|5901716416111254639</stp>
        <tr r="V6" s="19"/>
        <tr r="V34" s="17"/>
        <tr r="V16" s="3"/>
      </tp>
      <tp t="e">
        <v>#N/A</v>
        <stp/>
        <stp>BDH|1269645758996805091</stp>
        <tr r="O13" s="12"/>
      </tp>
      <tp t="e">
        <v>#N/A</v>
        <stp/>
        <stp>BDH|8279314686914977336</stp>
        <tr r="X31" s="12"/>
      </tp>
      <tp t="e">
        <v>#N/A</v>
        <stp/>
        <stp>BDH|4722398191608328235</stp>
        <tr r="C43" s="4"/>
      </tp>
      <tp t="e">
        <v>#N/A</v>
        <stp/>
        <stp>BDH|5110449650656962632</stp>
        <tr r="E23" s="25"/>
        <tr r="E16" s="27"/>
      </tp>
      <tp t="e">
        <v>#N/A</v>
        <stp/>
        <stp>BDH|8005989069261718290</stp>
        <tr r="V13" s="29"/>
        <tr r="V22" s="29"/>
        <tr r="V33" s="29"/>
      </tp>
      <tp t="e">
        <v>#N/A</v>
        <stp/>
        <stp>BDH|2155949639419761543</stp>
        <tr r="R60" s="24"/>
      </tp>
      <tp t="e">
        <v>#N/A</v>
        <stp/>
        <stp>BDH|6010816680692748099</stp>
        <tr r="X48" s="21"/>
      </tp>
      <tp t="e">
        <v>#N/A</v>
        <stp/>
        <stp>BDH|3674043745860051386</stp>
        <tr r="F54" s="21"/>
      </tp>
      <tp t="e">
        <v>#N/A</v>
        <stp/>
        <stp>BDH|9137992516653913689</stp>
        <tr r="E15" s="9"/>
      </tp>
      <tp t="e">
        <v>#N/A</v>
        <stp/>
        <stp>BDH|3940017464787333608</stp>
        <tr r="V90" s="18"/>
      </tp>
      <tp t="e">
        <v>#N/A</v>
        <stp/>
        <stp>BDH|7645963732721888857</stp>
        <tr r="J36" s="10"/>
        <tr r="J34" s="11"/>
      </tp>
      <tp t="e">
        <v>#N/A</v>
        <stp/>
        <stp>BDH|5587469702233947679</stp>
        <tr r="P16" s="29"/>
        <tr r="P36" s="29"/>
      </tp>
      <tp t="e">
        <v>#N/A</v>
        <stp/>
        <stp>BDH|6789648478640068371</stp>
        <tr r="F55" s="18"/>
      </tp>
      <tp t="e">
        <v>#N/A</v>
        <stp/>
        <stp>BDH|6593992157969414730</stp>
        <tr r="W9" s="26"/>
      </tp>
      <tp t="e">
        <v>#N/A</v>
        <stp/>
        <stp>BDH|4526322465777854261</stp>
        <tr r="P15" s="22"/>
      </tp>
      <tp t="e">
        <v>#N/A</v>
        <stp/>
        <stp>BDH|3058550679671834483</stp>
        <tr r="J97" s="18"/>
      </tp>
      <tp t="e">
        <v>#N/A</v>
        <stp/>
        <stp>BDH|8007833553895495481</stp>
        <tr r="P18" s="20"/>
      </tp>
      <tp t="e">
        <v>#N/A</v>
        <stp/>
        <stp>BDH|3980009064795824496</stp>
        <tr r="F42" s="17"/>
      </tp>
      <tp t="e">
        <v>#N/A</v>
        <stp/>
        <stp>BDH|7177466868729466872</stp>
        <tr r="D24" s="4"/>
        <tr r="D59" s="11"/>
      </tp>
      <tp t="e">
        <v>#N/A</v>
        <stp/>
        <stp>BDH|8014763974325720996</stp>
        <tr r="W50" s="12"/>
      </tp>
      <tp t="e">
        <v>#N/A</v>
        <stp/>
        <stp>BDH|1238495350000222451</stp>
        <tr r="F25" s="22"/>
      </tp>
      <tp t="e">
        <v>#N/A</v>
        <stp/>
        <stp>BDH|2444694767516129072</stp>
        <tr r="S12" s="18"/>
      </tp>
      <tp t="e">
        <v>#N/A</v>
        <stp/>
        <stp>BDH|1303828372372884877</stp>
        <tr r="P37" s="21"/>
        <tr r="P24" s="3"/>
      </tp>
      <tp t="e">
        <v>#N/A</v>
        <stp/>
        <stp>BDH|6882079102675727761</stp>
        <tr r="R21" s="11"/>
      </tp>
      <tp t="e">
        <v>#N/A</v>
        <stp/>
        <stp>BDH|4165665634397934267</stp>
        <tr r="L12" s="3"/>
        <tr r="J51" s="10"/>
        <tr r="J49" s="11"/>
        <tr r="J7" s="7"/>
      </tp>
      <tp t="e">
        <v>#N/A</v>
        <stp/>
        <stp>BDH|3376969941239886300</stp>
        <tr r="T61" s="17"/>
      </tp>
      <tp t="e">
        <v>#N/A</v>
        <stp/>
        <stp>BDH|7287815089973044067</stp>
        <tr r="J45" s="21"/>
      </tp>
      <tp t="e">
        <v>#N/A</v>
        <stp/>
        <stp>BDH|1940713450173246465</stp>
        <tr r="W64" s="24"/>
      </tp>
      <tp t="e">
        <v>#N/A</v>
        <stp/>
        <stp>BDH|3409348668590680222</stp>
        <tr r="X9" s="10"/>
      </tp>
      <tp t="e">
        <v>#N/A</v>
        <stp/>
        <stp>BDH|3314681446773780668</stp>
        <tr r="E55" s="17"/>
      </tp>
      <tp t="e">
        <v>#N/A</v>
        <stp/>
        <stp>BDH|7263608963421598284</stp>
        <tr r="P47" s="24"/>
      </tp>
      <tp t="e">
        <v>#N/A</v>
        <stp/>
        <stp>BDH|2195987921898647525</stp>
        <tr r="T30" s="9"/>
      </tp>
      <tp t="e">
        <v>#N/A</v>
        <stp/>
        <stp>BDH|5735900662656169885</stp>
        <tr r="S51" s="12"/>
      </tp>
      <tp t="e">
        <v>#N/A</v>
        <stp/>
        <stp>BDH|4474154189368048142</stp>
        <tr r="J36" s="34"/>
      </tp>
      <tp t="e">
        <v>#N/A</v>
        <stp/>
        <stp>BDH|8253791490690045270</stp>
        <tr r="C25" s="2"/>
        <tr r="E61" s="21"/>
      </tp>
      <tp t="e">
        <v>#N/A</v>
        <stp/>
        <stp>BDH|2988781015677163790</stp>
        <tr r="K16" s="6"/>
      </tp>
      <tp t="e">
        <v>#N/A</v>
        <stp/>
        <stp>BDH|1159698105591907280</stp>
        <tr r="M7" s="24"/>
      </tp>
      <tp t="e">
        <v>#N/A</v>
        <stp/>
        <stp>BDH|3695781190858309118</stp>
        <tr r="N43" s="17"/>
      </tp>
      <tp t="e">
        <v>#N/A</v>
        <stp/>
        <stp>BDH|7404856522639908068</stp>
        <tr r="G75" s="18"/>
      </tp>
      <tp t="e">
        <v>#N/A</v>
        <stp/>
        <stp>BDH|2004521737787039799</stp>
        <tr r="Y10" s="12"/>
      </tp>
      <tp t="e">
        <v>#N/A</v>
        <stp/>
        <stp>BDH|7594013734960567099</stp>
        <tr r="K22" s="17"/>
      </tp>
      <tp t="e">
        <v>#N/A</v>
        <stp/>
        <stp>BDH|9221976458805306420</stp>
        <tr r="X16" s="12"/>
      </tp>
      <tp t="e">
        <v>#N/A</v>
        <stp/>
        <stp>BDH|4520728370354318487</stp>
        <tr r="Q40" s="6"/>
      </tp>
      <tp t="e">
        <v>#N/A</v>
        <stp/>
        <stp>BDH|4058383931776280677</stp>
        <tr r="X12" s="21"/>
      </tp>
      <tp t="e">
        <v>#N/A</v>
        <stp/>
        <stp>BDH|4268399828483962263</stp>
        <tr r="C57" s="17"/>
      </tp>
      <tp t="e">
        <v>#N/A</v>
        <stp/>
        <stp>BDH|4427460065161206383</stp>
        <tr r="G7" s="34"/>
      </tp>
      <tp t="e">
        <v>#N/A</v>
        <stp/>
        <stp>BDH|4956146357410133464</stp>
        <tr r="X31" s="22"/>
      </tp>
      <tp t="e">
        <v>#N/A</v>
        <stp/>
        <stp>BDH|5458311871594118180</stp>
        <tr r="H19" s="28"/>
        <tr r="H16" s="17"/>
      </tp>
      <tp t="e">
        <v>#N/A</v>
        <stp/>
        <stp>BDH|1930704125040843090</stp>
        <tr r="D58" s="11"/>
      </tp>
      <tp t="e">
        <v>#N/A</v>
        <stp/>
        <stp>BDH|8252182595560347415</stp>
        <tr r="Q18" s="30"/>
      </tp>
      <tp t="e">
        <v>#N/A</v>
        <stp/>
        <stp>BDH|8874462465577534936</stp>
        <tr r="E49" s="4"/>
      </tp>
      <tp t="e">
        <v>#N/A</v>
        <stp/>
        <stp>BDH|8713957038181342746</stp>
        <tr r="W17" s="20"/>
      </tp>
      <tp t="e">
        <v>#N/A</v>
        <stp/>
        <stp>BDH|6039643747452710290</stp>
        <tr r="H25" s="24"/>
      </tp>
      <tp t="e">
        <v>#N/A</v>
        <stp/>
        <stp>BDH|3297522563953933775</stp>
        <tr r="L79" s="18"/>
      </tp>
      <tp t="e">
        <v>#N/A</v>
        <stp/>
        <stp>BDH|2863087673326731795</stp>
        <tr r="K16" s="30"/>
      </tp>
      <tp t="e">
        <v>#N/A</v>
        <stp/>
        <stp>BDH|3986110109734523299</stp>
        <tr r="C62" s="12"/>
      </tp>
      <tp t="e">
        <v>#N/A</v>
        <stp/>
        <stp>BDH|7967070540454564360</stp>
        <tr r="Z21" s="12"/>
      </tp>
      <tp t="e">
        <v>#N/A</v>
        <stp/>
        <stp>BDH|4637087683558127014</stp>
        <tr r="M21" s="17"/>
        <tr r="M15" s="3"/>
      </tp>
      <tp t="e">
        <v>#N/A</v>
        <stp/>
        <stp>BDH|5337098013001049148</stp>
        <tr r="U36" s="4"/>
      </tp>
      <tp t="e">
        <v>#N/A</v>
        <stp/>
        <stp>BDH|7196099173303633706</stp>
        <tr r="Z33" s="18"/>
      </tp>
      <tp t="e">
        <v>#N/A</v>
        <stp/>
        <stp>BDH|2660900730019949524</stp>
        <tr r="O24" s="26"/>
        <tr r="M14" s="9"/>
      </tp>
      <tp t="e">
        <v>#N/A</v>
        <stp/>
        <stp>BDH|7652888239989922130</stp>
        <tr r="S31" s="18"/>
      </tp>
      <tp t="e">
        <v>#N/A</v>
        <stp/>
        <stp>BDH|4557569518650335450</stp>
        <tr r="W9" s="3"/>
        <tr r="U47" s="10"/>
        <tr r="U45" s="11"/>
        <tr r="U14" s="7"/>
      </tp>
      <tp t="e">
        <v>#N/A</v>
        <stp/>
        <stp>BDH|3475594362907735350</stp>
        <tr r="N7" s="28"/>
      </tp>
      <tp t="e">
        <v>#N/A</v>
        <stp/>
        <stp>BDH|9432608723720360992</stp>
        <tr r="D123" s="18"/>
      </tp>
      <tp t="e">
        <v>#N/A</v>
        <stp/>
        <stp>BDH|3520537421991210185</stp>
        <tr r="F43" s="12"/>
      </tp>
      <tp t="e">
        <v>#N/A</v>
        <stp/>
        <stp>BDH|6692342938416635414</stp>
        <tr r="X81" s="17"/>
      </tp>
      <tp t="e">
        <v>#N/A</v>
        <stp/>
        <stp>BDH|6892686144467990709</stp>
        <tr r="H27" s="6"/>
      </tp>
      <tp t="e">
        <v>#N/A</v>
        <stp/>
        <stp>BDH|5163558409702257627</stp>
        <tr r="AA20" s="27"/>
      </tp>
      <tp t="e">
        <v>#N/A</v>
        <stp/>
        <stp>BDH|4523499155422221366</stp>
        <tr r="R86" s="17"/>
      </tp>
      <tp t="e">
        <v>#N/A</v>
        <stp/>
        <stp>BDH|7074262216584499493</stp>
        <tr r="H52" s="18"/>
      </tp>
      <tp t="e">
        <v>#N/A</v>
        <stp/>
        <stp>BDH|1566377479964674505</stp>
        <tr r="M38" s="6"/>
      </tp>
      <tp t="e">
        <v>#N/A</v>
        <stp/>
        <stp>BDH|3873231218654981075</stp>
        <tr r="N14" s="21"/>
      </tp>
      <tp t="e">
        <v>#N/A</v>
        <stp/>
        <stp>BDH|2787150158340615217</stp>
        <tr r="K69" s="24"/>
      </tp>
      <tp t="e">
        <v>#N/A</v>
        <stp/>
        <stp>BDH|8494914200575970010</stp>
        <tr r="L39" s="12"/>
      </tp>
      <tp t="e">
        <v>#N/A</v>
        <stp/>
        <stp>BDH|4472598720614029304</stp>
        <tr r="W83" s="18"/>
      </tp>
      <tp t="e">
        <v>#N/A</v>
        <stp/>
        <stp>BDH|8358100510034997873</stp>
        <tr r="P110" s="18"/>
      </tp>
      <tp t="e">
        <v>#N/A</v>
        <stp/>
        <stp>BDH|6351698049754971473</stp>
        <tr r="D50" s="18"/>
      </tp>
      <tp t="e">
        <v>#N/A</v>
        <stp/>
        <stp>BDH|9729642005109978228</stp>
        <tr r="L19" s="6"/>
      </tp>
      <tp t="e">
        <v>#N/A</v>
        <stp/>
        <stp>BDH|8178812224045746310</stp>
        <tr r="U36" s="21"/>
      </tp>
      <tp t="e">
        <v>#N/A</v>
        <stp/>
        <stp>BDH|4794850821319239339</stp>
        <tr r="P21" s="12"/>
      </tp>
      <tp t="e">
        <v>#N/A</v>
        <stp/>
        <stp>BDH|5979803060659964624</stp>
        <tr r="K20" s="2"/>
        <tr r="K18" s="4"/>
        <tr r="K54" s="10"/>
        <tr r="K52" s="11"/>
        <tr r="K19" s="7"/>
        <tr r="M41" s="13"/>
      </tp>
      <tp t="e">
        <v>#N/A</v>
        <stp/>
        <stp>BDH|8554003322276356862</stp>
        <tr r="AA18" s="26"/>
      </tp>
      <tp t="e">
        <v>#N/A</v>
        <stp/>
        <stp>BDH|4565210243154000254</stp>
        <tr r="AA56" s="12"/>
      </tp>
      <tp t="e">
        <v>#N/A</v>
        <stp/>
        <stp>BDH|4986229831424901516</stp>
        <tr r="G13" s="29"/>
        <tr r="G22" s="29"/>
        <tr r="G33" s="29"/>
      </tp>
      <tp t="e">
        <v>#N/A</v>
        <stp/>
        <stp>BDH|9475227357058249217</stp>
        <tr r="O9" s="26"/>
      </tp>
      <tp t="e">
        <v>#N/A</v>
        <stp/>
        <stp>BDH|3125034827771240457</stp>
        <tr r="W37" s="21"/>
        <tr r="W24" s="3"/>
      </tp>
      <tp t="e">
        <v>#N/A</v>
        <stp/>
        <stp>BDH|6628331146957868299</stp>
        <tr r="N63" s="17"/>
      </tp>
      <tp t="e">
        <v>#N/A</v>
        <stp/>
        <stp>BDH|6921355706316843705</stp>
        <tr r="U12" s="3"/>
        <tr r="S51" s="10"/>
        <tr r="S49" s="11"/>
        <tr r="S7" s="7"/>
      </tp>
      <tp t="e">
        <v>#N/A</v>
        <stp/>
        <stp>BDH|7148339101560558048</stp>
        <tr r="Y17" s="4"/>
        <tr r="AA10" s="3"/>
        <tr r="Y52" s="10"/>
        <tr r="Y50" s="11"/>
        <tr r="Y17" s="7"/>
        <tr r="AA37" s="13"/>
      </tp>
      <tp t="e">
        <v>#N/A</v>
        <stp/>
        <stp>BDH|8744903816726650250</stp>
        <tr r="L11" s="6"/>
      </tp>
      <tp t="e">
        <v>#N/A</v>
        <stp/>
        <stp>BDH|9469250572569668171</stp>
        <tr r="Z59" s="17"/>
      </tp>
      <tp t="e">
        <v>#N/A</v>
        <stp/>
        <stp>BDH|5963293116702165053</stp>
        <tr r="K62" s="24"/>
      </tp>
      <tp t="e">
        <v>#N/A</v>
        <stp/>
        <stp>BDH|7387414156130294243</stp>
        <tr r="H115" s="18"/>
      </tp>
      <tp t="e">
        <v>#N/A</v>
        <stp/>
        <stp>BDH|9798891523517620098</stp>
        <tr r="I27" s="26"/>
      </tp>
      <tp t="e">
        <v>#N/A</v>
        <stp/>
        <stp>BDH|6048330517059732910</stp>
        <tr r="L49" s="10"/>
        <tr r="L47" s="11"/>
        <tr r="L16" s="7"/>
      </tp>
      <tp t="e">
        <v>#N/A</v>
        <stp/>
        <stp>BDH|1347673710565162772</stp>
        <tr r="I39" s="10"/>
        <tr r="I37" s="11"/>
      </tp>
      <tp t="e">
        <v>#N/A</v>
        <stp/>
        <stp>BDH|1054338630871230430</stp>
        <tr r="C10" s="21"/>
      </tp>
      <tp t="e">
        <v>#N/A</v>
        <stp/>
        <stp>BDH|7087759069470846267</stp>
        <tr r="J27" s="6"/>
      </tp>
      <tp t="e">
        <v>#N/A</v>
        <stp/>
        <stp>BDH|3193069082947360849</stp>
        <tr r="V32" s="18"/>
      </tp>
      <tp t="e">
        <v>#N/A</v>
        <stp/>
        <stp>BDH|4018063726194031626</stp>
        <tr r="Z9" s="23"/>
      </tp>
      <tp t="e">
        <v>#N/A</v>
        <stp/>
        <stp>BDH|4886834986422944264</stp>
        <tr r="H25" s="7"/>
      </tp>
      <tp t="e">
        <v>#N/A</v>
        <stp/>
        <stp>BDH|5054040817830058013</stp>
        <tr r="M81" s="17"/>
      </tp>
      <tp t="e">
        <v>#N/A</v>
        <stp/>
        <stp>BDH|6495448262163726379</stp>
        <tr r="P78" s="18"/>
      </tp>
      <tp t="e">
        <v>#N/A</v>
        <stp/>
        <stp>BDH|3094470772072734601</stp>
        <tr r="C33" s="18"/>
      </tp>
      <tp t="e">
        <v>#N/A</v>
        <stp/>
        <stp>BDH|3032231518611092597</stp>
        <tr r="W81" s="18"/>
      </tp>
      <tp t="e">
        <v>#N/A</v>
        <stp/>
        <stp>BDH|5697827584052036327</stp>
        <tr r="H67" s="10"/>
        <tr r="H65" s="11"/>
      </tp>
      <tp t="e">
        <v>#N/A</v>
        <stp/>
        <stp>BDH|8754721611203686903</stp>
        <tr r="S67" s="17"/>
      </tp>
      <tp t="e">
        <v>#N/A</v>
        <stp/>
        <stp>BDH|8613614176968765547</stp>
        <tr r="U30" s="9"/>
      </tp>
      <tp t="e">
        <v>#N/A</v>
        <stp/>
        <stp>BDH|4745661223065306139</stp>
        <tr r="N28" s="4"/>
      </tp>
      <tp t="e">
        <v>#N/A</v>
        <stp/>
        <stp>BDH|7478818667289939492</stp>
        <tr r="G31" s="17"/>
      </tp>
      <tp t="e">
        <v>#N/A</v>
        <stp/>
        <stp>BDH|4136218165047427336</stp>
        <tr r="E10" s="26"/>
      </tp>
      <tp t="e">
        <v>#N/A</v>
        <stp/>
        <stp>BDH|9348079187526040313</stp>
        <tr r="D64" s="12"/>
      </tp>
      <tp t="e">
        <v>#N/A</v>
        <stp/>
        <stp>BDH|7339091902365905620</stp>
        <tr r="S85" s="18"/>
      </tp>
      <tp t="e">
        <v>#N/A</v>
        <stp/>
        <stp>BDH|8908209916408589794</stp>
        <tr r="R17" s="13"/>
      </tp>
      <tp t="e">
        <v>#N/A</v>
        <stp/>
        <stp>BDH|2648559970217982397</stp>
        <tr r="O35" s="6"/>
        <tr r="Q10" s="8"/>
      </tp>
      <tp t="e">
        <v>#N/A</v>
        <stp/>
        <stp>BDH|3428781718424175560</stp>
        <tr r="M39" s="4"/>
        <tr r="M62" s="10"/>
      </tp>
      <tp t="e">
        <v>#N/A</v>
        <stp/>
        <stp>BDH|1513426058681992558</stp>
        <tr r="S31" s="26"/>
      </tp>
      <tp t="e">
        <v>#N/A</v>
        <stp/>
        <stp>BDH|3550302338843989474</stp>
        <tr r="O50" s="21"/>
      </tp>
      <tp t="e">
        <v>#N/A</v>
        <stp/>
        <stp>BDH|9021332328495822905</stp>
        <tr r="T14" s="29"/>
        <tr r="T23" s="29"/>
        <tr r="T34" s="29"/>
      </tp>
      <tp t="e">
        <v>#N/A</v>
        <stp/>
        <stp>BDH|7693549701473354533</stp>
        <tr r="L20" s="27"/>
      </tp>
      <tp t="e">
        <v>#N/A</v>
        <stp/>
        <stp>BDH|2682161753213417148</stp>
        <tr r="R115" s="18"/>
      </tp>
      <tp t="e">
        <v>#N/A</v>
        <stp/>
        <stp>BDH|3054242904170413575</stp>
        <tr r="R25" s="4"/>
        <tr r="R61" s="10"/>
      </tp>
      <tp t="e">
        <v>#N/A</v>
        <stp/>
        <stp>BDH|4970315873053151792</stp>
        <tr r="O20" s="23"/>
      </tp>
      <tp t="e">
        <v>#N/A</v>
        <stp/>
        <stp>BDH|6639394670316987059</stp>
        <tr r="C10" s="23"/>
      </tp>
      <tp t="e">
        <v>#N/A</v>
        <stp/>
        <stp>BDH|2926072420386460290</stp>
        <tr r="Q9" s="22"/>
      </tp>
      <tp t="e">
        <v>#N/A</v>
        <stp/>
        <stp>BDH|6256860791585223647</stp>
        <tr r="U8" s="27"/>
      </tp>
      <tp t="e">
        <v>#N/A</v>
        <stp/>
        <stp>BDH|4817029138855825696</stp>
        <tr r="I14" s="17"/>
        <tr r="I17" s="28"/>
      </tp>
      <tp t="e">
        <v>#N/A</v>
        <stp/>
        <stp>BDH|3416030762814089566</stp>
        <tr r="P38" s="13"/>
      </tp>
      <tp t="e">
        <v>#N/A</v>
        <stp/>
        <stp>BDH|9963629281886113581</stp>
        <tr r="C15" s="20"/>
      </tp>
      <tp t="e">
        <v>#N/A</v>
        <stp/>
        <stp>BDH|5408206822252042356</stp>
        <tr r="Y22" s="12"/>
      </tp>
      <tp t="e">
        <v>#N/A</v>
        <stp/>
        <stp>BDH|8281900576072481036</stp>
        <tr r="F108" s="18"/>
      </tp>
      <tp t="e">
        <v>#N/A</v>
        <stp/>
        <stp>BDH|6817536119680037614</stp>
        <tr r="K58" s="17"/>
      </tp>
      <tp t="e">
        <v>#N/A</v>
        <stp/>
        <stp>BDH|6077356863802695536</stp>
        <tr r="H15" s="11"/>
      </tp>
      <tp t="e">
        <v>#N/A</v>
        <stp/>
        <stp>BDH|4289237494283632807</stp>
        <tr r="X27" s="26"/>
      </tp>
      <tp t="e">
        <v>#N/A</v>
        <stp/>
        <stp>BDH|8376578080312626317</stp>
        <tr r="O62" s="24"/>
      </tp>
      <tp t="e">
        <v>#N/A</v>
        <stp/>
        <stp>BDH|6336403513924043334</stp>
        <tr r="U13" s="12"/>
      </tp>
      <tp t="e">
        <v>#N/A</v>
        <stp/>
        <stp>BDH|5489109209931796198</stp>
        <tr r="N25" s="17"/>
      </tp>
      <tp t="e">
        <v>#N/A</v>
        <stp/>
        <stp>BDH|2328446453874006374</stp>
        <tr r="Y31" s="25"/>
      </tp>
      <tp t="e">
        <v>#N/A</v>
        <stp/>
        <stp>BDH|5919093761166680143</stp>
        <tr r="F14" s="23"/>
      </tp>
      <tp t="e">
        <v>#N/A</v>
        <stp/>
        <stp>BDH|5980249943984808353</stp>
        <tr r="Z77" s="18"/>
      </tp>
      <tp t="e">
        <v>#N/A</v>
        <stp/>
        <stp>BDH|7804064598668084250</stp>
        <tr r="J36" s="21"/>
      </tp>
      <tp t="e">
        <v>#N/A</v>
        <stp/>
        <stp>BDH|7927531463621308198</stp>
        <tr r="Q48" s="10"/>
        <tr r="Q46" s="11"/>
        <tr r="Q15" s="7"/>
      </tp>
      <tp t="e">
        <v>#N/A</v>
        <stp/>
        <stp>BDH|3604643183419707058</stp>
        <tr r="C18" s="14"/>
      </tp>
      <tp t="e">
        <v>#N/A</v>
        <stp/>
        <stp>BDH|5880988505809036164</stp>
        <tr r="M16" s="23"/>
      </tp>
      <tp t="e">
        <v>#N/A</v>
        <stp/>
        <stp>BDH|5845485519461338599</stp>
        <tr r="P65" s="24"/>
      </tp>
      <tp t="e">
        <v>#N/A</v>
        <stp/>
        <stp>BDH|6776641762245228708</stp>
        <tr r="D16" s="25"/>
      </tp>
      <tp t="e">
        <v>#N/A</v>
        <stp/>
        <stp>BDH|6185258353013326643</stp>
        <tr r="D28" s="25"/>
      </tp>
      <tp t="e">
        <v>#N/A</v>
        <stp/>
        <stp>BDH|9381496493820168081</stp>
        <tr r="O66" s="10"/>
        <tr r="O64" s="11"/>
        <tr r="O20" s="7"/>
      </tp>
      <tp t="e">
        <v>#N/A</v>
        <stp/>
        <stp>BDH|1827042367196259594</stp>
        <tr r="K7" s="34"/>
      </tp>
      <tp t="e">
        <v>#N/A</v>
        <stp/>
        <stp>BDH|1875742565125108184</stp>
        <tr r="N7" s="24"/>
      </tp>
      <tp t="e">
        <v>#N/A</v>
        <stp/>
        <stp>BDH|2191148961681032047</stp>
        <tr r="T26" s="12"/>
      </tp>
      <tp t="e">
        <v>#N/A</v>
        <stp/>
        <stp>BDH|6696586158876362453</stp>
        <tr r="C10" s="10"/>
      </tp>
      <tp t="e">
        <v>#N/A</v>
        <stp/>
        <stp>BDH|4405653081276558856</stp>
        <tr r="Z88" s="17"/>
      </tp>
      <tp t="e">
        <v>#N/A</v>
        <stp/>
        <stp>BDH|5365519531675790245</stp>
        <tr r="L25" s="26"/>
      </tp>
      <tp t="e">
        <v>#N/A</v>
        <stp/>
        <stp>BDH|8218063230638304771</stp>
        <tr r="Y15" s="29"/>
        <tr r="Y35" s="29"/>
      </tp>
      <tp t="e">
        <v>#N/A</v>
        <stp/>
        <stp>BDH|6596307806908463975</stp>
        <tr r="L41" s="12"/>
      </tp>
      <tp t="e">
        <v>#N/A</v>
        <stp/>
        <stp>BDH|7305012024427709612</stp>
        <tr r="H41" s="34"/>
      </tp>
      <tp t="e">
        <v>#N/A</v>
        <stp/>
        <stp>BDH|4051852760207524900</stp>
        <tr r="C66" s="12"/>
      </tp>
      <tp t="e">
        <v>#N/A</v>
        <stp/>
        <stp>BDH|3805956478310473915</stp>
        <tr r="V102" s="18"/>
      </tp>
      <tp t="e">
        <v>#N/A</v>
        <stp/>
        <stp>BDH|7841484886138131775</stp>
        <tr r="N19" s="20"/>
      </tp>
      <tp t="e">
        <v>#N/A</v>
        <stp/>
        <stp>BDH|4043630511710737756</stp>
        <tr r="K18" s="17"/>
      </tp>
      <tp t="e">
        <v>#N/A</v>
        <stp/>
        <stp>BDH|2810675273791958650</stp>
        <tr r="AA60" s="18"/>
      </tp>
      <tp t="e">
        <v>#N/A</v>
        <stp/>
        <stp>BDH|4315846762329269774</stp>
        <tr r="Q8" s="13"/>
      </tp>
      <tp t="e">
        <v>#N/A</v>
        <stp/>
        <stp>BDH|7650355453607081207</stp>
        <tr r="I40" s="12"/>
      </tp>
      <tp t="e">
        <v>#N/A</v>
        <stp/>
        <stp>BDH|4447308770575056144</stp>
        <tr r="N118" s="18"/>
      </tp>
      <tp t="e">
        <v>#N/A</v>
        <stp/>
        <stp>BDH|7000849693671060371</stp>
        <tr r="L80" s="18"/>
      </tp>
      <tp t="e">
        <v>#N/A</v>
        <stp/>
        <stp>BDH|6440103871233548709</stp>
        <tr r="P11" s="3"/>
        <tr r="N46" s="10"/>
        <tr r="N44" s="11"/>
        <tr r="N8" s="7"/>
      </tp>
      <tp t="e">
        <v>#N/A</v>
        <stp/>
        <stp>BDH|1479483078501023748</stp>
        <tr r="R12" s="30"/>
      </tp>
      <tp t="e">
        <v>#N/A</v>
        <stp/>
        <stp>BDH|8483724422309521017</stp>
        <tr r="Q13" s="29"/>
        <tr r="Q22" s="29"/>
        <tr r="Q33" s="29"/>
      </tp>
      <tp t="e">
        <v>#N/A</v>
        <stp/>
        <stp>BDH|7871705630370093785</stp>
        <tr r="W28" s="6"/>
      </tp>
      <tp t="e">
        <v>#N/A</v>
        <stp/>
        <stp>BDH|6992434729023696758</stp>
        <tr r="Y15" s="4"/>
      </tp>
      <tp t="e">
        <v>#N/A</v>
        <stp/>
        <stp>BDH|3733994099976518123</stp>
        <tr r="T14" s="22"/>
      </tp>
      <tp t="e">
        <v>#N/A</v>
        <stp/>
        <stp>BDH|3914897168998813101</stp>
        <tr r="I13" s="21"/>
      </tp>
      <tp t="e">
        <v>#N/A</v>
        <stp/>
        <stp>BDH|1004164997408478559</stp>
        <tr r="S129" s="18"/>
      </tp>
      <tp t="e">
        <v>#N/A</v>
        <stp/>
        <stp>BDH|4256426791669331428</stp>
        <tr r="J14" s="14"/>
      </tp>
      <tp t="e">
        <v>#N/A</v>
        <stp/>
        <stp>BDH|6896225918659276803</stp>
        <tr r="N39" s="22"/>
      </tp>
      <tp t="e">
        <v>#N/A</v>
        <stp/>
        <stp>BDH|1601379209475942308</stp>
        <tr r="H14" s="20"/>
      </tp>
      <tp t="e">
        <v>#N/A</v>
        <stp/>
        <stp>BDH|6230478260853649326</stp>
        <tr r="I65" s="17"/>
        <tr r="G8" s="5"/>
        <tr r="G8" s="9"/>
      </tp>
      <tp t="e">
        <v>#N/A</v>
        <stp/>
        <stp>BDH|7564549168244884405</stp>
        <tr r="T15" s="5"/>
      </tp>
      <tp t="e">
        <v>#N/A</v>
        <stp/>
        <stp>BDH|3681441004724195767</stp>
        <tr r="R11" s="14"/>
      </tp>
      <tp t="e">
        <v>#N/A</v>
        <stp/>
        <stp>BDH|4761382446336070180</stp>
        <tr r="U15" s="13"/>
      </tp>
      <tp t="e">
        <v>#N/A</v>
        <stp/>
        <stp>BDH|8942677299747424426</stp>
        <tr r="O84" s="17"/>
      </tp>
      <tp t="e">
        <v>#N/A</v>
        <stp/>
        <stp>BDH|2735831297431519677</stp>
        <tr r="X9" s="26"/>
      </tp>
      <tp t="e">
        <v>#N/A</v>
        <stp/>
        <stp>BDH|6659040250006416174</stp>
        <tr r="G61" s="17"/>
      </tp>
      <tp t="e">
        <v>#N/A</v>
        <stp/>
        <stp>BDH|7603312855031146426</stp>
        <tr r="U57" s="18"/>
      </tp>
      <tp t="e">
        <v>#N/A</v>
        <stp/>
        <stp>BDH|9930850133384673287</stp>
        <tr r="D20" s="2"/>
        <tr r="D18" s="4"/>
        <tr r="D54" s="10"/>
        <tr r="D52" s="11"/>
        <tr r="D19" s="7"/>
        <tr r="F41" s="13"/>
      </tp>
      <tp t="e">
        <v>#N/A</v>
        <stp/>
        <stp>BDH|4275767630543704726</stp>
        <tr r="D12" s="17"/>
      </tp>
      <tp t="e">
        <v>#N/A</v>
        <stp/>
        <stp>BDH|8228911221123055434</stp>
        <tr r="Q16" s="30"/>
      </tp>
      <tp t="e">
        <v>#N/A</v>
        <stp/>
        <stp>BDH|9691172721087907988</stp>
        <tr r="F12" s="3"/>
        <tr r="D51" s="10"/>
        <tr r="D49" s="11"/>
        <tr r="D7" s="7"/>
      </tp>
      <tp t="e">
        <v>#N/A</v>
        <stp/>
        <stp>BDH|6430183868254337162</stp>
        <tr r="H70" s="10"/>
        <tr r="H68" s="11"/>
      </tp>
      <tp t="e">
        <v>#N/A</v>
        <stp/>
        <stp>BDH|7742475011215805381</stp>
        <tr r="L45" s="24"/>
      </tp>
      <tp t="e">
        <v>#N/A</v>
        <stp/>
        <stp>BDH|6775585624143997638</stp>
        <tr r="I20" s="25"/>
        <tr r="I13" s="27"/>
      </tp>
      <tp t="e">
        <v>#N/A</v>
        <stp/>
        <stp>BDH|1942126373604968700</stp>
        <tr r="L13" s="7"/>
      </tp>
      <tp t="e">
        <v>#N/A</v>
        <stp/>
        <stp>BDH|8690715784862458163</stp>
        <tr r="F53" s="17"/>
      </tp>
      <tp t="e">
        <v>#N/A</v>
        <stp/>
        <stp>BDH|5056178727693603179</stp>
        <tr r="J62" s="12"/>
      </tp>
      <tp t="e">
        <v>#N/A</v>
        <stp/>
        <stp>BDH|6755016732765098458</stp>
        <tr r="D16" s="30"/>
      </tp>
      <tp t="e">
        <v>#N/A</v>
        <stp/>
        <stp>BDH|9420502687934795454</stp>
        <tr r="Y59" s="10"/>
      </tp>
      <tp t="e">
        <v>#N/A</v>
        <stp/>
        <stp>BDH|3728504853603017456</stp>
        <tr r="Q18" s="17"/>
      </tp>
      <tp t="e">
        <v>#N/A</v>
        <stp/>
        <stp>BDH|8831268048859647310</stp>
        <tr r="J56" s="24"/>
      </tp>
      <tp t="e">
        <v>#N/A</v>
        <stp/>
        <stp>BDH|8674660587795327755</stp>
        <tr r="R21" s="6"/>
      </tp>
      <tp t="e">
        <v>#N/A</v>
        <stp/>
        <stp>BDH|6567177824573441237</stp>
        <tr r="W44" s="18"/>
      </tp>
      <tp t="e">
        <v>#N/A</v>
        <stp/>
        <stp>BDH|7346082312506857400</stp>
        <tr r="R106" s="18"/>
      </tp>
      <tp t="e">
        <v>#N/A</v>
        <stp/>
        <stp>BDH|7642299723822455196</stp>
        <tr r="H63" s="10"/>
      </tp>
      <tp t="e">
        <v>#N/A</v>
        <stp/>
        <stp>BDH|3931638829170142338</stp>
        <tr r="K67" s="18"/>
      </tp>
      <tp t="e">
        <v>#N/A</v>
        <stp/>
        <stp>BDH|4309456442069147944</stp>
        <tr r="V17" s="17"/>
        <tr r="V20" s="28"/>
      </tp>
      <tp t="e">
        <v>#N/A</v>
        <stp/>
        <stp>BDH|1416393557905257697</stp>
        <tr r="O30" s="21"/>
      </tp>
      <tp t="e">
        <v>#N/A</v>
        <stp/>
        <stp>BDH|6076386271213925518</stp>
        <tr r="M67" s="10"/>
        <tr r="M65" s="11"/>
      </tp>
      <tp t="e">
        <v>#N/A</v>
        <stp/>
        <stp>BDH|6699800491400127376</stp>
        <tr r="N16" s="23"/>
      </tp>
      <tp t="e">
        <v>#N/A</v>
        <stp/>
        <stp>BDH|1164033712864756060</stp>
        <tr r="T42" s="4"/>
      </tp>
      <tp t="e">
        <v>#N/A</v>
        <stp/>
        <stp>BDH|6615466780787293931</stp>
        <tr r="AA11" s="21"/>
      </tp>
      <tp t="e">
        <v>#N/A</v>
        <stp/>
        <stp>BDH|5551733320582309648</stp>
        <tr r="T63" s="11"/>
      </tp>
      <tp t="e">
        <v>#N/A</v>
        <stp/>
        <stp>BDH|8445301775218859088</stp>
        <tr r="V69" s="18"/>
      </tp>
      <tp t="e">
        <v>#N/A</v>
        <stp/>
        <stp>BDH|3673661935997252567</stp>
        <tr r="F42" s="24"/>
      </tp>
      <tp t="e">
        <v>#N/A</v>
        <stp/>
        <stp>BDH|7953925143958007695</stp>
        <tr r="O109" s="18"/>
      </tp>
      <tp t="e">
        <v>#N/A</v>
        <stp/>
        <stp>BDH|9775360919189884612</stp>
        <tr r="O21" s="5"/>
      </tp>
      <tp t="e">
        <v>#N/A</v>
        <stp/>
        <stp>BDH|7569414355701918398</stp>
        <tr r="X46" s="4"/>
        <tr r="X25" s="10"/>
        <tr r="Z27" s="13"/>
      </tp>
      <tp t="e">
        <v>#N/A</v>
        <stp/>
        <stp>BDH|4887613279794520542</stp>
        <tr r="D65" s="18"/>
      </tp>
      <tp t="e">
        <v>#N/A</v>
        <stp/>
        <stp>BDH|9136396552629368289</stp>
        <tr r="T98" s="18"/>
      </tp>
      <tp t="e">
        <v>#N/A</v>
        <stp/>
        <stp>BDH|5212707609920385698</stp>
        <tr r="R43" s="4"/>
      </tp>
      <tp t="e">
        <v>#N/A</v>
        <stp/>
        <stp>BDH|7069352217087020639</stp>
        <tr r="C22" s="12"/>
      </tp>
      <tp t="e">
        <v>#N/A</v>
        <stp/>
        <stp>BDH|8849254984397157198</stp>
        <tr r="L42" s="21"/>
      </tp>
      <tp t="e">
        <v>#N/A</v>
        <stp/>
        <stp>BDH|4397753312901005722</stp>
        <tr r="E35" s="4"/>
      </tp>
      <tp t="e">
        <v>#N/A</v>
        <stp/>
        <stp>BDH|7323873083024980788</stp>
        <tr r="H8" s="13"/>
      </tp>
      <tp t="e">
        <v>#N/A</v>
        <stp/>
        <stp>BDH|8968930948335723436</stp>
        <tr r="G48" s="17"/>
      </tp>
      <tp t="e">
        <v>#N/A</v>
        <stp/>
        <stp>BDH|9374485099336139653</stp>
        <tr r="P18" s="26"/>
      </tp>
      <tp t="e">
        <v>#N/A</v>
        <stp/>
        <stp>BDH|2586768395900611868</stp>
        <tr r="D32" s="25"/>
        <tr r="D7" s="3"/>
        <tr r="D22" s="13"/>
        <tr r="D7" s="13"/>
      </tp>
      <tp t="e">
        <v>#N/A</v>
        <stp/>
        <stp>BDH|2097790778907330143</stp>
        <tr r="O6" s="27"/>
      </tp>
      <tp t="e">
        <v>#N/A</v>
        <stp/>
        <stp>BDH|7350975324549317154</stp>
        <tr r="Z9" s="26"/>
      </tp>
      <tp t="e">
        <v>#N/A</v>
        <stp/>
        <stp>BDH|7424464373764333442</stp>
        <tr r="W60" s="18"/>
      </tp>
      <tp t="e">
        <v>#N/A</v>
        <stp/>
        <stp>BDH|5133636534086363233</stp>
        <tr r="X34" s="22"/>
      </tp>
      <tp t="e">
        <v>#N/A</v>
        <stp/>
        <stp>BDH|2264954464498647132</stp>
        <tr r="W7" s="8"/>
      </tp>
      <tp t="e">
        <v>#N/A</v>
        <stp/>
        <stp>BDH|6629594609654552355</stp>
        <tr r="M21" s="21"/>
      </tp>
      <tp t="e">
        <v>#N/A</v>
        <stp/>
        <stp>BDH|6638211384110663835</stp>
        <tr r="L128" s="18"/>
      </tp>
      <tp t="e">
        <v>#N/A</v>
        <stp/>
        <stp>BDH|6750738578833223184</stp>
        <tr r="U9" s="24"/>
      </tp>
      <tp t="e">
        <v>#N/A</v>
        <stp/>
        <stp>BDH|6113550253095042716</stp>
        <tr r="M17" s="18"/>
      </tp>
      <tp t="e">
        <v>#N/A</v>
        <stp/>
        <stp>BDH|3393704864060176609</stp>
        <tr r="T20" s="18"/>
      </tp>
      <tp t="e">
        <v>#N/A</v>
        <stp/>
        <stp>BDH|2090577511217582556</stp>
        <tr r="X41" s="21"/>
      </tp>
      <tp t="e">
        <v>#N/A</v>
        <stp/>
        <stp>BDH|4941460057502902373</stp>
        <tr r="C11" s="17"/>
      </tp>
      <tp t="e">
        <v>#N/A</v>
        <stp/>
        <stp>BDH|7927120879860107558</stp>
        <tr r="R62" s="17"/>
      </tp>
      <tp t="e">
        <v>#N/A</v>
        <stp/>
        <stp>BDH|8469967297724208813</stp>
        <tr r="H28" s="5"/>
      </tp>
      <tp t="e">
        <v>#N/A</v>
        <stp/>
        <stp>BDH|1110052711702650655</stp>
        <tr r="F44" s="34"/>
      </tp>
      <tp t="e">
        <v>#N/A</v>
        <stp/>
        <stp>BDH|7887432924793117688</stp>
        <tr r="R28" s="17"/>
      </tp>
      <tp t="e">
        <v>#N/A</v>
        <stp/>
        <stp>BDH|7542286796999589184</stp>
        <tr r="T59" s="21"/>
        <tr r="R57" s="11"/>
      </tp>
      <tp t="e">
        <v>#N/A</v>
        <stp/>
        <stp>BDH|1045778458576861118</stp>
        <tr r="T14" s="18"/>
      </tp>
      <tp t="e">
        <v>#N/A</v>
        <stp/>
        <stp>BDH|6463055703210727234</stp>
        <tr r="I25" s="26"/>
      </tp>
      <tp t="e">
        <v>#N/A</v>
        <stp/>
        <stp>BDH|4336209908837474592</stp>
        <tr r="U19" s="26"/>
      </tp>
      <tp t="e">
        <v>#N/A</v>
        <stp/>
        <stp>BDH|2754756555066526247</stp>
        <tr r="S9" s="27"/>
      </tp>
      <tp t="e">
        <v>#N/A</v>
        <stp/>
        <stp>BDH|6576570822323221640</stp>
        <tr r="F73" s="17"/>
        <tr r="D9" s="5"/>
        <tr r="D9" s="9"/>
      </tp>
      <tp t="e">
        <v>#N/A</v>
        <stp/>
        <stp>BDH|8552149473103163952</stp>
        <tr r="F17" s="18"/>
      </tp>
      <tp t="e">
        <v>#N/A</v>
        <stp/>
        <stp>BDH|2080774729406810501</stp>
        <tr r="I9" s="27"/>
      </tp>
      <tp t="e">
        <v>#N/A</v>
        <stp/>
        <stp>BDH|3206162704153298542</stp>
        <tr r="P25" s="18"/>
      </tp>
      <tp t="e">
        <v>#N/A</v>
        <stp/>
        <stp>BDH|2604210961405786774</stp>
        <tr r="K31" s="17"/>
      </tp>
      <tp t="e">
        <v>#N/A</v>
        <stp/>
        <stp>BDH|3409965355348599343</stp>
        <tr r="Z99" s="18"/>
      </tp>
      <tp t="e">
        <v>#N/A</v>
        <stp/>
        <stp>BDH|3964750529990255216</stp>
        <tr r="K35" s="24"/>
      </tp>
      <tp t="e">
        <v>#N/A</v>
        <stp/>
        <stp>BDH|9380430585214120526</stp>
        <tr r="J18" s="17"/>
      </tp>
      <tp t="e">
        <v>#N/A</v>
        <stp/>
        <stp>BDH|4154279086788552230</stp>
        <tr r="R9" s="10"/>
      </tp>
      <tp t="e">
        <v>#N/A</v>
        <stp/>
        <stp>BDH|6116010826862553252</stp>
        <tr r="K64" s="17"/>
        <tr r="K18" s="3"/>
      </tp>
      <tp t="e">
        <v>#N/A</v>
        <stp/>
        <stp>BDH|8456027184963582702</stp>
        <tr r="N39" s="10"/>
        <tr r="N37" s="11"/>
      </tp>
      <tp t="e">
        <v>#N/A</v>
        <stp/>
        <stp>BDH|7309569745963694118</stp>
        <tr r="P28" s="12"/>
      </tp>
      <tp t="e">
        <v>#N/A</v>
        <stp/>
        <stp>BDH|2881327356279283995</stp>
        <tr r="X90" s="18"/>
      </tp>
      <tp t="e">
        <v>#N/A</v>
        <stp/>
        <stp>BDH|1215027557073240322</stp>
        <tr r="Z128" s="18"/>
      </tp>
      <tp t="e">
        <v>#N/A</v>
        <stp/>
        <stp>BDH|5646213761720793569</stp>
        <tr r="P11" s="6"/>
      </tp>
      <tp t="e">
        <v>#N/A</v>
        <stp/>
        <stp>BDH|7236647327502306551</stp>
        <tr r="Y14" s="21"/>
      </tp>
      <tp t="e">
        <v>#N/A</v>
        <stp/>
        <stp>BDH|6654739883458390522</stp>
        <tr r="L117" s="18"/>
      </tp>
      <tp t="e">
        <v>#N/A</v>
        <stp/>
        <stp>BDH|1965411548834546129</stp>
        <tr r="E12" s="20"/>
      </tp>
      <tp t="e">
        <v>#N/A</v>
        <stp/>
        <stp>BDH|5931868169378837799</stp>
        <tr r="R32" s="21"/>
      </tp>
      <tp t="e">
        <v>#N/A</v>
        <stp/>
        <stp>BDH|6529800743936289836</stp>
        <tr r="Y88" s="18"/>
        <tr r="Y8" s="20"/>
      </tp>
      <tp t="e">
        <v>#N/A</v>
        <stp/>
        <stp>BDH|3292384977593353098</stp>
        <tr r="W46" s="12"/>
      </tp>
      <tp t="e">
        <v>#N/A</v>
        <stp/>
        <stp>BDH|7934297256484151000</stp>
        <tr r="N18" s="10"/>
      </tp>
      <tp t="e">
        <v>#N/A</v>
        <stp/>
        <stp>BDH|9123001832019762730</stp>
        <tr r="R70" s="10"/>
        <tr r="R68" s="11"/>
      </tp>
      <tp t="e">
        <v>#N/A</v>
        <stp/>
        <stp>BDH|5898723208806450012</stp>
        <tr r="Z12" s="30"/>
      </tp>
      <tp t="e">
        <v>#N/A</v>
        <stp/>
        <stp>BDH|9408877625970146703</stp>
        <tr r="O7" s="24"/>
      </tp>
      <tp t="e">
        <v>#N/A</v>
        <stp/>
        <stp>BDH|3804488322564360563</stp>
        <tr r="M23" s="17"/>
      </tp>
      <tp t="e">
        <v>#N/A</v>
        <stp/>
        <stp>BDH|2174570611752685060</stp>
        <tr r="M42" s="34"/>
      </tp>
      <tp t="e">
        <v>#N/A</v>
        <stp/>
        <stp>BDH|9781356379289424086</stp>
        <tr r="K63" s="24"/>
      </tp>
      <tp t="e">
        <v>#N/A</v>
        <stp/>
        <stp>BDH|2226715652740192472</stp>
        <tr r="AA24" s="21"/>
      </tp>
      <tp t="e">
        <v>#N/A</v>
        <stp/>
        <stp>BDH|5642178477021202636</stp>
        <tr r="S13" s="13"/>
      </tp>
      <tp t="e">
        <v>#N/A</v>
        <stp/>
        <stp>BDH|5649889088737519641</stp>
        <tr r="V44" s="21"/>
      </tp>
      <tp t="e">
        <v>#N/A</v>
        <stp/>
        <stp>BDH|5758048339166438492</stp>
        <tr r="V45" s="4"/>
        <tr r="V27" s="10"/>
        <tr r="V25" s="11"/>
        <tr r="X26" s="13"/>
      </tp>
      <tp t="e">
        <v>#N/A</v>
        <stp/>
        <stp>BDH|2392303378490519292</stp>
        <tr r="X12" s="11"/>
      </tp>
      <tp t="e">
        <v>#N/A</v>
        <stp/>
        <stp>BDH|1020110488659682581</stp>
        <tr r="C9" s="3"/>
      </tp>
      <tp t="e">
        <v>#N/A</v>
        <stp/>
        <stp>BDH|5600549846043438376</stp>
        <tr r="V33" s="18"/>
      </tp>
      <tp t="e">
        <v>#N/A</v>
        <stp/>
        <stp>BDH|4148264261223472759</stp>
        <tr r="N54" s="12"/>
      </tp>
      <tp t="e">
        <v>#N/A</v>
        <stp/>
        <stp>BDH|6961378750405151180</stp>
        <tr r="J45" s="12"/>
      </tp>
      <tp t="e">
        <v>#N/A</v>
        <stp/>
        <stp>BDH|4893543028702249516</stp>
        <tr r="U12" s="24"/>
      </tp>
      <tp t="e">
        <v>#N/A</v>
        <stp/>
        <stp>BDH|6841477133235179097</stp>
        <tr r="T62" s="21"/>
      </tp>
      <tp t="e">
        <v>#N/A</v>
        <stp/>
        <stp>BDH|9153802072322363042</stp>
        <tr r="S18" s="24"/>
      </tp>
      <tp t="e">
        <v>#N/A</v>
        <stp/>
        <stp>BDH|7285563865069598902</stp>
        <tr r="AA18" s="25"/>
        <tr r="AA10" s="27"/>
      </tp>
      <tp t="e">
        <v>#N/A</v>
        <stp/>
        <stp>BDH|3758647994551065932</stp>
        <tr r="R21" s="5"/>
      </tp>
      <tp t="e">
        <v>#N/A</v>
        <stp/>
        <stp>BDH|7207320305313791368</stp>
        <tr r="C13" s="22"/>
      </tp>
      <tp t="e">
        <v>#N/A</v>
        <stp/>
        <stp>BDH|3574355652247171672</stp>
        <tr r="M62" s="24"/>
      </tp>
      <tp t="e">
        <v>#N/A</v>
        <stp/>
        <stp>BDH|2497111794218281677</stp>
        <tr r="M48" s="17"/>
      </tp>
      <tp t="e">
        <v>#N/A</v>
        <stp/>
        <stp>BDH|4061658580657182905</stp>
        <tr r="F18" s="11"/>
      </tp>
      <tp t="e">
        <v>#N/A</v>
        <stp/>
        <stp>BDH|4656419825022713418</stp>
        <tr r="R15" s="4"/>
      </tp>
      <tp t="e">
        <v>#N/A</v>
        <stp/>
        <stp>BDH|3248020472064305450</stp>
        <tr r="P63" s="12"/>
      </tp>
      <tp t="e">
        <v>#N/A</v>
        <stp/>
        <stp>BDH|9495420167749305669</stp>
        <tr r="K7" s="10"/>
      </tp>
      <tp t="e">
        <v>#N/A</v>
        <stp/>
        <stp>BDH|3811480097702329803</stp>
        <tr r="H66" s="10"/>
        <tr r="H64" s="11"/>
        <tr r="H20" s="7"/>
      </tp>
      <tp t="e">
        <v>#N/A</v>
        <stp/>
        <stp>BDH|7768679900904604120</stp>
        <tr r="X18" s="9"/>
      </tp>
      <tp t="e">
        <v>#N/A</v>
        <stp/>
        <stp>BDH|5914589033400120777</stp>
        <tr r="U16" s="26"/>
      </tp>
      <tp t="e">
        <v>#N/A</v>
        <stp/>
        <stp>BDH|9565293875489500189</stp>
        <tr r="M60" s="18"/>
      </tp>
      <tp t="e">
        <v>#N/A</v>
        <stp/>
        <stp>BDH|5866218219823270169</stp>
        <tr r="V65" s="17"/>
        <tr r="T8" s="5"/>
        <tr r="T8" s="9"/>
      </tp>
      <tp t="e">
        <v>#N/A</v>
        <stp/>
        <stp>BDH|8849076889137428369</stp>
        <tr r="H7" s="24"/>
      </tp>
      <tp t="e">
        <v>#N/A</v>
        <stp/>
        <stp>BDH|1432138402446559242</stp>
        <tr r="O16" s="2"/>
        <tr r="O32" s="4"/>
        <tr r="O58" s="10"/>
        <tr r="Q19" s="13"/>
      </tp>
      <tp t="e">
        <v>#N/A</v>
        <stp/>
        <stp>BDH|1914537146065885104</stp>
        <tr r="V9" s="11"/>
      </tp>
      <tp t="e">
        <v>#N/A</v>
        <stp/>
        <stp>BDH|1229235071874739436</stp>
        <tr r="S70" s="18"/>
      </tp>
      <tp t="e">
        <v>#N/A</v>
        <stp/>
        <stp>BDH|3050694808218298970</stp>
        <tr r="T35" s="22"/>
      </tp>
      <tp t="e">
        <v>#N/A</v>
        <stp/>
        <stp>BDH|6503577040811343256</stp>
        <tr r="Y20" s="22"/>
      </tp>
      <tp t="e">
        <v>#N/A</v>
        <stp/>
        <stp>BDH|3988163869048408866</stp>
        <tr r="W29" s="24"/>
      </tp>
      <tp t="e">
        <v>#N/A</v>
        <stp/>
        <stp>BDH|8117157636057291940</stp>
        <tr r="O10" s="26"/>
      </tp>
      <tp t="e">
        <v>#N/A</v>
        <stp/>
        <stp>BDH|4604344028423774298</stp>
        <tr r="M22" s="24"/>
      </tp>
      <tp t="e">
        <v>#N/A</v>
        <stp/>
        <stp>BDH|7190520412020692720</stp>
        <tr r="N15" s="11"/>
      </tp>
      <tp t="e">
        <v>#N/A</v>
        <stp/>
        <stp>BDH|5930240259644211234</stp>
        <tr r="Q9" s="21"/>
      </tp>
      <tp t="e">
        <v>#N/A</v>
        <stp/>
        <stp>BDH|4430294938598887989</stp>
        <tr r="G7" s="28"/>
      </tp>
      <tp t="e">
        <v>#N/A</v>
        <stp/>
        <stp>BDH|2901205259591650036</stp>
        <tr r="F14" s="11"/>
      </tp>
      <tp t="e">
        <v>#N/A</v>
        <stp/>
        <stp>BDH|6126814611372562911</stp>
        <tr r="R8" s="6"/>
      </tp>
      <tp t="e">
        <v>#N/A</v>
        <stp/>
        <stp>BDH|1885887665969045200</stp>
        <tr r="G57" s="12"/>
      </tp>
      <tp t="e">
        <v>#N/A</v>
        <stp/>
        <stp>BDH|6717787761222302186</stp>
        <tr r="F26" s="29"/>
      </tp>
      <tp t="e">
        <v>#N/A</v>
        <stp/>
        <stp>BDH|2467159007981133620</stp>
        <tr r="X68" s="10"/>
        <tr r="X66" s="11"/>
      </tp>
      <tp t="e">
        <v>#N/A</v>
        <stp/>
        <stp>BDH|5373203576392474645</stp>
        <tr r="Q29" s="22"/>
      </tp>
      <tp t="e">
        <v>#N/A</v>
        <stp/>
        <stp>BDH|6527481064548542896</stp>
        <tr r="V81" s="18"/>
      </tp>
      <tp t="e">
        <v>#N/A</v>
        <stp/>
        <stp>BDH|3548531548352876435</stp>
        <tr r="C9" s="11"/>
      </tp>
      <tp t="e">
        <v>#N/A</v>
        <stp/>
        <stp>BDH|6867941648327359825</stp>
        <tr r="Q84" s="17"/>
      </tp>
      <tp t="e">
        <v>#N/A</v>
        <stp/>
        <stp>BDH|2030583743524754397</stp>
        <tr r="J21" s="5"/>
      </tp>
      <tp t="e">
        <v>#N/A</v>
        <stp/>
        <stp>BDH|1457671084668519374</stp>
        <tr r="D49" s="12"/>
      </tp>
      <tp t="e">
        <v>#N/A</v>
        <stp/>
        <stp>BDH|7229994585995211798</stp>
        <tr r="Z45" s="24"/>
      </tp>
      <tp t="e">
        <v>#N/A</v>
        <stp/>
        <stp>BDH|8531164575708132225</stp>
        <tr r="C40" s="17"/>
        <tr r="C9" s="25"/>
      </tp>
      <tp t="e">
        <v>#N/A</v>
        <stp/>
        <stp>BDH|7956605494439832501</stp>
        <tr r="AA31" s="12"/>
      </tp>
      <tp t="e">
        <v>#N/A</v>
        <stp/>
        <stp>BDH|2851330130941629788</stp>
        <tr r="O39" s="12"/>
      </tp>
      <tp t="e">
        <v>#N/A</v>
        <stp/>
        <stp>BDH|7526500045361569301</stp>
        <tr r="E21" s="10"/>
      </tp>
      <tp t="e">
        <v>#N/A</v>
        <stp/>
        <stp>BDH|3180430269947905278</stp>
        <tr r="O68" s="17"/>
      </tp>
      <tp t="e">
        <v>#N/A</v>
        <stp/>
        <stp>BDH|1681807543110078900</stp>
        <tr r="Q11" s="3"/>
        <tr r="O46" s="10"/>
        <tr r="O44" s="11"/>
        <tr r="O8" s="7"/>
      </tp>
      <tp t="e">
        <v>#N/A</v>
        <stp/>
        <stp>BDH|9284020082251072475</stp>
        <tr r="G39" s="34"/>
      </tp>
      <tp t="e">
        <v>#N/A</v>
        <stp/>
        <stp>BDH|8436968866905182602</stp>
        <tr r="O62" s="17"/>
      </tp>
      <tp t="e">
        <v>#N/A</v>
        <stp/>
        <stp>BDH|9772097484290791583</stp>
        <tr r="J17" s="18"/>
      </tp>
      <tp t="e">
        <v>#N/A</v>
        <stp/>
        <stp>BDH|1788973871678503316</stp>
        <tr r="Q39" s="12"/>
      </tp>
      <tp t="e">
        <v>#N/A</v>
        <stp/>
        <stp>BDH|7543073275415592171</stp>
        <tr r="D57" s="17"/>
      </tp>
      <tp t="e">
        <v>#N/A</v>
        <stp/>
        <stp>BDH|4052273107821028357</stp>
        <tr r="C8" s="6"/>
      </tp>
      <tp t="e">
        <v>#N/A</v>
        <stp/>
        <stp>BDH|9013833551176297650</stp>
        <tr r="G6" s="6"/>
      </tp>
      <tp t="e">
        <v>#N/A</v>
        <stp/>
        <stp>BDH|7637566433496187373</stp>
        <tr r="O18" s="34"/>
      </tp>
      <tp t="e">
        <v>#N/A</v>
        <stp/>
        <stp>BDH|1782170561226111456</stp>
        <tr r="R10" s="18"/>
      </tp>
      <tp t="e">
        <v>#N/A</v>
        <stp/>
        <stp>BDH|3366804004147097827</stp>
        <tr r="R28" s="10"/>
        <tr r="R26" s="11"/>
      </tp>
      <tp t="e">
        <v>#N/A</v>
        <stp/>
        <stp>BDH|1603250167623614278</stp>
        <tr r="L19" s="22"/>
      </tp>
      <tp t="e">
        <v>#N/A</v>
        <stp/>
        <stp>BDH|8866867077647885441</stp>
        <tr r="R11" s="3"/>
        <tr r="P46" s="10"/>
        <tr r="P44" s="11"/>
        <tr r="P8" s="7"/>
      </tp>
      <tp t="e">
        <v>#N/A</v>
        <stp/>
        <stp>BDH|86357216042116968</stp>
        <tr r="D13" s="18"/>
      </tp>
      <tp t="e">
        <v>#N/A</v>
        <stp/>
        <stp>BDH|88746275928123155</stp>
        <tr r="N9" s="28"/>
      </tp>
      <tp t="e">
        <v>#N/A</v>
        <stp/>
        <stp>BDH|51615182743757445</stp>
        <tr r="G12" s="24"/>
      </tp>
      <tp t="e">
        <v>#N/A</v>
        <stp/>
        <stp>BDH|41739293682133500</stp>
        <tr r="K19" s="10"/>
        <tr r="M16" s="13"/>
        <tr r="M23" s="13"/>
      </tp>
      <tp t="e">
        <v>#N/A</v>
        <stp/>
        <stp>BDH|61591698350650566</stp>
        <tr r="K83" s="17"/>
      </tp>
      <tp t="e">
        <v>#N/A</v>
        <stp/>
        <stp>BDH|61490466928327331</stp>
        <tr r="K51" s="12"/>
      </tp>
      <tp t="e">
        <v>#N/A</v>
        <stp/>
        <stp>BDH|1326387662383040233</stp>
        <tr r="O9" s="3"/>
        <tr r="M47" s="10"/>
        <tr r="M45" s="11"/>
        <tr r="M14" s="7"/>
      </tp>
      <tp t="e">
        <v>#N/A</v>
        <stp/>
        <stp>BDH|4309083773882723459</stp>
        <tr r="P125" s="18"/>
      </tp>
      <tp t="e">
        <v>#N/A</v>
        <stp/>
        <stp>BDH|6345576762527867741</stp>
        <tr r="D28" s="21"/>
      </tp>
      <tp t="e">
        <v>#N/A</v>
        <stp/>
        <stp>BDH|8997244341308479329</stp>
        <tr r="G18" s="20"/>
      </tp>
      <tp t="e">
        <v>#N/A</v>
        <stp/>
        <stp>BDH|1032212676585927445</stp>
        <tr r="Z18" s="20"/>
      </tp>
      <tp t="e">
        <v>#N/A</v>
        <stp/>
        <stp>BDH|2323408915680495287</stp>
        <tr r="U28" s="21"/>
      </tp>
      <tp t="e">
        <v>#N/A</v>
        <stp/>
        <stp>BDH|7761737748476357755</stp>
        <tr r="S21" s="27"/>
      </tp>
      <tp t="e">
        <v>#N/A</v>
        <stp/>
        <stp>BDH|6677512829044048044</stp>
        <tr r="P23" s="9"/>
      </tp>
      <tp t="e">
        <v>#N/A</v>
        <stp/>
        <stp>BDH|3231493733482367317</stp>
        <tr r="F36" s="10"/>
        <tr r="F34" s="11"/>
      </tp>
      <tp t="e">
        <v>#N/A</v>
        <stp/>
        <stp>BDH|1207136209191457467</stp>
        <tr r="M14" s="22"/>
      </tp>
      <tp t="e">
        <v>#N/A</v>
        <stp/>
        <stp>BDH|5391414080605067989</stp>
        <tr r="T28" s="5"/>
      </tp>
      <tp t="e">
        <v>#N/A</v>
        <stp/>
        <stp>BDH|7914626835965291263</stp>
        <tr r="U63" s="17"/>
      </tp>
      <tp t="e">
        <v>#N/A</v>
        <stp/>
        <stp>BDH|9502547763746175990</stp>
        <tr r="S49" s="18"/>
      </tp>
      <tp t="e">
        <v>#N/A</v>
        <stp/>
        <stp>BDH|9296692140116148808</stp>
        <tr r="G79" s="17"/>
        <tr r="G20" s="3"/>
        <tr r="E6" s="7"/>
      </tp>
      <tp t="e">
        <v>#N/A</v>
        <stp/>
        <stp>BDH|4427334366857858332</stp>
        <tr r="I11" s="29"/>
      </tp>
      <tp t="e">
        <v>#N/A</v>
        <stp/>
        <stp>BDH|4993116869327252190</stp>
        <tr r="C18" s="22"/>
      </tp>
      <tp t="e">
        <v>#N/A</v>
        <stp/>
        <stp>BDH|4867906296726041748</stp>
        <tr r="T34" s="21"/>
      </tp>
      <tp t="e">
        <v>#N/A</v>
        <stp/>
        <stp>BDH|3001428050511852603</stp>
        <tr r="E84" s="17"/>
      </tp>
      <tp t="e">
        <v>#N/A</v>
        <stp/>
        <stp>BDH|1939199207716533384</stp>
        <tr r="V117" s="18"/>
      </tp>
      <tp t="e">
        <v>#N/A</v>
        <stp/>
        <stp>BDH|8396845564581071294</stp>
        <tr r="O25" s="7"/>
      </tp>
      <tp t="e">
        <v>#N/A</v>
        <stp/>
        <stp>BDH|6296029385623995862</stp>
        <tr r="Y55" s="17"/>
      </tp>
      <tp t="e">
        <v>#N/A</v>
        <stp/>
        <stp>BDH|5404042318545695441</stp>
        <tr r="P10" s="21"/>
      </tp>
      <tp t="e">
        <v>#N/A</v>
        <stp/>
        <stp>BDH|3062698917382107353</stp>
        <tr r="Z62" s="12"/>
      </tp>
      <tp t="e">
        <v>#N/A</v>
        <stp/>
        <stp>BDH|6711044527620896164</stp>
        <tr r="C41" s="12"/>
      </tp>
      <tp t="e">
        <v>#N/A</v>
        <stp/>
        <stp>BDH|4144955099808455932</stp>
        <tr r="T129" s="18"/>
      </tp>
      <tp t="e">
        <v>#N/A</v>
        <stp/>
        <stp>BDH|7304212619967179602</stp>
        <tr r="O18" s="9"/>
      </tp>
      <tp t="e">
        <v>#N/A</v>
        <stp/>
        <stp>BDH|4564794243292290077</stp>
        <tr r="Y10" s="13"/>
      </tp>
      <tp t="e">
        <v>#N/A</v>
        <stp/>
        <stp>BDH|1252453932951726283</stp>
        <tr r="Y107" s="18"/>
      </tp>
      <tp t="e">
        <v>#N/A</v>
        <stp/>
        <stp>BDH|2957123861122715278</stp>
        <tr r="O10" s="30"/>
      </tp>
      <tp t="e">
        <v>#N/A</v>
        <stp/>
        <stp>BDH|8135536070139904605</stp>
        <tr r="D20" s="5"/>
        <tr r="D21" s="9"/>
      </tp>
      <tp t="e">
        <v>#N/A</v>
        <stp/>
        <stp>BDH|7122686605095461133</stp>
        <tr r="H82" s="18"/>
      </tp>
      <tp t="e">
        <v>#N/A</v>
        <stp/>
        <stp>BDH|4084791228970316491</stp>
        <tr r="W58" s="18"/>
      </tp>
      <tp t="e">
        <v>#N/A</v>
        <stp/>
        <stp>BDH|6348518364340562089</stp>
        <tr r="Y117" s="18"/>
      </tp>
      <tp t="e">
        <v>#N/A</v>
        <stp/>
        <stp>BDH|4930106472163843483</stp>
        <tr r="F30" s="34"/>
      </tp>
      <tp t="e">
        <v>#N/A</v>
        <stp/>
        <stp>BDH|2572316209390611400</stp>
        <tr r="Q20" s="10"/>
      </tp>
      <tp t="e">
        <v>#N/A</v>
        <stp/>
        <stp>BDH|4989856019841774992</stp>
        <tr r="T10" s="18"/>
      </tp>
      <tp t="e">
        <v>#N/A</v>
        <stp/>
        <stp>BDH|3031864349823484905</stp>
        <tr r="E24" s="18"/>
      </tp>
      <tp t="e">
        <v>#N/A</v>
        <stp/>
        <stp>BDH|6348990682034339605</stp>
        <tr r="L35" s="6"/>
        <tr r="N10" s="8"/>
      </tp>
      <tp t="e">
        <v>#N/A</v>
        <stp/>
        <stp>BDH|3979163194857180911</stp>
        <tr r="P29" s="29"/>
        <tr r="P7" s="29"/>
      </tp>
      <tp t="e">
        <v>#N/A</v>
        <stp/>
        <stp>BDH|5742113158520410417</stp>
        <tr r="V11" s="28"/>
      </tp>
      <tp t="e">
        <v>#N/A</v>
        <stp/>
        <stp>BDH|6514256052403826715</stp>
        <tr r="Z9" s="3"/>
        <tr r="X47" s="10"/>
        <tr r="X45" s="11"/>
        <tr r="X14" s="7"/>
      </tp>
      <tp t="e">
        <v>#N/A</v>
        <stp/>
        <stp>BDH|4606915286143333393</stp>
        <tr r="H62" s="17"/>
      </tp>
      <tp t="e">
        <v>#N/A</v>
        <stp/>
        <stp>BDH|6339273901409968876</stp>
        <tr r="F60" s="17"/>
      </tp>
      <tp t="e">
        <v>#N/A</v>
        <stp/>
        <stp>BDH|3331585315386740425</stp>
        <tr r="D38" s="6"/>
      </tp>
      <tp t="e">
        <v>#N/A</v>
        <stp/>
        <stp>BDH|5570978860506158988</stp>
        <tr r="N18" s="22"/>
      </tp>
      <tp t="e">
        <v>#N/A</v>
        <stp/>
        <stp>BDH|8839691316733849947</stp>
        <tr r="G10" s="18"/>
      </tp>
      <tp t="e">
        <v>#N/A</v>
        <stp/>
        <stp>BDH|9867927423295606245</stp>
        <tr r="L24" s="24"/>
      </tp>
      <tp t="e">
        <v>#N/A</v>
        <stp/>
        <stp>BDH|5260223017685963653</stp>
        <tr r="Y8" s="18"/>
      </tp>
      <tp t="e">
        <v>#N/A</v>
        <stp/>
        <stp>BDH|3628221249577494726</stp>
        <tr r="AA19" s="18"/>
      </tp>
      <tp t="e">
        <v>#N/A</v>
        <stp/>
        <stp>BDH|9911240210297707818</stp>
        <tr r="J105" s="18"/>
      </tp>
      <tp t="e">
        <v>#N/A</v>
        <stp/>
        <stp>BDH|1196230206393608590</stp>
        <tr r="Y20" s="24"/>
      </tp>
      <tp t="e">
        <v>#N/A</v>
        <stp/>
        <stp>BDH|7366464171916696798</stp>
        <tr r="F64" s="24"/>
      </tp>
      <tp t="e">
        <v>#N/A</v>
        <stp/>
        <stp>BDH|4279833197624414499</stp>
        <tr r="I8" s="27"/>
      </tp>
      <tp t="e">
        <v>#N/A</v>
        <stp/>
        <stp>BDH|2210506064993425791</stp>
        <tr r="G50" s="12"/>
      </tp>
      <tp t="e">
        <v>#N/A</v>
        <stp/>
        <stp>BDH|5952672275748049909</stp>
        <tr r="N19" s="6"/>
      </tp>
      <tp t="e">
        <v>#N/A</v>
        <stp/>
        <stp>BDH|8509669189556779567</stp>
        <tr r="Q54" s="24"/>
      </tp>
      <tp t="e">
        <v>#N/A</v>
        <stp/>
        <stp>BDH|4112572339237657028</stp>
        <tr r="Z22" s="24"/>
      </tp>
      <tp t="e">
        <v>#N/A</v>
        <stp/>
        <stp>BDH|5369278249337396158</stp>
        <tr r="P59" s="18"/>
      </tp>
      <tp t="e">
        <v>#N/A</v>
        <stp/>
        <stp>BDH|2992296448192562366</stp>
        <tr r="K59" s="17"/>
      </tp>
      <tp t="e">
        <v>#N/A</v>
        <stp/>
        <stp>BDH|6962430480487752856</stp>
        <tr r="R7" s="8"/>
      </tp>
      <tp t="e">
        <v>#N/A</v>
        <stp/>
        <stp>BDH|3759284673765720635</stp>
        <tr r="H50" s="12"/>
      </tp>
      <tp t="e">
        <v>#N/A</v>
        <stp/>
        <stp>BDH|1273797133732945293</stp>
        <tr r="C14" s="4"/>
      </tp>
      <tp t="e">
        <v>#N/A</v>
        <stp/>
        <stp>BDH|2842168777807759661</stp>
        <tr r="I26" s="21"/>
      </tp>
      <tp t="e">
        <v>#N/A</v>
        <stp/>
        <stp>BDH|5923816493045634454</stp>
        <tr r="F13" s="22"/>
      </tp>
      <tp t="e">
        <v>#N/A</v>
        <stp/>
        <stp>BDH|2550308307976344293</stp>
        <tr r="Y11" s="22"/>
      </tp>
      <tp t="e">
        <v>#N/A</v>
        <stp/>
        <stp>BDH|5375474536287309092</stp>
        <tr r="U130" s="18"/>
      </tp>
      <tp t="e">
        <v>#N/A</v>
        <stp/>
        <stp>BDH|1611984173262601835</stp>
        <tr r="M20" s="20"/>
      </tp>
      <tp t="e">
        <v>#N/A</v>
        <stp/>
        <stp>BDH|1755166058553802394</stp>
        <tr r="R62" s="11"/>
        <tr r="T19" s="23"/>
      </tp>
      <tp t="e">
        <v>#N/A</v>
        <stp/>
        <stp>BDH|3697785690831009966</stp>
        <tr r="N29" s="10"/>
        <tr r="N27" s="11"/>
      </tp>
      <tp t="e">
        <v>#N/A</v>
        <stp/>
        <stp>BDH|8814166518524675980</stp>
        <tr r="U16" s="12"/>
      </tp>
      <tp t="e">
        <v>#N/A</v>
        <stp/>
        <stp>BDH|1008571444884358189</stp>
        <tr r="S7" s="8"/>
      </tp>
      <tp t="e">
        <v>#N/A</v>
        <stp/>
        <stp>BDH|4033425879082506062</stp>
        <tr r="T24" s="29"/>
      </tp>
      <tp t="e">
        <v>#N/A</v>
        <stp/>
        <stp>BDH|1078580379641104785</stp>
        <tr r="G11" s="14"/>
      </tp>
      <tp t="e">
        <v>#N/A</v>
        <stp/>
        <stp>BDH|4487709539397602235</stp>
        <tr r="R16" s="30"/>
      </tp>
      <tp t="e">
        <v>#N/A</v>
        <stp/>
        <stp>BDH|9047787941346121904</stp>
        <tr r="X31" s="21"/>
      </tp>
      <tp t="e">
        <v>#N/A</v>
        <stp/>
        <stp>BDH|2013258463274838761</stp>
        <tr r="Q29" s="24"/>
      </tp>
      <tp t="e">
        <v>#N/A</v>
        <stp/>
        <stp>BDH|5196804303539843124</stp>
        <tr r="Q26" s="29"/>
      </tp>
      <tp t="e">
        <v>#N/A</v>
        <stp/>
        <stp>BDH|6285613578124054637</stp>
        <tr r="H19" s="25"/>
        <tr r="H12" s="27"/>
      </tp>
      <tp t="e">
        <v>#N/A</v>
        <stp/>
        <stp>BDH|5177497052873560276</stp>
        <tr r="E80" s="18"/>
      </tp>
      <tp t="e">
        <v>#N/A</v>
        <stp/>
        <stp>BDH|1967265845476571478</stp>
        <tr r="H13" s="7"/>
      </tp>
      <tp t="e">
        <v>#N/A</v>
        <stp/>
        <stp>BDH|6991098462986357396</stp>
        <tr r="U20" s="26"/>
      </tp>
      <tp t="e">
        <v>#N/A</v>
        <stp/>
        <stp>BDH|3754585517945570754</stp>
        <tr r="W34" s="22"/>
      </tp>
      <tp t="e">
        <v>#N/A</v>
        <stp/>
        <stp>BDH|8513888337063607543</stp>
        <tr r="AA110" s="18"/>
      </tp>
      <tp t="e">
        <v>#N/A</v>
        <stp/>
        <stp>BDH|1756795017203588140</stp>
        <tr r="C127" s="18"/>
      </tp>
      <tp t="e">
        <v>#N/A</v>
        <stp/>
        <stp>BDH|5729811196660819109</stp>
        <tr r="O25" s="18"/>
      </tp>
      <tp t="e">
        <v>#N/A</v>
        <stp/>
        <stp>BDH|4501960131072387995</stp>
        <tr r="D24" s="18"/>
      </tp>
      <tp t="e">
        <v>#N/A</v>
        <stp/>
        <stp>BDH|8184382984613484519</stp>
        <tr r="S16" s="28"/>
        <tr r="S13" s="17"/>
      </tp>
      <tp t="e">
        <v>#N/A</v>
        <stp/>
        <stp>BDH|2301381026286290077</stp>
        <tr r="Q47" s="21"/>
      </tp>
      <tp t="e">
        <v>#N/A</v>
        <stp/>
        <stp>BDH|4436281482733391850</stp>
        <tr r="AA130" s="18"/>
      </tp>
      <tp t="e">
        <v>#N/A</v>
        <stp/>
        <stp>BDH|5780959026122492985</stp>
        <tr r="U17" s="5"/>
        <tr r="T25" s="6"/>
      </tp>
      <tp t="e">
        <v>#N/A</v>
        <stp/>
        <stp>BDH|8402695487987728451</stp>
        <tr r="R72" s="18"/>
      </tp>
      <tp t="e">
        <v>#N/A</v>
        <stp/>
        <stp>BDH|8976462295445176539</stp>
        <tr r="N9" s="12"/>
      </tp>
      <tp t="e">
        <v>#N/A</v>
        <stp/>
        <stp>BDH|4251605249137680456</stp>
        <tr r="D40" s="12"/>
      </tp>
      <tp t="e">
        <v>#N/A</v>
        <stp/>
        <stp>BDH|6784014354200816620</stp>
        <tr r="W73" s="17"/>
        <tr r="U9" s="5"/>
        <tr r="U9" s="9"/>
      </tp>
      <tp t="e">
        <v>#N/A</v>
        <stp/>
        <stp>BDH|1923390674490486081</stp>
        <tr r="Q13" s="28"/>
        <tr r="Q90" s="17"/>
      </tp>
      <tp t="e">
        <v>#N/A</v>
        <stp/>
        <stp>BDH|7434740719576913289</stp>
        <tr r="Z37" s="17"/>
      </tp>
      <tp t="e">
        <v>#N/A</v>
        <stp/>
        <stp>BDH|9833336220384219919</stp>
        <tr r="E14" s="4"/>
      </tp>
      <tp t="e">
        <v>#N/A</v>
        <stp/>
        <stp>BDH|5645326444316847114</stp>
        <tr r="F30" s="29"/>
        <tr r="F8" s="29"/>
      </tp>
      <tp t="e">
        <v>#N/A</v>
        <stp/>
        <stp>BDH|2843300855458112950</stp>
        <tr r="K24" s="22"/>
      </tp>
      <tp t="e">
        <v>#N/A</v>
        <stp/>
        <stp>BDH|3779691510288312945</stp>
        <tr r="Z8" s="14"/>
      </tp>
      <tp t="e">
        <v>#N/A</v>
        <stp/>
        <stp>BDH|2211020071861915118</stp>
        <tr r="K43" s="17"/>
      </tp>
      <tp t="e">
        <v>#N/A</v>
        <stp/>
        <stp>BDH|6527087013513465136</stp>
        <tr r="L40" s="34"/>
      </tp>
      <tp t="e">
        <v>#N/A</v>
        <stp/>
        <stp>BDH|9333546051009630596</stp>
        <tr r="L9" s="27"/>
      </tp>
      <tp t="e">
        <v>#N/A</v>
        <stp/>
        <stp>BDH|9849271765639230110</stp>
        <tr r="G101" s="18"/>
      </tp>
      <tp t="e">
        <v>#N/A</v>
        <stp/>
        <stp>BDH|8311000562443029887</stp>
        <tr r="V31" s="10"/>
        <tr r="V29" s="11"/>
      </tp>
      <tp t="e">
        <v>#N/A</v>
        <stp/>
        <stp>BDH|2064830195660957666</stp>
        <tr r="U20" s="5"/>
        <tr r="U21" s="9"/>
      </tp>
      <tp t="e">
        <v>#N/A</v>
        <stp/>
        <stp>BDH|6747581086866396837</stp>
        <tr r="U23" s="24"/>
      </tp>
      <tp t="e">
        <v>#N/A</v>
        <stp/>
        <stp>BDH|4308857765787815822</stp>
        <tr r="C39" s="18"/>
      </tp>
      <tp t="e">
        <v>#N/A</v>
        <stp/>
        <stp>BDH|9214517993499827913</stp>
        <tr r="G58" s="17"/>
      </tp>
      <tp t="e">
        <v>#N/A</v>
        <stp/>
        <stp>BDH|1220189442846547745</stp>
        <tr r="C47" s="24"/>
      </tp>
      <tp t="e">
        <v>#N/A</v>
        <stp/>
        <stp>BDH|8542514497795947431</stp>
        <tr r="W87" s="18"/>
        <tr r="W7" s="20"/>
      </tp>
      <tp t="e">
        <v>#N/A</v>
        <stp/>
        <stp>BDH|7180668926476129092</stp>
        <tr r="AA52" s="21"/>
      </tp>
      <tp t="e">
        <v>#N/A</v>
        <stp/>
        <stp>BDH|7099901118022548848</stp>
        <tr r="L14" s="28"/>
      </tp>
      <tp t="e">
        <v>#N/A</v>
        <stp/>
        <stp>BDH|3994674611093715218</stp>
        <tr r="T52" s="24"/>
      </tp>
      <tp t="e">
        <v>#N/A</v>
        <stp/>
        <stp>BDH|1836743105240314334</stp>
        <tr r="C7" s="29"/>
        <tr r="C29" s="29"/>
      </tp>
      <tp t="e">
        <v>#N/A</v>
        <stp/>
        <stp>BDH|1410784683412205947</stp>
        <tr r="K8" s="10"/>
      </tp>
      <tp t="e">
        <v>#N/A</v>
        <stp/>
        <stp>BDH|9598057778189498250</stp>
        <tr r="V23" s="24"/>
      </tp>
      <tp t="e">
        <v>#N/A</v>
        <stp/>
        <stp>BDH|7985571058607873571</stp>
        <tr r="J68" s="24"/>
      </tp>
      <tp t="e">
        <v>#N/A</v>
        <stp/>
        <stp>BDH|5248399191372219816</stp>
        <tr r="M11" s="24"/>
      </tp>
      <tp t="e">
        <v>#N/A</v>
        <stp/>
        <stp>BDH|7546089480858357279</stp>
        <tr r="I52" s="4"/>
        <tr r="K8" s="3"/>
        <tr r="I40" s="10"/>
        <tr r="I38" s="11"/>
        <tr r="K30" s="13"/>
      </tp>
      <tp t="e">
        <v>#N/A</v>
        <stp/>
        <stp>BDH|7520462647972413091</stp>
        <tr r="P11" s="24"/>
      </tp>
      <tp t="e">
        <v>#N/A</v>
        <stp/>
        <stp>BDH|4070004491768198094</stp>
        <tr r="K13" s="13"/>
      </tp>
      <tp t="e">
        <v>#N/A</v>
        <stp/>
        <stp>BDH|5990302635814611439</stp>
        <tr r="V42" s="21"/>
      </tp>
      <tp t="e">
        <v>#N/A</v>
        <stp/>
        <stp>BDH|5411316082282768998</stp>
        <tr r="D10" s="28"/>
      </tp>
      <tp t="e">
        <v>#N/A</v>
        <stp/>
        <stp>BDH|3058007449632586057</stp>
        <tr r="O15" s="21"/>
      </tp>
      <tp t="e">
        <v>#N/A</v>
        <stp/>
        <stp>BDH|4782475514427503383</stp>
        <tr r="V20" s="29"/>
      </tp>
      <tp t="e">
        <v>#N/A</v>
        <stp/>
        <stp>BDH|4959279271801117578</stp>
        <tr r="K82" s="17"/>
      </tp>
      <tp t="e">
        <v>#N/A</v>
        <stp/>
        <stp>BDH|9396881864027675502</stp>
        <tr r="M116" s="18"/>
      </tp>
      <tp t="e">
        <v>#N/A</v>
        <stp/>
        <stp>BDH|5414496055888048917</stp>
        <tr r="M40" s="6"/>
      </tp>
      <tp t="e">
        <v>#N/A</v>
        <stp/>
        <stp>BDH|7630368601218153993</stp>
        <tr r="N13" s="6"/>
      </tp>
      <tp t="e">
        <v>#N/A</v>
        <stp/>
        <stp>BDH|2481407518103111140</stp>
        <tr r="F28" s="25"/>
      </tp>
      <tp t="e">
        <v>#N/A</v>
        <stp/>
        <stp>BDH|5561120630664786697</stp>
        <tr r="D48" s="17"/>
      </tp>
      <tp t="e">
        <v>#N/A</v>
        <stp/>
        <stp>BDH|7479298936425105634</stp>
        <tr r="W14" s="14"/>
      </tp>
      <tp t="e">
        <v>#N/A</v>
        <stp/>
        <stp>BDH|3296460032179822875</stp>
        <tr r="M82" s="17"/>
      </tp>
      <tp t="e">
        <v>#N/A</v>
        <stp/>
        <stp>BDH|1140124532033879508</stp>
        <tr r="X13" s="7"/>
      </tp>
      <tp t="e">
        <v>#N/A</v>
        <stp/>
        <stp>BDH|2288120619985660269</stp>
        <tr r="O34" s="21"/>
      </tp>
      <tp t="e">
        <v>#N/A</v>
        <stp/>
        <stp>BDH|1076989668423059891</stp>
        <tr r="O27" s="7"/>
      </tp>
      <tp t="e">
        <v>#N/A</v>
        <stp/>
        <stp>BDH|5653568612040899445</stp>
        <tr r="O70" s="18"/>
      </tp>
      <tp t="e">
        <v>#N/A</v>
        <stp/>
        <stp>BDH|1927650876623461602</stp>
        <tr r="R38" s="22"/>
      </tp>
      <tp t="e">
        <v>#N/A</v>
        <stp/>
        <stp>BDH|1070037166327339583</stp>
        <tr r="L50" s="12"/>
      </tp>
      <tp t="e">
        <v>#N/A</v>
        <stp/>
        <stp>BDH|9929377379358804015</stp>
        <tr r="AA28" s="22"/>
      </tp>
      <tp t="e">
        <v>#N/A</v>
        <stp/>
        <stp>BDH|1353044209486836284</stp>
        <tr r="G76" s="18"/>
      </tp>
      <tp t="e">
        <v>#N/A</v>
        <stp/>
        <stp>BDH|6587040557911817705</stp>
        <tr r="V33" s="6"/>
        <tr r="X6" s="8"/>
      </tp>
      <tp t="e">
        <v>#N/A</v>
        <stp/>
        <stp>BDH|6076453800064959324</stp>
        <tr r="Y105" s="18"/>
      </tp>
      <tp t="e">
        <v>#N/A</v>
        <stp/>
        <stp>BDH|8927630216193016927</stp>
        <tr r="H28" s="26"/>
      </tp>
      <tp t="e">
        <v>#N/A</v>
        <stp/>
        <stp>BDH|2213582742695659304</stp>
        <tr r="S71" s="18"/>
      </tp>
      <tp t="e">
        <v>#N/A</v>
        <stp/>
        <stp>BDH|8976253236254035841</stp>
        <tr r="E77" s="18"/>
      </tp>
      <tp t="e">
        <v>#N/A</v>
        <stp/>
        <stp>BDH|3524388318491891533</stp>
        <tr r="D8" s="6"/>
      </tp>
      <tp t="e">
        <v>#N/A</v>
        <stp/>
        <stp>BDH|5046203065693277792</stp>
        <tr r="C30" s="17"/>
      </tp>
      <tp t="e">
        <v>#N/A</v>
        <stp/>
        <stp>BDH|3713427528380175026</stp>
        <tr r="V13" s="12"/>
      </tp>
      <tp t="e">
        <v>#N/A</v>
        <stp/>
        <stp>BDH|4028594665677749553</stp>
        <tr r="D27" s="7"/>
      </tp>
      <tp t="e">
        <v>#N/A</v>
        <stp/>
        <stp>BDH|5805783976073874303</stp>
        <tr r="W31" s="10"/>
        <tr r="W29" s="11"/>
      </tp>
      <tp t="e">
        <v>#N/A</v>
        <stp/>
        <stp>BDH|5701669080238987665</stp>
        <tr r="P89" s="18"/>
        <tr r="P9" s="20"/>
      </tp>
      <tp t="e">
        <v>#N/A</v>
        <stp/>
        <stp>BDH|1624242655117875410</stp>
        <tr r="R59" s="24"/>
      </tp>
      <tp t="e">
        <v>#N/A</v>
        <stp/>
        <stp>BDH|5194109118923691316</stp>
        <tr r="L18" s="11"/>
      </tp>
      <tp t="e">
        <v>#N/A</v>
        <stp/>
        <stp>BDH|3775239467654490698</stp>
        <tr r="W63" s="21"/>
        <tr r="U23" s="7"/>
      </tp>
      <tp t="e">
        <v>#N/A</v>
        <stp/>
        <stp>BDH|2667086887919104660</stp>
        <tr r="W14" s="21"/>
      </tp>
      <tp t="e">
        <v>#N/A</v>
        <stp/>
        <stp>BDH|5371293186892747850</stp>
        <tr r="Q12" s="22"/>
      </tp>
      <tp t="e">
        <v>#N/A</v>
        <stp/>
        <stp>BDH|7709584045072572118</stp>
        <tr r="F15" s="20"/>
      </tp>
      <tp t="e">
        <v>#N/A</v>
        <stp/>
        <stp>BDH|5534284714975030677</stp>
        <tr r="E13" s="34"/>
      </tp>
      <tp t="e">
        <v>#N/A</v>
        <stp/>
        <stp>BDH|7316358146255738092</stp>
        <tr r="R33" s="17"/>
      </tp>
      <tp t="e">
        <v>#N/A</v>
        <stp/>
        <stp>BDH|3380256523152245494</stp>
        <tr r="P35" s="4"/>
      </tp>
      <tp t="e">
        <v>#N/A</v>
        <stp/>
        <stp>BDH|4166669669449665862</stp>
        <tr r="C13" s="6"/>
      </tp>
      <tp t="e">
        <v>#N/A</v>
        <stp/>
        <stp>BDH|4737058446503232682</stp>
        <tr r="L40" s="6"/>
      </tp>
      <tp t="e">
        <v>#N/A</v>
        <stp/>
        <stp>BDH|6901064534029685933</stp>
        <tr r="D17" s="11"/>
      </tp>
      <tp t="e">
        <v>#N/A</v>
        <stp/>
        <stp>BDH|9666744135049853119</stp>
        <tr r="S39" s="12"/>
      </tp>
      <tp t="e">
        <v>#N/A</v>
        <stp/>
        <stp>BDH|7758243609847369776</stp>
        <tr r="O14" s="4"/>
      </tp>
      <tp t="e">
        <v>#N/A</v>
        <stp/>
        <stp>BDH|2653357326625867323</stp>
        <tr r="K22" s="7"/>
      </tp>
      <tp t="e">
        <v>#N/A</v>
        <stp/>
        <stp>BDH|6080578664525824546</stp>
        <tr r="R33" s="10"/>
        <tr r="R31" s="11"/>
        <tr r="T31" s="13"/>
      </tp>
      <tp t="e">
        <v>#N/A</v>
        <stp/>
        <stp>BDH|5900420042759634905</stp>
        <tr r="W22" s="27"/>
      </tp>
      <tp t="e">
        <v>#N/A</v>
        <stp/>
        <stp>BDH|8534075630318401695</stp>
        <tr r="I21" s="5"/>
      </tp>
      <tp t="e">
        <v>#N/A</v>
        <stp/>
        <stp>BDH|5980372337169639908</stp>
        <tr r="M33" s="18"/>
      </tp>
      <tp t="e">
        <v>#N/A</v>
        <stp/>
        <stp>BDH|3010353704593674680</stp>
        <tr r="E14" s="14"/>
      </tp>
      <tp t="e">
        <v>#N/A</v>
        <stp/>
        <stp>BDH|1906446602798335830</stp>
        <tr r="O30" s="9"/>
      </tp>
      <tp t="e">
        <v>#N/A</v>
        <stp/>
        <stp>BDH|8255757884613943152</stp>
        <tr r="I11" s="28"/>
      </tp>
      <tp t="e">
        <v>#N/A</v>
        <stp/>
        <stp>BDH|5308464238730670746</stp>
        <tr r="V54" s="18"/>
      </tp>
      <tp t="e">
        <v>#N/A</v>
        <stp/>
        <stp>BDH|3978722767640376701</stp>
        <tr r="N10" s="28"/>
      </tp>
      <tp t="e">
        <v>#N/A</v>
        <stp/>
        <stp>BDH|3041141625445904075</stp>
        <tr r="U18" s="6"/>
      </tp>
      <tp t="e">
        <v>#N/A</v>
        <stp/>
        <stp>BDH|4015520506777258397</stp>
        <tr r="R39" s="4"/>
        <tr r="R62" s="10"/>
      </tp>
      <tp t="e">
        <v>#N/A</v>
        <stp/>
        <stp>BDH|5733591633470129630</stp>
        <tr r="D42" s="18"/>
      </tp>
      <tp t="e">
        <v>#N/A</v>
        <stp/>
        <stp>BDH|3541711263872181592</stp>
        <tr r="W48" s="12"/>
      </tp>
      <tp t="e">
        <v>#N/A</v>
        <stp/>
        <stp>BDH|1674723472576123285</stp>
        <tr r="J61" s="17"/>
      </tp>
      <tp t="e">
        <v>#N/A</v>
        <stp/>
        <stp>BDH|2123246529031507662</stp>
        <tr r="C9" s="12"/>
      </tp>
      <tp t="e">
        <v>#N/A</v>
        <stp/>
        <stp>BDH|4034277872711344591</stp>
        <tr r="K25" s="26"/>
      </tp>
      <tp t="e">
        <v>#N/A</v>
        <stp/>
        <stp>BDH|5362188184749017001</stp>
        <tr r="J29" s="17"/>
      </tp>
      <tp t="e">
        <v>#N/A</v>
        <stp/>
        <stp>BDH|3721264209283395744</stp>
        <tr r="C9" s="22"/>
      </tp>
      <tp t="e">
        <v>#N/A</v>
        <stp/>
        <stp>BDH|7845465878772973308</stp>
        <tr r="AA36" s="21"/>
      </tp>
      <tp t="e">
        <v>#N/A</v>
        <stp/>
        <stp>BDH|2927577011711933299</stp>
        <tr r="Y108" s="18"/>
      </tp>
      <tp t="e">
        <v>#N/A</v>
        <stp/>
        <stp>BDH|7213076451690989721</stp>
        <tr r="T19" s="6"/>
      </tp>
      <tp t="e">
        <v>#N/A</v>
        <stp/>
        <stp>BDH|6209699268090883349</stp>
        <tr r="M13" s="29"/>
        <tr r="M22" s="29"/>
        <tr r="M33" s="29"/>
      </tp>
      <tp t="e">
        <v>#N/A</v>
        <stp/>
        <stp>BDH|8143694187932012100</stp>
        <tr r="R44" s="17"/>
      </tp>
      <tp t="e">
        <v>#N/A</v>
        <stp/>
        <stp>BDH|3009328704494039197</stp>
        <tr r="C15" s="22"/>
      </tp>
      <tp t="e">
        <v>#N/A</v>
        <stp/>
        <stp>BDH|4122039534572961002</stp>
        <tr r="M45" s="21"/>
      </tp>
      <tp t="e">
        <v>#N/A</v>
        <stp/>
        <stp>BDH|5730975688977642611</stp>
        <tr r="Z21" s="18"/>
      </tp>
      <tp t="e">
        <v>#N/A</v>
        <stp/>
        <stp>BDH|1482123325626538194</stp>
        <tr r="Z56" s="18"/>
      </tp>
      <tp t="e">
        <v>#N/A</v>
        <stp/>
        <stp>BDH|2837928894382635576</stp>
        <tr r="I59" s="17"/>
      </tp>
      <tp t="e">
        <v>#N/A</v>
        <stp/>
        <stp>BDH|5082747949007506472</stp>
        <tr r="N60" s="24"/>
      </tp>
      <tp t="e">
        <v>#N/A</v>
        <stp/>
        <stp>BDH|1006749313630959217</stp>
        <tr r="Y11" s="21"/>
      </tp>
      <tp t="e">
        <v>#N/A</v>
        <stp/>
        <stp>BDH|7291943237958799097</stp>
        <tr r="W71" s="17"/>
      </tp>
      <tp t="e">
        <v>#N/A</v>
        <stp/>
        <stp>BDH|2952588807612136084</stp>
        <tr r="X15" s="10"/>
      </tp>
      <tp t="e">
        <v>#N/A</v>
        <stp/>
        <stp>BDH|1510336218121129708</stp>
        <tr r="H70" s="18"/>
      </tp>
      <tp t="e">
        <v>#N/A</v>
        <stp/>
        <stp>BDH|8575436133493339999</stp>
        <tr r="H8" s="24"/>
      </tp>
      <tp t="e">
        <v>#N/A</v>
        <stp/>
        <stp>BDH|1703409854187906257</stp>
        <tr r="C10" s="2"/>
        <tr r="C11" s="5"/>
        <tr r="E31" s="29"/>
        <tr r="E39" s="29"/>
      </tp>
      <tp t="e">
        <v>#N/A</v>
        <stp/>
        <stp>BDH|6550369785600970802</stp>
        <tr r="H46" s="24"/>
      </tp>
      <tp t="e">
        <v>#N/A</v>
        <stp/>
        <stp>BDH|8349028339659268753</stp>
        <tr r="S68" s="10"/>
        <tr r="S66" s="11"/>
      </tp>
      <tp t="e">
        <v>#N/A</v>
        <stp/>
        <stp>BDH|6942476200273576448</stp>
        <tr r="P60" s="10"/>
      </tp>
      <tp t="e">
        <v>#N/A</v>
        <stp/>
        <stp>BDH|4071649371501246181</stp>
        <tr r="S62" s="21"/>
      </tp>
      <tp t="e">
        <v>#N/A</v>
        <stp/>
        <stp>BDH|9558160745398000198</stp>
        <tr r="V83" s="18"/>
      </tp>
      <tp t="e">
        <v>#N/A</v>
        <stp/>
        <stp>BDH|6849576293837578863</stp>
        <tr r="G107" s="18"/>
      </tp>
      <tp t="e">
        <v>#N/A</v>
        <stp/>
        <stp>BDH|8499536989729311927</stp>
        <tr r="E7" s="8"/>
      </tp>
      <tp t="e">
        <v>#N/A</v>
        <stp/>
        <stp>BDH|9000143993301077589</stp>
        <tr r="N95" s="18"/>
      </tp>
      <tp t="e">
        <v>#N/A</v>
        <stp/>
        <stp>BDH|5703996586190152152</stp>
        <tr r="V8" s="13"/>
      </tp>
      <tp t="e">
        <v>#N/A</v>
        <stp/>
        <stp>BDH|8161024663288546394</stp>
        <tr r="C71" s="17"/>
      </tp>
      <tp t="e">
        <v>#N/A</v>
        <stp/>
        <stp>BDH|9391638514032956917</stp>
        <tr r="C18" s="17"/>
      </tp>
      <tp t="e">
        <v>#N/A</v>
        <stp/>
        <stp>BDH|2953221343095441402</stp>
        <tr r="N15" s="18"/>
      </tp>
      <tp t="e">
        <v>#N/A</v>
        <stp/>
        <stp>BDH|4434753468105068555</stp>
        <tr r="N37" s="17"/>
      </tp>
      <tp t="e">
        <v>#N/A</v>
        <stp/>
        <stp>BDH|2672732218215948481</stp>
        <tr r="F23" s="24"/>
      </tp>
      <tp t="e">
        <v>#N/A</v>
        <stp/>
        <stp>BDH|5869597314962927608</stp>
        <tr r="O31" s="22"/>
      </tp>
      <tp t="e">
        <v>#N/A</v>
        <stp/>
        <stp>BDH|9014382630034321874</stp>
        <tr r="F85" s="18"/>
      </tp>
      <tp t="e">
        <v>#N/A</v>
        <stp/>
        <stp>BDH|3075767599701141926</stp>
        <tr r="J11" s="22"/>
      </tp>
      <tp t="e">
        <v>#N/A</v>
        <stp/>
        <stp>BDH|9819720085100328307</stp>
        <tr r="I37" s="18"/>
      </tp>
      <tp t="e">
        <v>#N/A</v>
        <stp/>
        <stp>BDH|4327096015730667051</stp>
        <tr r="M61" s="17"/>
      </tp>
      <tp t="e">
        <v>#N/A</v>
        <stp/>
        <stp>BDH|6058955996880952369</stp>
        <tr r="O29" s="21"/>
      </tp>
      <tp t="e">
        <v>#N/A</v>
        <stp/>
        <stp>BDH|1636082009474377085</stp>
        <tr r="U64" s="12"/>
      </tp>
      <tp t="e">
        <v>#N/A</v>
        <stp/>
        <stp>BDH|3234192860997586627</stp>
        <tr r="L51" s="17"/>
      </tp>
      <tp t="e">
        <v>#N/A</v>
        <stp/>
        <stp>BDH|1428801108658538450</stp>
        <tr r="U40" s="12"/>
      </tp>
      <tp t="e">
        <v>#N/A</v>
        <stp/>
        <stp>BDH|5427651704166904004</stp>
        <tr r="K25" s="24"/>
      </tp>
      <tp t="e">
        <v>#N/A</v>
        <stp/>
        <stp>BDH|3185278454394810564</stp>
        <tr r="D26" s="18"/>
      </tp>
      <tp t="e">
        <v>#N/A</v>
        <stp/>
        <stp>BDH|9920226381087433121</stp>
        <tr r="Y55" s="12"/>
      </tp>
      <tp t="e">
        <v>#N/A</v>
        <stp/>
        <stp>BDH|7524420678298271911</stp>
        <tr r="M121" s="18"/>
      </tp>
      <tp t="e">
        <v>#N/A</v>
        <stp/>
        <stp>BDH|8406995160926704464</stp>
        <tr r="Y40" s="29"/>
      </tp>
      <tp t="e">
        <v>#N/A</v>
        <stp/>
        <stp>BDH|9883122491382706601</stp>
        <tr r="H17" s="18"/>
      </tp>
      <tp t="e">
        <v>#N/A</v>
        <stp/>
        <stp>BDH|5050249399309455250</stp>
        <tr r="D8" s="22"/>
      </tp>
      <tp t="e">
        <v>#N/A</v>
        <stp/>
        <stp>BDH|3801206632297076069</stp>
        <tr r="V7" s="10"/>
      </tp>
      <tp t="e">
        <v>#N/A</v>
        <stp/>
        <stp>BDH|9045108908744571916</stp>
        <tr r="V58" s="12"/>
      </tp>
      <tp t="e">
        <v>#N/A</v>
        <stp/>
        <stp>BDH|3114519652652943477</stp>
        <tr r="G17" s="21"/>
      </tp>
      <tp t="e">
        <v>#N/A</v>
        <stp/>
        <stp>BDH|8199996020033551517</stp>
        <tr r="P6" s="27"/>
      </tp>
      <tp t="e">
        <v>#N/A</v>
        <stp/>
        <stp>BDH|3598605849120705471</stp>
        <tr r="Q55" s="17"/>
      </tp>
      <tp t="e">
        <v>#N/A</v>
        <stp/>
        <stp>BDH|5408182347982149763</stp>
        <tr r="T20" s="22"/>
      </tp>
      <tp t="e">
        <v>#N/A</v>
        <stp/>
        <stp>BDH|8698345858343204841</stp>
        <tr r="M12" s="21"/>
      </tp>
      <tp t="e">
        <v>#N/A</v>
        <stp/>
        <stp>BDH|3481498512534035738</stp>
        <tr r="H36" s="10"/>
        <tr r="H34" s="11"/>
      </tp>
      <tp t="e">
        <v>#N/A</v>
        <stp/>
        <stp>BDH|1382502179752608403</stp>
        <tr r="AA20" s="18"/>
      </tp>
      <tp t="e">
        <v>#N/A</v>
        <stp/>
        <stp>BDH|6161660054257800765</stp>
        <tr r="P51" s="17"/>
      </tp>
      <tp t="e">
        <v>#N/A</v>
        <stp/>
        <stp>BDH|5309694164873247318</stp>
        <tr r="N60" s="12"/>
      </tp>
      <tp t="e">
        <v>#N/A</v>
        <stp/>
        <stp>BDH|7249994206353236820</stp>
        <tr r="J52" s="12"/>
      </tp>
      <tp t="e">
        <v>#N/A</v>
        <stp/>
        <stp>BDH|9067220048348466230</stp>
        <tr r="M12" s="30"/>
      </tp>
      <tp t="e">
        <v>#N/A</v>
        <stp/>
        <stp>BDH|8542966455964293590</stp>
        <tr r="U122" s="18"/>
      </tp>
      <tp t="e">
        <v>#N/A</v>
        <stp/>
        <stp>BDH|1673003736772457593</stp>
        <tr r="V8" s="24"/>
      </tp>
      <tp t="e">
        <v>#N/A</v>
        <stp/>
        <stp>BDH|2725170960485873554</stp>
        <tr r="Z33" s="13"/>
      </tp>
      <tp t="e">
        <v>#N/A</v>
        <stp/>
        <stp>BDH|9839809811815576011</stp>
        <tr r="F49" s="10"/>
        <tr r="F47" s="11"/>
        <tr r="F16" s="7"/>
      </tp>
      <tp t="e">
        <v>#N/A</v>
        <stp/>
        <stp>BDH|7492691260076785474</stp>
        <tr r="D13" s="21"/>
      </tp>
      <tp t="e">
        <v>#N/A</v>
        <stp/>
        <stp>BDH|4876420079007658586</stp>
        <tr r="P43" s="10"/>
        <tr r="P41" s="11"/>
      </tp>
      <tp t="e">
        <v>#N/A</v>
        <stp/>
        <stp>BDH|3722124497497610997</stp>
        <tr r="L35" s="21"/>
      </tp>
      <tp t="e">
        <v>#N/A</v>
        <stp/>
        <stp>BDH|2743313450654908526</stp>
        <tr r="C64" s="17"/>
        <tr r="C18" s="3"/>
      </tp>
      <tp t="e">
        <v>#N/A</v>
        <stp/>
        <stp>BDH|3075371862130978316</stp>
        <tr r="M85" s="17"/>
      </tp>
      <tp t="e">
        <v>#N/A</v>
        <stp/>
        <stp>BDH|4166928410138881161</stp>
        <tr r="T49" s="18"/>
      </tp>
      <tp t="e">
        <v>#N/A</v>
        <stp/>
        <stp>BDH|5230691007910610673</stp>
        <tr r="H25" s="25"/>
        <tr r="H18" s="27"/>
      </tp>
      <tp t="e">
        <v>#N/A</v>
        <stp/>
        <stp>BDH|4166849021712888919</stp>
        <tr r="R34" s="18"/>
      </tp>
      <tp t="e">
        <v>#N/A</v>
        <stp/>
        <stp>BDH|9803405291830111154</stp>
        <tr r="V63" s="24"/>
      </tp>
      <tp t="e">
        <v>#N/A</v>
        <stp/>
        <stp>BDH|2696615939025135724</stp>
        <tr r="V43" s="24"/>
      </tp>
      <tp t="e">
        <v>#N/A</v>
        <stp/>
        <stp>BDH|3243848994401633690</stp>
        <tr r="AA33" s="17"/>
      </tp>
      <tp t="e">
        <v>#N/A</v>
        <stp/>
        <stp>BDH|9368948278361145332</stp>
        <tr r="M24" s="25"/>
        <tr r="K14" s="5"/>
        <tr r="M17" s="27"/>
      </tp>
      <tp t="e">
        <v>#N/A</v>
        <stp/>
        <stp>BDH|5580601269009076914</stp>
        <tr r="Q7" s="28"/>
      </tp>
      <tp t="e">
        <v>#N/A</v>
        <stp/>
        <stp>BDH|9292973769137815490</stp>
        <tr r="L26" s="24"/>
      </tp>
      <tp t="e">
        <v>#N/A</v>
        <stp/>
        <stp>BDH|1267235122983901770</stp>
        <tr r="E19" s="20"/>
      </tp>
      <tp t="e">
        <v>#N/A</v>
        <stp/>
        <stp>BDH|6883610173011465333</stp>
        <tr r="Y127" s="18"/>
      </tp>
      <tp t="e">
        <v>#N/A</v>
        <stp/>
        <stp>BDH|9304902849904124564</stp>
        <tr r="S14" s="11"/>
      </tp>
      <tp t="e">
        <v>#N/A</v>
        <stp/>
        <stp>BDH|5210403962554436698</stp>
        <tr r="R14" s="10"/>
      </tp>
      <tp t="e">
        <v>#N/A</v>
        <stp/>
        <stp>BDH|6906083056360082659</stp>
        <tr r="C52" s="18"/>
      </tp>
      <tp t="e">
        <v>#N/A</v>
        <stp/>
        <stp>BDH|1096402932742685165</stp>
        <tr r="D20" s="18"/>
      </tp>
      <tp t="e">
        <v>#N/A</v>
        <stp/>
        <stp>BDH|7064011388818278298</stp>
        <tr r="H12" s="18"/>
      </tp>
      <tp t="e">
        <v>#N/A</v>
        <stp/>
        <stp>BDH|3591072322177711358</stp>
        <tr r="Q16" s="10"/>
      </tp>
      <tp t="e">
        <v>#N/A</v>
        <stp/>
        <stp>BDH|6946411680758283789</stp>
        <tr r="Y26" s="24"/>
      </tp>
      <tp t="e">
        <v>#N/A</v>
        <stp/>
        <stp>BDH|8610630029671810864</stp>
        <tr r="U13" s="28"/>
        <tr r="U90" s="17"/>
      </tp>
      <tp t="e">
        <v>#N/A</v>
        <stp/>
        <stp>BDH|4958341052784459394</stp>
        <tr r="E8" s="2"/>
      </tp>
      <tp t="e">
        <v>#N/A</v>
        <stp/>
        <stp>BDH|5498326501993603032</stp>
        <tr r="K46" s="21"/>
      </tp>
      <tp t="e">
        <v>#N/A</v>
        <stp/>
        <stp>BDH|8189918942334307434</stp>
        <tr r="L43" s="18"/>
      </tp>
      <tp t="e">
        <v>#N/A</v>
        <stp/>
        <stp>BDH|9745554450114870881</stp>
        <tr r="H7" s="14"/>
      </tp>
      <tp t="e">
        <v>#N/A</v>
        <stp/>
        <stp>BDH|1999137853906945625</stp>
        <tr r="F62" s="12"/>
      </tp>
      <tp t="e">
        <v>#N/A</v>
        <stp/>
        <stp>BDH|4764764560766177624</stp>
        <tr r="O63" s="10"/>
      </tp>
      <tp t="e">
        <v>#N/A</v>
        <stp/>
        <stp>BDH|4512253751545793348</stp>
        <tr r="Z91" s="17"/>
      </tp>
      <tp t="e">
        <v>#N/A</v>
        <stp/>
        <stp>BDH|8450990005295393198</stp>
        <tr r="G27" s="24"/>
      </tp>
      <tp t="e">
        <v>#N/A</v>
        <stp/>
        <stp>BDH|9978932896858965472</stp>
        <tr r="U12" s="13"/>
      </tp>
      <tp t="e">
        <v>#N/A</v>
        <stp/>
        <stp>BDH|6274665664530480367</stp>
        <tr r="O21" s="3"/>
      </tp>
      <tp t="e">
        <v>#N/A</v>
        <stp/>
        <stp>BDH|9769862236255395264</stp>
        <tr r="L21" s="3"/>
      </tp>
      <tp t="e">
        <v>#N/A</v>
        <stp/>
        <stp>BDH|9635248181485304325</stp>
        <tr r="G49" s="17"/>
        <tr r="G17" s="3"/>
      </tp>
      <tp t="e">
        <v>#N/A</v>
        <stp/>
        <stp>BDH|4305661035452199636</stp>
        <tr r="F13" s="21"/>
      </tp>
      <tp t="e">
        <v>#N/A</v>
        <stp/>
        <stp>BDH|1711249339657160295</stp>
        <tr r="C25" s="24"/>
      </tp>
      <tp t="e">
        <v>#N/A</v>
        <stp/>
        <stp>BDH|5597432246046440662</stp>
        <tr r="T9" s="21"/>
      </tp>
      <tp t="e">
        <v>#N/A</v>
        <stp/>
        <stp>BDH|2799436120109224841</stp>
        <tr r="W48" s="17"/>
      </tp>
      <tp t="e">
        <v>#N/A</v>
        <stp/>
        <stp>BDH|7462798157970098083</stp>
        <tr r="AA59" s="18"/>
      </tp>
      <tp t="e">
        <v>#N/A</v>
        <stp/>
        <stp>BDH|8207533804018462038</stp>
        <tr r="S113" s="18"/>
      </tp>
      <tp t="e">
        <v>#N/A</v>
        <stp/>
        <stp>BDH|7680413392279413634</stp>
        <tr r="K20" s="5"/>
        <tr r="K21" s="9"/>
      </tp>
      <tp t="e">
        <v>#N/A</v>
        <stp/>
        <stp>BDH|4588927443965137979</stp>
        <tr r="Q59" s="12"/>
      </tp>
      <tp t="e">
        <v>#N/A</v>
        <stp/>
        <stp>BDH|5564710076597570758</stp>
        <tr r="H16" s="25"/>
        <tr r="F22" s="11"/>
      </tp>
      <tp t="e">
        <v>#N/A</v>
        <stp/>
        <stp>BDH|4603732441427397550</stp>
        <tr r="N44" s="34"/>
      </tp>
      <tp t="e">
        <v>#N/A</v>
        <stp/>
        <stp>BDH|4468088448741466420</stp>
        <tr r="S8" s="8"/>
      </tp>
      <tp t="e">
        <v>#N/A</v>
        <stp/>
        <stp>BDH|7365752844404766579</stp>
        <tr r="U119" s="18"/>
      </tp>
      <tp t="e">
        <v>#N/A</v>
        <stp/>
        <stp>BDH|5588249502485590742</stp>
        <tr r="V16" s="30"/>
      </tp>
      <tp t="e">
        <v>#N/A</v>
        <stp/>
        <stp>BDH|6652509743754088662</stp>
        <tr r="C65" s="10"/>
      </tp>
      <tp t="e">
        <v>#N/A</v>
        <stp/>
        <stp>BDH|5908637827702915671</stp>
        <tr r="V15" s="24"/>
      </tp>
      <tp t="e">
        <v>#N/A</v>
        <stp/>
        <stp>BDH|1613317639290541480</stp>
        <tr r="H39" s="6"/>
      </tp>
      <tp t="e">
        <v>#N/A</v>
        <stp/>
        <stp>BDH|5049638852395565679</stp>
        <tr r="G45" s="12"/>
      </tp>
      <tp t="e">
        <v>#N/A</v>
        <stp/>
        <stp>BDH|8118759496875546644</stp>
        <tr r="R14" s="12"/>
      </tp>
      <tp t="e">
        <v>#N/A</v>
        <stp/>
        <stp>BDH|5811744685139912636</stp>
        <tr r="G22" s="27"/>
      </tp>
      <tp t="e">
        <v>#N/A</v>
        <stp/>
        <stp>BDH|1187836989345966118</stp>
        <tr r="P56" s="17"/>
      </tp>
      <tp t="e">
        <v>#N/A</v>
        <stp/>
        <stp>BDH|1251512003345708447</stp>
        <tr r="O100" s="18"/>
      </tp>
      <tp t="e">
        <v>#N/A</v>
        <stp/>
        <stp>BDH|7566026161616559200</stp>
        <tr r="J18" s="34"/>
      </tp>
      <tp t="e">
        <v>#N/A</v>
        <stp/>
        <stp>BDH|6665947785192212062</stp>
        <tr r="E67" s="24"/>
      </tp>
      <tp t="e">
        <v>#N/A</v>
        <stp/>
        <stp>BDH|1760427177374730363</stp>
        <tr r="V36" s="12"/>
      </tp>
      <tp t="e">
        <v>#N/A</v>
        <stp/>
        <stp>BDH|2236636254745717111</stp>
        <tr r="L45" s="17"/>
      </tp>
      <tp t="e">
        <v>#N/A</v>
        <stp/>
        <stp>BDH|5641957654615370976</stp>
        <tr r="D11" s="29"/>
      </tp>
      <tp t="e">
        <v>#N/A</v>
        <stp/>
        <stp>BDH|7710649722142049429</stp>
        <tr r="V7" s="24"/>
      </tp>
      <tp t="e">
        <v>#N/A</v>
        <stp/>
        <stp>BDH|1510728520623288260</stp>
        <tr r="N54" s="17"/>
      </tp>
      <tp t="e">
        <v>#N/A</v>
        <stp/>
        <stp>BDH|7673262492031615872</stp>
        <tr r="J33" s="18"/>
      </tp>
      <tp t="e">
        <v>#N/A</v>
        <stp/>
        <stp>BDH|5293345613873750117</stp>
        <tr r="V19" s="20"/>
      </tp>
      <tp t="e">
        <v>#N/A</v>
        <stp/>
        <stp>BDH|3628282514677967206</stp>
        <tr r="Y10" s="10"/>
      </tp>
      <tp t="e">
        <v>#N/A</v>
        <stp/>
        <stp>BDH|9702221502208358670</stp>
        <tr r="Y28" s="22"/>
      </tp>
      <tp t="e">
        <v>#N/A</v>
        <stp/>
        <stp>BDH|8899001608455081832</stp>
        <tr r="P28" s="22"/>
      </tp>
      <tp t="e">
        <v>#N/A</v>
        <stp/>
        <stp>BDH|4494878480518541959</stp>
        <tr r="U17" s="23"/>
      </tp>
      <tp t="e">
        <v>#N/A</v>
        <stp/>
        <stp>BDH|8636900530195536209</stp>
        <tr r="K7" s="4"/>
      </tp>
      <tp t="e">
        <v>#N/A</v>
        <stp/>
        <stp>BDH|6927610096885400992</stp>
        <tr r="D111" s="18"/>
      </tp>
      <tp t="e">
        <v>#N/A</v>
        <stp/>
        <stp>BDH|3054126061379685863</stp>
        <tr r="Y17" s="5"/>
        <tr r="X25" s="6"/>
      </tp>
      <tp t="e">
        <v>#N/A</v>
        <stp/>
        <stp>BDH|1035542720345292656</stp>
        <tr r="E48" s="10"/>
        <tr r="E46" s="11"/>
        <tr r="E15" s="7"/>
      </tp>
      <tp t="e">
        <v>#N/A</v>
        <stp/>
        <stp>BDH|7880356323363825052</stp>
        <tr r="V67" s="17"/>
      </tp>
      <tp t="e">
        <v>#N/A</v>
        <stp/>
        <stp>BDH|6686071422388019906</stp>
        <tr r="R39" s="12"/>
      </tp>
      <tp t="e">
        <v>#N/A</v>
        <stp/>
        <stp>BDH|6172423289108088790</stp>
        <tr r="O15" s="13"/>
      </tp>
      <tp t="e">
        <v>#N/A</v>
        <stp/>
        <stp>BDH|4259037941277352209</stp>
        <tr r="Z58" s="18"/>
      </tp>
      <tp t="e">
        <v>#N/A</v>
        <stp/>
        <stp>BDH|3835211210153860629</stp>
        <tr r="X46" s="17"/>
      </tp>
      <tp t="e">
        <v>#N/A</v>
        <stp/>
        <stp>BDH|4206151917697799642</stp>
        <tr r="U21" s="24"/>
      </tp>
      <tp t="e">
        <v>#N/A</v>
        <stp/>
        <stp>BDH|9910149087950989506</stp>
        <tr r="I67" s="17"/>
      </tp>
      <tp t="e">
        <v>#N/A</v>
        <stp/>
        <stp>BDH|4675931182981614121</stp>
        <tr r="H7" s="21"/>
      </tp>
      <tp t="e">
        <v>#N/A</v>
        <stp/>
        <stp>BDH|7511427388769463789</stp>
        <tr r="Q49" s="24"/>
      </tp>
      <tp t="e">
        <v>#N/A</v>
        <stp/>
        <stp>BDH|9999567879427784912</stp>
        <tr r="X60" s="12"/>
      </tp>
      <tp t="e">
        <v>#N/A</v>
        <stp/>
        <stp>BDH|3631167326523562637</stp>
        <tr r="W19" s="18"/>
      </tp>
      <tp t="e">
        <v>#N/A</v>
        <stp/>
        <stp>BDH|9171808337493126479</stp>
        <tr r="M28" s="18"/>
      </tp>
      <tp t="e">
        <v>#N/A</v>
        <stp/>
        <stp>BDH|2739180572057501683</stp>
        <tr r="L65" s="12"/>
      </tp>
      <tp t="e">
        <v>#N/A</v>
        <stp/>
        <stp>BDH|4719626786608234712</stp>
        <tr r="M66" s="12"/>
      </tp>
      <tp t="e">
        <v>#N/A</v>
        <stp/>
        <stp>BDH|3359868054423110808</stp>
        <tr r="P42" s="21"/>
      </tp>
      <tp t="e">
        <v>#N/A</v>
        <stp/>
        <stp>BDH|1117637134913347258</stp>
        <tr r="V36" s="21"/>
      </tp>
      <tp t="e">
        <v>#N/A</v>
        <stp/>
        <stp>BDH|8481369206769476702</stp>
        <tr r="X34" s="10"/>
        <tr r="X32" s="11"/>
        <tr r="Z32" s="13"/>
      </tp>
      <tp t="e">
        <v>#N/A</v>
        <stp/>
        <stp>BDH|9017546084096125717</stp>
        <tr r="N11" s="3"/>
        <tr r="L46" s="10"/>
        <tr r="L44" s="11"/>
        <tr r="L8" s="7"/>
      </tp>
      <tp t="e">
        <v>#N/A</v>
        <stp/>
        <stp>BDH|3002286109020325421</stp>
        <tr r="Z63" s="24"/>
      </tp>
      <tp t="e">
        <v>#N/A</v>
        <stp/>
        <stp>BDH|6602361852334419166</stp>
        <tr r="W82" s="17"/>
      </tp>
      <tp t="e">
        <v>#N/A</v>
        <stp/>
        <stp>BDH|2941353698338601520</stp>
        <tr r="C48" s="10"/>
        <tr r="C46" s="11"/>
        <tr r="C15" s="7"/>
      </tp>
      <tp t="e">
        <v>#N/A</v>
        <stp/>
        <stp>BDH|2546146622171107527</stp>
        <tr r="Q7" s="17"/>
      </tp>
      <tp t="e">
        <v>#N/A</v>
        <stp/>
        <stp>BDH|8504595738462545911</stp>
        <tr r="Y29" s="29"/>
        <tr r="Y7" s="29"/>
      </tp>
      <tp t="e">
        <v>#N/A</v>
        <stp/>
        <stp>BDH|6824270117114815406</stp>
        <tr r="H17" s="20"/>
      </tp>
      <tp t="e">
        <v>#N/A</v>
        <stp/>
        <stp>BDH|4007947602988793013</stp>
        <tr r="L84" s="17"/>
      </tp>
      <tp t="e">
        <v>#N/A</v>
        <stp/>
        <stp>BDH|6399151139364794586</stp>
        <tr r="X56" s="24"/>
      </tp>
      <tp t="e">
        <v>#N/A</v>
        <stp/>
        <stp>BDH|3397791368290590774</stp>
        <tr r="Q12" s="11"/>
      </tp>
      <tp t="e">
        <v>#N/A</v>
        <stp/>
        <stp>BDH|8451797622560758885</stp>
        <tr r="D21" s="26"/>
      </tp>
      <tp t="e">
        <v>#N/A</v>
        <stp/>
        <stp>BDH|4984198438396043580</stp>
        <tr r="S44" s="18"/>
      </tp>
      <tp t="e">
        <v>#N/A</v>
        <stp/>
        <stp>BDH|2008171170750769106</stp>
        <tr r="U66" s="12"/>
      </tp>
      <tp t="e">
        <v>#N/A</v>
        <stp/>
        <stp>BDH|7497804184294696660</stp>
        <tr r="W89" s="18"/>
        <tr r="W9" s="20"/>
      </tp>
      <tp t="e">
        <v>#N/A</v>
        <stp/>
        <stp>BDH|3672717784888518160</stp>
        <tr r="F63" s="17"/>
      </tp>
      <tp t="e">
        <v>#N/A</v>
        <stp/>
        <stp>BDH|3673004887609247738</stp>
        <tr r="H17" s="14"/>
      </tp>
      <tp t="e">
        <v>#N/A</v>
        <stp/>
        <stp>BDH|7410298452142647794</stp>
        <tr r="K43" s="12"/>
      </tp>
      <tp t="e">
        <v>#N/A</v>
        <stp/>
        <stp>BDH|5420432946823048314</stp>
        <tr r="S84" s="18"/>
      </tp>
      <tp t="e">
        <v>#N/A</v>
        <stp/>
        <stp>BDH|3688008897556960988</stp>
        <tr r="G32" s="10"/>
        <tr r="G44" s="10"/>
        <tr r="G30" s="11"/>
        <tr r="G42" s="11"/>
      </tp>
      <tp t="e">
        <v>#N/A</v>
        <stp/>
        <stp>BDH|2631652315961534131</stp>
        <tr r="R65" s="24"/>
      </tp>
      <tp t="e">
        <v>#N/A</v>
        <stp/>
        <stp>BDH|1566507566334581360</stp>
        <tr r="O29" s="5"/>
      </tp>
      <tp t="e">
        <v>#N/A</v>
        <stp/>
        <stp>BDH|7820816175284597995</stp>
        <tr r="G37" s="24"/>
      </tp>
      <tp t="e">
        <v>#N/A</v>
        <stp/>
        <stp>BDH|1054085822651986734</stp>
        <tr r="E54" s="21"/>
      </tp>
      <tp t="e">
        <v>#N/A</v>
        <stp/>
        <stp>BDH|6542474264832208345</stp>
        <tr r="O24" s="10"/>
      </tp>
      <tp t="e">
        <v>#N/A</v>
        <stp/>
        <stp>BDH|3270122463913773245</stp>
        <tr r="R121" s="18"/>
      </tp>
      <tp t="e">
        <v>#N/A</v>
        <stp/>
        <stp>BDH|2200535113605686645</stp>
        <tr r="W17" s="4"/>
        <tr r="Y10" s="3"/>
        <tr r="W52" s="10"/>
        <tr r="W50" s="11"/>
        <tr r="W17" s="7"/>
        <tr r="Y37" s="13"/>
      </tp>
      <tp t="e">
        <v>#N/A</v>
        <stp/>
        <stp>BDH|2814822459669767352</stp>
        <tr r="K11" s="28"/>
      </tp>
      <tp t="e">
        <v>#N/A</v>
        <stp/>
        <stp>BDH|3224797055692917663</stp>
        <tr r="U30" s="21"/>
      </tp>
      <tp t="e">
        <v>#N/A</v>
        <stp/>
        <stp>BDH|8282574125663830999</stp>
        <tr r="U80" s="18"/>
      </tp>
      <tp t="e">
        <v>#N/A</v>
        <stp/>
        <stp>BDH|3805898990922468547</stp>
        <tr r="T53" s="18"/>
      </tp>
      <tp t="e">
        <v>#N/A</v>
        <stp/>
        <stp>BDH|2703178471061602068</stp>
        <tr r="J16" s="26"/>
      </tp>
      <tp t="e">
        <v>#N/A</v>
        <stp/>
        <stp>BDH|5631255750751469667</stp>
        <tr r="D42" s="4"/>
      </tp>
      <tp t="e">
        <v>#N/A</v>
        <stp/>
        <stp>BDH|3043464783462373870</stp>
        <tr r="R60" s="21"/>
      </tp>
      <tp t="e">
        <v>#N/A</v>
        <stp/>
        <stp>BDH|5052263540134565222</stp>
        <tr r="U15" s="24"/>
      </tp>
      <tp t="e">
        <v>#N/A</v>
        <stp/>
        <stp>BDH|6113113067136401220</stp>
        <tr r="Z55" s="17"/>
      </tp>
      <tp t="e">
        <v>#N/A</v>
        <stp/>
        <stp>BDH|1061744672515021177</stp>
        <tr r="H19" s="24"/>
      </tp>
      <tp t="e">
        <v>#N/A</v>
        <stp/>
        <stp>BDH|4748283629166379743</stp>
        <tr r="E28" s="17"/>
      </tp>
      <tp t="e">
        <v>#N/A</v>
        <stp/>
        <stp>BDH|5629439115735292037</stp>
        <tr r="J68" s="10"/>
        <tr r="J66" s="11"/>
      </tp>
      <tp t="e">
        <v>#N/A</v>
        <stp/>
        <stp>BDH|2805706738024345727</stp>
        <tr r="V21" s="27"/>
      </tp>
      <tp t="e">
        <v>#N/A</v>
        <stp/>
        <stp>BDH|3466689063430894667</stp>
        <tr r="E16" s="6"/>
      </tp>
      <tp t="e">
        <v>#N/A</v>
        <stp/>
        <stp>BDH|2250694542834190194</stp>
        <tr r="X10" s="17"/>
      </tp>
      <tp t="e">
        <v>#N/A</v>
        <stp/>
        <stp>BDH|2743262319240038493</stp>
        <tr r="H12" s="21"/>
      </tp>
      <tp t="e">
        <v>#N/A</v>
        <stp/>
        <stp>BDH|6424232322087204464</stp>
        <tr r="K26" s="24"/>
      </tp>
      <tp t="e">
        <v>#N/A</v>
        <stp/>
        <stp>BDH|6449177234382163371</stp>
        <tr r="X120" s="18"/>
      </tp>
      <tp t="e">
        <v>#N/A</v>
        <stp/>
        <stp>BDH|5866798254705289766</stp>
        <tr r="C53" s="12"/>
      </tp>
      <tp t="e">
        <v>#N/A</v>
        <stp/>
        <stp>BDH|7186059432515531421</stp>
        <tr r="E29" s="34"/>
      </tp>
      <tp t="e">
        <v>#N/A</v>
        <stp/>
        <stp>BDH|6435418400867368073</stp>
        <tr r="S21" s="10"/>
      </tp>
      <tp t="e">
        <v>#N/A</v>
        <stp/>
        <stp>BDH|5949528806781867444</stp>
        <tr r="N10" s="23"/>
      </tp>
      <tp t="e">
        <v>#N/A</v>
        <stp/>
        <stp>BDH|9914491076976415930</stp>
        <tr r="Q60" s="24"/>
      </tp>
      <tp t="e">
        <v>#N/A</v>
        <stp/>
        <stp>BDH|6177155974142339728</stp>
        <tr r="J23" s="9"/>
      </tp>
      <tp t="e">
        <v>#N/A</v>
        <stp/>
        <stp>BDH|7655029344435009310</stp>
        <tr r="M110" s="18"/>
      </tp>
      <tp t="e">
        <v>#N/A</v>
        <stp/>
        <stp>BDH|1004175916922025606</stp>
        <tr r="W9" s="2"/>
        <tr r="Y8" s="25"/>
        <tr r="W10" s="5"/>
      </tp>
      <tp t="e">
        <v>#N/A</v>
        <stp/>
        <stp>BDH|7237779131280008653</stp>
        <tr r="I122" s="18"/>
      </tp>
      <tp t="e">
        <v>#N/A</v>
        <stp/>
        <stp>BDH|6048336613975517441</stp>
        <tr r="I25" s="17"/>
      </tp>
      <tp t="e">
        <v>#N/A</v>
        <stp/>
        <stp>BDH|5744413578932749180</stp>
        <tr r="D15" s="12"/>
      </tp>
      <tp t="e">
        <v>#N/A</v>
        <stp/>
        <stp>BDH|9132413556855226857</stp>
        <tr r="Y87" s="17"/>
        <tr r="Y27" s="25"/>
      </tp>
      <tp t="e">
        <v>#N/A</v>
        <stp/>
        <stp>BDH|9089322587253327477</stp>
        <tr r="Y27" s="17"/>
      </tp>
      <tp t="e">
        <v>#N/A</v>
        <stp/>
        <stp>BDH|7257484250111344288</stp>
        <tr r="L44" s="18"/>
      </tp>
      <tp t="e">
        <v>#N/A</v>
        <stp/>
        <stp>BDH|4661108325080266204</stp>
        <tr r="P19" s="29"/>
        <tr r="N6" s="2"/>
        <tr r="N6" s="9"/>
        <tr r="O12" s="8"/>
        <tr r="N6" s="5"/>
        <tr r="P10" s="29"/>
        <tr r="P25" s="29"/>
      </tp>
      <tp t="e">
        <v>#N/A</v>
        <stp/>
        <stp>BDH|6465652390259788571</stp>
        <tr r="J21" s="21"/>
      </tp>
      <tp t="e">
        <v>#N/A</v>
        <stp/>
        <stp>BDH|1372166894244948899</stp>
        <tr r="J42" s="17"/>
      </tp>
      <tp t="e">
        <v>#N/A</v>
        <stp/>
        <stp>BDH|5998803788454359435</stp>
        <tr r="D14" s="13"/>
      </tp>
      <tp t="e">
        <v>#N/A</v>
        <stp/>
        <stp>BDH|7508005254225890280</stp>
        <tr r="K101" s="18"/>
      </tp>
      <tp t="e">
        <v>#N/A</v>
        <stp/>
        <stp>BDH|6716220586231074855</stp>
        <tr r="T31" s="18"/>
      </tp>
      <tp t="e">
        <v>#N/A</v>
        <stp/>
        <stp>BDH|6174115232959435809</stp>
        <tr r="N12" s="20"/>
      </tp>
      <tp t="e">
        <v>#N/A</v>
        <stp/>
        <stp>BDH|4191142220725441779</stp>
        <tr r="M107" s="18"/>
      </tp>
      <tp t="e">
        <v>#N/A</v>
        <stp/>
        <stp>BDH|3440508260995477063</stp>
        <tr r="I59" s="18"/>
      </tp>
      <tp t="e">
        <v>#N/A</v>
        <stp/>
        <stp>BDH|1587812910675586875</stp>
        <tr r="O8" s="34"/>
      </tp>
      <tp t="e">
        <v>#N/A</v>
        <stp/>
        <stp>BDH|4052380697063977802</stp>
        <tr r="O79" s="17"/>
        <tr r="O20" s="3"/>
        <tr r="M6" s="7"/>
      </tp>
      <tp t="e">
        <v>#N/A</v>
        <stp/>
        <stp>BDH|7530253610528425927</stp>
        <tr r="E14" s="21"/>
      </tp>
      <tp t="e">
        <v>#N/A</v>
        <stp/>
        <stp>BDH|8453964564390179216</stp>
        <tr r="I25" s="24"/>
      </tp>
      <tp t="e">
        <v>#N/A</v>
        <stp/>
        <stp>BDH|8805195377843096806</stp>
        <tr r="C30" s="29"/>
        <tr r="C8" s="29"/>
      </tp>
      <tp t="e">
        <v>#N/A</v>
        <stp/>
        <stp>BDH|2266150251377940494</stp>
        <tr r="D16" s="12"/>
      </tp>
      <tp t="e">
        <v>#N/A</v>
        <stp/>
        <stp>BDH|8161355333294348920</stp>
        <tr r="V46" s="24"/>
      </tp>
      <tp t="e">
        <v>#N/A</v>
        <stp/>
        <stp>BDH|3014477091313299829</stp>
        <tr r="K52" s="18"/>
      </tp>
      <tp t="e">
        <v>#N/A</v>
        <stp/>
        <stp>BDH|5262640366005525530</stp>
        <tr r="C38" s="18"/>
      </tp>
      <tp t="e">
        <v>#N/A</v>
        <stp/>
        <stp>BDH|2206057175374075447</stp>
        <tr r="V49" s="4"/>
      </tp>
      <tp t="e">
        <v>#N/A</v>
        <stp/>
        <stp>BDH|8729913926180016665</stp>
        <tr r="T39" s="22"/>
      </tp>
      <tp t="e">
        <v>#N/A</v>
        <stp/>
        <stp>BDH|8865191697850929599</stp>
        <tr r="D9" s="21"/>
      </tp>
      <tp t="e">
        <v>#N/A</v>
        <stp/>
        <stp>BDH|5936810761549842775</stp>
        <tr r="Y22" s="7"/>
      </tp>
      <tp t="e">
        <v>#N/A</v>
        <stp/>
        <stp>BDH|1390566812159213938</stp>
        <tr r="C15" s="9"/>
      </tp>
      <tp t="e">
        <v>#N/A</v>
        <stp/>
        <stp>BDH|8001661885964284777</stp>
        <tr r="G11" s="9"/>
      </tp>
      <tp t="e">
        <v>#N/A</v>
        <stp/>
        <stp>BDH|6271853586421171261</stp>
        <tr r="S42" s="17"/>
      </tp>
      <tp t="e">
        <v>#N/A</v>
        <stp/>
        <stp>BDH|7173374281489666077</stp>
        <tr r="R60" s="12"/>
      </tp>
      <tp t="e">
        <v>#N/A</v>
        <stp/>
        <stp>BDH|8655434982675440455</stp>
        <tr r="F44" s="18"/>
      </tp>
      <tp t="e">
        <v>#N/A</v>
        <stp/>
        <stp>BDH|6614605539142950409</stp>
        <tr r="Q81" s="17"/>
      </tp>
      <tp t="e">
        <v>#N/A</v>
        <stp/>
        <stp>BDH|5760504790868910482</stp>
        <tr r="R68" s="18"/>
      </tp>
      <tp t="e">
        <v>#N/A</v>
        <stp/>
        <stp>BDH|4585164847177244300</stp>
        <tr r="W20" s="11"/>
      </tp>
      <tp t="e">
        <v>#N/A</v>
        <stp/>
        <stp>BDH|1085752324478748903</stp>
        <tr r="W7" s="24"/>
      </tp>
      <tp t="e">
        <v>#N/A</v>
        <stp/>
        <stp>BDH|7312477856335197654</stp>
        <tr r="P18" s="23"/>
      </tp>
      <tp t="e">
        <v>#N/A</v>
        <stp/>
        <stp>BDH|5704777862171394077</stp>
        <tr r="R9" s="22"/>
      </tp>
      <tp t="e">
        <v>#N/A</v>
        <stp/>
        <stp>BDH|8249468407280571902</stp>
        <tr r="M23" s="25"/>
        <tr r="M16" s="27"/>
      </tp>
      <tp t="e">
        <v>#N/A</v>
        <stp/>
        <stp>BDH|9573893167366940448</stp>
        <tr r="E121" s="18"/>
      </tp>
      <tp t="e">
        <v>#N/A</v>
        <stp/>
        <stp>BDH|7105629562346208450</stp>
        <tr r="T36" s="4"/>
      </tp>
      <tp t="e">
        <v>#N/A</v>
        <stp/>
        <stp>BDH|3471704605970644113</stp>
        <tr r="O37" s="24"/>
      </tp>
      <tp t="e">
        <v>#N/A</v>
        <stp/>
        <stp>BDH|4475233224282487312</stp>
        <tr r="R17" s="5"/>
        <tr r="Q25" s="6"/>
      </tp>
      <tp t="e">
        <v>#N/A</v>
        <stp/>
        <stp>BDH|7530059168571750595</stp>
        <tr r="R14" s="8"/>
      </tp>
      <tp t="e">
        <v>#N/A</v>
        <stp/>
        <stp>BDH|8627165624977613941</stp>
        <tr r="E68" s="24"/>
      </tp>
      <tp t="e">
        <v>#N/A</v>
        <stp/>
        <stp>BDH|6356242412637286717</stp>
        <tr r="F18" s="9"/>
      </tp>
      <tp t="e">
        <v>#N/A</v>
        <stp/>
        <stp>BDH|9949281187311118719</stp>
        <tr r="R42" s="4"/>
      </tp>
      <tp t="e">
        <v>#N/A</v>
        <stp/>
        <stp>BDH|7799848251328728721</stp>
        <tr r="T18" s="23"/>
      </tp>
      <tp t="e">
        <v>#N/A</v>
        <stp/>
        <stp>BDH|8273332116339418646</stp>
        <tr r="H8" s="17"/>
      </tp>
      <tp t="e">
        <v>#N/A</v>
        <stp/>
        <stp>BDH|7033567760111872092</stp>
        <tr r="Y40" s="18"/>
      </tp>
      <tp t="e">
        <v>#N/A</v>
        <stp/>
        <stp>BDH|6126274400156904787</stp>
        <tr r="M7" s="2"/>
        <tr r="M7" s="5"/>
        <tr r="M7" s="9"/>
        <tr r="O14" s="3"/>
      </tp>
      <tp t="e">
        <v>#N/A</v>
        <stp/>
        <stp>BDH|6629854411218764222</stp>
        <tr r="T25" s="18"/>
      </tp>
      <tp t="e">
        <v>#N/A</v>
        <stp/>
        <stp>BDH|2604324933252122514</stp>
        <tr r="O29" s="34"/>
      </tp>
      <tp t="e">
        <v>#N/A</v>
        <stp/>
        <stp>BDH|4505737052482038133</stp>
        <tr r="N31" s="10"/>
        <tr r="N29" s="11"/>
      </tp>
      <tp t="e">
        <v>#N/A</v>
        <stp/>
        <stp>BDH|6623301256540469533</stp>
        <tr r="AA44" s="18"/>
      </tp>
      <tp t="e">
        <v>#N/A</v>
        <stp/>
        <stp>BDH|2930488440123597431</stp>
        <tr r="N17" s="14"/>
      </tp>
      <tp t="e">
        <v>#N/A</v>
        <stp/>
        <stp>BDH|8324906350066309776</stp>
        <tr r="X33" s="6"/>
        <tr r="Z6" s="8"/>
      </tp>
      <tp t="e">
        <v>#N/A</v>
        <stp/>
        <stp>BDH|3293275956109796831</stp>
        <tr r="R22" s="4"/>
      </tp>
      <tp t="e">
        <v>#N/A</v>
        <stp/>
        <stp>BDH|7663668050592469339</stp>
        <tr r="V15" s="13"/>
      </tp>
      <tp t="e">
        <v>#N/A</v>
        <stp/>
        <stp>BDH|7133767675115559704</stp>
        <tr r="R25" s="7"/>
      </tp>
      <tp t="e">
        <v>#N/A</v>
        <stp/>
        <stp>BDH|5816402877726063586</stp>
        <tr r="L7" s="2"/>
        <tr r="L7" s="5"/>
        <tr r="L7" s="9"/>
        <tr r="N14" s="3"/>
      </tp>
      <tp t="e">
        <v>#N/A</v>
        <stp/>
        <stp>BDH|5920043718596221702</stp>
        <tr r="K9" s="17"/>
      </tp>
      <tp t="e">
        <v>#N/A</v>
        <stp/>
        <stp>BDH|2803743921155375791</stp>
        <tr r="D24" s="17"/>
      </tp>
      <tp t="e">
        <v>#N/A</v>
        <stp/>
        <stp>BDH|1532311697578787639</stp>
        <tr r="X13" s="14"/>
      </tp>
      <tp t="e">
        <v>#N/A</v>
        <stp/>
        <stp>BDH|2262677368634326393</stp>
        <tr r="V38" s="24"/>
      </tp>
      <tp t="e">
        <v>#N/A</v>
        <stp/>
        <stp>BDH|2873473437306831672</stp>
        <tr r="U29" s="24"/>
      </tp>
      <tp t="e">
        <v>#N/A</v>
        <stp/>
        <stp>BDH|5515570018206473292</stp>
        <tr r="X21" s="24"/>
      </tp>
      <tp t="e">
        <v>#N/A</v>
        <stp/>
        <stp>BDH|2117947035024254955</stp>
        <tr r="G84" s="18"/>
      </tp>
      <tp t="e">
        <v>#N/A</v>
        <stp/>
        <stp>BDH|5059305765963367619</stp>
        <tr r="Y78" s="18"/>
      </tp>
      <tp t="e">
        <v>#N/A</v>
        <stp/>
        <stp>BDH|4656360037824322536</stp>
        <tr r="H10" s="24"/>
      </tp>
      <tp t="e">
        <v>#N/A</v>
        <stp/>
        <stp>BDH|6788974426591344924</stp>
        <tr r="J46" s="17"/>
      </tp>
      <tp t="e">
        <v>#N/A</v>
        <stp/>
        <stp>BDH|1068061066300050278</stp>
        <tr r="O67" s="18"/>
      </tp>
      <tp t="e">
        <v>#N/A</v>
        <stp/>
        <stp>BDH|1639513404053303279</stp>
        <tr r="D21" s="11"/>
      </tp>
      <tp t="e">
        <v>#N/A</v>
        <stp/>
        <stp>BDH|2557157074540790146</stp>
        <tr r="O56" s="24"/>
      </tp>
      <tp t="e">
        <v>#N/A</v>
        <stp/>
        <stp>BDH|5126223858542586594</stp>
        <tr r="W19" s="17"/>
      </tp>
      <tp t="e">
        <v>#N/A</v>
        <stp/>
        <stp>BDH|1562839930419210632</stp>
        <tr r="Y51" s="18"/>
      </tp>
      <tp t="e">
        <v>#N/A</v>
        <stp/>
        <stp>BDH|7050569440511630271</stp>
        <tr r="L21" s="27"/>
      </tp>
      <tp t="e">
        <v>#N/A</v>
        <stp/>
        <stp>BDH|8228132569572782886</stp>
        <tr r="P12" s="21"/>
      </tp>
      <tp t="e">
        <v>#N/A</v>
        <stp/>
        <stp>BDH|3706326903692030719</stp>
        <tr r="X19" s="10"/>
        <tr r="Z16" s="13"/>
        <tr r="Z23" s="13"/>
      </tp>
      <tp t="e">
        <v>#N/A</v>
        <stp/>
        <stp>BDH|1657311155876761420</stp>
        <tr r="X89" s="17"/>
        <tr r="X7" s="27"/>
      </tp>
      <tp t="e">
        <v>#N/A</v>
        <stp/>
        <stp>BDH|6938185342971270762</stp>
        <tr r="J20" s="12"/>
      </tp>
      <tp t="e">
        <v>#N/A</v>
        <stp/>
        <stp>BDH|6488611959203309381</stp>
        <tr r="G67" s="17"/>
      </tp>
      <tp t="e">
        <v>#N/A</v>
        <stp/>
        <stp>BDH|3972505005221954228</stp>
        <tr r="V95" s="18"/>
      </tp>
      <tp t="e">
        <v>#N/A</v>
        <stp/>
        <stp>BDH|3737949211728400612</stp>
        <tr r="V39" s="12"/>
      </tp>
      <tp t="e">
        <v>#N/A</v>
        <stp/>
        <stp>BDH|2687607968053839413</stp>
        <tr r="P50" s="21"/>
      </tp>
      <tp t="e">
        <v>#N/A</v>
        <stp/>
        <stp>BDH|2292868682782901588</stp>
        <tr r="O48" s="10"/>
        <tr r="O46" s="11"/>
        <tr r="O15" s="7"/>
      </tp>
      <tp t="e">
        <v>#N/A</v>
        <stp/>
        <stp>BDH|4122266031481092117</stp>
        <tr r="W18" s="11"/>
      </tp>
      <tp t="e">
        <v>#N/A</v>
        <stp/>
        <stp>BDH|2318770136704719717</stp>
        <tr r="Q43" s="10"/>
        <tr r="Q41" s="11"/>
      </tp>
      <tp t="e">
        <v>#N/A</v>
        <stp/>
        <stp>BDH|9046032744668148024</stp>
        <tr r="P68" s="17"/>
      </tp>
      <tp t="e">
        <v>#N/A</v>
        <stp/>
        <stp>BDH|7992293284728772079</stp>
        <tr r="T12" s="18"/>
      </tp>
      <tp t="e">
        <v>#N/A</v>
        <stp/>
        <stp>BDH|7940790580218356570</stp>
        <tr r="S27" s="17"/>
      </tp>
      <tp t="e">
        <v>#N/A</v>
        <stp/>
        <stp>BDH|1158522467307350032</stp>
        <tr r="G77" s="18"/>
      </tp>
      <tp t="e">
        <v>#N/A</v>
        <stp/>
        <stp>BDH|8019250501847436849</stp>
        <tr r="H21" s="11"/>
      </tp>
      <tp t="e">
        <v>#N/A</v>
        <stp/>
        <stp>BDH|8349101506615264936</stp>
        <tr r="Z44" s="17"/>
      </tp>
      <tp t="e">
        <v>#N/A</v>
        <stp/>
        <stp>BDH|4876987063686715804</stp>
        <tr r="Q31" s="17"/>
      </tp>
      <tp t="e">
        <v>#N/A</v>
        <stp/>
        <stp>BDH|2536774742006713234</stp>
        <tr r="M18" s="14"/>
      </tp>
      <tp t="e">
        <v>#N/A</v>
        <stp/>
        <stp>BDH|2050392923364747292</stp>
        <tr r="S14" s="13"/>
      </tp>
      <tp t="e">
        <v>#N/A</v>
        <stp/>
        <stp>BDH|3764313078287807525</stp>
        <tr r="T29" s="9"/>
      </tp>
      <tp t="e">
        <v>#N/A</v>
        <stp/>
        <stp>BDH|8682568285319253933</stp>
        <tr r="U38" s="22"/>
      </tp>
      <tp t="e">
        <v>#N/A</v>
        <stp/>
        <stp>BDH|8447385821794072895</stp>
        <tr r="X28" s="18"/>
      </tp>
      <tp t="e">
        <v>#N/A</v>
        <stp/>
        <stp>BDH|4518567935562204507</stp>
        <tr r="L14" s="20"/>
      </tp>
      <tp t="e">
        <v>#N/A</v>
        <stp/>
        <stp>BDH|8651846465344342700</stp>
        <tr r="Z96" s="18"/>
      </tp>
      <tp t="e">
        <v>#N/A</v>
        <stp/>
        <stp>BDH|6958298027827126423</stp>
        <tr r="S42" s="21"/>
      </tp>
      <tp t="e">
        <v>#N/A</v>
        <stp/>
        <stp>BDH|7065204047481462574</stp>
        <tr r="M8" s="8"/>
      </tp>
      <tp t="e">
        <v>#N/A</v>
        <stp/>
        <stp>BDH|6748355405007674752</stp>
        <tr r="N91" s="17"/>
      </tp>
      <tp t="e">
        <v>#N/A</v>
        <stp/>
        <stp>BDH|4299322275933718664</stp>
        <tr r="L32" s="22"/>
      </tp>
      <tp t="e">
        <v>#N/A</v>
        <stp/>
        <stp>BDH|4252656227142449701</stp>
        <tr r="J94" s="18"/>
      </tp>
      <tp t="e">
        <v>#N/A</v>
        <stp/>
        <stp>BDH|1408706507706174561</stp>
        <tr r="N64" s="10"/>
      </tp>
      <tp t="e">
        <v>#N/A</v>
        <stp/>
        <stp>BDH|3099228792064011947</stp>
        <tr r="N7" s="14"/>
      </tp>
      <tp t="e">
        <v>#N/A</v>
        <stp/>
        <stp>BDH|4294349253454476355</stp>
        <tr r="G38" s="10"/>
        <tr r="G36" s="11"/>
      </tp>
      <tp t="e">
        <v>#N/A</v>
        <stp/>
        <stp>BDH|5044717860593729222</stp>
        <tr r="D18" s="10"/>
      </tp>
      <tp t="e">
        <v>#N/A</v>
        <stp/>
        <stp>BDH|7810621865072912027</stp>
        <tr r="O37" s="22"/>
      </tp>
      <tp t="e">
        <v>#N/A</v>
        <stp/>
        <stp>BDH|6357457992068322639</stp>
        <tr r="Q19" s="20"/>
      </tp>
      <tp t="e">
        <v>#N/A</v>
        <stp/>
        <stp>BDH|4515509514412445710</stp>
        <tr r="Q28" s="22"/>
      </tp>
      <tp t="e">
        <v>#N/A</v>
        <stp/>
        <stp>BDH|5425607067174045478</stp>
        <tr r="U83" s="18"/>
      </tp>
      <tp t="e">
        <v>#N/A</v>
        <stp/>
        <stp>BDH|7613622748055802508</stp>
        <tr r="H67" s="17"/>
      </tp>
      <tp t="e">
        <v>#N/A</v>
        <stp/>
        <stp>BDH|9187350449313948804</stp>
        <tr r="O50" s="17"/>
        <tr r="O10" s="25"/>
      </tp>
      <tp t="e">
        <v>#N/A</v>
        <stp/>
        <stp>BDH|8929490141804200970</stp>
        <tr r="AA22" s="12"/>
      </tp>
      <tp t="e">
        <v>#N/A</v>
        <stp/>
        <stp>BDH|8478231782114387325</stp>
        <tr r="L15" s="10"/>
      </tp>
      <tp t="e">
        <v>#N/A</v>
        <stp/>
        <stp>BDH|1393363130905796167</stp>
        <tr r="N10" s="18"/>
      </tp>
      <tp t="e">
        <v>#N/A</v>
        <stp/>
        <stp>BDH|1204117460284698710</stp>
        <tr r="N37" s="24"/>
      </tp>
      <tp t="e">
        <v>#N/A</v>
        <stp/>
        <stp>BDH|7961429740243938162</stp>
        <tr r="H54" s="24"/>
      </tp>
      <tp t="e">
        <v>#N/A</v>
        <stp/>
        <stp>BDH|7618347895838274016</stp>
        <tr r="I8" s="8"/>
      </tp>
      <tp t="e">
        <v>#N/A</v>
        <stp/>
        <stp>BDH|5385843284746171664</stp>
        <tr r="P66" s="17"/>
      </tp>
      <tp t="e">
        <v>#N/A</v>
        <stp/>
        <stp>BDH|7618985611978204292</stp>
        <tr r="C7" s="30"/>
      </tp>
      <tp t="e">
        <v>#N/A</v>
        <stp/>
        <stp>BDH|9380175120267558855</stp>
        <tr r="Z22" s="27"/>
      </tp>
      <tp t="e">
        <v>#N/A</v>
        <stp/>
        <stp>BDH|1549478839316715580</stp>
        <tr r="K46" s="4"/>
        <tr r="K25" s="10"/>
        <tr r="M27" s="13"/>
      </tp>
      <tp t="e">
        <v>#N/A</v>
        <stp/>
        <stp>BDH|3974245998289966488</stp>
        <tr r="W9" s="12"/>
      </tp>
      <tp t="e">
        <v>#N/A</v>
        <stp/>
        <stp>BDH|9624743167545322828</stp>
        <tr r="G59" s="18"/>
      </tp>
      <tp t="e">
        <v>#N/A</v>
        <stp/>
        <stp>BDH|9219747783162202139</stp>
        <tr r="X16" s="10"/>
      </tp>
      <tp t="e">
        <v>#N/A</v>
        <stp/>
        <stp>BDH|3604518067603663639</stp>
        <tr r="X17" s="17"/>
        <tr r="X20" s="28"/>
      </tp>
      <tp t="e">
        <v>#N/A</v>
        <stp/>
        <stp>BDH|9925930012524575081</stp>
        <tr r="G14" s="11"/>
      </tp>
      <tp t="e">
        <v>#N/A</v>
        <stp/>
        <stp>BDH|6169283642530820563</stp>
        <tr r="M52" s="12"/>
      </tp>
      <tp t="e">
        <v>#N/A</v>
        <stp/>
        <stp>BDH|3010695451641844456</stp>
        <tr r="S29" s="24"/>
      </tp>
      <tp t="e">
        <v>#N/A</v>
        <stp/>
        <stp>BDH|6859677629990696752</stp>
        <tr r="W42" s="4"/>
      </tp>
      <tp t="e">
        <v>#N/A</v>
        <stp/>
        <stp>BDH|3616371672213530131</stp>
        <tr r="AA78" s="18"/>
      </tp>
      <tp t="e">
        <v>#N/A</v>
        <stp/>
        <stp>BDH|5475790268518953994</stp>
        <tr r="M63" s="21"/>
        <tr r="K23" s="7"/>
      </tp>
      <tp t="e">
        <v>#N/A</v>
        <stp/>
        <stp>BDH|3403434137620292178</stp>
        <tr r="L54" s="12"/>
      </tp>
      <tp t="e">
        <v>#N/A</v>
        <stp/>
        <stp>BDH|6028779174372023169</stp>
        <tr r="K14" s="12"/>
      </tp>
      <tp t="e">
        <v>#N/A</v>
        <stp/>
        <stp>BDH|7086134133678788821</stp>
        <tr r="N15" s="5"/>
      </tp>
      <tp t="e">
        <v>#N/A</v>
        <stp/>
        <stp>BDH|9147187750329939150</stp>
        <tr r="D37" s="24"/>
      </tp>
      <tp t="e">
        <v>#N/A</v>
        <stp/>
        <stp>BDH|3168455634371365064</stp>
        <tr r="U22" s="9"/>
      </tp>
      <tp t="e">
        <v>#N/A</v>
        <stp/>
        <stp>BDH|4171572199788960536</stp>
        <tr r="H16" s="10"/>
      </tp>
      <tp t="e">
        <v>#N/A</v>
        <stp/>
        <stp>BDH|6704019283243819888</stp>
        <tr r="I13" s="22"/>
      </tp>
      <tp t="e">
        <v>#N/A</v>
        <stp/>
        <stp>BDH|4465330781229394308</stp>
        <tr r="D59" s="17"/>
      </tp>
      <tp t="e">
        <v>#N/A</v>
        <stp/>
        <stp>BDH|8605957751377390648</stp>
        <tr r="S52" s="21"/>
      </tp>
      <tp t="e">
        <v>#N/A</v>
        <stp/>
        <stp>BDH|6118665764196557535</stp>
        <tr r="S15" s="5"/>
      </tp>
      <tp t="e">
        <v>#N/A</v>
        <stp/>
        <stp>BDH|4569034850480223411</stp>
        <tr r="I39" s="34"/>
      </tp>
      <tp t="e">
        <v>#N/A</v>
        <stp/>
        <stp>BDH|9629564894338058815</stp>
        <tr r="F52" s="18"/>
      </tp>
      <tp t="e">
        <v>#N/A</v>
        <stp/>
        <stp>BDH|5281537521405497216</stp>
        <tr r="G89" s="17"/>
        <tr r="G7" s="27"/>
      </tp>
      <tp t="e">
        <v>#N/A</v>
        <stp/>
        <stp>BDH|6760112875074726112</stp>
        <tr r="G24" s="26"/>
        <tr r="E14" s="9"/>
      </tp>
      <tp t="e">
        <v>#N/A</v>
        <stp/>
        <stp>BDH|2323481839736022672</stp>
        <tr r="E53" s="18"/>
      </tp>
      <tp t="e">
        <v>#N/A</v>
        <stp/>
        <stp>BDH|6173636311560006463</stp>
        <tr r="G20" s="11"/>
      </tp>
      <tp t="e">
        <v>#N/A</v>
        <stp/>
        <stp>BDH|7347715451513048367</stp>
        <tr r="S26" s="17"/>
      </tp>
      <tp t="e">
        <v>#N/A</v>
        <stp/>
        <stp>BDH|2191068524947687206</stp>
        <tr r="Y25" s="17"/>
      </tp>
      <tp t="e">
        <v>#N/A</v>
        <stp/>
        <stp>BDH|1081171777022150045</stp>
        <tr r="N17" s="21"/>
      </tp>
      <tp t="e">
        <v>#N/A</v>
        <stp/>
        <stp>BDH|5441490748232667269</stp>
        <tr r="C94" s="18"/>
      </tp>
      <tp t="e">
        <v>#N/A</v>
        <stp/>
        <stp>BDH|3586831636585732826</stp>
        <tr r="I72" s="17"/>
      </tp>
      <tp t="e">
        <v>#N/A</v>
        <stp/>
        <stp>BDH|2459460756736986082</stp>
        <tr r="AA8" s="21"/>
      </tp>
      <tp t="e">
        <v>#N/A</v>
        <stp/>
        <stp>BDH|9490505564637240875</stp>
        <tr r="M17" s="23"/>
      </tp>
      <tp t="e">
        <v>#N/A</v>
        <stp/>
        <stp>BDH|3211734421072162148</stp>
        <tr r="D25" s="3"/>
      </tp>
      <tp t="e">
        <v>#N/A</v>
        <stp/>
        <stp>BDH|4499460760262779107</stp>
        <tr r="O43" s="17"/>
      </tp>
      <tp t="e">
        <v>#N/A</v>
        <stp/>
        <stp>BDH|1088372406183713430</stp>
        <tr r="O25" s="12"/>
      </tp>
      <tp t="e">
        <v>#N/A</v>
        <stp/>
        <stp>BDH|7058731576653000108</stp>
        <tr r="M8" s="2"/>
      </tp>
      <tp t="e">
        <v>#N/A</v>
        <stp/>
        <stp>BDH|3061470772906215323</stp>
        <tr r="G35" s="10"/>
        <tr r="G33" s="11"/>
      </tp>
      <tp t="e">
        <v>#N/A</v>
        <stp/>
        <stp>BDH|4348657206915625235</stp>
        <tr r="J6" s="2"/>
        <tr r="J6" s="5"/>
        <tr r="J6" s="9"/>
        <tr r="K12" s="8"/>
        <tr r="L10" s="29"/>
        <tr r="L19" s="29"/>
        <tr r="L25" s="29"/>
      </tp>
      <tp t="e">
        <v>#N/A</v>
        <stp/>
        <stp>BDH|8579898562140242397</stp>
        <tr r="H36" s="34"/>
      </tp>
      <tp t="e">
        <v>#N/A</v>
        <stp/>
        <stp>BDH|1128401305355859599</stp>
        <tr r="O18" s="2"/>
        <tr r="O53" s="4"/>
        <tr r="O42" s="10"/>
        <tr r="O40" s="11"/>
        <tr r="Q34" s="13"/>
      </tp>
      <tp t="e">
        <v>#N/A</v>
        <stp/>
        <stp>BDH|7810199774790802483</stp>
        <tr r="D46" s="12"/>
      </tp>
      <tp t="e">
        <v>#N/A</v>
        <stp/>
        <stp>BDH|1994590650730530402</stp>
        <tr r="T35" s="10"/>
        <tr r="T33" s="11"/>
      </tp>
      <tp t="e">
        <v>#N/A</v>
        <stp/>
        <stp>BDH|4797416401121363417</stp>
        <tr r="Z31" s="17"/>
      </tp>
      <tp t="e">
        <v>#N/A</v>
        <stp/>
        <stp>BDH|1864858878969300238</stp>
        <tr r="D69" s="17"/>
      </tp>
      <tp t="e">
        <v>#N/A</v>
        <stp/>
        <stp>BDH|4867001317996957634</stp>
        <tr r="I45" s="4"/>
        <tr r="I27" s="10"/>
        <tr r="I25" s="11"/>
        <tr r="K26" s="13"/>
      </tp>
      <tp t="e">
        <v>#N/A</v>
        <stp/>
        <stp>BDH|1574235663579313938</stp>
        <tr r="X124" s="18"/>
      </tp>
      <tp t="e">
        <v>#N/A</v>
        <stp/>
        <stp>BDH|52405392794142146</stp>
        <tr r="X10" s="29"/>
        <tr r="X19" s="29"/>
        <tr r="X25" s="29"/>
        <tr r="V6" s="5"/>
        <tr r="V6" s="2"/>
        <tr r="V6" s="9"/>
        <tr r="W12" s="8"/>
      </tp>
      <tp t="e">
        <v>#N/A</v>
        <stp/>
        <stp>BDH|26816094139723002</stp>
        <tr r="K21" s="4"/>
      </tp>
      <tp t="e">
        <v>#N/A</v>
        <stp/>
        <stp>BDH|92351993995172755</stp>
        <tr r="T27" s="24"/>
      </tp>
      <tp t="e">
        <v>#N/A</v>
        <stp/>
        <stp>BDH|94934004741893025</stp>
        <tr r="K115" s="18"/>
      </tp>
      <tp t="e">
        <v>#N/A</v>
        <stp/>
        <stp>BDH|46287631491559859</stp>
        <tr r="L9" s="23"/>
      </tp>
      <tp t="e">
        <v>#N/A</v>
        <stp/>
        <stp>BDH|75084336489704200</stp>
        <tr r="S84" s="17"/>
      </tp>
      <tp t="e">
        <v>#N/A</v>
        <stp/>
        <stp>BDH|9393535521030285895</stp>
        <tr r="P30" s="21"/>
      </tp>
      <tp t="e">
        <v>#N/A</v>
        <stp/>
        <stp>BDH|7834831633478649243</stp>
        <tr r="D27" s="5"/>
        <tr r="D28" s="9"/>
      </tp>
      <tp t="e">
        <v>#N/A</v>
        <stp/>
        <stp>BDH|1031030805222926552</stp>
        <tr r="P39" s="10"/>
        <tr r="P37" s="11"/>
      </tp>
      <tp t="e">
        <v>#N/A</v>
        <stp/>
        <stp>BDH|3242168603802530687</stp>
        <tr r="G15" s="21"/>
      </tp>
      <tp t="e">
        <v>#N/A</v>
        <stp/>
        <stp>BDH|8259794232819088331</stp>
        <tr r="F54" s="18"/>
      </tp>
      <tp t="e">
        <v>#N/A</v>
        <stp/>
        <stp>BDH|1323180831014512153</stp>
        <tr r="I14" s="22"/>
      </tp>
      <tp t="e">
        <v>#N/A</v>
        <stp/>
        <stp>BDH|7346415104526423385</stp>
        <tr r="V64" s="17"/>
        <tr r="V18" s="3"/>
      </tp>
      <tp t="e">
        <v>#N/A</v>
        <stp/>
        <stp>BDH|2575721229230613126</stp>
        <tr r="E8" s="27"/>
      </tp>
      <tp t="e">
        <v>#N/A</v>
        <stp/>
        <stp>BDH|1323382897598061560</stp>
        <tr r="G11" s="13"/>
      </tp>
      <tp t="e">
        <v>#N/A</v>
        <stp/>
        <stp>BDH|4101059069672091674</stp>
        <tr r="I21" s="6"/>
      </tp>
      <tp t="e">
        <v>#N/A</v>
        <stp/>
        <stp>BDH|1885659526783458051</stp>
        <tr r="V12" s="30"/>
      </tp>
      <tp t="e">
        <v>#N/A</v>
        <stp/>
        <stp>BDH|5798784601043372778</stp>
        <tr r="K11" s="29"/>
      </tp>
      <tp t="e">
        <v>#N/A</v>
        <stp/>
        <stp>BDH|7660350424519841952</stp>
        <tr r="P12" s="10"/>
      </tp>
      <tp t="e">
        <v>#N/A</v>
        <stp/>
        <stp>BDH|1326142679017117654</stp>
        <tr r="C86" s="18"/>
        <tr r="C6" s="20"/>
      </tp>
      <tp t="e">
        <v>#N/A</v>
        <stp/>
        <stp>BDH|1511186806512036414</stp>
        <tr r="D31" s="18"/>
      </tp>
      <tp t="e">
        <v>#N/A</v>
        <stp/>
        <stp>BDH|3805229915811467712</stp>
        <tr r="C75" s="18"/>
      </tp>
      <tp t="e">
        <v>#N/A</v>
        <stp/>
        <stp>BDH|8578850514082618582</stp>
        <tr r="Y13" s="13"/>
      </tp>
      <tp t="e">
        <v>#N/A</v>
        <stp/>
        <stp>BDH|1833980686946599097</stp>
        <tr r="E26" s="10"/>
      </tp>
      <tp t="e">
        <v>#N/A</v>
        <stp/>
        <stp>BDH|4220750668367675430</stp>
        <tr r="C8" s="10"/>
      </tp>
      <tp t="e">
        <v>#N/A</v>
        <stp/>
        <stp>BDH|3961113574710103374</stp>
        <tr r="V49" s="10"/>
        <tr r="V47" s="11"/>
        <tr r="V16" s="7"/>
      </tp>
      <tp t="e">
        <v>#N/A</v>
        <stp/>
        <stp>BDH|8947005312169605676</stp>
        <tr r="F8" s="18"/>
      </tp>
      <tp t="e">
        <v>#N/A</v>
        <stp/>
        <stp>BDH|9963847324605630052</stp>
        <tr r="N123" s="18"/>
      </tp>
      <tp t="e">
        <v>#N/A</v>
        <stp/>
        <stp>BDH|6315710659252907085</stp>
        <tr r="E59" s="10"/>
      </tp>
      <tp t="e">
        <v>#N/A</v>
        <stp/>
        <stp>BDH|5126665178256357469</stp>
        <tr r="Q24" s="10"/>
      </tp>
      <tp t="e">
        <v>#N/A</v>
        <stp/>
        <stp>BDH|9144327481103025789</stp>
        <tr r="S44" s="17"/>
      </tp>
      <tp t="e">
        <v>#N/A</v>
        <stp/>
        <stp>BDH|8121951132326914258</stp>
        <tr r="G15" s="11"/>
      </tp>
      <tp t="e">
        <v>#N/A</v>
        <stp/>
        <stp>BDH|7080616245570739393</stp>
        <tr r="J67" s="24"/>
      </tp>
      <tp t="e">
        <v>#N/A</v>
        <stp/>
        <stp>BDH|1310347751276414788</stp>
        <tr r="E11" s="11"/>
      </tp>
      <tp t="e">
        <v>#N/A</v>
        <stp/>
        <stp>BDH|1931241040765210459</stp>
        <tr r="U11" s="17"/>
      </tp>
      <tp t="e">
        <v>#N/A</v>
        <stp/>
        <stp>BDH|8168867993649627688</stp>
        <tr r="Q82" s="18"/>
      </tp>
      <tp t="e">
        <v>#N/A</v>
        <stp/>
        <stp>BDH|3036052886139181485</stp>
        <tr r="H13" s="17"/>
        <tr r="H16" s="28"/>
      </tp>
      <tp t="e">
        <v>#N/A</v>
        <stp/>
        <stp>BDH|6949962794972439250</stp>
        <tr r="T19" s="10"/>
        <tr r="V16" s="13"/>
        <tr r="V23" s="13"/>
      </tp>
      <tp t="e">
        <v>#N/A</v>
        <stp/>
        <stp>BDH|3952341306246298033</stp>
        <tr r="Q9" s="2"/>
        <tr r="S8" s="25"/>
        <tr r="Q10" s="5"/>
      </tp>
      <tp t="e">
        <v>#N/A</v>
        <stp/>
        <stp>BDH|1380142576382831335</stp>
        <tr r="F82" s="17"/>
      </tp>
      <tp t="e">
        <v>#N/A</v>
        <stp/>
        <stp>BDH|6180653950103973072</stp>
        <tr r="K31" s="34"/>
      </tp>
      <tp t="e">
        <v>#N/A</v>
        <stp/>
        <stp>BDH|6842235320682789261</stp>
        <tr r="M20" s="2"/>
        <tr r="M18" s="4"/>
        <tr r="M54" s="10"/>
        <tr r="M52" s="11"/>
        <tr r="M19" s="7"/>
        <tr r="O41" s="13"/>
      </tp>
      <tp t="e">
        <v>#N/A</v>
        <stp/>
        <stp>BDH|8220799895105401504</stp>
        <tr r="J14" s="22"/>
      </tp>
      <tp t="e">
        <v>#N/A</v>
        <stp/>
        <stp>BDH|6004921623968214388</stp>
        <tr r="D29" s="29"/>
        <tr r="D7" s="29"/>
      </tp>
      <tp t="e">
        <v>#N/A</v>
        <stp/>
        <stp>BDH|9375396598563860611</stp>
        <tr r="Z8" s="24"/>
      </tp>
      <tp t="e">
        <v>#N/A</v>
        <stp/>
        <stp>BDH|6277954182227963674</stp>
        <tr r="Z45" s="17"/>
      </tp>
      <tp t="e">
        <v>#N/A</v>
        <stp/>
        <stp>BDH|1647571208075403766</stp>
        <tr r="U25" s="25"/>
        <tr r="U18" s="27"/>
      </tp>
      <tp t="e">
        <v>#N/A</v>
        <stp/>
        <stp>BDH|3471197954699260803</stp>
        <tr r="P59" s="10"/>
      </tp>
      <tp t="e">
        <v>#N/A</v>
        <stp/>
        <stp>BDH|2127652107345026783</stp>
        <tr r="V6" s="27"/>
      </tp>
      <tp t="e">
        <v>#N/A</v>
        <stp/>
        <stp>BDH|9932159477731891886</stp>
        <tr r="E28" s="4"/>
      </tp>
      <tp t="e">
        <v>#N/A</v>
        <stp/>
        <stp>BDH|3215002134270823651</stp>
        <tr r="P44" s="12"/>
      </tp>
      <tp t="e">
        <v>#N/A</v>
        <stp/>
        <stp>BDH|9065011807586494999</stp>
        <tr r="E9" s="29"/>
      </tp>
      <tp t="e">
        <v>#N/A</v>
        <stp/>
        <stp>BDH|5951277979251930751</stp>
        <tr r="P7" s="4"/>
      </tp>
      <tp t="e">
        <v>#N/A</v>
        <stp/>
        <stp>BDH|3559836444731041892</stp>
        <tr r="R49" s="4"/>
      </tp>
      <tp t="e">
        <v>#N/A</v>
        <stp/>
        <stp>BDH|8905756217138264024</stp>
        <tr r="AA31" s="18"/>
      </tp>
      <tp t="e">
        <v>#N/A</v>
        <stp/>
        <stp>BDH|7874442927453044401</stp>
        <tr r="V10" s="26"/>
      </tp>
      <tp t="e">
        <v>#N/A</v>
        <stp/>
        <stp>BDH|4014139238412109218</stp>
        <tr r="M65" s="18"/>
      </tp>
      <tp t="e">
        <v>#N/A</v>
        <stp/>
        <stp>BDH|9598865742435256689</stp>
        <tr r="T15" s="9"/>
      </tp>
      <tp t="e">
        <v>#N/A</v>
        <stp/>
        <stp>BDH|8044193347819604238</stp>
        <tr r="R132" s="18"/>
      </tp>
      <tp t="e">
        <v>#N/A</v>
        <stp/>
        <stp>BDH|9194578685132033084</stp>
        <tr r="I60" s="24"/>
      </tp>
      <tp t="e">
        <v>#N/A</v>
        <stp/>
        <stp>BDH|5905255326992281133</stp>
        <tr r="S19" s="20"/>
      </tp>
      <tp t="e">
        <v>#N/A</v>
        <stp/>
        <stp>BDH|4232753629792547504</stp>
        <tr r="D15" s="21"/>
      </tp>
      <tp t="e">
        <v>#N/A</v>
        <stp/>
        <stp>BDH|4667428960221938169</stp>
        <tr r="C55" s="17"/>
      </tp>
      <tp t="e">
        <v>#N/A</v>
        <stp/>
        <stp>BDH|3916415422874329728</stp>
        <tr r="C20" s="34"/>
      </tp>
      <tp t="e">
        <v>#N/A</v>
        <stp/>
        <stp>BDH|9847725965837360979</stp>
        <tr r="I13" s="7"/>
      </tp>
      <tp t="e">
        <v>#N/A</v>
        <stp/>
        <stp>BDH|6914146672401598711</stp>
        <tr r="S39" s="6"/>
      </tp>
      <tp t="e">
        <v>#N/A</v>
        <stp/>
        <stp>BDH|8182790097246073647</stp>
        <tr r="T15" s="22"/>
      </tp>
      <tp t="e">
        <v>#N/A</v>
        <stp/>
        <stp>BDH|1197499941210507778</stp>
        <tr r="J11" s="18"/>
      </tp>
      <tp t="e">
        <v>#N/A</v>
        <stp/>
        <stp>BDH|2848402168013243598</stp>
        <tr r="E54" s="18"/>
      </tp>
      <tp t="e">
        <v>#N/A</v>
        <stp/>
        <stp>BDH|7231781656592199162</stp>
        <tr r="K107" s="18"/>
      </tp>
      <tp t="e">
        <v>#N/A</v>
        <stp/>
        <stp>BDH|2439041207201988554</stp>
        <tr r="Y22" s="21"/>
      </tp>
      <tp t="e">
        <v>#N/A</v>
        <stp/>
        <stp>BDH|2887449511843444222</stp>
        <tr r="V18" s="6"/>
      </tp>
      <tp t="e">
        <v>#N/A</v>
        <stp/>
        <stp>BDH|2398687167691348543</stp>
        <tr r="Q21" s="6"/>
      </tp>
      <tp t="e">
        <v>#N/A</v>
        <stp/>
        <stp>BDH|5871955188965944771</stp>
        <tr r="O21" s="18"/>
      </tp>
      <tp t="e">
        <v>#N/A</v>
        <stp/>
        <stp>BDH|2813978195097353322</stp>
        <tr r="I18" s="13"/>
      </tp>
      <tp t="e">
        <v>#N/A</v>
        <stp/>
        <stp>BDH|4303381694501613914</stp>
        <tr r="R41" s="17"/>
      </tp>
      <tp t="e">
        <v>#N/A</v>
        <stp/>
        <stp>BDH|5055761718947549238</stp>
        <tr r="F16" s="6"/>
      </tp>
      <tp t="e">
        <v>#N/A</v>
        <stp/>
        <stp>BDH|9737294340690786918</stp>
        <tr r="Y38" s="10"/>
        <tr r="Y36" s="11"/>
      </tp>
      <tp t="e">
        <v>#N/A</v>
        <stp/>
        <stp>BDH|8321533381907995402</stp>
        <tr r="Y37" s="18"/>
      </tp>
      <tp t="e">
        <v>#N/A</v>
        <stp/>
        <stp>BDH|8569517347367375886</stp>
        <tr r="J12" s="7"/>
      </tp>
      <tp t="e">
        <v>#N/A</v>
        <stp/>
        <stp>BDH|3737994295437273216</stp>
        <tr r="X32" s="24"/>
      </tp>
      <tp t="e">
        <v>#N/A</v>
        <stp/>
        <stp>BDH|7653081158450668483</stp>
        <tr r="Y24" s="18"/>
      </tp>
      <tp t="e">
        <v>#N/A</v>
        <stp/>
        <stp>BDH|3153657832005640582</stp>
        <tr r="W17" s="18"/>
      </tp>
      <tp t="e">
        <v>#N/A</v>
        <stp/>
        <stp>BDH|5765635658582256264</stp>
        <tr r="Y30" s="9"/>
      </tp>
      <tp t="e">
        <v>#N/A</v>
        <stp/>
        <stp>BDH|7423104183548823077</stp>
        <tr r="G39" s="10"/>
        <tr r="G37" s="11"/>
      </tp>
      <tp t="e">
        <v>#N/A</v>
        <stp/>
        <stp>BDH|1942931526424290861</stp>
        <tr r="D30" s="10"/>
        <tr r="D28" s="11"/>
      </tp>
      <tp t="e">
        <v>#N/A</v>
        <stp/>
        <stp>BDH|8712933362480985176</stp>
        <tr r="D75" s="17"/>
      </tp>
      <tp t="e">
        <v>#N/A</v>
        <stp/>
        <stp>BDH|1874070376376976688</stp>
        <tr r="C25" s="26"/>
      </tp>
      <tp t="e">
        <v>#N/A</v>
        <stp/>
        <stp>BDH|5853515370904576545</stp>
        <tr r="Q14" s="29"/>
        <tr r="Q23" s="29"/>
        <tr r="Q34" s="29"/>
      </tp>
      <tp t="e">
        <v>#N/A</v>
        <stp/>
        <stp>BDH|1381856783413520483</stp>
        <tr r="G56" s="24"/>
      </tp>
      <tp t="e">
        <v>#N/A</v>
        <stp/>
        <stp>BDH|6196588371760440249</stp>
        <tr r="I22" s="21"/>
      </tp>
      <tp t="e">
        <v>#N/A</v>
        <stp/>
        <stp>BDH|2776086735756753159</stp>
        <tr r="G13" s="9"/>
      </tp>
      <tp t="e">
        <v>#N/A</v>
        <stp/>
        <stp>BDH|8176827503640044688</stp>
        <tr r="M31" s="18"/>
      </tp>
      <tp t="e">
        <v>#N/A</v>
        <stp/>
        <stp>BDH|7977496648980714173</stp>
        <tr r="F57" s="12"/>
      </tp>
      <tp t="e">
        <v>#N/A</v>
        <stp/>
        <stp>BDH|5189678539955701303</stp>
        <tr r="K35" s="21"/>
      </tp>
      <tp t="e">
        <v>#N/A</v>
        <stp/>
        <stp>BDH|5669688327707803093</stp>
        <tr r="M34" s="18"/>
      </tp>
      <tp t="e">
        <v>#N/A</v>
        <stp/>
        <stp>BDH|8637198654579547367</stp>
        <tr r="D9" s="28"/>
      </tp>
      <tp t="e">
        <v>#N/A</v>
        <stp/>
        <stp>BDH|9837529903178835294</stp>
        <tr r="W24" s="24"/>
      </tp>
      <tp t="e">
        <v>#N/A</v>
        <stp/>
        <stp>BDH|7832739136910285574</stp>
        <tr r="L42" s="18"/>
      </tp>
      <tp t="e">
        <v>#N/A</v>
        <stp/>
        <stp>BDH|5594166723613041382</stp>
        <tr r="AA70" s="18"/>
      </tp>
      <tp t="e">
        <v>#N/A</v>
        <stp/>
        <stp>BDH|1715395535492665559</stp>
        <tr r="M20" s="17"/>
      </tp>
      <tp t="e">
        <v>#N/A</v>
        <stp/>
        <stp>BDH|2752393532456198254</stp>
        <tr r="F126" s="18"/>
      </tp>
      <tp t="e">
        <v>#N/A</v>
        <stp/>
        <stp>BDH|3689708419911658212</stp>
        <tr r="I46" s="4"/>
        <tr r="I25" s="10"/>
        <tr r="K27" s="13"/>
      </tp>
      <tp t="e">
        <v>#N/A</v>
        <stp/>
        <stp>BDH|6018305761893828610</stp>
        <tr r="F17" s="22"/>
      </tp>
      <tp t="e">
        <v>#N/A</v>
        <stp/>
        <stp>BDH|7851921982031894183</stp>
        <tr r="U53" s="10"/>
        <tr r="U51" s="11"/>
        <tr r="U18" s="7"/>
        <tr r="W40" s="13"/>
      </tp>
      <tp t="e">
        <v>#N/A</v>
        <stp/>
        <stp>BDH|2854451204309426945</stp>
        <tr r="O22" s="24"/>
      </tp>
      <tp t="e">
        <v>#N/A</v>
        <stp/>
        <stp>BDH|8567480448227861942</stp>
        <tr r="G90" s="18"/>
      </tp>
      <tp t="e">
        <v>#N/A</v>
        <stp/>
        <stp>BDH|9556675096124524483</stp>
        <tr r="K19" s="18"/>
      </tp>
      <tp t="e">
        <v>#N/A</v>
        <stp/>
        <stp>BDH|2685980691566687205</stp>
        <tr r="R28" s="21"/>
      </tp>
      <tp t="e">
        <v>#N/A</v>
        <stp/>
        <stp>BDH|6921941195378625872</stp>
        <tr r="I22" s="24"/>
      </tp>
      <tp t="e">
        <v>#N/A</v>
        <stp/>
        <stp>BDH|1235064371543802341</stp>
        <tr r="X70" s="18"/>
      </tp>
      <tp t="e">
        <v>#N/A</v>
        <stp/>
        <stp>BDH|3476210876756939630</stp>
        <tr r="S47" s="24"/>
      </tp>
      <tp t="e">
        <v>#N/A</v>
        <stp/>
        <stp>BDH|5850724047112427200</stp>
        <tr r="Y63" s="24"/>
      </tp>
      <tp t="e">
        <v>#N/A</v>
        <stp/>
        <stp>BDH|7243739351421132288</stp>
        <tr r="G108" s="18"/>
      </tp>
      <tp t="e">
        <v>#N/A</v>
        <stp/>
        <stp>BDH|9978030123709732471</stp>
        <tr r="Y66" s="17"/>
      </tp>
      <tp t="e">
        <v>#N/A</v>
        <stp/>
        <stp>BDH|2358688926453585314</stp>
        <tr r="T32" s="18"/>
      </tp>
      <tp t="e">
        <v>#N/A</v>
        <stp/>
        <stp>BDH|8289922318926731065</stp>
        <tr r="N39" s="6"/>
      </tp>
      <tp t="e">
        <v>#N/A</v>
        <stp/>
        <stp>BDH|7963618132486171229</stp>
        <tr r="R62" s="21"/>
      </tp>
      <tp t="e">
        <v>#N/A</v>
        <stp/>
        <stp>BDH|5627441261654924530</stp>
        <tr r="AA63" s="24"/>
      </tp>
      <tp t="e">
        <v>#N/A</v>
        <stp/>
        <stp>BDH|6424344130824913408</stp>
        <tr r="W40" s="24"/>
      </tp>
      <tp t="e">
        <v>#N/A</v>
        <stp/>
        <stp>BDH|8951736397570403001</stp>
        <tr r="M74" s="18"/>
      </tp>
      <tp t="e">
        <v>#N/A</v>
        <stp/>
        <stp>BDH|1832275215495107125</stp>
        <tr r="AA87" s="17"/>
        <tr r="AA27" s="25"/>
      </tp>
      <tp t="e">
        <v>#N/A</v>
        <stp/>
        <stp>BDH|8855438884311605309</stp>
        <tr r="AA71" s="17"/>
      </tp>
      <tp t="e">
        <v>#N/A</v>
        <stp/>
        <stp>BDH|2139101742085346490</stp>
        <tr r="L80" s="17"/>
      </tp>
      <tp t="e">
        <v>#N/A</v>
        <stp/>
        <stp>BDH|3911417364681329664</stp>
        <tr r="F68" s="10"/>
        <tr r="F66" s="11"/>
      </tp>
      <tp t="e">
        <v>#N/A</v>
        <stp/>
        <stp>BDH|3842394372280364192</stp>
        <tr r="N34" s="34"/>
      </tp>
      <tp t="e">
        <v>#N/A</v>
        <stp/>
        <stp>BDH|2196688017195407639</stp>
        <tr r="T45" s="4"/>
        <tr r="T27" s="10"/>
        <tr r="T25" s="11"/>
        <tr r="V26" s="13"/>
      </tp>
      <tp t="e">
        <v>#N/A</v>
        <stp/>
        <stp>BDH|1020221221265810228</stp>
        <tr r="Z16" s="22"/>
      </tp>
      <tp t="e">
        <v>#N/A</v>
        <stp/>
        <stp>BDH|6197456963792634083</stp>
        <tr r="V25" s="26"/>
      </tp>
      <tp t="e">
        <v>#N/A</v>
        <stp/>
        <stp>BDH|1635786237994777773</stp>
        <tr r="G49" s="21"/>
      </tp>
      <tp t="e">
        <v>#N/A</v>
        <stp/>
        <stp>BDH|3983517271691021603</stp>
        <tr r="W10" s="2"/>
        <tr r="W11" s="5"/>
        <tr r="V37" s="6"/>
        <tr r="Y31" s="29"/>
        <tr r="Y39" s="29"/>
      </tp>
      <tp t="e">
        <v>#N/A</v>
        <stp/>
        <stp>BDH|6882699158853704072</stp>
        <tr r="N19" s="14"/>
      </tp>
      <tp t="e">
        <v>#N/A</v>
        <stp/>
        <stp>BDH|1964394441058009889</stp>
        <tr r="G17" s="17"/>
        <tr r="G20" s="28"/>
      </tp>
      <tp t="e">
        <v>#N/A</v>
        <stp/>
        <stp>BDH|1595011530400939444</stp>
        <tr r="O11" s="13"/>
      </tp>
      <tp t="e">
        <v>#N/A</v>
        <stp/>
        <stp>BDH|7756061968372057508</stp>
        <tr r="V30" s="24"/>
      </tp>
      <tp t="e">
        <v>#N/A</v>
        <stp/>
        <stp>BDH|1023650099288133049</stp>
        <tr r="K10" s="12"/>
      </tp>
      <tp t="e">
        <v>#N/A</v>
        <stp/>
        <stp>BDH|6359128133057979526</stp>
        <tr r="F43" s="24"/>
      </tp>
      <tp t="e">
        <v>#N/A</v>
        <stp/>
        <stp>BDH|7872437712262353638</stp>
        <tr r="Z22" s="17"/>
      </tp>
      <tp t="e">
        <v>#N/A</v>
        <stp/>
        <stp>BDH|8138874178960667117</stp>
        <tr r="F13" s="6"/>
      </tp>
      <tp t="e">
        <v>#N/A</v>
        <stp/>
        <stp>BDH|2879293227436893276</stp>
        <tr r="H17" s="4"/>
        <tr r="J10" s="3"/>
        <tr r="H52" s="10"/>
        <tr r="H50" s="11"/>
        <tr r="H17" s="7"/>
        <tr r="J37" s="13"/>
      </tp>
      <tp t="e">
        <v>#N/A</v>
        <stp/>
        <stp>BDH|2150559338841028358</stp>
        <tr r="G24" s="24"/>
      </tp>
      <tp t="e">
        <v>#N/A</v>
        <stp/>
        <stp>BDH|5923603256048243834</stp>
        <tr r="H12" s="13"/>
      </tp>
      <tp t="e">
        <v>#N/A</v>
        <stp/>
        <stp>BDH|3788393206830254647</stp>
        <tr r="L17" s="18"/>
      </tp>
      <tp t="e">
        <v>#N/A</v>
        <stp/>
        <stp>BDH|9338081941468658322</stp>
        <tr r="J8" s="13"/>
      </tp>
      <tp t="e">
        <v>#N/A</v>
        <stp/>
        <stp>BDH|8202392696084644057</stp>
        <tr r="V6" s="15"/>
        <tr r="V12" s="2"/>
        <tr r="V11" s="4"/>
        <tr r="V6" s="10"/>
      </tp>
      <tp t="e">
        <v>#N/A</v>
        <stp/>
        <stp>BDH|1029466916135636786</stp>
        <tr r="O14" s="8"/>
      </tp>
      <tp t="e">
        <v>#N/A</v>
        <stp/>
        <stp>BDH|2193226671638990950</stp>
        <tr r="Z12" s="17"/>
      </tp>
      <tp t="e">
        <v>#N/A</v>
        <stp/>
        <stp>BDH|3200687892608749216</stp>
        <tr r="L30" s="21"/>
      </tp>
      <tp t="e">
        <v>#N/A</v>
        <stp/>
        <stp>BDH|2235223721283888779</stp>
        <tr r="K53" s="17"/>
      </tp>
      <tp t="e">
        <v>#N/A</v>
        <stp/>
        <stp>BDH|3279858078119782365</stp>
        <tr r="D42" s="34"/>
      </tp>
      <tp t="e">
        <v>#N/A</v>
        <stp/>
        <stp>BDH|7588026821813834007</stp>
        <tr r="S70" s="24"/>
      </tp>
      <tp t="e">
        <v>#N/A</v>
        <stp/>
        <stp>BDH|1632560910292855166</stp>
        <tr r="P10" s="4"/>
        <tr r="O6" s="16"/>
        <tr r="R6" s="3"/>
        <tr r="P6" s="11"/>
      </tp>
      <tp t="e">
        <v>#N/A</v>
        <stp/>
        <stp>BDH|6824660855412276173</stp>
        <tr r="C9" s="21"/>
      </tp>
      <tp t="e">
        <v>#N/A</v>
        <stp/>
        <stp>BDH|8036043425339877570</stp>
        <tr r="K51" s="17"/>
      </tp>
      <tp t="e">
        <v>#N/A</v>
        <stp/>
        <stp>BDH|4039645330482370591</stp>
        <tr r="I70" s="24"/>
      </tp>
      <tp t="e">
        <v>#N/A</v>
        <stp/>
        <stp>BDH|7851766151393120006</stp>
        <tr r="O122" s="18"/>
      </tp>
      <tp t="e">
        <v>#N/A</v>
        <stp/>
        <stp>BDH|1397780533481037269</stp>
        <tr r="J23" s="26"/>
      </tp>
      <tp t="e">
        <v>#N/A</v>
        <stp/>
        <stp>BDH|8856450838021815833</stp>
        <tr r="S11" s="14"/>
      </tp>
      <tp t="e">
        <v>#N/A</v>
        <stp/>
        <stp>BDH|4807077152772539565</stp>
        <tr r="V12" s="11"/>
      </tp>
      <tp t="e">
        <v>#N/A</v>
        <stp/>
        <stp>BDH|3832146475070668315</stp>
        <tr r="T132" s="18"/>
      </tp>
      <tp t="e">
        <v>#N/A</v>
        <stp/>
        <stp>BDH|8569912768719554870</stp>
        <tr r="P67" s="17"/>
      </tp>
      <tp t="e">
        <v>#N/A</v>
        <stp/>
        <stp>BDH|5093385184699463165</stp>
        <tr r="P13" s="21"/>
      </tp>
      <tp t="e">
        <v>#N/A</v>
        <stp/>
        <stp>BDH|7849631601301397674</stp>
        <tr r="I26" s="7"/>
      </tp>
      <tp t="e">
        <v>#N/A</v>
        <stp/>
        <stp>BDH|3623372520060858478</stp>
        <tr r="Y53" s="10"/>
        <tr r="Y51" s="11"/>
        <tr r="Y18" s="7"/>
        <tr r="AA40" s="13"/>
      </tp>
      <tp t="e">
        <v>#N/A</v>
        <stp/>
        <stp>BDH|5845792719056233349</stp>
        <tr r="L129" s="18"/>
      </tp>
      <tp t="e">
        <v>#N/A</v>
        <stp/>
        <stp>BDH|1380048045457504498</stp>
        <tr r="X34" s="6"/>
        <tr r="Z9" s="8"/>
      </tp>
      <tp t="e">
        <v>#N/A</v>
        <stp/>
        <stp>BDH|8979779306361397858</stp>
        <tr r="Q40" s="24"/>
      </tp>
      <tp t="e">
        <v>#N/A</v>
        <stp/>
        <stp>BDH|9982393039579444635</stp>
        <tr r="Z37" s="22"/>
      </tp>
      <tp t="e">
        <v>#N/A</v>
        <stp/>
        <stp>BDH|4755716902485904039</stp>
        <tr r="H19" s="17"/>
      </tp>
      <tp t="e">
        <v>#N/A</v>
        <stp/>
        <stp>BDH|3397545298608506144</stp>
        <tr r="K41" s="34"/>
      </tp>
      <tp t="e">
        <v>#N/A</v>
        <stp/>
        <stp>BDH|4803115413827646527</stp>
        <tr r="N33" s="13"/>
      </tp>
      <tp t="e">
        <v>#N/A</v>
        <stp/>
        <stp>BDH|4522409869151230107</stp>
        <tr r="E34" s="12"/>
      </tp>
      <tp t="e">
        <v>#N/A</v>
        <stp/>
        <stp>BDH|2509047222766520091</stp>
        <tr r="Q81" s="18"/>
      </tp>
      <tp t="e">
        <v>#N/A</v>
        <stp/>
        <stp>BDH|3195471842973347686</stp>
        <tr r="W34" s="12"/>
      </tp>
      <tp t="e">
        <v>#N/A</v>
        <stp/>
        <stp>BDH|7842362264626201275</stp>
        <tr r="E63" s="17"/>
      </tp>
      <tp t="e">
        <v>#N/A</v>
        <stp/>
        <stp>BDH|1805591978367544233</stp>
        <tr r="K24" s="29"/>
      </tp>
      <tp t="e">
        <v>#N/A</v>
        <stp/>
        <stp>BDH|4935482406016916014</stp>
        <tr r="N20" s="12"/>
      </tp>
      <tp t="e">
        <v>#N/A</v>
        <stp/>
        <stp>BDH|6623254368274180058</stp>
        <tr r="W35" s="4"/>
      </tp>
      <tp t="e">
        <v>#N/A</v>
        <stp/>
        <stp>BDH|2813762361194279121</stp>
        <tr r="E85" s="17"/>
      </tp>
      <tp t="e">
        <v>#N/A</v>
        <stp/>
        <stp>BDH|7993163380380388835</stp>
        <tr r="F95" s="18"/>
      </tp>
      <tp t="e">
        <v>#N/A</v>
        <stp/>
        <stp>BDH|1561484409412915123</stp>
        <tr r="K39" s="13"/>
      </tp>
      <tp t="e">
        <v>#N/A</v>
        <stp/>
        <stp>BDH|6862708151540096266</stp>
        <tr r="I18" s="25"/>
        <tr r="I10" s="27"/>
      </tp>
      <tp t="e">
        <v>#N/A</v>
        <stp/>
        <stp>BDH|4882237364623380535</stp>
        <tr r="V15" s="18"/>
      </tp>
      <tp t="e">
        <v>#N/A</v>
        <stp/>
        <stp>BDH|9659445191752875044</stp>
        <tr r="X33" s="21"/>
      </tp>
      <tp t="e">
        <v>#N/A</v>
        <stp/>
        <stp>BDH|1115542985369912367</stp>
        <tr r="W34" s="21"/>
      </tp>
      <tp t="e">
        <v>#N/A</v>
        <stp/>
        <stp>BDH|6558668076236802729</stp>
        <tr r="W68" s="17"/>
      </tp>
      <tp t="e">
        <v>#N/A</v>
        <stp/>
        <stp>BDH|5813643155512718210</stp>
        <tr r="I35" s="24"/>
      </tp>
      <tp t="e">
        <v>#N/A</v>
        <stp/>
        <stp>BDH|3869906786587186304</stp>
        <tr r="Z20" s="23"/>
      </tp>
      <tp t="e">
        <v>#N/A</v>
        <stp/>
        <stp>BDH|2842177504867313273</stp>
        <tr r="V18" s="2"/>
        <tr r="V53" s="4"/>
        <tr r="V42" s="10"/>
        <tr r="V40" s="11"/>
        <tr r="X34" s="13"/>
      </tp>
      <tp t="e">
        <v>#N/A</v>
        <stp/>
        <stp>BDH|1928823535569945589</stp>
        <tr r="C51" s="17"/>
      </tp>
      <tp t="e">
        <v>#N/A</v>
        <stp/>
        <stp>BDH|5187104502680420281</stp>
        <tr r="K33" s="10"/>
        <tr r="K31" s="11"/>
        <tr r="M31" s="13"/>
      </tp>
      <tp t="e">
        <v>#N/A</v>
        <stp/>
        <stp>BDH|2832761307546489527</stp>
        <tr r="W14" s="4"/>
      </tp>
      <tp t="e">
        <v>#N/A</v>
        <stp/>
        <stp>BDH|4418369070125964347</stp>
        <tr r="D35" s="24"/>
      </tp>
      <tp t="e">
        <v>#N/A</v>
        <stp/>
        <stp>BDH|4940778504454778127</stp>
        <tr r="F20" s="26"/>
      </tp>
      <tp t="e">
        <v>#N/A</v>
        <stp/>
        <stp>BDH|5720582545286294470</stp>
        <tr r="Y28" s="5"/>
      </tp>
      <tp t="e">
        <v>#N/A</v>
        <stp/>
        <stp>BDH|5124829189575016655</stp>
        <tr r="I69" s="10"/>
        <tr r="I67" s="11"/>
      </tp>
      <tp t="e">
        <v>#N/A</v>
        <stp/>
        <stp>BDH|4874707347485269428</stp>
        <tr r="S20" s="25"/>
        <tr r="S13" s="27"/>
      </tp>
      <tp t="e">
        <v>#N/A</v>
        <stp/>
        <stp>BDH|3227635640965608284</stp>
        <tr r="G44" s="18"/>
      </tp>
      <tp t="e">
        <v>#N/A</v>
        <stp/>
        <stp>BDH|5663088066435662011</stp>
        <tr r="P37" s="18"/>
      </tp>
      <tp t="e">
        <v>#N/A</v>
        <stp/>
        <stp>BDH|6316462309956164220</stp>
        <tr r="R16" s="14"/>
      </tp>
      <tp t="e">
        <v>#N/A</v>
        <stp/>
        <stp>BDH|5580087211600341202</stp>
        <tr r="Q7" s="4"/>
      </tp>
      <tp t="e">
        <v>#N/A</v>
        <stp/>
        <stp>BDH|3877911473742769928</stp>
        <tr r="C22" s="18"/>
      </tp>
      <tp t="e">
        <v>#N/A</v>
        <stp/>
        <stp>BDH|2859339656425649742</stp>
        <tr r="I20" s="6"/>
      </tp>
      <tp t="e">
        <v>#N/A</v>
        <stp/>
        <stp>BDH|6185063770553017481</stp>
        <tr r="R65" s="10"/>
      </tp>
      <tp t="e">
        <v>#N/A</v>
        <stp/>
        <stp>BDH|9654163832309959471</stp>
        <tr r="V49" s="24"/>
      </tp>
      <tp t="e">
        <v>#N/A</v>
        <stp/>
        <stp>BDH|1152651338233672160</stp>
        <tr r="Q24" s="4"/>
        <tr r="Q59" s="11"/>
      </tp>
      <tp t="e">
        <v>#N/A</v>
        <stp/>
        <stp>BDH|4411604680509805501</stp>
        <tr r="H35" s="22"/>
      </tp>
      <tp t="e">
        <v>#N/A</v>
        <stp/>
        <stp>BDH|9133439748786780915</stp>
        <tr r="M54" s="24"/>
      </tp>
      <tp t="e">
        <v>#N/A</v>
        <stp/>
        <stp>BDH|4414853873264804960</stp>
        <tr r="Q91" s="18"/>
      </tp>
      <tp t="e">
        <v>#N/A</v>
        <stp/>
        <stp>BDH|4146771491938296496</stp>
        <tr r="S63" s="12"/>
      </tp>
      <tp t="e">
        <v>#N/A</v>
        <stp/>
        <stp>BDH|4643606067354857657</stp>
        <tr r="AA22" s="27"/>
      </tp>
      <tp t="e">
        <v>#N/A</v>
        <stp/>
        <stp>BDH|1524024441076364593</stp>
        <tr r="O40" s="29"/>
      </tp>
      <tp t="e">
        <v>#N/A</v>
        <stp/>
        <stp>BDH|4048971370025848933</stp>
        <tr r="X59" s="24"/>
      </tp>
      <tp t="e">
        <v>#N/A</v>
        <stp/>
        <stp>BDH|6683917088950614155</stp>
        <tr r="M43" s="24"/>
      </tp>
      <tp t="e">
        <v>#N/A</v>
        <stp/>
        <stp>BDH|9151736279178559725</stp>
        <tr r="L14" s="21"/>
      </tp>
      <tp t="e">
        <v>#N/A</v>
        <stp/>
        <stp>BDH|9957910914851894686</stp>
        <tr r="F31" s="22"/>
      </tp>
      <tp t="e">
        <v>#N/A</v>
        <stp/>
        <stp>BDH|7738351811690670396</stp>
        <tr r="T15" s="20"/>
      </tp>
      <tp t="e">
        <v>#N/A</v>
        <stp/>
        <stp>BDH|7539699148484922718</stp>
        <tr r="Z26" s="18"/>
      </tp>
      <tp t="e">
        <v>#N/A</v>
        <stp/>
        <stp>BDH|7292727441630958249</stp>
        <tr r="H128" s="18"/>
      </tp>
      <tp t="e">
        <v>#N/A</v>
        <stp/>
        <stp>BDH|4948200275683008406</stp>
        <tr r="Z17" s="24"/>
      </tp>
      <tp t="e">
        <v>#N/A</v>
        <stp/>
        <stp>BDH|7047664415033646593</stp>
        <tr r="Z63" s="12"/>
      </tp>
      <tp t="e">
        <v>#N/A</v>
        <stp/>
        <stp>BDH|6174267120511934121</stp>
        <tr r="V14" s="12"/>
      </tp>
      <tp t="e">
        <v>#N/A</v>
        <stp/>
        <stp>BDH|6008113974726044096</stp>
        <tr r="X94" s="18"/>
      </tp>
      <tp t="e">
        <v>#N/A</v>
        <stp/>
        <stp>BDH|1970020346195024612</stp>
        <tr r="F13" s="17"/>
        <tr r="F16" s="28"/>
      </tp>
      <tp t="e">
        <v>#N/A</v>
        <stp/>
        <stp>BDH|7004860612678085087</stp>
        <tr r="P55" s="12"/>
      </tp>
      <tp t="e">
        <v>#N/A</v>
        <stp/>
        <stp>BDH|6897041700509272923</stp>
        <tr r="Q69" s="18"/>
      </tp>
      <tp t="e">
        <v>#N/A</v>
        <stp/>
        <stp>BDH|3180393427707606354</stp>
        <tr r="Y49" s="21"/>
      </tp>
      <tp t="e">
        <v>#N/A</v>
        <stp/>
        <stp>BDH|5496485404666187159</stp>
        <tr r="H28" s="21"/>
      </tp>
      <tp t="e">
        <v>#N/A</v>
        <stp/>
        <stp>BDH|5112989682583320144</stp>
        <tr r="E39" s="13"/>
      </tp>
      <tp t="e">
        <v>#N/A</v>
        <stp/>
        <stp>BDH|3222781232923129253</stp>
        <tr r="W123" s="18"/>
      </tp>
      <tp t="e">
        <v>#N/A</v>
        <stp/>
        <stp>BDH|7246390609686817469</stp>
        <tr r="AA14" s="13"/>
      </tp>
      <tp t="e">
        <v>#N/A</v>
        <stp/>
        <stp>BDH|1692331298028105505</stp>
        <tr r="E73" s="18"/>
      </tp>
      <tp t="e">
        <v>#N/A</v>
        <stp/>
        <stp>BDH|7228721777099890836</stp>
        <tr r="P13" s="13"/>
      </tp>
      <tp t="e">
        <v>#N/A</v>
        <stp/>
        <stp>BDH|6937890668356293866</stp>
        <tr r="R35" s="4"/>
      </tp>
      <tp t="e">
        <v>#N/A</v>
        <stp/>
        <stp>BDH|6035099822515158764</stp>
        <tr r="AA42" s="12"/>
      </tp>
      <tp t="e">
        <v>#N/A</v>
        <stp/>
        <stp>BDH|7625454732305538388</stp>
        <tr r="L9" s="13"/>
      </tp>
      <tp t="e">
        <v>#N/A</v>
        <stp/>
        <stp>BDH|5838852982721117236</stp>
        <tr r="I13" s="5"/>
      </tp>
      <tp t="e">
        <v>#N/A</v>
        <stp/>
        <stp>BDH|3019537763217972142</stp>
        <tr r="E6" s="6"/>
      </tp>
      <tp t="e">
        <v>#N/A</v>
        <stp/>
        <stp>BDH|2059731118007637506</stp>
        <tr r="U18" s="14"/>
      </tp>
      <tp t="e">
        <v>#N/A</v>
        <stp/>
        <stp>BDH|7259731849086156440</stp>
        <tr r="X39" s="13"/>
      </tp>
      <tp t="e">
        <v>#N/A</v>
        <stp/>
        <stp>BDH|9089002298372097451</stp>
        <tr r="K18" s="13"/>
      </tp>
      <tp t="e">
        <v>#N/A</v>
        <stp/>
        <stp>BDH|3663067144737164680</stp>
        <tr r="U58" s="21"/>
        <tr r="U30" s="25"/>
        <tr r="S31" s="4"/>
        <tr r="S56" s="11"/>
      </tp>
      <tp t="e">
        <v>#N/A</v>
        <stp/>
        <stp>BDH|3210704151144652381</stp>
        <tr r="W31" s="21"/>
      </tp>
      <tp t="e">
        <v>#N/A</v>
        <stp/>
        <stp>BDH|6987818609171903952</stp>
        <tr r="J22" s="24"/>
      </tp>
      <tp t="e">
        <v>#N/A</v>
        <stp/>
        <stp>BDH|6975342024559640827</stp>
        <tr r="Y34" s="18"/>
      </tp>
      <tp t="e">
        <v>#N/A</v>
        <stp/>
        <stp>BDH|9347365488632120616</stp>
        <tr r="M62" s="18"/>
      </tp>
      <tp t="e">
        <v>#N/A</v>
        <stp/>
        <stp>BDH|8128918328144593101</stp>
        <tr r="T105" s="18"/>
      </tp>
      <tp t="e">
        <v>#N/A</v>
        <stp/>
        <stp>BDH|6564889867949471732</stp>
        <tr r="W11" s="11"/>
      </tp>
      <tp t="e">
        <v>#N/A</v>
        <stp/>
        <stp>BDH|9608915898658772756</stp>
        <tr r="P24" s="2"/>
      </tp>
      <tp t="e">
        <v>#N/A</v>
        <stp/>
        <stp>BDH|7229163965365841343</stp>
        <tr r="O20" s="11"/>
      </tp>
      <tp t="e">
        <v>#N/A</v>
        <stp/>
        <stp>BDH|1303682980748050165</stp>
        <tr r="G6" s="2"/>
        <tr r="G6" s="5"/>
        <tr r="G6" s="9"/>
        <tr r="H12" s="8"/>
        <tr r="I10" s="29"/>
        <tr r="I19" s="29"/>
        <tr r="I25" s="29"/>
      </tp>
      <tp t="e">
        <v>#N/A</v>
        <stp/>
        <stp>BDH|3529062585709934420</stp>
        <tr r="E13" s="20"/>
      </tp>
      <tp t="e">
        <v>#N/A</v>
        <stp/>
        <stp>BDH|2146136006505192089</stp>
        <tr r="F23" s="9"/>
      </tp>
      <tp t="e">
        <v>#N/A</v>
        <stp/>
        <stp>BDH|3276267768176652773</stp>
        <tr r="E21" s="22"/>
      </tp>
      <tp t="e">
        <v>#N/A</v>
        <stp/>
        <stp>BDH|1677167618431374664</stp>
        <tr r="AA34" s="21"/>
      </tp>
      <tp t="e">
        <v>#N/A</v>
        <stp/>
        <stp>BDH|5119512457116864523</stp>
        <tr r="C15" s="18"/>
      </tp>
      <tp t="e">
        <v>#N/A</v>
        <stp/>
        <stp>BDH|7973075158505869136</stp>
        <tr r="S12" s="30"/>
      </tp>
      <tp t="e">
        <v>#N/A</v>
        <stp/>
        <stp>BDH|5230381445455673147</stp>
        <tr r="Z58" s="17"/>
      </tp>
      <tp t="e">
        <v>#N/A</v>
        <stp/>
        <stp>BDH|4028707135530046682</stp>
        <tr r="D17" s="4"/>
        <tr r="F10" s="3"/>
        <tr r="D52" s="10"/>
        <tr r="D50" s="11"/>
        <tr r="D17" s="7"/>
        <tr r="F37" s="13"/>
      </tp>
      <tp t="e">
        <v>#N/A</v>
        <stp/>
        <stp>BDH|5849006930757381764</stp>
        <tr r="I8" s="4"/>
      </tp>
      <tp t="e">
        <v>#N/A</v>
        <stp/>
        <stp>BDH|9608586381246048429</stp>
        <tr r="G20" s="20"/>
      </tp>
      <tp t="e">
        <v>#N/A</v>
        <stp/>
        <stp>BDH|7238120508772740228</stp>
        <tr r="T42" s="24"/>
      </tp>
      <tp t="e">
        <v>#N/A</v>
        <stp/>
        <stp>BDH|5254758441747842735</stp>
        <tr r="N8" s="26"/>
        <tr r="L10" s="9"/>
      </tp>
      <tp t="e">
        <v>#N/A</v>
        <stp/>
        <stp>BDH|9840418113849773308</stp>
        <tr r="U47" s="24"/>
      </tp>
      <tp t="e">
        <v>#N/A</v>
        <stp/>
        <stp>BDH|7614696085436397941</stp>
        <tr r="O15" s="9"/>
      </tp>
      <tp t="e">
        <v>#N/A</v>
        <stp/>
        <stp>BDH|5348247273172906409</stp>
        <tr r="K24" s="11"/>
      </tp>
      <tp t="e">
        <v>#N/A</v>
        <stp/>
        <stp>BDH|1689427215481565390</stp>
        <tr r="W29" s="4"/>
      </tp>
      <tp t="e">
        <v>#N/A</v>
        <stp/>
        <stp>BDH|1995047472222483269</stp>
        <tr r="T45" s="21"/>
      </tp>
      <tp t="e">
        <v>#N/A</v>
        <stp/>
        <stp>BDH|4593718308566407359</stp>
        <tr r="Q8" s="6"/>
      </tp>
      <tp t="e">
        <v>#N/A</v>
        <stp/>
        <stp>BDH|4894115673715518127</stp>
        <tr r="E33" s="17"/>
      </tp>
      <tp t="e">
        <v>#N/A</v>
        <stp/>
        <stp>BDH|9575159373698954171</stp>
        <tr r="G52" s="24"/>
      </tp>
      <tp t="e">
        <v>#N/A</v>
        <stp/>
        <stp>BDH|4152588007001759647</stp>
        <tr r="I24" s="25"/>
        <tr r="G14" s="5"/>
        <tr r="I17" s="27"/>
      </tp>
      <tp t="e">
        <v>#N/A</v>
        <stp/>
        <stp>BDH|2070456727055766776</stp>
        <tr r="P9" s="11"/>
      </tp>
      <tp t="e">
        <v>#N/A</v>
        <stp/>
        <stp>BDH|5581014829282974368</stp>
        <tr r="D56" s="17"/>
      </tp>
      <tp t="e">
        <v>#N/A</v>
        <stp/>
        <stp>BDH|3820467966193977432</stp>
        <tr r="C58" s="18"/>
      </tp>
      <tp t="e">
        <v>#N/A</v>
        <stp/>
        <stp>BDH|2678430530557420431</stp>
        <tr r="L9" s="29"/>
      </tp>
      <tp t="e">
        <v>#N/A</v>
        <stp/>
        <stp>BDH|2249202660330112016</stp>
        <tr r="Q62" s="17"/>
      </tp>
      <tp t="e">
        <v>#N/A</v>
        <stp/>
        <stp>BDH|1900488426684743528</stp>
        <tr r="E12" s="17"/>
      </tp>
      <tp t="e">
        <v>#N/A</v>
        <stp/>
        <stp>BDH|2868638504921405395</stp>
        <tr r="H27" s="17"/>
      </tp>
      <tp t="e">
        <v>#N/A</v>
        <stp/>
        <stp>BDH|7764785918720444712</stp>
        <tr r="Q83" s="18"/>
      </tp>
      <tp t="e">
        <v>#N/A</v>
        <stp/>
        <stp>BDH|5330230642270254521</stp>
        <tr r="T70" s="24"/>
      </tp>
      <tp t="e">
        <v>#N/A</v>
        <stp/>
        <stp>BDH|2152613812633250020</stp>
        <tr r="J11" s="11"/>
      </tp>
      <tp t="e">
        <v>#N/A</v>
        <stp/>
        <stp>BDH|9832655409349726013</stp>
        <tr r="Z31" s="24"/>
      </tp>
      <tp t="e">
        <v>#N/A</v>
        <stp/>
        <stp>BDH|7130271646360371712</stp>
        <tr r="J21" s="26"/>
      </tp>
      <tp t="e">
        <v>#N/A</v>
        <stp/>
        <stp>BDH|7504199422592535098</stp>
        <tr r="G23" s="9"/>
      </tp>
      <tp t="e">
        <v>#N/A</v>
        <stp/>
        <stp>BDH|1560561320245438551</stp>
        <tr r="Q30" s="26"/>
      </tp>
      <tp t="e">
        <v>#N/A</v>
        <stp/>
        <stp>BDH|9755823514693171521</stp>
        <tr r="O19" s="26"/>
      </tp>
      <tp t="e">
        <v>#N/A</v>
        <stp/>
        <stp>BDH|2998156486065938815</stp>
        <tr r="E7" s="17"/>
      </tp>
      <tp t="e">
        <v>#N/A</v>
        <stp/>
        <stp>BDH|1544995254019814229</stp>
        <tr r="F12" s="30"/>
      </tp>
      <tp t="e">
        <v>#N/A</v>
        <stp/>
        <stp>BDH|6072412985338197476</stp>
        <tr r="E15" s="11"/>
      </tp>
      <tp t="e">
        <v>#N/A</v>
        <stp/>
        <stp>BDH|4660437266023116308</stp>
        <tr r="R10" s="24"/>
      </tp>
      <tp t="e">
        <v>#N/A</v>
        <stp/>
        <stp>BDH|6307135557710088452</stp>
        <tr r="H33" s="6"/>
        <tr r="J6" s="8"/>
      </tp>
      <tp t="e">
        <v>#N/A</v>
        <stp/>
        <stp>BDH|3551260451261186314</stp>
        <tr r="J36" s="12"/>
      </tp>
      <tp t="e">
        <v>#N/A</v>
        <stp/>
        <stp>BDH|3621643301343184001</stp>
        <tr r="J35" s="34"/>
      </tp>
      <tp t="e">
        <v>#N/A</v>
        <stp/>
        <stp>BDH|4102846619289963279</stp>
        <tr r="G22" s="18"/>
      </tp>
      <tp t="e">
        <v>#N/A</v>
        <stp/>
        <stp>BDH|6871781675952249251</stp>
        <tr r="F26" s="10"/>
      </tp>
      <tp t="e">
        <v>#N/A</v>
        <stp/>
        <stp>BDH|1506832232729192571</stp>
        <tr r="Z36" s="22"/>
      </tp>
      <tp t="e">
        <v>#N/A</v>
        <stp/>
        <stp>BDH|2336526919479394995</stp>
        <tr r="Z8" s="8"/>
      </tp>
      <tp t="e">
        <v>#N/A</v>
        <stp/>
        <stp>BDH|5527619936650130612</stp>
        <tr r="D31" s="34"/>
      </tp>
      <tp t="e">
        <v>#N/A</v>
        <stp/>
        <stp>BDH|5929599872199626867</stp>
        <tr r="M22" s="5"/>
      </tp>
      <tp t="e">
        <v>#N/A</v>
        <stp/>
        <stp>BDH|9526403303959184241</stp>
        <tr r="F66" s="17"/>
      </tp>
      <tp t="e">
        <v>#N/A</v>
        <stp/>
        <stp>BDH|7148954126633635974</stp>
        <tr r="G12" s="14"/>
      </tp>
      <tp t="e">
        <v>#N/A</v>
        <stp/>
        <stp>BDH|9362515522068348006</stp>
        <tr r="G13" s="21"/>
      </tp>
      <tp t="e">
        <v>#N/A</v>
        <stp/>
        <stp>BDH|5472218201860743103</stp>
        <tr r="N18" s="11"/>
      </tp>
      <tp t="e">
        <v>#N/A</v>
        <stp/>
        <stp>BDH|2473680785898860229</stp>
        <tr r="C21" s="11"/>
      </tp>
      <tp t="e">
        <v>#N/A</v>
        <stp/>
        <stp>BDH|6949408842493906318</stp>
        <tr r="S22" s="27"/>
      </tp>
      <tp t="e">
        <v>#N/A</v>
        <stp/>
        <stp>BDH|2096348470703616314</stp>
        <tr r="Z7" s="8"/>
      </tp>
      <tp t="e">
        <v>#N/A</v>
        <stp/>
        <stp>BDH|5994022299309394322</stp>
        <tr r="J36" s="4"/>
      </tp>
      <tp t="e">
        <v>#N/A</v>
        <stp/>
        <stp>BDH|6420730366356204702</stp>
        <tr r="S56" s="17"/>
      </tp>
      <tp t="e">
        <v>#N/A</v>
        <stp/>
        <stp>BDH|7499428554755915585</stp>
        <tr r="U10" s="28"/>
      </tp>
      <tp t="e">
        <v>#N/A</v>
        <stp/>
        <stp>BDH|6556071313085176431</stp>
        <tr r="W52" s="12"/>
      </tp>
      <tp t="e">
        <v>#N/A</v>
        <stp/>
        <stp>BDH|3014596875284799389</stp>
        <tr r="AA13" s="20"/>
      </tp>
      <tp t="e">
        <v>#N/A</v>
        <stp/>
        <stp>BDH|6445148100953286219</stp>
        <tr r="Q18" s="13"/>
      </tp>
      <tp t="e">
        <v>#N/A</v>
        <stp/>
        <stp>BDH|7333950892825376448</stp>
        <tr r="I22" s="4"/>
      </tp>
      <tp t="e">
        <v>#N/A</v>
        <stp/>
        <stp>BDH|2718136241709752811</stp>
        <tr r="R79" s="17"/>
        <tr r="R20" s="3"/>
        <tr r="P6" s="7"/>
      </tp>
      <tp t="e">
        <v>#N/A</v>
        <stp/>
        <stp>BDH|2348558910869041957</stp>
        <tr r="V26" s="21"/>
      </tp>
      <tp t="e">
        <v>#N/A</v>
        <stp/>
        <stp>BDH|6759203581228069255</stp>
        <tr r="W10" s="10"/>
      </tp>
      <tp t="e">
        <v>#N/A</v>
        <stp/>
        <stp>BDH|4523615108647946362</stp>
        <tr r="X24" s="29"/>
      </tp>
      <tp t="e">
        <v>#N/A</v>
        <stp/>
        <stp>BDH|5458910991191019272</stp>
        <tr r="T12" s="3"/>
        <tr r="R51" s="10"/>
        <tr r="R49" s="11"/>
        <tr r="R7" s="7"/>
      </tp>
      <tp t="e">
        <v>#N/A</v>
        <stp/>
        <stp>BDH|6563423423476102066</stp>
        <tr r="Y27" s="21"/>
      </tp>
      <tp t="e">
        <v>#N/A</v>
        <stp/>
        <stp>BDH|2674711237288102823</stp>
        <tr r="G48" s="12"/>
      </tp>
      <tp t="e">
        <v>#N/A</v>
        <stp/>
        <stp>BDH|2933688267942339666</stp>
        <tr r="P68" s="18"/>
      </tp>
      <tp t="e">
        <v>#N/A</v>
        <stp/>
        <stp>BDH|4491368002197175620</stp>
        <tr r="K9" s="6"/>
      </tp>
      <tp t="e">
        <v>#N/A</v>
        <stp/>
        <stp>BDH|5183459933663257765</stp>
        <tr r="U7" s="17"/>
      </tp>
      <tp t="e">
        <v>#N/A</v>
        <stp/>
        <stp>BDH|9016920645397332576</stp>
        <tr r="F15" s="22"/>
      </tp>
      <tp t="e">
        <v>#N/A</v>
        <stp/>
        <stp>BDH|8116965112597472120</stp>
        <tr r="X11" s="24"/>
      </tp>
      <tp t="e">
        <v>#N/A</v>
        <stp/>
        <stp>BDH|4593163746173662404</stp>
        <tr r="AA108" s="18"/>
      </tp>
      <tp t="e">
        <v>#N/A</v>
        <stp/>
        <stp>BDH|5366193409912350030</stp>
        <tr r="N10" s="10"/>
      </tp>
      <tp t="e">
        <v>#N/A</v>
        <stp/>
        <stp>BDH|1459729725891388335</stp>
        <tr r="T12" s="14"/>
      </tp>
      <tp t="e">
        <v>#N/A</v>
        <stp/>
        <stp>BDH|5615511455544547749</stp>
        <tr r="C84" s="17"/>
      </tp>
      <tp t="e">
        <v>#N/A</v>
        <stp/>
        <stp>BDH|5363144130706381775</stp>
        <tr r="W32" s="17"/>
      </tp>
      <tp t="e">
        <v>#N/A</v>
        <stp/>
        <stp>BDH|1602319322957033168</stp>
        <tr r="N8" s="34"/>
      </tp>
      <tp t="e">
        <v>#N/A</v>
        <stp/>
        <stp>BDH|3964408619078345801</stp>
        <tr r="C59" s="18"/>
      </tp>
      <tp t="e">
        <v>#N/A</v>
        <stp/>
        <stp>BDH|8407878757596036575</stp>
        <tr r="D67" s="12"/>
      </tp>
      <tp t="e">
        <v>#N/A</v>
        <stp/>
        <stp>BDH|8463085432848986549</stp>
        <tr r="N18" s="2"/>
        <tr r="N53" s="4"/>
        <tr r="N42" s="10"/>
        <tr r="N40" s="11"/>
        <tr r="P34" s="13"/>
      </tp>
      <tp t="e">
        <v>#N/A</v>
        <stp/>
        <stp>BDH|3019227497849536737</stp>
        <tr r="H12" s="20"/>
      </tp>
      <tp t="e">
        <v>#N/A</v>
        <stp/>
        <stp>BDH|2584259563309764979</stp>
        <tr r="L8" s="18"/>
      </tp>
      <tp t="e">
        <v>#N/A</v>
        <stp/>
        <stp>BDH|1513636025642759179</stp>
        <tr r="S114" s="18"/>
      </tp>
      <tp t="e">
        <v>#N/A</v>
        <stp/>
        <stp>BDH|7086843733352621826</stp>
        <tr r="Z31" s="21"/>
      </tp>
      <tp t="e">
        <v>#N/A</v>
        <stp/>
        <stp>BDH|8290859656134159738</stp>
        <tr r="R118" s="18"/>
      </tp>
      <tp t="e">
        <v>#N/A</v>
        <stp/>
        <stp>BDH|5314994101359804309</stp>
        <tr r="W27" s="12"/>
      </tp>
      <tp t="e">
        <v>#N/A</v>
        <stp/>
        <stp>BDH|3233539418253855222</stp>
        <tr r="C17" s="13"/>
      </tp>
      <tp t="e">
        <v>#N/A</v>
        <stp/>
        <stp>BDH|7505743960341489166</stp>
        <tr r="T13" s="7"/>
      </tp>
      <tp t="e">
        <v>#N/A</v>
        <stp/>
        <stp>BDH|1423583428533626318</stp>
        <tr r="W60" s="17"/>
      </tp>
      <tp t="e">
        <v>#N/A</v>
        <stp/>
        <stp>BDH|5407811088852406198</stp>
        <tr r="Y21" s="21"/>
      </tp>
      <tp t="e">
        <v>#N/A</v>
        <stp/>
        <stp>BDH|7646637899508408687</stp>
        <tr r="N19" s="18"/>
      </tp>
      <tp t="e">
        <v>#N/A</v>
        <stp/>
        <stp>BDH|6759646883356788879</stp>
        <tr r="Z122" s="18"/>
      </tp>
      <tp t="e">
        <v>#N/A</v>
        <stp/>
        <stp>BDH|6204226623223531364</stp>
        <tr r="N55" s="17"/>
      </tp>
      <tp t="e">
        <v>#N/A</v>
        <stp/>
        <stp>BDH|6716105431795174777</stp>
        <tr r="U29" s="22"/>
      </tp>
      <tp t="e">
        <v>#N/A</v>
        <stp/>
        <stp>BDH|2294731474991163544</stp>
        <tr r="J25" s="12"/>
      </tp>
      <tp t="e">
        <v>#N/A</v>
        <stp/>
        <stp>BDH|2767913506835585857</stp>
        <tr r="Y45" s="18"/>
      </tp>
      <tp t="e">
        <v>#N/A</v>
        <stp/>
        <stp>BDH|9610476371978082403</stp>
        <tr r="K109" s="18"/>
      </tp>
      <tp t="e">
        <v>#N/A</v>
        <stp/>
        <stp>BDH|1746178351730887396</stp>
        <tr r="Q13" s="10"/>
      </tp>
      <tp t="e">
        <v>#N/A</v>
        <stp/>
        <stp>BDH|3363972735169146605</stp>
        <tr r="AA41" s="17"/>
      </tp>
      <tp t="e">
        <v>#N/A</v>
        <stp/>
        <stp>BDH|7424297975931812509</stp>
        <tr r="D18" s="12"/>
      </tp>
      <tp t="e">
        <v>#N/A</v>
        <stp/>
        <stp>BDH|9640824983528474736</stp>
        <tr r="J20" s="26"/>
      </tp>
      <tp t="e">
        <v>#N/A</v>
        <stp/>
        <stp>BDH|9005455314592551842</stp>
        <tr r="X62" s="12"/>
      </tp>
      <tp t="e">
        <v>#N/A</v>
        <stp/>
        <stp>BDH|9722017120805789812</stp>
        <tr r="X16" s="11"/>
      </tp>
      <tp t="e">
        <v>#N/A</v>
        <stp/>
        <stp>BDH|2375407112676530743</stp>
        <tr r="Z14" s="22"/>
      </tp>
      <tp t="e">
        <v>#N/A</v>
        <stp/>
        <stp>BDH|1412946792282500573</stp>
        <tr r="S58" s="24"/>
      </tp>
      <tp t="e">
        <v>#N/A</v>
        <stp/>
        <stp>BDH|8519023243002389873</stp>
        <tr r="D124" s="18"/>
      </tp>
      <tp t="e">
        <v>#N/A</v>
        <stp/>
        <stp>BDH|4724633561342728029</stp>
        <tr r="O6" s="15"/>
        <tr r="O12" s="2"/>
        <tr r="O11" s="4"/>
        <tr r="O6" s="10"/>
      </tp>
      <tp t="e">
        <v>#N/A</v>
        <stp/>
        <stp>BDH|5729162440630060619</stp>
        <tr r="K9" s="3"/>
        <tr r="I47" s="10"/>
        <tr r="I45" s="11"/>
        <tr r="I14" s="7"/>
      </tp>
      <tp t="e">
        <v>#N/A</v>
        <stp/>
        <stp>BDH|1946307958886744767</stp>
        <tr r="Y17" s="13"/>
      </tp>
      <tp t="e">
        <v>#N/A</v>
        <stp/>
        <stp>BDH|5996114146896699087</stp>
        <tr r="C43" s="24"/>
      </tp>
      <tp t="e">
        <v>#N/A</v>
        <stp/>
        <stp>BDH|1536530542910212661</stp>
        <tr r="Z50" s="12"/>
      </tp>
      <tp t="e">
        <v>#N/A</v>
        <stp/>
        <stp>BDH|8132858970515652426</stp>
        <tr r="D8" s="14"/>
      </tp>
      <tp t="e">
        <v>#N/A</v>
        <stp/>
        <stp>BDH|6871399465635502016</stp>
        <tr r="I26" s="18"/>
      </tp>
      <tp t="e">
        <v>#N/A</v>
        <stp/>
        <stp>BDH|7956180566507281156</stp>
        <tr r="R16" s="12"/>
      </tp>
      <tp t="e">
        <v>#N/A</v>
        <stp/>
        <stp>BDH|8326428187436567436</stp>
        <tr r="W96" s="18"/>
      </tp>
      <tp t="e">
        <v>#N/A</v>
        <stp/>
        <stp>BDH|9662463817939675315</stp>
        <tr r="F45" s="17"/>
      </tp>
      <tp t="e">
        <v>#N/A</v>
        <stp/>
        <stp>BDH|4094572810877192164</stp>
        <tr r="T70" s="10"/>
        <tr r="T68" s="11"/>
      </tp>
      <tp t="e">
        <v>#N/A</v>
        <stp/>
        <stp>BDH|1065432731862095234</stp>
        <tr r="G38" s="17"/>
      </tp>
      <tp t="e">
        <v>#N/A</v>
        <stp/>
        <stp>BDH|6184016144823746723</stp>
        <tr r="R54" s="24"/>
      </tp>
      <tp t="e">
        <v>#N/A</v>
        <stp/>
        <stp>BDH|8624061089674837206</stp>
        <tr r="I10" s="12"/>
      </tp>
      <tp t="e">
        <v>#N/A</v>
        <stp/>
        <stp>BDH|3927988198907113292</stp>
        <tr r="J118" s="18"/>
      </tp>
      <tp t="e">
        <v>#N/A</v>
        <stp/>
        <stp>BDH|1396372047062203208</stp>
        <tr r="N10" s="30"/>
      </tp>
      <tp t="e">
        <v>#N/A</v>
        <stp/>
        <stp>BDH|9223700710150582968</stp>
        <tr r="L31" s="10"/>
        <tr r="L29" s="11"/>
      </tp>
      <tp t="e">
        <v>#N/A</v>
        <stp/>
        <stp>BDH|4060556323593117667</stp>
        <tr r="Z70" s="17"/>
      </tp>
      <tp t="e">
        <v>#N/A</v>
        <stp/>
        <stp>BDH|3572715174963187601</stp>
        <tr r="O12" s="21"/>
      </tp>
      <tp t="e">
        <v>#N/A</v>
        <stp/>
        <stp>BDH|6869477425466269091</stp>
        <tr r="L27" s="6"/>
      </tp>
      <tp t="e">
        <v>#N/A</v>
        <stp/>
        <stp>BDH|9575931512167325067</stp>
        <tr r="AA38" s="24"/>
      </tp>
      <tp t="e">
        <v>#N/A</v>
        <stp/>
        <stp>BDH|4110860833119149041</stp>
        <tr r="P50" s="4"/>
      </tp>
      <tp t="e">
        <v>#N/A</v>
        <stp/>
        <stp>BDH|4654791562495819644</stp>
        <tr r="Q11" s="11"/>
      </tp>
      <tp t="e">
        <v>#N/A</v>
        <stp/>
        <stp>BDH|7328867346765672840</stp>
        <tr r="I39" s="12"/>
      </tp>
      <tp t="e">
        <v>#N/A</v>
        <stp/>
        <stp>BDH|3363145910797429223</stp>
        <tr r="U31" s="22"/>
      </tp>
      <tp t="e">
        <v>#N/A</v>
        <stp/>
        <stp>BDH|7148643286787409865</stp>
        <tr r="C27" s="18"/>
      </tp>
      <tp t="e">
        <v>#N/A</v>
        <stp/>
        <stp>BDH|8303727685450400117</stp>
        <tr r="C7" s="28"/>
      </tp>
      <tp t="e">
        <v>#N/A</v>
        <stp/>
        <stp>BDH|6925739634962966660</stp>
        <tr r="O91" s="17"/>
      </tp>
      <tp t="e">
        <v>#N/A</v>
        <stp/>
        <stp>BDH|6402015904755872581</stp>
        <tr r="N20" s="11"/>
      </tp>
      <tp t="e">
        <v>#N/A</v>
        <stp/>
        <stp>BDH|9146401936008753014</stp>
        <tr r="Z11" s="3"/>
        <tr r="X46" s="10"/>
        <tr r="X44" s="11"/>
        <tr r="X8" s="7"/>
      </tp>
      <tp t="e">
        <v>#N/A</v>
        <stp/>
        <stp>BDH|4037113616465773714</stp>
        <tr r="R68" s="17"/>
      </tp>
      <tp t="e">
        <v>#N/A</v>
        <stp/>
        <stp>BDH|3377092178130247217</stp>
        <tr r="F38" s="10"/>
        <tr r="F36" s="11"/>
      </tp>
      <tp t="e">
        <v>#N/A</v>
        <stp/>
        <stp>BDH|5845635592575929911</stp>
        <tr r="G124" s="18"/>
      </tp>
      <tp t="e">
        <v>#N/A</v>
        <stp/>
        <stp>BDH|2371683797283831852</stp>
        <tr r="P12" s="20"/>
      </tp>
      <tp t="e">
        <v>#N/A</v>
        <stp/>
        <stp>BDH|1853549929888606822</stp>
        <tr r="U42" s="18"/>
      </tp>
      <tp t="e">
        <v>#N/A</v>
        <stp/>
        <stp>BDH|3225871783127176263</stp>
        <tr r="I26" s="22"/>
      </tp>
      <tp t="e">
        <v>#N/A</v>
        <stp/>
        <stp>BDH|6662782381808921778</stp>
        <tr r="U92" s="18"/>
      </tp>
      <tp t="e">
        <v>#N/A</v>
        <stp/>
        <stp>BDH|2658865851898598157</stp>
        <tr r="C132" s="18"/>
      </tp>
      <tp t="e">
        <v>#N/A</v>
        <stp/>
        <stp>BDH|2722516378342792487</stp>
        <tr r="O38" s="22"/>
      </tp>
      <tp t="e">
        <v>#N/A</v>
        <stp/>
        <stp>BDH|5079428731386306215</stp>
        <tr r="S44" s="24"/>
      </tp>
      <tp t="e">
        <v>#N/A</v>
        <stp/>
        <stp>BDH|5147139935079378853</stp>
        <tr r="K48" s="18"/>
      </tp>
      <tp t="e">
        <v>#N/A</v>
        <stp/>
        <stp>BDH|8975155693992955477</stp>
        <tr r="N65" s="18"/>
      </tp>
      <tp t="e">
        <v>#N/A</v>
        <stp/>
        <stp>BDH|3479727454805669255</stp>
        <tr r="X8" s="8"/>
      </tp>
      <tp t="e">
        <v>#N/A</v>
        <stp/>
        <stp>BDH|2233437840285896185</stp>
        <tr r="N53" s="12"/>
      </tp>
      <tp t="e">
        <v>#N/A</v>
        <stp/>
        <stp>BDH|4303560730927065345</stp>
        <tr r="R24" s="24"/>
      </tp>
      <tp t="e">
        <v>#N/A</v>
        <stp/>
        <stp>BDH|3240788068720750443</stp>
        <tr r="U17" s="22"/>
      </tp>
      <tp t="e">
        <v>#N/A</v>
        <stp/>
        <stp>BDH|3488117840209672927</stp>
        <tr r="Z30" s="17"/>
      </tp>
      <tp t="e">
        <v>#N/A</v>
        <stp/>
        <stp>BDH|9380710066476615830</stp>
        <tr r="C71" s="18"/>
      </tp>
      <tp t="e">
        <v>#N/A</v>
        <stp/>
        <stp>BDH|9057193215266880951</stp>
        <tr r="P49" s="10"/>
        <tr r="P47" s="11"/>
        <tr r="P16" s="7"/>
      </tp>
      <tp t="e">
        <v>#N/A</v>
        <stp/>
        <stp>BDH|1697073821273928686</stp>
        <tr r="F89" s="18"/>
        <tr r="F9" s="20"/>
      </tp>
      <tp t="e">
        <v>#N/A</v>
        <stp/>
        <stp>BDH|2779741971801473575</stp>
        <tr r="I20" s="23"/>
      </tp>
      <tp t="e">
        <v>#N/A</v>
        <stp/>
        <stp>BDH|8139808655153412017</stp>
        <tr r="E109" s="18"/>
      </tp>
      <tp t="e">
        <v>#N/A</v>
        <stp/>
        <stp>BDH|3655669112803627158</stp>
        <tr r="H11" s="17"/>
      </tp>
      <tp t="e">
        <v>#N/A</v>
        <stp/>
        <stp>BDH|9297671287190113126</stp>
        <tr r="S83" s="18"/>
      </tp>
      <tp t="e">
        <v>#N/A</v>
        <stp/>
        <stp>BDH|3387160720721596767</stp>
        <tr r="D20" s="29"/>
      </tp>
      <tp t="e">
        <v>#N/A</v>
        <stp/>
        <stp>BDH|2542481791079802025</stp>
        <tr r="V14" s="13"/>
      </tp>
      <tp t="e">
        <v>#N/A</v>
        <stp/>
        <stp>BDH|8181383098774788004</stp>
        <tr r="L64" s="18"/>
      </tp>
      <tp t="e">
        <v>#N/A</v>
        <stp/>
        <stp>BDH|7564101019796879725</stp>
        <tr r="J42" s="4"/>
      </tp>
      <tp t="e">
        <v>#N/A</v>
        <stp/>
        <stp>BDH|4035908227601968889</stp>
        <tr r="K78" s="18"/>
      </tp>
      <tp t="e">
        <v>#N/A</v>
        <stp/>
        <stp>BDH|4075154020735193428</stp>
        <tr r="I8" s="12"/>
      </tp>
      <tp t="e">
        <v>#N/A</v>
        <stp/>
        <stp>BDH|9668085098501904793</stp>
        <tr r="J48" s="12"/>
      </tp>
      <tp t="e">
        <v>#N/A</v>
        <stp/>
        <stp>BDH|4420859220711585920</stp>
        <tr r="Y52" s="18"/>
      </tp>
      <tp t="e">
        <v>#N/A</v>
        <stp/>
        <stp>BDH|1517782398240250910</stp>
        <tr r="W23" s="10"/>
      </tp>
      <tp t="e">
        <v>#N/A</v>
        <stp/>
        <stp>BDH|3408372635397456240</stp>
        <tr r="W29" s="17"/>
      </tp>
      <tp t="e">
        <v>#N/A</v>
        <stp/>
        <stp>BDH|9619718937968639304</stp>
        <tr r="L28" s="17"/>
      </tp>
      <tp t="e">
        <v>#N/A</v>
        <stp/>
        <stp>BDH|4794541644362947189</stp>
        <tr r="O73" s="17"/>
        <tr r="M9" s="5"/>
        <tr r="M9" s="9"/>
      </tp>
      <tp t="e">
        <v>#N/A</v>
        <stp/>
        <stp>BDH|2727315335395267174</stp>
        <tr r="S11" s="21"/>
      </tp>
      <tp t="e">
        <v>#N/A</v>
        <stp/>
        <stp>BDH|9308806775990774071</stp>
        <tr r="V88" s="18"/>
        <tr r="V8" s="20"/>
      </tp>
      <tp t="e">
        <v>#N/A</v>
        <stp/>
        <stp>BDH|3694890478948880290</stp>
        <tr r="T128" s="18"/>
      </tp>
      <tp t="e">
        <v>#N/A</v>
        <stp/>
        <stp>BDH|8954338202258750591</stp>
        <tr r="O69" s="10"/>
        <tr r="O67" s="11"/>
      </tp>
      <tp t="e">
        <v>#N/A</v>
        <stp/>
        <stp>BDH|4394356215460697038</stp>
        <tr r="C110" s="18"/>
      </tp>
      <tp t="e">
        <v>#N/A</v>
        <stp/>
        <stp>BDH|1169468579404069081</stp>
        <tr r="P20" s="34"/>
      </tp>
      <tp t="e">
        <v>#N/A</v>
        <stp/>
        <stp>BDH|9169453626191403809</stp>
        <tr r="C23" s="26"/>
      </tp>
      <tp t="e">
        <v>#N/A</v>
        <stp/>
        <stp>BDH|5361636217652729668</stp>
        <tr r="P102" s="18"/>
      </tp>
      <tp t="e">
        <v>#N/A</v>
        <stp/>
        <stp>BDH|3070612470291535528</stp>
        <tr r="U56" s="12"/>
      </tp>
      <tp t="e">
        <v>#N/A</v>
        <stp/>
        <stp>BDH|4224259163505073326</stp>
        <tr r="U19" s="14"/>
      </tp>
      <tp t="e">
        <v>#N/A</v>
        <stp/>
        <stp>BDH|3036913597861249423</stp>
        <tr r="X85" s="17"/>
      </tp>
      <tp t="e">
        <v>#N/A</v>
        <stp/>
        <stp>BDH|2543476445795421158</stp>
        <tr r="R45" s="24"/>
      </tp>
      <tp t="e">
        <v>#N/A</v>
        <stp/>
        <stp>BDH|5407158440007155163</stp>
        <tr r="X79" s="18"/>
      </tp>
      <tp t="e">
        <v>#N/A</v>
        <stp/>
        <stp>BDH|4741909835080563815</stp>
        <tr r="S24" s="29"/>
      </tp>
      <tp t="e">
        <v>#N/A</v>
        <stp/>
        <stp>BDH|1438561111811146240</stp>
        <tr r="O34" s="18"/>
      </tp>
      <tp t="e">
        <v>#N/A</v>
        <stp/>
        <stp>BDH|5738770937536888190</stp>
        <tr r="U16" s="11"/>
      </tp>
      <tp t="e">
        <v>#N/A</v>
        <stp/>
        <stp>BDH|1093354011066086334</stp>
        <tr r="S68" s="24"/>
      </tp>
      <tp t="e">
        <v>#N/A</v>
        <stp/>
        <stp>BDH|5349420003075252270</stp>
        <tr r="V61" s="24"/>
      </tp>
      <tp t="e">
        <v>#N/A</v>
        <stp/>
        <stp>BDH|1564831674749188148</stp>
        <tr r="F59" s="24"/>
      </tp>
      <tp t="e">
        <v>#N/A</v>
        <stp/>
        <stp>BDH|2141251783008718674</stp>
        <tr r="M9" s="18"/>
      </tp>
      <tp t="e">
        <v>#N/A</v>
        <stp/>
        <stp>BDH|7471178420863414105</stp>
        <tr r="Y35" s="21"/>
      </tp>
      <tp t="e">
        <v>#N/A</v>
        <stp/>
        <stp>BDH|3760781958187157011</stp>
        <tr r="U43" s="21"/>
      </tp>
      <tp t="e">
        <v>#N/A</v>
        <stp/>
        <stp>BDH|2676476505217716747</stp>
        <tr r="Q70" s="10"/>
        <tr r="Q68" s="11"/>
      </tp>
      <tp t="e">
        <v>#N/A</v>
        <stp/>
        <stp>BDH|2158061301376379225</stp>
        <tr r="V79" s="18"/>
      </tp>
      <tp t="e">
        <v>#N/A</v>
        <stp/>
        <stp>BDH|8905967084527522894</stp>
        <tr r="D70" s="10"/>
        <tr r="D68" s="11"/>
      </tp>
      <tp t="e">
        <v>#N/A</v>
        <stp/>
        <stp>BDH|5506947983726458412</stp>
        <tr r="F83" s="18"/>
      </tp>
      <tp t="e">
        <v>#N/A</v>
        <stp/>
        <stp>BDH|8146854750072070130</stp>
        <tr r="N17" s="20"/>
      </tp>
      <tp t="e">
        <v>#N/A</v>
        <stp/>
        <stp>BDH|1197877695827571116</stp>
        <tr r="W68" s="18"/>
      </tp>
      <tp t="e">
        <v>#N/A</v>
        <stp/>
        <stp>BDH|8919292914558650555</stp>
        <tr r="K8" s="4"/>
      </tp>
      <tp t="e">
        <v>#N/A</v>
        <stp/>
        <stp>BDH|1162766384211030947</stp>
        <tr r="C13" s="11"/>
      </tp>
      <tp t="e">
        <v>#N/A</v>
        <stp/>
        <stp>BDH|3092572625957769522</stp>
        <tr r="G66" s="10"/>
        <tr r="G64" s="11"/>
        <tr r="G20" s="7"/>
      </tp>
      <tp t="e">
        <v>#N/A</v>
        <stp/>
        <stp>BDH|1488259170983169177</stp>
        <tr r="T8" s="10"/>
      </tp>
      <tp t="e">
        <v>#N/A</v>
        <stp/>
        <stp>BDH|5201960517898138353</stp>
        <tr r="Y62" s="24"/>
      </tp>
      <tp t="e">
        <v>#N/A</v>
        <stp/>
        <stp>BDH|2000849016455564803</stp>
        <tr r="C26" s="6"/>
      </tp>
      <tp t="e">
        <v>#N/A</v>
        <stp/>
        <stp>BDH|1539678140214547105</stp>
        <tr r="G27" s="17"/>
      </tp>
      <tp t="e">
        <v>#N/A</v>
        <stp/>
        <stp>BDH|9386486157637241997</stp>
        <tr r="P46" s="34"/>
      </tp>
      <tp t="e">
        <v>#N/A</v>
        <stp/>
        <stp>BDH|5587172422155240554</stp>
        <tr r="O48" s="18"/>
      </tp>
      <tp t="e">
        <v>#N/A</v>
        <stp/>
        <stp>BDH|3692670413240050255</stp>
        <tr r="L8" s="34"/>
      </tp>
      <tp t="e">
        <v>#N/A</v>
        <stp/>
        <stp>BDH|1478342105653416768</stp>
        <tr r="M49" s="4"/>
      </tp>
      <tp t="e">
        <v>#N/A</v>
        <stp/>
        <stp>BDH|9384877181088501772</stp>
        <tr r="L46" s="4"/>
        <tr r="L25" s="10"/>
        <tr r="N27" s="13"/>
      </tp>
      <tp t="e">
        <v>#N/A</v>
        <stp/>
        <stp>BDH|2111347568822861324</stp>
        <tr r="N32" s="26"/>
      </tp>
      <tp t="e">
        <v>#N/A</v>
        <stp/>
        <stp>BDH|4534420178425008488</stp>
        <tr r="T10" s="12"/>
      </tp>
      <tp t="e">
        <v>#N/A</v>
        <stp/>
        <stp>BDH|4593797292675919906</stp>
        <tr r="G27" s="5"/>
        <tr r="G28" s="9"/>
      </tp>
      <tp t="e">
        <v>#N/A</v>
        <stp/>
        <stp>BDH|2980191562646273576</stp>
        <tr r="U13" s="13"/>
      </tp>
      <tp t="e">
        <v>#N/A</v>
        <stp/>
        <stp>BDH|3042705270004704130</stp>
        <tr r="X8" s="4"/>
      </tp>
      <tp t="e">
        <v>#N/A</v>
        <stp/>
        <stp>BDH|3751208244767022479</stp>
        <tr r="I21" s="10"/>
      </tp>
      <tp t="e">
        <v>#N/A</v>
        <stp/>
        <stp>BDH|1489371916246034319</stp>
        <tr r="R56" s="17"/>
      </tp>
      <tp t="e">
        <v>#N/A</v>
        <stp/>
        <stp>BDH|3320460952015718142</stp>
        <tr r="Z33" s="21"/>
      </tp>
      <tp t="e">
        <v>#N/A</v>
        <stp/>
        <stp>BDH|5081604831815001355</stp>
        <tr r="K71" s="17"/>
      </tp>
      <tp t="e">
        <v>#N/A</v>
        <stp/>
        <stp>BDH|3968673283578115381</stp>
        <tr r="K43" s="21"/>
      </tp>
      <tp t="e">
        <v>#N/A</v>
        <stp/>
        <stp>BDH|8911812839623773622</stp>
        <tr r="Z58" s="21"/>
        <tr r="Z30" s="25"/>
        <tr r="X31" s="4"/>
        <tr r="X56" s="11"/>
      </tp>
      <tp t="e">
        <v>#N/A</v>
        <stp/>
        <stp>BDH|7716979123893037973</stp>
        <tr r="M22" s="4"/>
      </tp>
      <tp t="e">
        <v>#N/A</v>
        <stp/>
        <stp>BDH|1337301871326547535</stp>
        <tr r="I81" s="17"/>
      </tp>
      <tp t="e">
        <v>#N/A</v>
        <stp/>
        <stp>BDH|2388358784506664903</stp>
        <tr r="K50" s="21"/>
      </tp>
      <tp t="e">
        <v>#N/A</v>
        <stp/>
        <stp>BDH|2035175000532081739</stp>
        <tr r="Q28" s="4"/>
      </tp>
      <tp t="e">
        <v>#N/A</v>
        <stp/>
        <stp>BDH|6540553646188219905</stp>
        <tr r="T15" s="12"/>
      </tp>
      <tp t="e">
        <v>#N/A</v>
        <stp/>
        <stp>BDH|1875347349661305123</stp>
        <tr r="S57" s="17"/>
      </tp>
      <tp t="e">
        <v>#N/A</v>
        <stp/>
        <stp>BDH|4315114132164514410</stp>
        <tr r="G23" s="17"/>
      </tp>
      <tp t="e">
        <v>#N/A</v>
        <stp/>
        <stp>BDH|9805156071121151897</stp>
        <tr r="AA12" s="18"/>
      </tp>
      <tp t="e">
        <v>#N/A</v>
        <stp/>
        <stp>BDH|5753695588345610847</stp>
        <tr r="L104" s="18"/>
      </tp>
      <tp t="e">
        <v>#N/A</v>
        <stp/>
        <stp>BDH|3293263890056469848</stp>
        <tr r="V26" s="10"/>
      </tp>
      <tp t="e">
        <v>#N/A</v>
        <stp/>
        <stp>BDH|9780368927018338614</stp>
        <tr r="J88" s="18"/>
        <tr r="J8" s="20"/>
      </tp>
      <tp t="e">
        <v>#N/A</v>
        <stp/>
        <stp>BDH|2713460451646312371</stp>
        <tr r="H9" s="23"/>
      </tp>
      <tp t="e">
        <v>#N/A</v>
        <stp/>
        <stp>BDH|4481049705461561344</stp>
        <tr r="F24" s="25"/>
        <tr r="D14" s="5"/>
        <tr r="F17" s="27"/>
      </tp>
      <tp t="e">
        <v>#N/A</v>
        <stp/>
        <stp>BDH|4157204303099363950</stp>
        <tr r="V52" s="21"/>
      </tp>
      <tp t="e">
        <v>#N/A</v>
        <stp/>
        <stp>BDH|4386066440296592042</stp>
        <tr r="V28" s="21"/>
      </tp>
      <tp t="e">
        <v>#N/A</v>
        <stp/>
        <stp>BDH|2835718053396679089</stp>
        <tr r="C29" s="10"/>
        <tr r="C27" s="11"/>
      </tp>
      <tp t="e">
        <v>#N/A</v>
        <stp/>
        <stp>BDH|3669299383349874602</stp>
        <tr r="T15" s="21"/>
      </tp>
      <tp t="e">
        <v>#N/A</v>
        <stp/>
        <stp>BDH|8244484399874449734</stp>
        <tr r="F29" s="18"/>
      </tp>
      <tp t="e">
        <v>#N/A</v>
        <stp/>
        <stp>BDH|2551678742815097346</stp>
        <tr r="W41" s="12"/>
      </tp>
      <tp t="e">
        <v>#N/A</v>
        <stp/>
        <stp>BDH|6353639605923289537</stp>
        <tr r="C22" s="7"/>
      </tp>
      <tp t="e">
        <v>#N/A</v>
        <stp/>
        <stp>BDH|1986839399612223458</stp>
        <tr r="V44" s="18"/>
      </tp>
      <tp t="e">
        <v>#N/A</v>
        <stp/>
        <stp>BDH|6834919999229541911</stp>
        <tr r="Z89" s="18"/>
        <tr r="Z9" s="20"/>
      </tp>
      <tp t="e">
        <v>#N/A</v>
        <stp/>
        <stp>BDH|6495023646971485507</stp>
        <tr r="S17" s="12"/>
      </tp>
      <tp t="e">
        <v>#N/A</v>
        <stp/>
        <stp>BDH|3865186202634297043</stp>
        <tr r="S41" s="12"/>
      </tp>
      <tp t="e">
        <v>#N/A</v>
        <stp/>
        <stp>BDH|4144534454814132637</stp>
        <tr r="L6" s="6"/>
      </tp>
      <tp t="e">
        <v>#N/A</v>
        <stp/>
        <stp>BDH|1422088792789308792</stp>
        <tr r="V41" s="12"/>
      </tp>
      <tp t="e">
        <v>#N/A</v>
        <stp/>
        <stp>BDH|9774123750732697975</stp>
        <tr r="L102" s="18"/>
      </tp>
      <tp t="e">
        <v>#N/A</v>
        <stp/>
        <stp>BDH|4996096423511107164</stp>
        <tr r="P34" s="12"/>
      </tp>
      <tp t="e">
        <v>#N/A</v>
        <stp/>
        <stp>BDH|1498390093269840421</stp>
        <tr r="M15" s="12"/>
      </tp>
      <tp t="e">
        <v>#N/A</v>
        <stp/>
        <stp>BDH|8699250854181167820</stp>
        <tr r="P14" s="14"/>
      </tp>
      <tp t="e">
        <v>#N/A</v>
        <stp/>
        <stp>BDH|2337356873312896291</stp>
        <tr r="I19" s="18"/>
      </tp>
      <tp t="e">
        <v>#N/A</v>
        <stp/>
        <stp>BDH|3149723056781965697</stp>
        <tr r="I60" s="17"/>
      </tp>
      <tp t="e">
        <v>#N/A</v>
        <stp/>
        <stp>BDH|7842306639110510113</stp>
        <tr r="X58" s="12"/>
      </tp>
      <tp t="e">
        <v>#N/A</v>
        <stp/>
        <stp>BDH|4867914124868927119</stp>
        <tr r="P16" s="6"/>
      </tp>
      <tp t="e">
        <v>#N/A</v>
        <stp/>
        <stp>BDH|2422664719567641486</stp>
        <tr r="U17" s="9"/>
      </tp>
      <tp t="e">
        <v>#N/A</v>
        <stp/>
        <stp>BDH|8129302626008309713</stp>
        <tr r="I49" s="12"/>
      </tp>
      <tp t="e">
        <v>#N/A</v>
        <stp/>
        <stp>BDH|7680413043880808191</stp>
        <tr r="F29" s="29"/>
        <tr r="F7" s="29"/>
      </tp>
      <tp t="e">
        <v>#N/A</v>
        <stp/>
        <stp>BDH|4342068023656109628</stp>
        <tr r="P27" s="26"/>
      </tp>
      <tp t="e">
        <v>#N/A</v>
        <stp/>
        <stp>BDH|4131851793713164036</stp>
        <tr r="P26" s="24"/>
      </tp>
      <tp t="e">
        <v>#N/A</v>
        <stp/>
        <stp>BDH|1859030776333101393</stp>
        <tr r="T30" s="17"/>
      </tp>
      <tp t="e">
        <v>#N/A</v>
        <stp/>
        <stp>BDH|3513561081071558920</stp>
        <tr r="M13" s="5"/>
      </tp>
      <tp t="e">
        <v>#N/A</v>
        <stp/>
        <stp>BDH|4642699004635979179</stp>
        <tr r="I31" s="12"/>
      </tp>
      <tp t="e">
        <v>#N/A</v>
        <stp/>
        <stp>BDH|1545390146681627195</stp>
        <tr r="K23" s="9"/>
      </tp>
      <tp t="e">
        <v>#N/A</v>
        <stp/>
        <stp>BDH|6941264784409710391</stp>
        <tr r="AA18" s="24"/>
      </tp>
      <tp t="e">
        <v>#N/A</v>
        <stp/>
        <stp>BDH|2715283367675516581</stp>
        <tr r="D25" s="2"/>
        <tr r="F61" s="21"/>
      </tp>
      <tp t="e">
        <v>#N/A</v>
        <stp/>
        <stp>BDH|4455475208721907773</stp>
        <tr r="D15" s="13"/>
      </tp>
      <tp t="e">
        <v>#N/A</v>
        <stp/>
        <stp>BDH|1541251682375255854</stp>
        <tr r="AA11" s="17"/>
      </tp>
      <tp t="e">
        <v>#N/A</v>
        <stp/>
        <stp>BDH|8270752676628470602</stp>
        <tr r="Y19" s="10"/>
        <tr r="AA16" s="13"/>
        <tr r="AA23" s="13"/>
      </tp>
      <tp t="e">
        <v>#N/A</v>
        <stp/>
        <stp>BDH|1923393793369439427</stp>
        <tr r="N64" s="18"/>
      </tp>
      <tp t="e">
        <v>#N/A</v>
        <stp/>
        <stp>BDH|6976334602912857156</stp>
        <tr r="Q15" s="22"/>
      </tp>
      <tp t="e">
        <v>#N/A</v>
        <stp/>
        <stp>BDH|1714161678373525298</stp>
        <tr r="E23" s="21"/>
      </tp>
      <tp t="e">
        <v>#N/A</v>
        <stp/>
        <stp>BDH|3297619423263585203</stp>
        <tr r="R13" s="8"/>
      </tp>
      <tp t="e">
        <v>#N/A</v>
        <stp/>
        <stp>BDH|7710555473951372273</stp>
        <tr r="J30" s="24"/>
      </tp>
      <tp t="e">
        <v>#N/A</v>
        <stp/>
        <stp>BDH|8166784232343799991</stp>
        <tr r="P64" s="24"/>
      </tp>
      <tp t="e">
        <v>#N/A</v>
        <stp/>
        <stp>BDH|1670347138801932663</stp>
        <tr r="Y53" s="18"/>
      </tp>
      <tp t="e">
        <v>#N/A</v>
        <stp/>
        <stp>BDH|4362007537899236832</stp>
        <tr r="E22" s="21"/>
      </tp>
      <tp t="e">
        <v>#N/A</v>
        <stp/>
        <stp>BDH|2658622131357385637</stp>
        <tr r="E25" s="3"/>
      </tp>
      <tp t="e">
        <v>#N/A</v>
        <stp/>
        <stp>BDH|9311062118946176897</stp>
        <tr r="R9" s="18"/>
      </tp>
      <tp t="e">
        <v>#N/A</v>
        <stp/>
        <stp>BDH|6333601327854138003</stp>
        <tr r="M21" s="3"/>
      </tp>
      <tp t="e">
        <v>#N/A</v>
        <stp/>
        <stp>BDH|4270256002430214028</stp>
        <tr r="W103" s="18"/>
      </tp>
      <tp t="e">
        <v>#N/A</v>
        <stp/>
        <stp>BDH|2452607110871664270</stp>
        <tr r="W27" s="7"/>
      </tp>
      <tp t="e">
        <v>#N/A</v>
        <stp/>
        <stp>BDH|1127740357350177569</stp>
        <tr r="F37" s="22"/>
      </tp>
      <tp t="e">
        <v>#N/A</v>
        <stp/>
        <stp>BDH|8810997845511759268</stp>
        <tr r="C28" s="25"/>
      </tp>
      <tp t="e">
        <v>#N/A</v>
        <stp/>
        <stp>BDH|6646878085537229735</stp>
        <tr r="T33" s="21"/>
      </tp>
      <tp t="e">
        <v>#N/A</v>
        <stp/>
        <stp>BDH|46617480853068652</stp>
        <tr r="M85" s="18"/>
      </tp>
      <tp t="e">
        <v>#N/A</v>
        <stp/>
        <stp>BDH|26741686410637460</stp>
        <tr r="K24" s="18"/>
      </tp>
      <tp t="e">
        <v>#N/A</v>
        <stp/>
        <stp>BDH|41361511138795105</stp>
        <tr r="J14" s="18"/>
      </tp>
      <tp t="e">
        <v>#N/A</v>
        <stp/>
        <stp>BDH|55167520031683985</stp>
        <tr r="O35" s="34"/>
      </tp>
      <tp t="e">
        <v>#N/A</v>
        <stp/>
        <stp>BDH|39185785454231670</stp>
        <tr r="C41" s="13"/>
      </tp>
      <tp t="e">
        <v>#N/A</v>
        <stp/>
        <stp>BDH|64437252683065986</stp>
        <tr r="Q67" s="18"/>
      </tp>
      <tp t="e">
        <v>#N/A</v>
        <stp/>
        <stp>BDH|6166517056106402781</stp>
        <tr r="M46" s="12"/>
      </tp>
      <tp t="e">
        <v>#N/A</v>
        <stp/>
        <stp>BDH|7703805846099337586</stp>
        <tr r="H33" s="22"/>
      </tp>
      <tp t="e">
        <v>#N/A</v>
        <stp/>
        <stp>BDH|7807532451022442246</stp>
        <tr r="F58" s="21"/>
        <tr r="F30" s="25"/>
        <tr r="D31" s="4"/>
        <tr r="D56" s="11"/>
      </tp>
      <tp t="e">
        <v>#N/A</v>
        <stp/>
        <stp>BDH|6970347353955293263</stp>
        <tr r="K34" s="10"/>
        <tr r="K32" s="11"/>
        <tr r="M32" s="13"/>
      </tp>
      <tp t="e">
        <v>#N/A</v>
        <stp/>
        <stp>BDH|2487249152574934615</stp>
        <tr r="Q22" s="18"/>
      </tp>
      <tp t="e">
        <v>#N/A</v>
        <stp/>
        <stp>BDH|8889082329589450478</stp>
        <tr r="F10" s="10"/>
      </tp>
      <tp t="e">
        <v>#N/A</v>
        <stp/>
        <stp>BDH|2065027738792247427</stp>
        <tr r="X31" s="18"/>
      </tp>
      <tp t="e">
        <v>#N/A</v>
        <stp/>
        <stp>BDH|3751878194803756694</stp>
        <tr r="O33" s="10"/>
        <tr r="O31" s="11"/>
        <tr r="Q31" s="13"/>
      </tp>
      <tp t="e">
        <v>#N/A</v>
        <stp/>
        <stp>BDH|3804114198584822834</stp>
        <tr r="F35" s="22"/>
      </tp>
      <tp t="e">
        <v>#N/A</v>
        <stp/>
        <stp>BDH|7878080190650264980</stp>
        <tr r="L47" s="24"/>
      </tp>
      <tp t="e">
        <v>#N/A</v>
        <stp/>
        <stp>BDH|9210867420183945774</stp>
        <tr r="AA12" s="22"/>
      </tp>
      <tp t="e">
        <v>#N/A</v>
        <stp/>
        <stp>BDH|8854872175096137613</stp>
        <tr r="J19" s="26"/>
      </tp>
      <tp t="e">
        <v>#N/A</v>
        <stp/>
        <stp>BDH|9421107688781265642</stp>
        <tr r="F31" s="17"/>
      </tp>
      <tp t="e">
        <v>#N/A</v>
        <stp/>
        <stp>BDH|4080420578739961992</stp>
        <tr r="D9" s="3"/>
      </tp>
      <tp t="e">
        <v>#N/A</v>
        <stp/>
        <stp>BDH|4535174439830442151</stp>
        <tr r="Q31" s="26"/>
      </tp>
      <tp t="e">
        <v>#N/A</v>
        <stp/>
        <stp>BDH|6991146208861994163</stp>
        <tr r="M18" s="10"/>
      </tp>
      <tp t="e">
        <v>#N/A</v>
        <stp/>
        <stp>BDH|5847019407244555617</stp>
        <tr r="L7" s="21"/>
      </tp>
      <tp t="e">
        <v>#N/A</v>
        <stp/>
        <stp>BDH|5609019749367761131</stp>
        <tr r="X27" s="12"/>
      </tp>
      <tp t="e">
        <v>#N/A</v>
        <stp/>
        <stp>BDH|1114371249645438418</stp>
        <tr r="J13" s="10"/>
      </tp>
      <tp t="e">
        <v>#N/A</v>
        <stp/>
        <stp>BDH|3004025182034913838</stp>
        <tr r="S28" s="17"/>
      </tp>
      <tp t="e">
        <v>#N/A</v>
        <stp/>
        <stp>BDH|6972700014666098174</stp>
        <tr r="S17" s="29"/>
        <tr r="S37" s="29"/>
      </tp>
      <tp t="e">
        <v>#N/A</v>
        <stp/>
        <stp>BDH|7099104123264020791</stp>
        <tr r="L19" s="17"/>
      </tp>
      <tp t="e">
        <v>#N/A</v>
        <stp/>
        <stp>BDH|2211748722698986878</stp>
        <tr r="J45" s="17"/>
      </tp>
      <tp t="e">
        <v>#N/A</v>
        <stp/>
        <stp>BDH|6765913289200115057</stp>
        <tr r="I56" s="17"/>
      </tp>
      <tp t="e">
        <v>#N/A</v>
        <stp/>
        <stp>BDH|5512833088763000155</stp>
        <tr r="M18" s="12"/>
      </tp>
      <tp t="e">
        <v>#N/A</v>
        <stp/>
        <stp>BDH|6525180714455220404</stp>
        <tr r="O19" s="34"/>
      </tp>
      <tp t="e">
        <v>#N/A</v>
        <stp/>
        <stp>BDH|8406576057568973761</stp>
        <tr r="L127" s="18"/>
      </tp>
      <tp t="e">
        <v>#N/A</v>
        <stp/>
        <stp>BDH|4996216689209805029</stp>
        <tr r="M45" s="24"/>
      </tp>
      <tp t="e">
        <v>#N/A</v>
        <stp/>
        <stp>BDH|9638966848953680050</stp>
        <tr r="N22" s="29"/>
        <tr r="N13" s="29"/>
        <tr r="N33" s="29"/>
      </tp>
      <tp t="e">
        <v>#N/A</v>
        <stp/>
        <stp>BDH|9517724494369839901</stp>
        <tr r="H28" s="25"/>
      </tp>
      <tp t="e">
        <v>#N/A</v>
        <stp/>
        <stp>BDH|5667030668780034466</stp>
        <tr r="Z23" s="25"/>
        <tr r="Z16" s="27"/>
      </tp>
      <tp t="e">
        <v>#N/A</v>
        <stp/>
        <stp>BDH|2730281969779920843</stp>
        <tr r="C26" s="17"/>
      </tp>
      <tp t="e">
        <v>#N/A</v>
        <stp/>
        <stp>BDH|9963844460839283944</stp>
        <tr r="C7" s="34"/>
      </tp>
      <tp t="e">
        <v>#N/A</v>
        <stp/>
        <stp>BDH|5065276019550020151</stp>
        <tr r="E44" s="12"/>
      </tp>
      <tp t="e">
        <v>#N/A</v>
        <stp/>
        <stp>BDH|1205024508882322408</stp>
        <tr r="Z92" s="18"/>
      </tp>
      <tp t="e">
        <v>#N/A</v>
        <stp/>
        <stp>BDH|9588122069321347864</stp>
        <tr r="I43" s="17"/>
      </tp>
      <tp t="e">
        <v>#N/A</v>
        <stp/>
        <stp>BDH|3495194160095019664</stp>
        <tr r="V18" s="29"/>
        <tr r="V38" s="29"/>
      </tp>
      <tp t="e">
        <v>#N/A</v>
        <stp/>
        <stp>BDH|7848817590888002923</stp>
        <tr r="Q29" s="4"/>
      </tp>
      <tp t="e">
        <v>#N/A</v>
        <stp/>
        <stp>BDH|1296260436102803510</stp>
        <tr r="C35" s="21"/>
      </tp>
      <tp t="e">
        <v>#N/A</v>
        <stp/>
        <stp>BDH|9896560431191389978</stp>
        <tr r="K11" s="3"/>
        <tr r="I46" s="10"/>
        <tr r="I44" s="11"/>
        <tr r="I8" s="7"/>
      </tp>
      <tp t="e">
        <v>#N/A</v>
        <stp/>
        <stp>BDH|7827548040152401333</stp>
        <tr r="G64" s="17"/>
        <tr r="G18" s="3"/>
      </tp>
      <tp t="e">
        <v>#N/A</v>
        <stp/>
        <stp>BDH|8570206440668886164</stp>
        <tr r="P99" s="18"/>
      </tp>
      <tp t="e">
        <v>#N/A</v>
        <stp/>
        <stp>BDH|6541871047704618988</stp>
        <tr r="K8" s="24"/>
      </tp>
      <tp t="e">
        <v>#N/A</v>
        <stp/>
        <stp>BDH|4247398082439729150</stp>
        <tr r="L17" s="14"/>
      </tp>
      <tp t="e">
        <v>#N/A</v>
        <stp/>
        <stp>BDH|6234167851926894369</stp>
        <tr r="W8" s="21"/>
      </tp>
      <tp t="e">
        <v>#N/A</v>
        <stp/>
        <stp>BDH|7872473226442595475</stp>
        <tr r="S45" s="18"/>
      </tp>
      <tp t="e">
        <v>#N/A</v>
        <stp/>
        <stp>BDH|3442712073715592187</stp>
        <tr r="S25" s="17"/>
      </tp>
      <tp t="e">
        <v>#N/A</v>
        <stp/>
        <stp>BDH|7760389108126831542</stp>
        <tr r="R17" s="18"/>
      </tp>
      <tp t="e">
        <v>#N/A</v>
        <stp/>
        <stp>BDH|3776281762410793014</stp>
        <tr r="X95" s="18"/>
      </tp>
      <tp t="e">
        <v>#N/A</v>
        <stp/>
        <stp>BDH|8108972569026682625</stp>
        <tr r="I32" s="21"/>
      </tp>
      <tp t="e">
        <v>#N/A</v>
        <stp/>
        <stp>BDH|5941492850881824232</stp>
        <tr r="D38" s="24"/>
      </tp>
      <tp t="e">
        <v>#N/A</v>
        <stp/>
        <stp>BDH|2284992459068816115</stp>
        <tr r="H59" s="18"/>
      </tp>
      <tp t="e">
        <v>#N/A</v>
        <stp/>
        <stp>BDH|2924088914162637686</stp>
        <tr r="Z13" s="29"/>
        <tr r="Z22" s="29"/>
        <tr r="Z33" s="29"/>
      </tp>
      <tp t="e">
        <v>#N/A</v>
        <stp/>
        <stp>BDH|6306487732923673578</stp>
        <tr r="J10" s="23"/>
      </tp>
      <tp t="e">
        <v>#N/A</v>
        <stp/>
        <stp>BDH|6765130127283252190</stp>
        <tr r="F23" s="25"/>
        <tr r="F16" s="27"/>
      </tp>
      <tp t="e">
        <v>#N/A</v>
        <stp/>
        <stp>BDH|3560637807362936000</stp>
        <tr r="H18" s="34"/>
      </tp>
      <tp t="e">
        <v>#N/A</v>
        <stp/>
        <stp>BDH|9142147588350320762</stp>
        <tr r="H62" s="12"/>
      </tp>
      <tp t="e">
        <v>#N/A</v>
        <stp/>
        <stp>BDH|8633416754286367881</stp>
        <tr r="D11" s="22"/>
      </tp>
      <tp t="e">
        <v>#N/A</v>
        <stp/>
        <stp>BDH|9527918748264253768</stp>
        <tr r="T86" s="18"/>
        <tr r="T6" s="20"/>
      </tp>
      <tp t="e">
        <v>#N/A</v>
        <stp/>
        <stp>BDH|8940540282216672416</stp>
        <tr r="F7" s="21"/>
      </tp>
      <tp t="e">
        <v>#N/A</v>
        <stp/>
        <stp>BDH|4338167227428826825</stp>
        <tr r="I65" s="10"/>
      </tp>
      <tp t="e">
        <v>#N/A</v>
        <stp/>
        <stp>BDH|2002296743623763050</stp>
        <tr r="O39" s="10"/>
        <tr r="O37" s="11"/>
      </tp>
      <tp t="e">
        <v>#N/A</v>
        <stp/>
        <stp>BDH|1545035371281966063</stp>
        <tr r="N19" s="29"/>
        <tr r="N25" s="29"/>
        <tr r="L6" s="9"/>
        <tr r="L6" s="2"/>
        <tr r="M12" s="8"/>
        <tr r="L6" s="5"/>
        <tr r="N10" s="29"/>
      </tp>
      <tp t="e">
        <v>#N/A</v>
        <stp/>
        <stp>BDH|1863059140415168744</stp>
        <tr r="K33" s="22"/>
      </tp>
      <tp t="e">
        <v>#N/A</v>
        <stp/>
        <stp>BDH|7930950290060597011</stp>
        <tr r="T67" s="24"/>
      </tp>
      <tp t="e">
        <v>#N/A</v>
        <stp/>
        <stp>BDH|2179139242011003185</stp>
        <tr r="F69" s="24"/>
      </tp>
      <tp t="e">
        <v>#N/A</v>
        <stp/>
        <stp>BDH|7463509102114979172</stp>
        <tr r="S60" s="21"/>
      </tp>
      <tp t="e">
        <v>#N/A</v>
        <stp/>
        <stp>BDH|7317031269710893694</stp>
        <tr r="U17" s="12"/>
      </tp>
      <tp t="e">
        <v>#N/A</v>
        <stp/>
        <stp>BDH|1528978016009908750</stp>
        <tr r="D10" s="3"/>
        <tr r="D37" s="13"/>
      </tp>
      <tp t="e">
        <v>#N/A</v>
        <stp/>
        <stp>BDH|1283132233701844524</stp>
        <tr r="T90" s="17"/>
        <tr r="T13" s="28"/>
      </tp>
      <tp t="e">
        <v>#N/A</v>
        <stp/>
        <stp>BDH|3572092866997633542</stp>
        <tr r="P10" s="23"/>
      </tp>
      <tp t="e">
        <v>#N/A</v>
        <stp/>
        <stp>BDH|7929856207801258916</stp>
        <tr r="C17" s="23"/>
      </tp>
      <tp t="e">
        <v>#N/A</v>
        <stp/>
        <stp>BDH|2982495609892690373</stp>
        <tr r="X17" s="14"/>
      </tp>
      <tp t="e">
        <v>#N/A</v>
        <stp/>
        <stp>BDH|7661948593496863613</stp>
        <tr r="Y45" s="21"/>
      </tp>
      <tp t="e">
        <v>#N/A</v>
        <stp/>
        <stp>BDH|6140597881864851891</stp>
        <tr r="D34" s="12"/>
      </tp>
      <tp t="e">
        <v>#N/A</v>
        <stp/>
        <stp>BDH|1772222211820424581</stp>
        <tr r="D55" s="12"/>
      </tp>
      <tp t="e">
        <v>#N/A</v>
        <stp/>
        <stp>BDH|9995162304029591673</stp>
        <tr r="AA87" s="18"/>
        <tr r="AA7" s="20"/>
      </tp>
      <tp t="e">
        <v>#N/A</v>
        <stp/>
        <stp>BDH|9579694276526638954</stp>
        <tr r="S28" s="25"/>
      </tp>
      <tp t="e">
        <v>#N/A</v>
        <stp/>
        <stp>BDH|8954608112069056128</stp>
        <tr r="F48" s="18"/>
      </tp>
      <tp t="e">
        <v>#N/A</v>
        <stp/>
        <stp>BDH|8722960998267893889</stp>
        <tr r="E60" s="24"/>
      </tp>
      <tp t="e">
        <v>#N/A</v>
        <stp/>
        <stp>BDH|9946416950827125808</stp>
        <tr r="Z47" s="21"/>
      </tp>
      <tp t="e">
        <v>#N/A</v>
        <stp/>
        <stp>BDH|9329976719780606620</stp>
        <tr r="C72" s="18"/>
      </tp>
      <tp t="e">
        <v>#N/A</v>
        <stp/>
        <stp>BDH|2407715178560551516</stp>
        <tr r="D86" s="17"/>
      </tp>
      <tp t="e">
        <v>#N/A</v>
        <stp/>
        <stp>BDH|2971872512635576907</stp>
        <tr r="AA45" s="24"/>
      </tp>
      <tp t="e">
        <v>#N/A</v>
        <stp/>
        <stp>BDH|4162182655280510704</stp>
        <tr r="V20" s="12"/>
      </tp>
      <tp t="e">
        <v>#N/A</v>
        <stp/>
        <stp>BDH|9185361491107988363</stp>
        <tr r="P100" s="18"/>
      </tp>
      <tp t="e">
        <v>#N/A</v>
        <stp/>
        <stp>BDH|5165461074210866121</stp>
        <tr r="U26" s="10"/>
      </tp>
      <tp t="e">
        <v>#N/A</v>
        <stp/>
        <stp>BDH|3886673725150799041</stp>
        <tr r="D13" s="2"/>
      </tp>
      <tp t="e">
        <v>#N/A</v>
        <stp/>
        <stp>BDH|1474216025151146781</stp>
        <tr r="X118" s="18"/>
      </tp>
      <tp t="e">
        <v>#N/A</v>
        <stp/>
        <stp>BDH|5010927514129737381</stp>
        <tr r="AA33" s="21"/>
      </tp>
      <tp t="e">
        <v>#N/A</v>
        <stp/>
        <stp>BDH|4300079784462105989</stp>
        <tr r="I30" s="9"/>
      </tp>
      <tp t="e">
        <v>#N/A</v>
        <stp/>
        <stp>BDH|7688216070977629281</stp>
        <tr r="G9" s="11"/>
      </tp>
      <tp t="e">
        <v>#N/A</v>
        <stp/>
        <stp>BDH|5618085802355757726</stp>
        <tr r="H58" s="21"/>
        <tr r="H30" s="25"/>
        <tr r="F31" s="4"/>
        <tr r="F56" s="11"/>
      </tp>
      <tp t="e">
        <v>#N/A</v>
        <stp/>
        <stp>BDH|7407985034248910282</stp>
        <tr r="T83" s="17"/>
      </tp>
      <tp t="e">
        <v>#N/A</v>
        <stp/>
        <stp>BDH|1882463345883736554</stp>
        <tr r="J10" s="22"/>
      </tp>
      <tp t="e">
        <v>#N/A</v>
        <stp/>
        <stp>BDH|3518907657871896933</stp>
        <tr r="D88" s="17"/>
      </tp>
      <tp t="e">
        <v>#N/A</v>
        <stp/>
        <stp>BDH|4298710772554015789</stp>
        <tr r="I43" s="21"/>
      </tp>
      <tp t="e">
        <v>#N/A</v>
        <stp/>
        <stp>BDH|4829510124014752033</stp>
        <tr r="M25" s="26"/>
      </tp>
      <tp t="e">
        <v>#N/A</v>
        <stp/>
        <stp>BDH|4444155032594213582</stp>
        <tr r="Q25" s="18"/>
      </tp>
      <tp t="e">
        <v>#N/A</v>
        <stp/>
        <stp>BDH|4089320579444187332</stp>
        <tr r="G34" s="22"/>
      </tp>
      <tp t="e">
        <v>#N/A</v>
        <stp/>
        <stp>BDH|6288993212308091107</stp>
        <tr r="W67" s="12"/>
      </tp>
      <tp t="e">
        <v>#N/A</v>
        <stp/>
        <stp>BDH|1221583768725965029</stp>
        <tr r="Q13" s="24"/>
      </tp>
      <tp t="e">
        <v>#N/A</v>
        <stp/>
        <stp>BDH|3835250471980558106</stp>
        <tr r="U20" s="20"/>
      </tp>
      <tp t="e">
        <v>#N/A</v>
        <stp/>
        <stp>BDH|5869066021904642404</stp>
        <tr r="T8" s="2"/>
      </tp>
      <tp t="e">
        <v>#N/A</v>
        <stp/>
        <stp>BDH|6787464335455454390</stp>
        <tr r="M56" s="12"/>
      </tp>
      <tp t="e">
        <v>#N/A</v>
        <stp/>
        <stp>BDH|4837108606235529725</stp>
        <tr r="Y10" s="2"/>
        <tr r="Y11" s="5"/>
        <tr r="X37" s="6"/>
        <tr r="AA31" s="29"/>
        <tr r="AA39" s="29"/>
      </tp>
      <tp t="e">
        <v>#N/A</v>
        <stp/>
        <stp>BDH|3346677462120979414</stp>
        <tr r="O16" s="21"/>
      </tp>
      <tp t="e">
        <v>#N/A</v>
        <stp/>
        <stp>BDH|1651980495443433512</stp>
        <tr r="R48" s="18"/>
      </tp>
      <tp t="e">
        <v>#N/A</v>
        <stp/>
        <stp>BDH|8733403480996989502</stp>
        <tr r="I10" s="34"/>
      </tp>
      <tp t="e">
        <v>#N/A</v>
        <stp/>
        <stp>BDH|8826167592506502173</stp>
        <tr r="S24" s="21"/>
      </tp>
      <tp t="e">
        <v>#N/A</v>
        <stp/>
        <stp>BDH|2476493016205414514</stp>
        <tr r="N29" s="4"/>
      </tp>
      <tp t="e">
        <v>#N/A</v>
        <stp/>
        <stp>BDH|6900294855034253292</stp>
        <tr r="K24" s="26"/>
        <tr r="I14" s="9"/>
      </tp>
      <tp t="e">
        <v>#N/A</v>
        <stp/>
        <stp>BDH|4280342128666560458</stp>
        <tr r="P14" s="17"/>
        <tr r="P17" s="28"/>
      </tp>
      <tp t="e">
        <v>#N/A</v>
        <stp/>
        <stp>BDH|7228685804176720076</stp>
        <tr r="X67" s="12"/>
      </tp>
      <tp t="e">
        <v>#N/A</v>
        <stp/>
        <stp>BDH|6109671655634578685</stp>
        <tr r="X11" s="13"/>
      </tp>
      <tp t="e">
        <v>#N/A</v>
        <stp/>
        <stp>BDH|5310136733300969047</stp>
        <tr r="H16" s="23"/>
      </tp>
      <tp t="e">
        <v>#N/A</v>
        <stp/>
        <stp>BDH|7751367131559925971</stp>
        <tr r="M14" s="12"/>
      </tp>
      <tp t="e">
        <v>#N/A</v>
        <stp/>
        <stp>BDH|3628334682109936600</stp>
        <tr r="S57" s="24"/>
      </tp>
      <tp t="e">
        <v>#N/A</v>
        <stp/>
        <stp>BDH|9601802969479804992</stp>
        <tr r="D64" s="17"/>
        <tr r="D18" s="3"/>
      </tp>
      <tp t="e">
        <v>#N/A</v>
        <stp/>
        <stp>BDH|8793225086602443799</stp>
        <tr r="G21" s="5"/>
      </tp>
      <tp t="e">
        <v>#N/A</v>
        <stp/>
        <stp>BDH|4413596406861711728</stp>
        <tr r="V56" s="17"/>
      </tp>
      <tp t="e">
        <v>#N/A</v>
        <stp/>
        <stp>BDH|8378320268688610216</stp>
        <tr r="Q18" s="29"/>
        <tr r="Q38" s="29"/>
      </tp>
      <tp t="e">
        <v>#N/A</v>
        <stp/>
        <stp>BDH|1595533826533869260</stp>
        <tr r="Z17" s="13"/>
      </tp>
      <tp t="e">
        <v>#N/A</v>
        <stp/>
        <stp>BDH|6016734001945504396</stp>
        <tr r="M21" s="5"/>
      </tp>
      <tp t="e">
        <v>#N/A</v>
        <stp/>
        <stp>BDH|5519501956800950247</stp>
        <tr r="J9" s="3"/>
        <tr r="H47" s="10"/>
        <tr r="H45" s="11"/>
        <tr r="H14" s="7"/>
      </tp>
      <tp t="e">
        <v>#N/A</v>
        <stp/>
        <stp>BDH|8040213287644884103</stp>
        <tr r="D19" s="10"/>
        <tr r="F16" s="13"/>
        <tr r="F23" s="13"/>
      </tp>
      <tp t="e">
        <v>#N/A</v>
        <stp/>
        <stp>BDH|7827512737922461443</stp>
        <tr r="AA52" s="12"/>
      </tp>
      <tp t="e">
        <v>#N/A</v>
        <stp/>
        <stp>BDH|6864241562706162319</stp>
        <tr r="S65" s="10"/>
      </tp>
      <tp t="e">
        <v>#N/A</v>
        <stp/>
        <stp>BDH|2020728280452908851</stp>
        <tr r="M23" s="9"/>
      </tp>
      <tp t="e">
        <v>#N/A</v>
        <stp/>
        <stp>BDH|4303828590760924263</stp>
        <tr r="J13" s="6"/>
      </tp>
      <tp t="e">
        <v>#N/A</v>
        <stp/>
        <stp>BDH|8687023506916956959</stp>
        <tr r="O24" s="22"/>
      </tp>
      <tp t="e">
        <v>#N/A</v>
        <stp/>
        <stp>BDH|5705756280895871847</stp>
        <tr r="T17" s="17"/>
        <tr r="T20" s="28"/>
      </tp>
      <tp t="e">
        <v>#N/A</v>
        <stp/>
        <stp>BDH|8650720713270936915</stp>
        <tr r="T17" s="14"/>
      </tp>
      <tp t="e">
        <v>#N/A</v>
        <stp/>
        <stp>BDH|6987101591140617919</stp>
        <tr r="H32" s="25"/>
        <tr r="H7" s="3"/>
        <tr r="F19" s="11"/>
        <tr r="H22" s="13"/>
        <tr r="H7" s="13"/>
      </tp>
      <tp t="e">
        <v>#N/A</v>
        <stp/>
        <stp>BDH|7896467214971565402</stp>
        <tr r="F7" s="14"/>
      </tp>
      <tp t="e">
        <v>#N/A</v>
        <stp/>
        <stp>BDH|7326774617472850445</stp>
        <tr r="M45" s="17"/>
      </tp>
      <tp t="e">
        <v>#N/A</v>
        <stp/>
        <stp>BDH|6616647198106246871</stp>
        <tr r="U42" s="24"/>
      </tp>
      <tp t="e">
        <v>#N/A</v>
        <stp/>
        <stp>BDH|4135180463032010650</stp>
        <tr r="G93" s="18"/>
      </tp>
      <tp t="e">
        <v>#N/A</v>
        <stp/>
        <stp>BDH|6573187020683523176</stp>
        <tr r="M50" s="12"/>
      </tp>
      <tp t="e">
        <v>#N/A</v>
        <stp/>
        <stp>BDH|9030729794965171581</stp>
        <tr r="R8" s="2"/>
      </tp>
      <tp t="e">
        <v>#N/A</v>
        <stp/>
        <stp>BDH|1455795232142622066</stp>
        <tr r="L54" s="24"/>
      </tp>
      <tp t="e">
        <v>#N/A</v>
        <stp/>
        <stp>BDH|3427710058014364211</stp>
        <tr r="J51" s="12"/>
      </tp>
      <tp t="e">
        <v>#N/A</v>
        <stp/>
        <stp>BDH|9228106785797179091</stp>
        <tr r="Q13" s="17"/>
        <tr r="Q16" s="28"/>
      </tp>
      <tp t="e">
        <v>#N/A</v>
        <stp/>
        <stp>BDH|5853550414693467520</stp>
        <tr r="D68" s="24"/>
      </tp>
      <tp t="e">
        <v>#N/A</v>
        <stp/>
        <stp>BDH|3860022791549512414</stp>
        <tr r="V86" s="17"/>
      </tp>
      <tp t="e">
        <v>#N/A</v>
        <stp/>
        <stp>BDH|7951703738956932278</stp>
        <tr r="U94" s="18"/>
      </tp>
      <tp t="e">
        <v>#N/A</v>
        <stp/>
        <stp>BDH|2763781390028108311</stp>
        <tr r="I11" s="18"/>
      </tp>
      <tp t="e">
        <v>#N/A</v>
        <stp/>
        <stp>BDH|6505225835142922240</stp>
        <tr r="I20" s="17"/>
      </tp>
      <tp t="e">
        <v>#N/A</v>
        <stp/>
        <stp>BDH|7061259573422871715</stp>
        <tr r="W14" s="29"/>
        <tr r="W23" s="29"/>
        <tr r="W34" s="29"/>
      </tp>
      <tp t="e">
        <v>#N/A</v>
        <stp/>
        <stp>BDH|1964761037700315248</stp>
        <tr r="F11" s="22"/>
      </tp>
      <tp t="e">
        <v>#N/A</v>
        <stp/>
        <stp>BDH|7521186142846629366</stp>
        <tr r="I52" s="24"/>
      </tp>
      <tp t="e">
        <v>#N/A</v>
        <stp/>
        <stp>BDH|3328638384433907926</stp>
        <tr r="D64" s="24"/>
      </tp>
      <tp t="e">
        <v>#N/A</v>
        <stp/>
        <stp>BDH|1405603704818919862</stp>
        <tr r="Y13" s="11"/>
      </tp>
      <tp t="e">
        <v>#N/A</v>
        <stp/>
        <stp>BDH|3350199451511623120</stp>
        <tr r="K57" s="17"/>
      </tp>
      <tp t="e">
        <v>#N/A</v>
        <stp/>
        <stp>BDH|7616842943829996579</stp>
        <tr r="L56" s="17"/>
      </tp>
      <tp t="e">
        <v>#N/A</v>
        <stp/>
        <stp>BDH|2743319159625499648</stp>
        <tr r="N7" s="2"/>
        <tr r="N7" s="5"/>
        <tr r="N7" s="9"/>
        <tr r="P14" s="3"/>
      </tp>
      <tp t="e">
        <v>#N/A</v>
        <stp/>
        <stp>BDH|3202613339825508401</stp>
        <tr r="S68" s="17"/>
      </tp>
      <tp t="e">
        <v>#N/A</v>
        <stp/>
        <stp>BDH|6538378145420071685</stp>
        <tr r="T43" s="17"/>
      </tp>
      <tp t="e">
        <v>#N/A</v>
        <stp/>
        <stp>BDH|2831118419204933166</stp>
        <tr r="K24" s="4"/>
        <tr r="K59" s="11"/>
      </tp>
      <tp t="e">
        <v>#N/A</v>
        <stp/>
        <stp>BDH|1898602903783479304</stp>
        <tr r="C39" s="13"/>
      </tp>
      <tp t="e">
        <v>#N/A</v>
        <stp/>
        <stp>BDH|7937752838290140496</stp>
        <tr r="O12" s="13"/>
      </tp>
      <tp t="e">
        <v>#N/A</v>
        <stp/>
        <stp>BDH|2571197234434473302</stp>
        <tr r="Q29" s="12"/>
      </tp>
      <tp t="e">
        <v>#N/A</v>
        <stp/>
        <stp>BDH|7137620228054533020</stp>
        <tr r="P49" s="18"/>
      </tp>
      <tp t="e">
        <v>#N/A</v>
        <stp/>
        <stp>BDH|6675532676001978262</stp>
        <tr r="Y39" s="22"/>
      </tp>
      <tp t="e">
        <v>#N/A</v>
        <stp/>
        <stp>BDH|8368683438562652896</stp>
        <tr r="I30" s="34"/>
      </tp>
      <tp t="e">
        <v>#N/A</v>
        <stp/>
        <stp>BDH|6609434974584855656</stp>
        <tr r="AA49" s="17"/>
        <tr r="AA17" s="3"/>
      </tp>
      <tp t="e">
        <v>#N/A</v>
        <stp/>
        <stp>BDH|2843005332766756017</stp>
        <tr r="K79" s="18"/>
      </tp>
      <tp t="e">
        <v>#N/A</v>
        <stp/>
        <stp>BDH|8555831452546920414</stp>
        <tr r="O39" s="17"/>
      </tp>
      <tp t="e">
        <v>#N/A</v>
        <stp/>
        <stp>BDH|6779951288243048367</stp>
        <tr r="V28" s="22"/>
      </tp>
      <tp t="e">
        <v>#N/A</v>
        <stp/>
        <stp>BDH|3085709629698722922</stp>
        <tr r="P27" s="18"/>
      </tp>
      <tp t="e">
        <v>#N/A</v>
        <stp/>
        <stp>BDH|8647285506028409506</stp>
        <tr r="Q129" s="18"/>
      </tp>
      <tp t="e">
        <v>#N/A</v>
        <stp/>
        <stp>BDH|3836069423383771568</stp>
        <tr r="K71" s="18"/>
      </tp>
      <tp t="e">
        <v>#N/A</v>
        <stp/>
        <stp>BDH|8882917567700397018</stp>
        <tr r="X36" s="10"/>
        <tr r="X34" s="11"/>
      </tp>
      <tp t="e">
        <v>#N/A</v>
        <stp/>
        <stp>BDH|1163688861192561410</stp>
        <tr r="Y8" s="4"/>
      </tp>
      <tp t="e">
        <v>#N/A</v>
        <stp/>
        <stp>BDH|9786505473224861801</stp>
        <tr r="Y49" s="17"/>
        <tr r="Y17" s="3"/>
      </tp>
      <tp t="e">
        <v>#N/A</v>
        <stp/>
        <stp>BDH|1588992385353101441</stp>
        <tr r="U63" s="21"/>
        <tr r="S23" s="7"/>
      </tp>
      <tp t="e">
        <v>#N/A</v>
        <stp/>
        <stp>BDH|6616352466146882211</stp>
        <tr r="X25" s="3"/>
      </tp>
      <tp t="e">
        <v>#N/A</v>
        <stp/>
        <stp>BDH|6856811197392048228</stp>
        <tr r="P13" s="7"/>
      </tp>
      <tp t="e">
        <v>#N/A</v>
        <stp/>
        <stp>BDH|8113240833076923838</stp>
        <tr r="F87" s="17"/>
        <tr r="F27" s="25"/>
      </tp>
      <tp t="e">
        <v>#N/A</v>
        <stp/>
        <stp>BDH|1199997033254225855</stp>
        <tr r="G62" s="21"/>
      </tp>
      <tp t="e">
        <v>#N/A</v>
        <stp/>
        <stp>BDH|5845396599758595016</stp>
        <tr r="S49" s="21"/>
      </tp>
      <tp t="e">
        <v>#N/A</v>
        <stp/>
        <stp>BDH|5586791957067728701</stp>
        <tr r="V21" s="11"/>
      </tp>
      <tp t="e">
        <v>#N/A</v>
        <stp/>
        <stp>BDH|9308852571605397487</stp>
        <tr r="T68" s="24"/>
      </tp>
      <tp t="e">
        <v>#N/A</v>
        <stp/>
        <stp>BDH|8233063392842808425</stp>
        <tr r="H24" s="21"/>
      </tp>
      <tp t="e">
        <v>#N/A</v>
        <stp/>
        <stp>BDH|8130054785003488492</stp>
        <tr r="D8" s="4"/>
      </tp>
      <tp t="e">
        <v>#N/A</v>
        <stp/>
        <stp>BDH|7211488700446738213</stp>
        <tr r="F63" s="24"/>
      </tp>
      <tp t="e">
        <v>#N/A</v>
        <stp/>
        <stp>BDH|4852284351886928247</stp>
        <tr r="K33" s="13"/>
      </tp>
      <tp t="e">
        <v>#N/A</v>
        <stp/>
        <stp>BDH|1003857729898992499</stp>
        <tr r="M14" s="23"/>
      </tp>
      <tp t="e">
        <v>#N/A</v>
        <stp/>
        <stp>BDH|1823230781879075563</stp>
        <tr r="AA30" s="29"/>
        <tr r="AA8" s="29"/>
      </tp>
      <tp t="e">
        <v>#N/A</v>
        <stp/>
        <stp>BDH|8029560349916256810</stp>
        <tr r="W36" s="21"/>
      </tp>
      <tp t="e">
        <v>#N/A</v>
        <stp/>
        <stp>BDH|4720485453615501740</stp>
        <tr r="P33" s="6"/>
        <tr r="R6" s="8"/>
      </tp>
      <tp t="e">
        <v>#N/A</v>
        <stp/>
        <stp>BDH|1026593529528877952</stp>
        <tr r="R13" s="18"/>
      </tp>
      <tp t="e">
        <v>#N/A</v>
        <stp/>
        <stp>BDH|7855144104013762226</stp>
        <tr r="R6" s="6"/>
      </tp>
      <tp t="e">
        <v>#N/A</v>
        <stp/>
        <stp>BDH|8353106943032410893</stp>
        <tr r="E38" s="22"/>
      </tp>
      <tp t="e">
        <v>#N/A</v>
        <stp/>
        <stp>BDH|2180770735191682081</stp>
        <tr r="X21" s="26"/>
      </tp>
      <tp t="e">
        <v>#N/A</v>
        <stp/>
        <stp>BDH|8302233879862292862</stp>
        <tr r="X68" s="24"/>
      </tp>
      <tp t="e">
        <v>#N/A</v>
        <stp/>
        <stp>BDH|1817717072451077766</stp>
        <tr r="Y17" s="11"/>
      </tp>
      <tp t="e">
        <v>#N/A</v>
        <stp/>
        <stp>BDH|9277482334511552866</stp>
        <tr r="W18" s="18"/>
      </tp>
      <tp t="e">
        <v>#N/A</v>
        <stp/>
        <stp>BDH|8248261919299405544</stp>
        <tr r="W65" s="10"/>
      </tp>
      <tp t="e">
        <v>#N/A</v>
        <stp/>
        <stp>BDH|5558592815013535516</stp>
        <tr r="T25" s="25"/>
        <tr r="T18" s="27"/>
      </tp>
      <tp t="e">
        <v>#N/A</v>
        <stp/>
        <stp>BDH|6920917282605044575</stp>
        <tr r="T11" s="18"/>
      </tp>
      <tp t="e">
        <v>#N/A</v>
        <stp/>
        <stp>BDH|1915834095601003627</stp>
        <tr r="J9" s="2"/>
        <tr r="L8" s="25"/>
        <tr r="J10" s="5"/>
      </tp>
      <tp t="e">
        <v>#N/A</v>
        <stp/>
        <stp>BDH|2366642256043973555</stp>
        <tr r="K68" s="18"/>
      </tp>
      <tp t="e">
        <v>#N/A</v>
        <stp/>
        <stp>BDH|9236022887426959039</stp>
        <tr r="I124" s="18"/>
      </tp>
      <tp t="e">
        <v>#N/A</v>
        <stp/>
        <stp>BDH|3994716077987779359</stp>
        <tr r="U6" s="15"/>
        <tr r="U12" s="2"/>
        <tr r="U11" s="4"/>
        <tr r="U6" s="10"/>
      </tp>
      <tp t="e">
        <v>#N/A</v>
        <stp/>
        <stp>BDH|5783065105677970507</stp>
        <tr r="R31" s="22"/>
      </tp>
      <tp t="e">
        <v>#N/A</v>
        <stp/>
        <stp>BDH|2397891860318609310</stp>
        <tr r="T22" s="17"/>
      </tp>
      <tp t="e">
        <v>#N/A</v>
        <stp/>
        <stp>BDH|4187990094515614677</stp>
        <tr r="P65" s="12"/>
      </tp>
      <tp t="e">
        <v>#N/A</v>
        <stp/>
        <stp>BDH|5348541752533884103</stp>
        <tr r="Q10" s="26"/>
      </tp>
      <tp t="e">
        <v>#N/A</v>
        <stp/>
        <stp>BDH|9703140793326995047</stp>
        <tr r="L132" s="18"/>
      </tp>
      <tp t="e">
        <v>#N/A</v>
        <stp/>
        <stp>BDH|7741146198791192970</stp>
        <tr r="H24" s="4"/>
        <tr r="H59" s="11"/>
      </tp>
      <tp t="e">
        <v>#N/A</v>
        <stp/>
        <stp>BDH|1461699603948386800</stp>
        <tr r="T24" s="11"/>
      </tp>
      <tp t="e">
        <v>#N/A</v>
        <stp/>
        <stp>BDH|2111835199883549736</stp>
        <tr r="S41" s="21"/>
      </tp>
      <tp t="e">
        <v>#N/A</v>
        <stp/>
        <stp>BDH|1405689841947995397</stp>
        <tr r="U39" s="18"/>
      </tp>
      <tp t="e">
        <v>#N/A</v>
        <stp/>
        <stp>BDH|6055114912358987974</stp>
        <tr r="Q80" s="18"/>
      </tp>
      <tp t="e">
        <v>#N/A</v>
        <stp/>
        <stp>BDH|8859806817184096225</stp>
        <tr r="Q26" s="22"/>
      </tp>
      <tp t="e">
        <v>#N/A</v>
        <stp/>
        <stp>BDH|8705042721905336839</stp>
        <tr r="L63" s="18"/>
      </tp>
      <tp t="e">
        <v>#N/A</v>
        <stp/>
        <stp>BDH|4714657800414038100</stp>
        <tr r="O10" s="23"/>
      </tp>
      <tp t="e">
        <v>#N/A</v>
        <stp/>
        <stp>BDH|6317020805069019861</stp>
        <tr r="Y45" s="17"/>
      </tp>
      <tp t="e">
        <v>#N/A</v>
        <stp/>
        <stp>BDH|2090400503913572244</stp>
        <tr r="W42" s="17"/>
      </tp>
      <tp t="e">
        <v>#N/A</v>
        <stp/>
        <stp>BDH|9178548151967032966</stp>
        <tr r="K16" s="17"/>
        <tr r="K19" s="28"/>
      </tp>
      <tp t="e">
        <v>#N/A</v>
        <stp/>
        <stp>BDH|9837552314673304985</stp>
        <tr r="L125" s="18"/>
      </tp>
      <tp t="e">
        <v>#N/A</v>
        <stp/>
        <stp>BDH|2287443501851445015</stp>
        <tr r="F15" s="29"/>
        <tr r="F35" s="29"/>
      </tp>
      <tp t="e">
        <v>#N/A</v>
        <stp/>
        <stp>BDH|3069805450741355814</stp>
        <tr r="X9" s="18"/>
      </tp>
      <tp t="e">
        <v>#N/A</v>
        <stp/>
        <stp>BDH|9816201115734679995</stp>
        <tr r="X42" s="21"/>
      </tp>
      <tp t="e">
        <v>#N/A</v>
        <stp/>
        <stp>BDH|3129523602170301105</stp>
        <tr r="F120" s="18"/>
      </tp>
      <tp t="e">
        <v>#N/A</v>
        <stp/>
        <stp>BDH|6960151355475861031</stp>
        <tr r="Q32" s="12"/>
      </tp>
      <tp t="e">
        <v>#N/A</v>
        <stp/>
        <stp>BDH|4248450762134540525</stp>
        <tr r="E22" s="9"/>
      </tp>
      <tp t="e">
        <v>#N/A</v>
        <stp/>
        <stp>BDH|4987663444871969002</stp>
        <tr r="K31" s="12"/>
      </tp>
      <tp t="e">
        <v>#N/A</v>
        <stp/>
        <stp>BDH|3062217700444152226</stp>
        <tr r="E30" s="9"/>
      </tp>
      <tp t="e">
        <v>#N/A</v>
        <stp/>
        <stp>BDH|3449176120071704664</stp>
        <tr r="X12" s="22"/>
      </tp>
      <tp t="e">
        <v>#N/A</v>
        <stp/>
        <stp>BDH|3949539275451819751</stp>
        <tr r="S69" s="24"/>
      </tp>
      <tp t="e">
        <v>#N/A</v>
        <stp/>
        <stp>BDH|1585185157583196199</stp>
        <tr r="F15" s="4"/>
      </tp>
      <tp t="e">
        <v>#N/A</v>
        <stp/>
        <stp>BDH|6322069943237583219</stp>
        <tr r="D12" s="22"/>
      </tp>
      <tp t="e">
        <v>#N/A</v>
        <stp/>
        <stp>BDH|8194131252232543975</stp>
        <tr r="G17" s="13"/>
      </tp>
      <tp t="e">
        <v>#N/A</v>
        <stp/>
        <stp>BDH|1796685943517820360</stp>
        <tr r="I107" s="18"/>
      </tp>
      <tp t="e">
        <v>#N/A</v>
        <stp/>
        <stp>BDH|4302278656054217023</stp>
        <tr r="F19" s="22"/>
      </tp>
      <tp t="e">
        <v>#N/A</v>
        <stp/>
        <stp>BDH|3580875887295051170</stp>
        <tr r="S13" s="7"/>
      </tp>
      <tp t="e">
        <v>#N/A</v>
        <stp/>
        <stp>BDH|3042742945887220016</stp>
        <tr r="U38" s="10"/>
        <tr r="U36" s="11"/>
      </tp>
      <tp t="e">
        <v>#N/A</v>
        <stp/>
        <stp>BDH|3950397205340481734</stp>
        <tr r="P39" s="6"/>
      </tp>
      <tp t="e">
        <v>#N/A</v>
        <stp/>
        <stp>BDH|2017581630563999031</stp>
        <tr r="D28" s="5"/>
      </tp>
      <tp t="e">
        <v>#N/A</v>
        <stp/>
        <stp>BDH|6699780169523051354</stp>
        <tr r="P118" s="18"/>
      </tp>
      <tp t="e">
        <v>#N/A</v>
        <stp/>
        <stp>BDH|1696051041245117717</stp>
        <tr r="M52" s="24"/>
      </tp>
      <tp t="e">
        <v>#N/A</v>
        <stp/>
        <stp>BDH|4080742403257444310</stp>
        <tr r="N30" s="29"/>
        <tr r="N8" s="29"/>
      </tp>
      <tp t="e">
        <v>#N/A</v>
        <stp/>
        <stp>BDH|1734237407854752065</stp>
        <tr r="D27" s="24"/>
      </tp>
      <tp t="e">
        <v>#N/A</v>
        <stp/>
        <stp>BDH|1132036746924331650</stp>
        <tr r="I24" s="18"/>
      </tp>
      <tp t="e">
        <v>#N/A</v>
        <stp/>
        <stp>BDH|1420048872573199219</stp>
        <tr r="T24" s="10"/>
      </tp>
      <tp t="e">
        <v>#N/A</v>
        <stp/>
        <stp>BDH|8156526551789186613</stp>
        <tr r="X123" s="18"/>
      </tp>
      <tp t="e">
        <v>#N/A</v>
        <stp/>
        <stp>BDH|2600366212602987596</stp>
        <tr r="D20" s="23"/>
      </tp>
      <tp t="e">
        <v>#N/A</v>
        <stp/>
        <stp>BDH|5795082831189530897</stp>
        <tr r="Y82" s="17"/>
      </tp>
      <tp t="e">
        <v>#N/A</v>
        <stp/>
        <stp>BDH|8179998219350729740</stp>
        <tr r="J43" s="18"/>
      </tp>
      <tp t="e">
        <v>#N/A</v>
        <stp/>
        <stp>BDH|4723542948805044792</stp>
        <tr r="F13" s="20"/>
      </tp>
      <tp t="e">
        <v>#N/A</v>
        <stp/>
        <stp>BDH|8758782726609252385</stp>
        <tr r="N13" s="5"/>
      </tp>
      <tp t="e">
        <v>#N/A</v>
        <stp/>
        <stp>BDH|3479015713555164041</stp>
        <tr r="E49" s="21"/>
      </tp>
      <tp t="e">
        <v>#N/A</v>
        <stp/>
        <stp>BDH|7729631720322075677</stp>
        <tr r="T48" s="12"/>
      </tp>
      <tp t="e">
        <v>#N/A</v>
        <stp/>
        <stp>BDH|3013201724680355440</stp>
        <tr r="N20" s="29"/>
      </tp>
      <tp t="e">
        <v>#N/A</v>
        <stp/>
        <stp>BDH|2087439062151150637</stp>
        <tr r="R117" s="18"/>
      </tp>
      <tp t="e">
        <v>#N/A</v>
        <stp/>
        <stp>BDH|2278308822862306602</stp>
        <tr r="AA55" s="17"/>
      </tp>
      <tp t="e">
        <v>#N/A</v>
        <stp/>
        <stp>BDH|7618932553914094856</stp>
        <tr r="E24" s="17"/>
      </tp>
      <tp t="e">
        <v>#N/A</v>
        <stp/>
        <stp>BDH|4277714763731066336</stp>
        <tr r="R9" s="11"/>
      </tp>
      <tp t="e">
        <v>#N/A</v>
        <stp/>
        <stp>BDH|9511673293609430863</stp>
        <tr r="Q31" s="22"/>
      </tp>
      <tp t="e">
        <v>#N/A</v>
        <stp/>
        <stp>BDH|6393440774837729577</stp>
        <tr r="V37" s="24"/>
      </tp>
      <tp t="e">
        <v>#N/A</v>
        <stp/>
        <stp>BDH|6996702815856675190</stp>
        <tr r="W67" s="18"/>
      </tp>
      <tp t="e">
        <v>#N/A</v>
        <stp/>
        <stp>BDH|8483759690489383819</stp>
        <tr r="H43" s="24"/>
      </tp>
      <tp t="e">
        <v>#N/A</v>
        <stp/>
        <stp>BDH|5690470355240154369</stp>
        <tr r="T42" s="18"/>
      </tp>
      <tp t="e">
        <v>#N/A</v>
        <stp/>
        <stp>BDH|4356186548030415644</stp>
        <tr r="Q50" s="21"/>
      </tp>
      <tp t="e">
        <v>#N/A</v>
        <stp/>
        <stp>BDH|5177176310761242374</stp>
        <tr r="F16" s="30"/>
      </tp>
      <tp t="e">
        <v>#N/A</v>
        <stp/>
        <stp>BDH|9612700167286244901</stp>
        <tr r="V43" s="4"/>
      </tp>
      <tp t="e">
        <v>#N/A</v>
        <stp/>
        <stp>BDH|4727698758610545001</stp>
        <tr r="V105" s="18"/>
      </tp>
      <tp t="e">
        <v>#N/A</v>
        <stp/>
        <stp>BDH|1552164760692567358</stp>
        <tr r="W6" s="15"/>
        <tr r="W12" s="2"/>
        <tr r="W11" s="4"/>
        <tr r="W6" s="10"/>
      </tp>
      <tp t="e">
        <v>#N/A</v>
        <stp/>
        <stp>BDH|5205605234667735028</stp>
        <tr r="R29" s="12"/>
      </tp>
      <tp t="e">
        <v>#N/A</v>
        <stp/>
        <stp>BDH|2549500947703335728</stp>
        <tr r="M15" s="13"/>
      </tp>
      <tp t="e">
        <v>#N/A</v>
        <stp/>
        <stp>BDH|3743289375568823912</stp>
        <tr r="U20" s="27"/>
      </tp>
      <tp t="e">
        <v>#N/A</v>
        <stp/>
        <stp>BDH|2432406593320184856</stp>
        <tr r="N30" s="22"/>
      </tp>
      <tp t="e">
        <v>#N/A</v>
        <stp/>
        <stp>BDH|2599942213165373826</stp>
        <tr r="U26" s="22"/>
      </tp>
      <tp t="e">
        <v>#N/A</v>
        <stp/>
        <stp>BDH|2539039519916818248</stp>
        <tr r="Z27" s="21"/>
      </tp>
      <tp t="e">
        <v>#N/A</v>
        <stp/>
        <stp>BDH|8174363791807154243</stp>
        <tr r="V47" s="12"/>
      </tp>
      <tp t="e">
        <v>#N/A</v>
        <stp/>
        <stp>BDH|9699938824586466368</stp>
        <tr r="T90" s="18"/>
      </tp>
      <tp t="e">
        <v>#N/A</v>
        <stp/>
        <stp>BDH|5742677017036074349</stp>
        <tr r="Y24" s="10"/>
      </tp>
      <tp t="e">
        <v>#N/A</v>
        <stp/>
        <stp>BDH|4379714863501194333</stp>
        <tr r="Q53" s="18"/>
      </tp>
      <tp t="e">
        <v>#N/A</v>
        <stp/>
        <stp>BDH|2291580338102515145</stp>
        <tr r="W49" s="4"/>
      </tp>
      <tp t="e">
        <v>#N/A</v>
        <stp/>
        <stp>BDH|1469595409247486435</stp>
        <tr r="C52" s="21"/>
      </tp>
      <tp t="e">
        <v>#N/A</v>
        <stp/>
        <stp>BDH|8882342659161431827</stp>
        <tr r="U29" s="18"/>
      </tp>
      <tp t="e">
        <v>#N/A</v>
        <stp/>
        <stp>BDH|2777447066230153779</stp>
        <tr r="K122" s="18"/>
      </tp>
      <tp t="e">
        <v>#N/A</v>
        <stp/>
        <stp>BDH|8716146977489070045</stp>
        <tr r="O14" s="22"/>
      </tp>
      <tp t="e">
        <v>#N/A</v>
        <stp/>
        <stp>BDH|4611784165766806433</stp>
        <tr r="R11" s="6"/>
      </tp>
      <tp t="e">
        <v>#N/A</v>
        <stp/>
        <stp>BDH|6975591750318972993</stp>
        <tr r="X66" s="18"/>
      </tp>
      <tp t="e">
        <v>#N/A</v>
        <stp/>
        <stp>BDH|7743416053526112747</stp>
        <tr r="D8" s="12"/>
      </tp>
      <tp t="e">
        <v>#N/A</v>
        <stp/>
        <stp>BDH|5957204518592519345</stp>
        <tr r="U16" s="25"/>
        <tr r="S22" s="11"/>
      </tp>
      <tp t="e">
        <v>#N/A</v>
        <stp/>
        <stp>BDH|1740209902052144649</stp>
        <tr r="U63" s="24"/>
      </tp>
      <tp t="e">
        <v>#N/A</v>
        <stp/>
        <stp>BDH|6342161910892064358</stp>
        <tr r="H81" s="17"/>
      </tp>
      <tp t="e">
        <v>#N/A</v>
        <stp/>
        <stp>BDH|7557910753708066477</stp>
        <tr r="R81" s="18"/>
      </tp>
      <tp t="e">
        <v>#N/A</v>
        <stp/>
        <stp>BDH|7511116294428220022</stp>
        <tr r="U104" s="18"/>
      </tp>
      <tp t="e">
        <v>#N/A</v>
        <stp/>
        <stp>BDH|3160226954533245053</stp>
        <tr r="N130" s="18"/>
      </tp>
      <tp t="e">
        <v>#N/A</v>
        <stp/>
        <stp>BDH|9238747300011738812</stp>
        <tr r="X23" s="9"/>
      </tp>
      <tp t="e">
        <v>#N/A</v>
        <stp/>
        <stp>BDH|4961579176743849209</stp>
        <tr r="J8" s="24"/>
      </tp>
      <tp t="e">
        <v>#N/A</v>
        <stp/>
        <stp>BDH|1699507269805803073</stp>
        <tr r="S13" s="24"/>
      </tp>
      <tp t="e">
        <v>#N/A</v>
        <stp/>
        <stp>BDH|3233401525220071273</stp>
        <tr r="Y41" s="24"/>
      </tp>
      <tp t="e">
        <v>#N/A</v>
        <stp/>
        <stp>BDH|7842514629745475244</stp>
        <tr r="C12" s="14"/>
      </tp>
      <tp t="e">
        <v>#N/A</v>
        <stp/>
        <stp>BDH|4681806482171735238</stp>
        <tr r="J58" s="21"/>
        <tr r="J30" s="25"/>
        <tr r="H31" s="4"/>
        <tr r="H56" s="11"/>
      </tp>
      <tp t="e">
        <v>#N/A</v>
        <stp/>
        <stp>BDH|4748616347714732562</stp>
        <tr r="M73" s="17"/>
        <tr r="K9" s="5"/>
        <tr r="K9" s="9"/>
      </tp>
      <tp t="e">
        <v>#N/A</v>
        <stp/>
        <stp>BDH|3236130468091118285</stp>
        <tr r="N7" s="11"/>
      </tp>
      <tp t="e">
        <v>#N/A</v>
        <stp/>
        <stp>BDH|2537680483252943973</stp>
        <tr r="S24" s="17"/>
      </tp>
      <tp t="e">
        <v>#N/A</v>
        <stp/>
        <stp>BDH|3769620733401049060</stp>
        <tr r="W13" s="2"/>
      </tp>
      <tp t="e">
        <v>#N/A</v>
        <stp/>
        <stp>BDH|8686868873380266013</stp>
        <tr r="V15" s="5"/>
      </tp>
      <tp t="e">
        <v>#N/A</v>
        <stp/>
        <stp>BDH|1294669652401053468</stp>
        <tr r="P45" s="12"/>
      </tp>
      <tp t="e">
        <v>#N/A</v>
        <stp/>
        <stp>BDH|4099459204941803690</stp>
        <tr r="F8" s="24"/>
      </tp>
      <tp t="e">
        <v>#N/A</v>
        <stp/>
        <stp>BDH|2506090216402941638</stp>
        <tr r="E40" s="21"/>
      </tp>
      <tp t="e">
        <v>#N/A</v>
        <stp/>
        <stp>BDH|7022373674115010139</stp>
        <tr r="E45" s="34"/>
      </tp>
      <tp t="e">
        <v>#N/A</v>
        <stp/>
        <stp>BDH|6887208620611162098</stp>
        <tr r="AA30" s="24"/>
      </tp>
      <tp t="e">
        <v>#N/A</v>
        <stp/>
        <stp>BDH|8373945620695552129</stp>
        <tr r="H41" s="17"/>
      </tp>
      <tp t="e">
        <v>#N/A</v>
        <stp/>
        <stp>BDH|6762491419233460738</stp>
        <tr r="H6" s="6"/>
      </tp>
      <tp t="e">
        <v>#N/A</v>
        <stp/>
        <stp>BDH|8951591090291248229</stp>
        <tr r="U70" s="18"/>
      </tp>
      <tp t="e">
        <v>#N/A</v>
        <stp/>
        <stp>BDH|6037467237075782366</stp>
        <tr r="K9" s="12"/>
      </tp>
      <tp t="e">
        <v>#N/A</v>
        <stp/>
        <stp>BDH|1994413201904108689</stp>
        <tr r="V10" s="24"/>
      </tp>
      <tp t="e">
        <v>#N/A</v>
        <stp/>
        <stp>BDH|1533401561895357175</stp>
        <tr r="O7" s="8"/>
      </tp>
      <tp t="e">
        <v>#N/A</v>
        <stp/>
        <stp>BDH|1888050419345381279</stp>
        <tr r="G44" s="17"/>
      </tp>
      <tp t="e">
        <v>#N/A</v>
        <stp/>
        <stp>BDH|4100242627660099320</stp>
        <tr r="L121" s="18"/>
      </tp>
      <tp t="e">
        <v>#N/A</v>
        <stp/>
        <stp>BDH|8961056648083448808</stp>
        <tr r="AA45" s="21"/>
      </tp>
      <tp t="e">
        <v>#N/A</v>
        <stp/>
        <stp>BDH|9539909843780109371</stp>
        <tr r="U19" s="22"/>
      </tp>
      <tp t="e">
        <v>#N/A</v>
        <stp/>
        <stp>BDH|7926183218522085290</stp>
        <tr r="S40" s="29"/>
      </tp>
      <tp t="e">
        <v>#N/A</v>
        <stp/>
        <stp>BDH|4727865259247984912</stp>
        <tr r="N35" s="21"/>
      </tp>
      <tp t="e">
        <v>#N/A</v>
        <stp/>
        <stp>BDH|1500247563284481662</stp>
        <tr r="J28" s="25"/>
      </tp>
      <tp t="e">
        <v>#N/A</v>
        <stp/>
        <stp>BDH|3079029811616706346</stp>
        <tr r="D61" s="12"/>
      </tp>
      <tp t="e">
        <v>#N/A</v>
        <stp/>
        <stp>BDH|9646539089281928253</stp>
        <tr r="Z24" s="21"/>
      </tp>
      <tp t="e">
        <v>#N/A</v>
        <stp/>
        <stp>BDH|9240761315099857181</stp>
        <tr r="H45" s="17"/>
      </tp>
      <tp t="e">
        <v>#N/A</v>
        <stp/>
        <stp>BDH|2690467104941711026</stp>
        <tr r="E45" s="17"/>
      </tp>
      <tp t="e">
        <v>#N/A</v>
        <stp/>
        <stp>BDH|7977394444352681538</stp>
        <tr r="P37" s="24"/>
      </tp>
      <tp t="e">
        <v>#N/A</v>
        <stp/>
        <stp>BDH|2944562233056570581</stp>
        <tr r="W27" s="21"/>
      </tp>
      <tp t="e">
        <v>#N/A</v>
        <stp/>
        <stp>BDH|2263378584806459843</stp>
        <tr r="H9" s="28"/>
      </tp>
      <tp t="e">
        <v>#N/A</v>
        <stp/>
        <stp>BDH|1199422326099595911</stp>
        <tr r="S107" s="18"/>
      </tp>
      <tp t="e">
        <v>#N/A</v>
        <stp/>
        <stp>BDH|9302821083536018836</stp>
        <tr r="K8" s="34"/>
      </tp>
      <tp t="e">
        <v>#N/A</v>
        <stp/>
        <stp>BDH|2931913199490552552</stp>
        <tr r="Q60" s="10"/>
      </tp>
      <tp t="e">
        <v>#N/A</v>
        <stp/>
        <stp>BDH|3676544930182677057</stp>
        <tr r="J60" s="18"/>
      </tp>
      <tp t="e">
        <v>#N/A</v>
        <stp/>
        <stp>BDH|5400011382472519836</stp>
        <tr r="F30" s="26"/>
      </tp>
      <tp t="e">
        <v>#N/A</v>
        <stp/>
        <stp>BDH|3120555930764556607</stp>
        <tr r="X24" s="22"/>
      </tp>
      <tp t="e">
        <v>#N/A</v>
        <stp/>
        <stp>BDH|8680348555199457026</stp>
        <tr r="M26" s="10"/>
      </tp>
      <tp t="e">
        <v>#N/A</v>
        <stp/>
        <stp>BDH|4003066418964796683</stp>
        <tr r="U15" s="4"/>
      </tp>
      <tp t="e">
        <v>#N/A</v>
        <stp/>
        <stp>BDH|2814620403982955118</stp>
        <tr r="Q33" s="13"/>
      </tp>
      <tp t="e">
        <v>#N/A</v>
        <stp/>
        <stp>BDH|3557719521855658424</stp>
        <tr r="N20" s="20"/>
      </tp>
      <tp t="e">
        <v>#N/A</v>
        <stp/>
        <stp>BDH|1790544668290824528</stp>
        <tr r="G32" s="22"/>
      </tp>
      <tp t="e">
        <v>#N/A</v>
        <stp/>
        <stp>BDH|5850195414711055346</stp>
        <tr r="J123" s="18"/>
      </tp>
      <tp t="e">
        <v>#N/A</v>
        <stp/>
        <stp>BDH|6752362540617544151</stp>
        <tr r="K8" s="22"/>
      </tp>
      <tp t="e">
        <v>#N/A</v>
        <stp/>
        <stp>BDH|8275463282646200556</stp>
        <tr r="F12" s="24"/>
      </tp>
      <tp t="e">
        <v>#N/A</v>
        <stp/>
        <stp>BDH|4887921781122974038</stp>
        <tr r="X47" s="21"/>
      </tp>
      <tp t="e">
        <v>#N/A</v>
        <stp/>
        <stp>BDH|5478818845857853995</stp>
        <tr r="O45" s="4"/>
        <tr r="O27" s="10"/>
        <tr r="O25" s="11"/>
        <tr r="Q26" s="13"/>
      </tp>
      <tp t="e">
        <v>#N/A</v>
        <stp/>
        <stp>BDH|2359853787225532051</stp>
        <tr r="W50" s="21"/>
      </tp>
      <tp t="e">
        <v>#N/A</v>
        <stp/>
        <stp>BDH|4259045523099306879</stp>
        <tr r="Y84" s="18"/>
      </tp>
      <tp t="e">
        <v>#N/A</v>
        <stp/>
        <stp>BDH|5177124538769258988</stp>
        <tr r="V26" s="22"/>
      </tp>
      <tp t="e">
        <v>#N/A</v>
        <stp/>
        <stp>BDH|4707725771667282471</stp>
        <tr r="H114" s="18"/>
      </tp>
      <tp t="e">
        <v>#N/A</v>
        <stp/>
        <stp>BDH|3134330023853847685</stp>
        <tr r="L68" s="17"/>
      </tp>
      <tp t="e">
        <v>#N/A</v>
        <stp/>
        <stp>BDH|1204021927786092265</stp>
        <tr r="Z65" s="12"/>
      </tp>
      <tp t="e">
        <v>#N/A</v>
        <stp/>
        <stp>BDH|8333005080767283004</stp>
        <tr r="D126" s="18"/>
      </tp>
      <tp t="e">
        <v>#N/A</v>
        <stp/>
        <stp>BDH|7443553437541590726</stp>
        <tr r="S18" s="9"/>
      </tp>
      <tp t="e">
        <v>#N/A</v>
        <stp/>
        <stp>BDH|6009733310816130134</stp>
        <tr r="D122" s="18"/>
      </tp>
      <tp t="e">
        <v>#N/A</v>
        <stp/>
        <stp>BDH|1915904275408576089</stp>
        <tr r="G29" s="18"/>
      </tp>
      <tp t="e">
        <v>#N/A</v>
        <stp/>
        <stp>BDH|8620974653806405571</stp>
        <tr r="I14" s="28"/>
      </tp>
      <tp t="e">
        <v>#N/A</v>
        <stp/>
        <stp>BDH|7658976617339097176</stp>
        <tr r="L31" s="24"/>
      </tp>
      <tp t="e">
        <v>#N/A</v>
        <stp/>
        <stp>BDH|7313438252010506167</stp>
        <tr r="C21" s="17"/>
        <tr r="C15" s="3"/>
      </tp>
      <tp t="e">
        <v>#N/A</v>
        <stp/>
        <stp>BDH|4110558310217623037</stp>
        <tr r="J28" s="6"/>
      </tp>
      <tp t="e">
        <v>#N/A</v>
        <stp/>
        <stp>BDH|6450460759604396494</stp>
        <tr r="C65" s="12"/>
      </tp>
      <tp t="e">
        <v>#N/A</v>
        <stp/>
        <stp>BDH|9254543777519446536</stp>
        <tr r="I33" s="17"/>
      </tp>
      <tp t="e">
        <v>#N/A</v>
        <stp/>
        <stp>BDH|5424136424307376661</stp>
        <tr r="Y58" s="24"/>
      </tp>
      <tp t="e">
        <v>#N/A</v>
        <stp/>
        <stp>BDH|9376905935633652760</stp>
        <tr r="V13" s="10"/>
      </tp>
      <tp t="e">
        <v>#N/A</v>
        <stp/>
        <stp>BDH|7900221808320310262</stp>
        <tr r="AA68" s="18"/>
      </tp>
      <tp t="e">
        <v>#N/A</v>
        <stp/>
        <stp>BDH|5566036127091557125</stp>
        <tr r="E24" s="2"/>
      </tp>
      <tp t="e">
        <v>#N/A</v>
        <stp/>
        <stp>BDH|9655672663077047940</stp>
        <tr r="U39" s="12"/>
      </tp>
      <tp t="e">
        <v>#N/A</v>
        <stp/>
        <stp>BDH|6374624860421003072</stp>
        <tr r="T6" s="28"/>
      </tp>
      <tp t="e">
        <v>#N/A</v>
        <stp/>
        <stp>BDH|3779087987464609881</stp>
        <tr r="O31" s="25"/>
      </tp>
      <tp t="e">
        <v>#N/A</v>
        <stp/>
        <stp>BDH|3848690941507059161</stp>
        <tr r="S26" s="12"/>
      </tp>
      <tp t="e">
        <v>#N/A</v>
        <stp/>
        <stp>BDH|4805799527845223327</stp>
        <tr r="N30" s="34"/>
      </tp>
      <tp t="e">
        <v>#N/A</v>
        <stp/>
        <stp>BDH|6810474801150832500</stp>
        <tr r="O7" s="34"/>
      </tp>
      <tp t="e">
        <v>#N/A</v>
        <stp/>
        <stp>BDH|9111559801249247219</stp>
        <tr r="N11" s="29"/>
      </tp>
      <tp t="e">
        <v>#N/A</v>
        <stp/>
        <stp>BDH|9969216098090746512</stp>
        <tr r="T35" s="4"/>
      </tp>
      <tp t="e">
        <v>#N/A</v>
        <stp/>
        <stp>BDH|9463429548846885809</stp>
        <tr r="Z24" s="29"/>
      </tp>
      <tp t="e">
        <v>#N/A</v>
        <stp/>
        <stp>BDH|6424085021062252194</stp>
        <tr r="I7" s="17"/>
      </tp>
      <tp t="e">
        <v>#N/A</v>
        <stp/>
        <stp>BDH|7341234631369013874</stp>
        <tr r="I18" s="23"/>
      </tp>
      <tp t="e">
        <v>#N/A</v>
        <stp/>
        <stp>BDH|3451734731564679465</stp>
        <tr r="K108" s="18"/>
      </tp>
      <tp t="e">
        <v>#N/A</v>
        <stp/>
        <stp>BDH|6986827797752820223</stp>
        <tr r="N68" s="18"/>
      </tp>
      <tp t="e">
        <v>#N/A</v>
        <stp/>
        <stp>BDH|1933083180849240755</stp>
        <tr r="E19" s="24"/>
      </tp>
      <tp t="e">
        <v>#N/A</v>
        <stp/>
        <stp>BDH|3617409357167638213</stp>
        <tr r="S17" s="24"/>
      </tp>
      <tp t="e">
        <v>#N/A</v>
        <stp/>
        <stp>BDH|2825308129231782508</stp>
        <tr r="AA33" s="13"/>
      </tp>
      <tp t="e">
        <v>#N/A</v>
        <stp/>
        <stp>BDH|2246488702760844167</stp>
        <tr r="AA115" s="18"/>
      </tp>
      <tp t="e">
        <v>#N/A</v>
        <stp/>
        <stp>BDH|9141745747314229968</stp>
        <tr r="U15" s="11"/>
      </tp>
      <tp t="e">
        <v>#N/A</v>
        <stp/>
        <stp>BDH|5903989547086344936</stp>
        <tr r="N68" s="17"/>
      </tp>
      <tp t="e">
        <v>#N/A</v>
        <stp/>
        <stp>BDH|6764092715267881754</stp>
        <tr r="P22" s="27"/>
      </tp>
      <tp t="e">
        <v>#N/A</v>
        <stp/>
        <stp>BDH|7397936426749577252</stp>
        <tr r="U33" s="18"/>
      </tp>
      <tp t="e">
        <v>#N/A</v>
        <stp/>
        <stp>BDH|2981638142125952278</stp>
        <tr r="W8" s="23"/>
      </tp>
      <tp t="e">
        <v>#N/A</v>
        <stp/>
        <stp>BDH|7930791847423022018</stp>
        <tr r="X13" s="20"/>
      </tp>
      <tp t="e">
        <v>#N/A</v>
        <stp/>
        <stp>BDH|8437041326035840888</stp>
        <tr r="H58" s="18"/>
      </tp>
      <tp t="e">
        <v>#N/A</v>
        <stp/>
        <stp>BDH|8319727953975476806</stp>
        <tr r="H35" s="21"/>
      </tp>
      <tp t="e">
        <v>#N/A</v>
        <stp/>
        <stp>BDH|7745106916917738719</stp>
        <tr r="G23" s="24"/>
      </tp>
      <tp t="e">
        <v>#N/A</v>
        <stp/>
        <stp>BDH|4435673336396131031</stp>
        <tr r="K69" s="18"/>
      </tp>
      <tp t="e">
        <v>#N/A</v>
        <stp/>
        <stp>BDH|3249062157389160853</stp>
        <tr r="N9" s="23"/>
      </tp>
      <tp t="e">
        <v>#N/A</v>
        <stp/>
        <stp>BDH|7044440254088156961</stp>
        <tr r="R9" s="2"/>
        <tr r="T8" s="25"/>
        <tr r="R10" s="5"/>
      </tp>
      <tp t="e">
        <v>#N/A</v>
        <stp/>
        <stp>BDH|2259319766519705959</stp>
        <tr r="W31" s="25"/>
      </tp>
      <tp t="e">
        <v>#N/A</v>
        <stp/>
        <stp>BDH|9649866821670329455</stp>
        <tr r="X15" s="20"/>
      </tp>
      <tp t="e">
        <v>#N/A</v>
        <stp/>
        <stp>BDH|5042666774154636732</stp>
        <tr r="D45" s="4"/>
        <tr r="D27" s="10"/>
        <tr r="D25" s="11"/>
        <tr r="F26" s="13"/>
      </tp>
      <tp t="e">
        <v>#N/A</v>
        <stp/>
        <stp>BDH|2515411244672600713</stp>
        <tr r="X25" s="25"/>
        <tr r="X18" s="27"/>
      </tp>
      <tp t="e">
        <v>#N/A</v>
        <stp/>
        <stp>BDH|8364242688137110291</stp>
        <tr r="T17" s="23"/>
      </tp>
      <tp t="e">
        <v>#N/A</v>
        <stp/>
        <stp>BDH|6285868150545462976</stp>
        <tr r="O45" s="34"/>
      </tp>
      <tp t="e">
        <v>#N/A</v>
        <stp/>
        <stp>BDH|5357596111593957556</stp>
        <tr r="G29" s="9"/>
      </tp>
      <tp t="e">
        <v>#N/A</v>
        <stp/>
        <stp>BDH|6587458104945348008</stp>
        <tr r="G104" s="18"/>
      </tp>
      <tp t="e">
        <v>#N/A</v>
        <stp/>
        <stp>BDH|3097284798728797707</stp>
        <tr r="X27" s="5"/>
        <tr r="X28" s="9"/>
      </tp>
      <tp t="e">
        <v>#N/A</v>
        <stp/>
        <stp>BDH|4873186507720102212</stp>
        <tr r="Z48" s="17"/>
      </tp>
      <tp t="e">
        <v>#N/A</v>
        <stp/>
        <stp>BDH|6079716973175453412</stp>
        <tr r="S29" s="22"/>
      </tp>
      <tp t="e">
        <v>#N/A</v>
        <stp/>
        <stp>BDH|3601762327375453443</stp>
        <tr r="S13" s="6"/>
      </tp>
      <tp t="e">
        <v>#N/A</v>
        <stp/>
        <stp>BDH|6846885401759339052</stp>
        <tr r="D101" s="18"/>
      </tp>
      <tp t="e">
        <v>#N/A</v>
        <stp/>
        <stp>BDH|2143774183438619242</stp>
        <tr r="AA114" s="18"/>
      </tp>
      <tp t="e">
        <v>#N/A</v>
        <stp/>
        <stp>BDH|4948346719959256818</stp>
        <tr r="K31" s="18"/>
      </tp>
      <tp t="e">
        <v>#N/A</v>
        <stp/>
        <stp>BDH|7401108752926839294</stp>
        <tr r="U33" s="21"/>
      </tp>
      <tp t="e">
        <v>#N/A</v>
        <stp/>
        <stp>BDH|1556778723624043766</stp>
        <tr r="X91" s="17"/>
      </tp>
      <tp t="e">
        <v>#N/A</v>
        <stp/>
        <stp>BDH|3927471182769259199</stp>
        <tr r="C18" s="24"/>
      </tp>
      <tp t="e">
        <v>#N/A</v>
        <stp/>
        <stp>BDH|2667741794928956380</stp>
        <tr r="P39" s="29"/>
        <tr r="N10" s="2"/>
        <tr r="N11" s="5"/>
        <tr r="M37" s="6"/>
        <tr r="P31" s="29"/>
      </tp>
      <tp t="e">
        <v>#N/A</v>
        <stp/>
        <stp>BDH|3637162005027232209</stp>
        <tr r="X9" s="3"/>
        <tr r="V47" s="10"/>
        <tr r="V45" s="11"/>
        <tr r="V14" s="7"/>
      </tp>
      <tp t="e">
        <v>#N/A</v>
        <stp/>
        <stp>BDH|9997680217308242135</stp>
        <tr r="S28" s="5"/>
      </tp>
      <tp t="e">
        <v>#N/A</v>
        <stp/>
        <stp>BDH|9750759484458861995</stp>
        <tr r="P76" s="18"/>
      </tp>
      <tp t="e">
        <v>#N/A</v>
        <stp/>
        <stp>BDH|3294633771240734500</stp>
        <tr r="K121" s="18"/>
      </tp>
      <tp t="e">
        <v>#N/A</v>
        <stp/>
        <stp>BDH|7541748968183633285</stp>
        <tr r="O38" s="24"/>
      </tp>
      <tp t="e">
        <v>#N/A</v>
        <stp/>
        <stp>BDH|5241124325350314118</stp>
        <tr r="G19" s="10"/>
        <tr r="I16" s="13"/>
        <tr r="I23" s="13"/>
      </tp>
      <tp t="e">
        <v>#N/A</v>
        <stp/>
        <stp>BDH|6753257158396826059</stp>
        <tr r="Q41" s="17"/>
      </tp>
      <tp t="e">
        <v>#N/A</v>
        <stp/>
        <stp>BDH|2531469579185592388</stp>
        <tr r="K24" s="2"/>
      </tp>
      <tp t="e">
        <v>#N/A</v>
        <stp/>
        <stp>BDH|7653078510244258540</stp>
        <tr r="G21" s="3"/>
      </tp>
      <tp t="e">
        <v>#N/A</v>
        <stp/>
        <stp>BDH|5466317744847623207</stp>
        <tr r="V9" s="3"/>
        <tr r="T47" s="10"/>
        <tr r="T45" s="11"/>
        <tr r="T14" s="7"/>
      </tp>
      <tp t="e">
        <v>#N/A</v>
        <stp/>
        <stp>BDH|4649108809163845105</stp>
        <tr r="X21" s="12"/>
      </tp>
      <tp t="e">
        <v>#N/A</v>
        <stp/>
        <stp>BDH|5899496553916785522</stp>
        <tr r="K64" s="10"/>
      </tp>
      <tp t="e">
        <v>#N/A</v>
        <stp/>
        <stp>BDH|9796709131212394824</stp>
        <tr r="X12" s="7"/>
      </tp>
      <tp t="e">
        <v>#N/A</v>
        <stp/>
        <stp>BDH|4648413057856592429</stp>
        <tr r="F41" s="18"/>
      </tp>
      <tp t="e">
        <v>#N/A</v>
        <stp/>
        <stp>BDH|2897794672392608720</stp>
        <tr r="O47" s="21"/>
      </tp>
      <tp t="e">
        <v>#N/A</v>
        <stp/>
        <stp>BDH|3102689239130209156</stp>
        <tr r="F18" s="29"/>
        <tr r="F38" s="29"/>
      </tp>
      <tp t="e">
        <v>#N/A</v>
        <stp/>
        <stp>BDH|9030247742010273802</stp>
        <tr r="AA22" s="21"/>
      </tp>
      <tp t="e">
        <v>#N/A</v>
        <stp/>
        <stp>BDH|1765776375446764063</stp>
        <tr r="Z52" s="18"/>
      </tp>
      <tp t="e">
        <v>#N/A</v>
        <stp/>
        <stp>BDH|4956087576406344203</stp>
        <tr r="Y75" s="18"/>
      </tp>
      <tp t="e">
        <v>#N/A</v>
        <stp/>
        <stp>BDH|7113611812261037660</stp>
        <tr r="F36" s="12"/>
      </tp>
      <tp t="e">
        <v>#N/A</v>
        <stp/>
        <stp>BDH|3716913192282795679</stp>
        <tr r="J10" s="21"/>
      </tp>
      <tp t="e">
        <v>#N/A</v>
        <stp/>
        <stp>BDH|4469752922945084376</stp>
        <tr r="U37" s="24"/>
      </tp>
      <tp t="e">
        <v>#N/A</v>
        <stp/>
        <stp>BDH|4653452666668241936</stp>
        <tr r="R129" s="18"/>
      </tp>
      <tp t="e">
        <v>#N/A</v>
        <stp/>
        <stp>BDH|2270474077596008064</stp>
        <tr r="Y55" s="24"/>
      </tp>
      <tp t="e">
        <v>#N/A</v>
        <stp/>
        <stp>BDH|1943907319358149656</stp>
        <tr r="Q65" s="24"/>
      </tp>
      <tp t="e">
        <v>#N/A</v>
        <stp/>
        <stp>BDH|7249756419333851526</stp>
        <tr r="AA109" s="18"/>
      </tp>
      <tp t="e">
        <v>#N/A</v>
        <stp/>
        <stp>BDH|6129758517410788703</stp>
        <tr r="U59" s="17"/>
      </tp>
      <tp t="e">
        <v>#N/A</v>
        <stp/>
        <stp>BDH|3973588470044491213</stp>
        <tr r="L81" s="17"/>
      </tp>
      <tp t="e">
        <v>#N/A</v>
        <stp/>
        <stp>BDH|7689995847748577598</stp>
        <tr r="G8" s="13"/>
      </tp>
      <tp t="e">
        <v>#N/A</v>
        <stp/>
        <stp>BDH|3573850235798550740</stp>
        <tr r="Q65" s="10"/>
      </tp>
      <tp t="e">
        <v>#N/A</v>
        <stp/>
        <stp>BDH|7976092137011641255</stp>
        <tr r="J59" s="24"/>
      </tp>
      <tp t="e">
        <v>#N/A</v>
        <stp/>
        <stp>BDH|3517336901370346704</stp>
        <tr r="Y21" s="24"/>
      </tp>
      <tp t="e">
        <v>#N/A</v>
        <stp/>
        <stp>BDH|9953807367840940039</stp>
        <tr r="V17" s="9"/>
      </tp>
      <tp t="e">
        <v>#N/A</v>
        <stp/>
        <stp>BDH|6546949211548193156</stp>
        <tr r="J121" s="18"/>
      </tp>
      <tp t="e">
        <v>#N/A</v>
        <stp/>
        <stp>BDH|1539844953538105374</stp>
        <tr r="K29" s="9"/>
      </tp>
      <tp t="e">
        <v>#N/A</v>
        <stp/>
        <stp>BDH|4478535142206117408</stp>
        <tr r="N9" s="3"/>
        <tr r="L47" s="10"/>
        <tr r="L45" s="11"/>
        <tr r="L14" s="7"/>
      </tp>
      <tp t="e">
        <v>#N/A</v>
        <stp/>
        <stp>BDH|5588019674960646524</stp>
        <tr r="C16" s="6"/>
      </tp>
      <tp t="e">
        <v>#N/A</v>
        <stp/>
        <stp>BDH|3172374868220987131</stp>
        <tr r="T15" s="4"/>
      </tp>
      <tp t="e">
        <v>#N/A</v>
        <stp/>
        <stp>BDH|8485250241171637821</stp>
        <tr r="E10" s="6"/>
      </tp>
      <tp t="e">
        <v>#N/A</v>
        <stp/>
        <stp>BDH|8022667188554825529</stp>
        <tr r="M100" s="18"/>
      </tp>
      <tp t="e">
        <v>#N/A</v>
        <stp/>
        <stp>BDH|1608288592438111596</stp>
        <tr r="Y58" s="21"/>
        <tr r="Y30" s="25"/>
        <tr r="W31" s="4"/>
        <tr r="W56" s="11"/>
      </tp>
      <tp t="e">
        <v>#N/A</v>
        <stp/>
        <stp>BDH|4965562068065081536</stp>
        <tr r="V60" s="18"/>
      </tp>
      <tp t="e">
        <v>#N/A</v>
        <stp/>
        <stp>BDH|8025333817324607968</stp>
        <tr r="D67" s="10"/>
        <tr r="D65" s="11"/>
      </tp>
      <tp t="e">
        <v>#N/A</v>
        <stp/>
        <stp>BDH|2642338875222302374</stp>
        <tr r="X62" s="24"/>
      </tp>
      <tp t="e">
        <v>#N/A</v>
        <stp/>
        <stp>BDH|1751108958073832133</stp>
        <tr r="G18" s="14"/>
      </tp>
      <tp t="e">
        <v>#N/A</v>
        <stp/>
        <stp>BDH|7176487988794136848</stp>
        <tr r="K116" s="18"/>
      </tp>
      <tp t="e">
        <v>#N/A</v>
        <stp/>
        <stp>BDH|1390548929137959639</stp>
        <tr r="Q45" s="24"/>
      </tp>
      <tp t="e">
        <v>#N/A</v>
        <stp/>
        <stp>BDH|6115736610920404721</stp>
        <tr r="Y60" s="12"/>
      </tp>
      <tp t="e">
        <v>#N/A</v>
        <stp/>
        <stp>BDH|9030704146934007921</stp>
        <tr r="T15" s="6"/>
      </tp>
      <tp t="e">
        <v>#N/A</v>
        <stp/>
        <stp>BDH|5432239181879643149</stp>
        <tr r="E15" s="10"/>
      </tp>
      <tp t="e">
        <v>#N/A</v>
        <stp/>
        <stp>BDH|1295595688909782202</stp>
        <tr r="O11" s="17"/>
      </tp>
      <tp t="e">
        <v>#N/A</v>
        <stp/>
        <stp>BDH|7244660787718732611</stp>
        <tr r="T64" s="24"/>
      </tp>
      <tp t="e">
        <v>#N/A</v>
        <stp/>
        <stp>BDH|8000722126683416954</stp>
        <tr r="R22" s="17"/>
      </tp>
      <tp t="e">
        <v>#N/A</v>
        <stp/>
        <stp>BDH|5669311736611599318</stp>
        <tr r="K96" s="18"/>
      </tp>
      <tp t="e">
        <v>#N/A</v>
        <stp/>
        <stp>BDH|9270327002004436933</stp>
        <tr r="L62" s="21"/>
      </tp>
      <tp t="e">
        <v>#N/A</v>
        <stp/>
        <stp>BDH|7334839034618160309</stp>
        <tr r="C69" s="24"/>
      </tp>
      <tp t="e">
        <v>#N/A</v>
        <stp/>
        <stp>BDH|5341234740625668133</stp>
        <tr r="J49" s="12"/>
      </tp>
      <tp t="e">
        <v>#N/A</v>
        <stp/>
        <stp>BDH|6647853472868149658</stp>
        <tr r="R24" s="12"/>
      </tp>
      <tp t="e">
        <v>#N/A</v>
        <stp/>
        <stp>BDH|5128605535531966687</stp>
        <tr r="U52" s="4"/>
        <tr r="W8" s="3"/>
        <tr r="U40" s="10"/>
        <tr r="U38" s="11"/>
        <tr r="W30" s="13"/>
      </tp>
      <tp t="e">
        <v>#N/A</v>
        <stp/>
        <stp>BDH|3619139777020197262</stp>
        <tr r="G52" s="21"/>
      </tp>
      <tp t="e">
        <v>#N/A</v>
        <stp/>
        <stp>BDH|7527406926493343556</stp>
        <tr r="K18" s="24"/>
      </tp>
      <tp t="e">
        <v>#N/A</v>
        <stp/>
        <stp>BDH|8013392785367055397</stp>
        <tr r="I96" s="18"/>
      </tp>
      <tp t="e">
        <v>#N/A</v>
        <stp/>
        <stp>BDH|1059392650274846443</stp>
        <tr r="X112" s="18"/>
      </tp>
      <tp t="e">
        <v>#N/A</v>
        <stp/>
        <stp>BDH|7238278603712377009</stp>
        <tr r="V26" s="7"/>
      </tp>
      <tp t="e">
        <v>#N/A</v>
        <stp/>
        <stp>BDH|4216889548177543828</stp>
        <tr r="S40" s="18"/>
      </tp>
      <tp t="e">
        <v>#N/A</v>
        <stp/>
        <stp>BDH|2264392023422408695</stp>
        <tr r="H86" s="17"/>
      </tp>
      <tp t="e">
        <v>#N/A</v>
        <stp/>
        <stp>BDH|4259035547711547666</stp>
        <tr r="Y23" s="22"/>
      </tp>
      <tp t="e">
        <v>#N/A</v>
        <stp/>
        <stp>BDH|9777743234079733353</stp>
        <tr r="T31" s="24"/>
      </tp>
      <tp t="e">
        <v>#N/A</v>
        <stp/>
        <stp>BDH|4505460726027208224</stp>
        <tr r="G62" s="12"/>
      </tp>
      <tp t="e">
        <v>#N/A</v>
        <stp/>
        <stp>BDH|9808795381257098659</stp>
        <tr r="M17" s="10"/>
      </tp>
      <tp t="e">
        <v>#N/A</v>
        <stp/>
        <stp>BDH|3429076474711300214</stp>
        <tr r="S66" s="10"/>
        <tr r="S64" s="11"/>
        <tr r="S20" s="7"/>
      </tp>
      <tp t="e">
        <v>#N/A</v>
        <stp/>
        <stp>BDH|2656166773195156670</stp>
        <tr r="I68" s="24"/>
      </tp>
      <tp t="e">
        <v>#N/A</v>
        <stp/>
        <stp>BDH|1695611611967433678</stp>
        <tr r="D39" s="17"/>
      </tp>
      <tp t="e">
        <v>#N/A</v>
        <stp/>
        <stp>BDH|2049352480458301638</stp>
        <tr r="J9" s="27"/>
      </tp>
      <tp t="e">
        <v>#N/A</v>
        <stp/>
        <stp>BDH|1345568475102475617</stp>
        <tr r="D6" s="27"/>
      </tp>
      <tp t="e">
        <v>#N/A</v>
        <stp/>
        <stp>BDH|7940361635555895574</stp>
        <tr r="N32" s="17"/>
      </tp>
      <tp t="e">
        <v>#N/A</v>
        <stp/>
        <stp>BDH|6084401104062100704</stp>
        <tr r="J15" s="6"/>
      </tp>
      <tp t="e">
        <v>#N/A</v>
        <stp/>
        <stp>BDH|7916416238812136541</stp>
        <tr r="O21" s="6"/>
      </tp>
      <tp t="e">
        <v>#N/A</v>
        <stp/>
        <stp>BDH|2268520105058190812</stp>
        <tr r="J50" s="4"/>
      </tp>
      <tp t="e">
        <v>#N/A</v>
        <stp/>
        <stp>BDH|3461428042612077613</stp>
        <tr r="C50" s="17"/>
        <tr r="C10" s="25"/>
      </tp>
      <tp t="e">
        <v>#N/A</v>
        <stp/>
        <stp>BDH|4691010296048460203</stp>
        <tr r="E20" s="29"/>
      </tp>
      <tp t="e">
        <v>#N/A</v>
        <stp/>
        <stp>BDH|1211027232757084275</stp>
        <tr r="R119" s="18"/>
      </tp>
      <tp t="e">
        <v>#N/A</v>
        <stp/>
        <stp>BDH|8274995430944828165</stp>
        <tr r="T122" s="18"/>
      </tp>
      <tp t="e">
        <v>#N/A</v>
        <stp/>
        <stp>BDH|9110377512689642578</stp>
        <tr r="S45" s="17"/>
      </tp>
      <tp t="e">
        <v>#N/A</v>
        <stp/>
        <stp>BDH|7382000903719423912</stp>
        <tr r="N24" s="29"/>
      </tp>
      <tp t="e">
        <v>#N/A</v>
        <stp/>
        <stp>BDH|5615159136570849086</stp>
        <tr r="N49" s="12"/>
      </tp>
      <tp t="e">
        <v>#N/A</v>
        <stp/>
        <stp>BDH|9092891242056730495</stp>
        <tr r="C15" s="13"/>
      </tp>
      <tp t="e">
        <v>#N/A</v>
        <stp/>
        <stp>BDH|5046255476583436429</stp>
        <tr r="Q28" s="12"/>
      </tp>
      <tp t="e">
        <v>#N/A</v>
        <stp/>
        <stp>BDH|6493039618693894321</stp>
        <tr r="P44" s="18"/>
      </tp>
      <tp t="e">
        <v>#N/A</v>
        <stp/>
        <stp>BDH|63136724391521866</stp>
        <tr r="D22" s="27"/>
      </tp>
      <tp t="e">
        <v>#N/A</v>
        <stp/>
        <stp>BDH|61520312959229735</stp>
        <tr r="G14" s="22"/>
      </tp>
      <tp t="e">
        <v>#N/A</v>
        <stp/>
        <stp>BDH|39023088071420309</stp>
        <tr r="X13" s="12"/>
      </tp>
      <tp t="e">
        <v>#N/A</v>
        <stp/>
        <stp>BDH|80809975254937124</stp>
        <tr r="L10" s="34"/>
      </tp>
      <tp t="e">
        <v>#N/A</v>
        <stp/>
        <stp>BDH|71340054055930973</stp>
        <tr r="G17" s="4"/>
        <tr r="I10" s="3"/>
        <tr r="G52" s="10"/>
        <tr r="G50" s="11"/>
        <tr r="G17" s="7"/>
        <tr r="I37" s="13"/>
      </tp>
      <tp t="e">
        <v>#N/A</v>
        <stp/>
        <stp>BDH|28048685953995179</stp>
        <tr r="P10" s="6"/>
      </tp>
      <tp t="e">
        <v>#N/A</v>
        <stp/>
        <stp>BDH|1224677763255866440</stp>
        <tr r="F9" s="23"/>
      </tp>
      <tp t="e">
        <v>#N/A</v>
        <stp/>
        <stp>BDH|3275195105385364776</stp>
        <tr r="K23" s="26"/>
      </tp>
      <tp t="e">
        <v>#N/A</v>
        <stp/>
        <stp>BDH|4326432309074089439</stp>
        <tr r="M29" s="17"/>
      </tp>
      <tp t="e">
        <v>#N/A</v>
        <stp/>
        <stp>BDH|8189323929559593057</stp>
        <tr r="H60" s="21"/>
      </tp>
      <tp t="e">
        <v>#N/A</v>
        <stp/>
        <stp>BDH|2535832233019741085</stp>
        <tr r="G9" s="12"/>
      </tp>
      <tp t="e">
        <v>#N/A</v>
        <stp/>
        <stp>BDH|7830819331838060427</stp>
        <tr r="E55" s="18"/>
      </tp>
      <tp t="e">
        <v>#N/A</v>
        <stp/>
        <stp>BDH|4962555872173151554</stp>
        <tr r="G28" s="21"/>
      </tp>
      <tp t="e">
        <v>#N/A</v>
        <stp/>
        <stp>BDH|6066098071732338318</stp>
        <tr r="I111" s="18"/>
      </tp>
      <tp t="e">
        <v>#N/A</v>
        <stp/>
        <stp>BDH|7934149553255186655</stp>
        <tr r="P16" s="24"/>
      </tp>
      <tp t="e">
        <v>#N/A</v>
        <stp/>
        <stp>BDH|3637045817440626295</stp>
        <tr r="V9" s="23"/>
      </tp>
      <tp t="e">
        <v>#N/A</v>
        <stp/>
        <stp>BDH|9648993373365439223</stp>
        <tr r="Y15" s="13"/>
      </tp>
      <tp t="e">
        <v>#N/A</v>
        <stp/>
        <stp>BDH|6034192261747715653</stp>
        <tr r="R91" s="17"/>
      </tp>
      <tp t="e">
        <v>#N/A</v>
        <stp/>
        <stp>BDH|6173046318547227052</stp>
        <tr r="I29" s="34"/>
      </tp>
      <tp t="e">
        <v>#N/A</v>
        <stp/>
        <stp>BDH|7722270241535320481</stp>
        <tr r="J29" s="24"/>
      </tp>
      <tp t="e">
        <v>#N/A</v>
        <stp/>
        <stp>BDH|1550083857802185611</stp>
        <tr r="K23" s="2"/>
        <tr r="M18" s="21"/>
        <tr r="M23" s="3"/>
      </tp>
      <tp t="e">
        <v>#N/A</v>
        <stp/>
        <stp>BDH|4276402858314451144</stp>
        <tr r="S11" s="7"/>
      </tp>
      <tp t="e">
        <v>#N/A</v>
        <stp/>
        <stp>BDH|5280618489368676362</stp>
        <tr r="C9" s="28"/>
      </tp>
      <tp t="e">
        <v>#N/A</v>
        <stp/>
        <stp>BDH|4734616268392362676</stp>
        <tr r="AA40" s="21"/>
      </tp>
      <tp t="e">
        <v>#N/A</v>
        <stp/>
        <stp>BDH|1466588751006524724</stp>
        <tr r="K60" s="18"/>
      </tp>
      <tp t="e">
        <v>#N/A</v>
        <stp/>
        <stp>BDH|8885494986357528385</stp>
        <tr r="Z71" s="18"/>
      </tp>
      <tp t="e">
        <v>#N/A</v>
        <stp/>
        <stp>BDH|5208608509653012017</stp>
        <tr r="AA20" s="20"/>
      </tp>
      <tp t="e">
        <v>#N/A</v>
        <stp/>
        <stp>BDH|1901442371881519330</stp>
        <tr r="R27" s="26"/>
      </tp>
      <tp t="e">
        <v>#N/A</v>
        <stp/>
        <stp>BDH|9890222790374939690</stp>
        <tr r="K11" s="17"/>
      </tp>
      <tp t="e">
        <v>#N/A</v>
        <stp/>
        <stp>BDH|3572633252611880160</stp>
        <tr r="P63" s="18"/>
      </tp>
      <tp t="e">
        <v>#N/A</v>
        <stp/>
        <stp>BDH|4233083227572585427</stp>
        <tr r="G19" s="34"/>
      </tp>
      <tp t="e">
        <v>#N/A</v>
        <stp/>
        <stp>BDH|7607855308176016918</stp>
        <tr r="AA49" s="24"/>
      </tp>
      <tp t="e">
        <v>#N/A</v>
        <stp/>
        <stp>BDH|4226102247936956761</stp>
        <tr r="D86" s="18"/>
        <tr r="D6" s="20"/>
      </tp>
      <tp t="e">
        <v>#N/A</v>
        <stp/>
        <stp>BDH|6351576706834940713</stp>
        <tr r="C39" s="4"/>
        <tr r="C62" s="10"/>
      </tp>
      <tp t="e">
        <v>#N/A</v>
        <stp/>
        <stp>BDH|6515469351505865207</stp>
        <tr r="Q52" s="21"/>
      </tp>
      <tp t="e">
        <v>#N/A</v>
        <stp/>
        <stp>BDH|1882144655577646252</stp>
        <tr r="K9" s="34"/>
      </tp>
      <tp t="e">
        <v>#N/A</v>
        <stp/>
        <stp>BDH|2410844768648353407</stp>
        <tr r="H86" s="18"/>
        <tr r="H6" s="20"/>
      </tp>
      <tp t="e">
        <v>#N/A</v>
        <stp/>
        <stp>BDH|4847369743006690505</stp>
        <tr r="T49" s="21"/>
      </tp>
      <tp t="e">
        <v>#N/A</v>
        <stp/>
        <stp>BDH|1287344889599617329</stp>
        <tr r="Q7" s="10"/>
      </tp>
      <tp t="e">
        <v>#N/A</v>
        <stp/>
        <stp>BDH|3661689152536420639</stp>
        <tr r="X44" s="12"/>
      </tp>
      <tp t="e">
        <v>#N/A</v>
        <stp/>
        <stp>BDH|1967054402798241970</stp>
        <tr r="D43" s="21"/>
      </tp>
      <tp t="e">
        <v>#N/A</v>
        <stp/>
        <stp>BDH|1664735502051950756</stp>
        <tr r="R13" s="14"/>
      </tp>
      <tp t="e">
        <v>#N/A</v>
        <stp/>
        <stp>BDH|9136036588207766662</stp>
        <tr r="O86" s="17"/>
      </tp>
      <tp t="e">
        <v>#N/A</v>
        <stp/>
        <stp>BDH|6226560974985398181</stp>
        <tr r="H20" s="25"/>
        <tr r="H13" s="27"/>
      </tp>
      <tp t="e">
        <v>#N/A</v>
        <stp/>
        <stp>BDH|2745317108560419114</stp>
        <tr r="R19" s="25"/>
        <tr r="R12" s="27"/>
      </tp>
      <tp t="e">
        <v>#N/A</v>
        <stp/>
        <stp>BDH|9277237141266307980</stp>
        <tr r="F84" s="17"/>
      </tp>
      <tp t="e">
        <v>#N/A</v>
        <stp/>
        <stp>BDH|4212425413747122693</stp>
        <tr r="R12" s="24"/>
      </tp>
      <tp t="e">
        <v>#N/A</v>
        <stp/>
        <stp>BDH|1507364915693409090</stp>
        <tr r="W33" s="17"/>
      </tp>
      <tp t="e">
        <v>#N/A</v>
        <stp/>
        <stp>BDH|5315411853137267385</stp>
        <tr r="J14" s="11"/>
      </tp>
      <tp t="e">
        <v>#N/A</v>
        <stp/>
        <stp>BDH|1159791895078215741</stp>
        <tr r="W63" s="18"/>
      </tp>
      <tp t="e">
        <v>#N/A</v>
        <stp/>
        <stp>BDH|8329456662398958266</stp>
        <tr r="K39" s="4"/>
        <tr r="K62" s="10"/>
      </tp>
      <tp t="e">
        <v>#N/A</v>
        <stp/>
        <stp>BDH|5798231072386845658</stp>
        <tr r="D44" s="21"/>
      </tp>
      <tp t="e">
        <v>#N/A</v>
        <stp/>
        <stp>BDH|3412866794136961446</stp>
        <tr r="AA84" s="17"/>
      </tp>
      <tp t="e">
        <v>#N/A</v>
        <stp/>
        <stp>BDH|7411714136777849400</stp>
        <tr r="Z20" s="27"/>
      </tp>
      <tp t="e">
        <v>#N/A</v>
        <stp/>
        <stp>BDH|1765016577591811722</stp>
        <tr r="S88" s="17"/>
      </tp>
      <tp t="e">
        <v>#N/A</v>
        <stp/>
        <stp>BDH|1044126342865856136</stp>
        <tr r="Z17" s="14"/>
      </tp>
      <tp t="e">
        <v>#N/A</v>
        <stp/>
        <stp>BDH|5176081240315788454</stp>
        <tr r="N14" s="22"/>
      </tp>
      <tp t="e">
        <v>#N/A</v>
        <stp/>
        <stp>BDH|7061631169133794467</stp>
        <tr r="C19" s="24"/>
      </tp>
      <tp t="e">
        <v>#N/A</v>
        <stp/>
        <stp>BDH|4723696727796609648</stp>
        <tr r="J13" s="22"/>
      </tp>
      <tp t="e">
        <v>#N/A</v>
        <stp/>
        <stp>BDH|9256984225863606122</stp>
        <tr r="W23" s="24"/>
      </tp>
      <tp t="e">
        <v>#N/A</v>
        <stp/>
        <stp>BDH|7997025566893291246</stp>
        <tr r="S9" s="29"/>
      </tp>
      <tp t="e">
        <v>#N/A</v>
        <stp/>
        <stp>BDH|5133108015845795080</stp>
        <tr r="E53" s="10"/>
        <tr r="E51" s="11"/>
        <tr r="E18" s="7"/>
        <tr r="G40" s="13"/>
      </tp>
      <tp t="e">
        <v>#N/A</v>
        <stp/>
        <stp>BDH|7987265052067027760</stp>
        <tr r="AA11" s="24"/>
      </tp>
      <tp t="e">
        <v>#N/A</v>
        <stp/>
        <stp>BDH|2039826491820832300</stp>
        <tr r="E8" s="18"/>
      </tp>
      <tp t="e">
        <v>#N/A</v>
        <stp/>
        <stp>BDH|2911413531037300223</stp>
        <tr r="T36" s="10"/>
        <tr r="T34" s="11"/>
      </tp>
      <tp t="e">
        <v>#N/A</v>
        <stp/>
        <stp>BDH|1306733609470025614</stp>
        <tr r="J9" s="23"/>
      </tp>
      <tp t="e">
        <v>#N/A</v>
        <stp/>
        <stp>BDH|9608332069024075844</stp>
        <tr r="Z43" s="18"/>
      </tp>
      <tp t="e">
        <v>#N/A</v>
        <stp/>
        <stp>BDH|2190707025702896540</stp>
        <tr r="X67" s="17"/>
      </tp>
      <tp t="e">
        <v>#N/A</v>
        <stp/>
        <stp>BDH|8680038087212316293</stp>
        <tr r="D21" s="12"/>
      </tp>
      <tp t="e">
        <v>#N/A</v>
        <stp/>
        <stp>BDH|6579312899629727522</stp>
        <tr r="L40" s="24"/>
      </tp>
      <tp t="e">
        <v>#N/A</v>
        <stp/>
        <stp>BDH|5576139095808210594</stp>
        <tr r="V67" s="24"/>
      </tp>
      <tp t="e">
        <v>#N/A</v>
        <stp/>
        <stp>BDH|9520492171038143247</stp>
        <tr r="D23" s="21"/>
      </tp>
      <tp t="e">
        <v>#N/A</v>
        <stp/>
        <stp>BDH|4879109867150247358</stp>
        <tr r="P114" s="18"/>
      </tp>
      <tp t="e">
        <v>#N/A</v>
        <stp/>
        <stp>BDH|8318906950052278693</stp>
        <tr r="AA17" s="24"/>
      </tp>
      <tp t="e">
        <v>#N/A</v>
        <stp/>
        <stp>BDH|6869275062017151545</stp>
        <tr r="V24" s="29"/>
      </tp>
      <tp t="e">
        <v>#N/A</v>
        <stp/>
        <stp>BDH|7231650213608880848</stp>
        <tr r="U87" s="18"/>
        <tr r="U7" s="20"/>
      </tp>
      <tp t="e">
        <v>#N/A</v>
        <stp/>
        <stp>BDH|7027198104985524304</stp>
        <tr r="U60" s="21"/>
      </tp>
      <tp t="e">
        <v>#N/A</v>
        <stp/>
        <stp>BDH|2027517631245061185</stp>
        <tr r="X20" s="26"/>
      </tp>
      <tp t="e">
        <v>#N/A</v>
        <stp/>
        <stp>BDH|3300202342552813712</stp>
        <tr r="V47" s="21"/>
      </tp>
      <tp t="e">
        <v>#N/A</v>
        <stp/>
        <stp>BDH|7516006476318932823</stp>
        <tr r="E7" s="30"/>
      </tp>
      <tp t="e">
        <v>#N/A</v>
        <stp/>
        <stp>BDH|2876247830632412103</stp>
        <tr r="N66" s="12"/>
      </tp>
      <tp t="e">
        <v>#N/A</v>
        <stp/>
        <stp>BDH|1807467438206959074</stp>
        <tr r="K46" s="17"/>
      </tp>
      <tp t="e">
        <v>#N/A</v>
        <stp/>
        <stp>BDH|3862869640086482920</stp>
        <tr r="C19" s="10"/>
        <tr r="E16" s="13"/>
        <tr r="E23" s="13"/>
      </tp>
      <tp t="e">
        <v>#N/A</v>
        <stp/>
        <stp>BDH|9666465485807888254</stp>
        <tr r="P35" s="34"/>
      </tp>
      <tp t="e">
        <v>#N/A</v>
        <stp/>
        <stp>BDH|4622615844101301781</stp>
        <tr r="C67" s="10"/>
        <tr r="C65" s="11"/>
      </tp>
      <tp t="e">
        <v>#N/A</v>
        <stp/>
        <stp>BDH|2868812855749151650</stp>
        <tr r="D22" s="5"/>
      </tp>
      <tp t="e">
        <v>#N/A</v>
        <stp/>
        <stp>BDH|3625507907435822315</stp>
        <tr r="Q47" s="24"/>
      </tp>
      <tp t="e">
        <v>#N/A</v>
        <stp/>
        <stp>BDH|5799930392514984172</stp>
        <tr r="W21" s="21"/>
      </tp>
      <tp t="e">
        <v>#N/A</v>
        <stp/>
        <stp>BDH|2803663047883315323</stp>
        <tr r="H9" s="11"/>
      </tp>
      <tp t="e">
        <v>#N/A</v>
        <stp/>
        <stp>BDH|1475194646896329201</stp>
        <tr r="O61" s="11"/>
        <tr r="Q15" s="23"/>
      </tp>
      <tp t="e">
        <v>#N/A</v>
        <stp/>
        <stp>BDH|4492889666762068829</stp>
        <tr r="P36" s="10"/>
        <tr r="P34" s="11"/>
      </tp>
      <tp t="e">
        <v>#N/A</v>
        <stp/>
        <stp>BDH|5390224965900594197</stp>
        <tr r="N42" s="24"/>
      </tp>
      <tp t="e">
        <v>#N/A</v>
        <stp/>
        <stp>BDH|5466785525847507746</stp>
        <tr r="H43" s="18"/>
      </tp>
      <tp t="e">
        <v>#N/A</v>
        <stp/>
        <stp>BDH|2897853445659057704</stp>
        <tr r="C55" s="24"/>
      </tp>
      <tp t="e">
        <v>#N/A</v>
        <stp/>
        <stp>BDH|9300495780190520579</stp>
        <tr r="M62" s="17"/>
      </tp>
      <tp t="e">
        <v>#N/A</v>
        <stp/>
        <stp>BDH|1401852029769778263</stp>
        <tr r="Z8" s="12"/>
      </tp>
      <tp t="e">
        <v>#N/A</v>
        <stp/>
        <stp>BDH|2974917386407474433</stp>
        <tr r="H17" s="9"/>
      </tp>
      <tp t="e">
        <v>#N/A</v>
        <stp/>
        <stp>BDH|1198445338855065341</stp>
        <tr r="K44" s="12"/>
      </tp>
      <tp t="e">
        <v>#N/A</v>
        <stp/>
        <stp>BDH|3123352878173067454</stp>
        <tr r="Q14" s="10"/>
      </tp>
      <tp t="e">
        <v>#N/A</v>
        <stp/>
        <stp>BDH|7352995184662605414</stp>
        <tr r="N39" s="12"/>
      </tp>
      <tp t="e">
        <v>#N/A</v>
        <stp/>
        <stp>BDH|2459961147449913653</stp>
        <tr r="F56" s="24"/>
      </tp>
      <tp t="e">
        <v>#N/A</v>
        <stp/>
        <stp>BDH|9870193688399266923</stp>
        <tr r="K16" s="26"/>
      </tp>
      <tp t="e">
        <v>#N/A</v>
        <stp/>
        <stp>BDH|5473151570601011284</stp>
        <tr r="E72" s="17"/>
      </tp>
      <tp t="e">
        <v>#N/A</v>
        <stp/>
        <stp>BDH|1304848091344866479</stp>
        <tr r="AA51" s="17"/>
      </tp>
      <tp t="e">
        <v>#N/A</v>
        <stp/>
        <stp>BDH|2203372477717395188</stp>
        <tr r="J9" s="24"/>
      </tp>
      <tp t="e">
        <v>#N/A</v>
        <stp/>
        <stp>BDH|6231081353550456345</stp>
        <tr r="H14" s="22"/>
      </tp>
      <tp t="e">
        <v>#N/A</v>
        <stp/>
        <stp>BDH|4700207771127926663</stp>
        <tr r="N66" s="18"/>
      </tp>
      <tp t="e">
        <v>#N/A</v>
        <stp/>
        <stp>BDH|3664166519833685066</stp>
        <tr r="I74" s="17"/>
        <tr r="I19" s="3"/>
      </tp>
      <tp t="e">
        <v>#N/A</v>
        <stp/>
        <stp>BDH|6355665613688948964</stp>
        <tr r="D82" s="18"/>
      </tp>
      <tp t="e">
        <v>#N/A</v>
        <stp/>
        <stp>BDH|6083403622679349980</stp>
        <tr r="S58" s="12"/>
      </tp>
      <tp t="e">
        <v>#N/A</v>
        <stp/>
        <stp>BDH|4495286073257078662</stp>
        <tr r="E17" s="9"/>
      </tp>
      <tp t="e">
        <v>#N/A</v>
        <stp/>
        <stp>BDH|4783865428107040903</stp>
        <tr r="O76" s="18"/>
      </tp>
      <tp t="e">
        <v>#N/A</v>
        <stp/>
        <stp>BDH|8500749000457809806</stp>
        <tr r="P14" s="23"/>
      </tp>
      <tp t="e">
        <v>#N/A</v>
        <stp/>
        <stp>BDH|2933200928542959019</stp>
        <tr r="O15" s="24"/>
      </tp>
      <tp t="e">
        <v>#N/A</v>
        <stp/>
        <stp>BDH|3290465564452100382</stp>
        <tr r="X44" s="17"/>
      </tp>
      <tp t="e">
        <v>#N/A</v>
        <stp/>
        <stp>BDH|8797363289592473152</stp>
        <tr r="X52" s="21"/>
      </tp>
      <tp t="e">
        <v>#N/A</v>
        <stp/>
        <stp>BDH|7009457321359575889</stp>
        <tr r="F29" s="9"/>
      </tp>
      <tp t="e">
        <v>#N/A</v>
        <stp/>
        <stp>BDH|8505107303071921868</stp>
        <tr r="D28" s="26"/>
      </tp>
      <tp t="e">
        <v>#N/A</v>
        <stp/>
        <stp>BDH|7656474316404916678</stp>
        <tr r="V40" s="6"/>
      </tp>
      <tp t="e">
        <v>#N/A</v>
        <stp/>
        <stp>BDH|7581798750121399464</stp>
        <tr r="E68" s="18"/>
      </tp>
      <tp t="e">
        <v>#N/A</v>
        <stp/>
        <stp>BDH|4329396439832216681</stp>
        <tr r="AA50" s="18"/>
      </tp>
      <tp t="e">
        <v>#N/A</v>
        <stp/>
        <stp>BDH|2984498859945248622</stp>
        <tr r="C80" s="18"/>
      </tp>
      <tp t="e">
        <v>#N/A</v>
        <stp/>
        <stp>BDH|6876909012437036936</stp>
        <tr r="U18" s="10"/>
      </tp>
      <tp t="e">
        <v>#N/A</v>
        <stp/>
        <stp>BDH|4089971202228425587</stp>
        <tr r="P17" s="17"/>
        <tr r="P20" s="28"/>
      </tp>
      <tp t="e">
        <v>#N/A</v>
        <stp/>
        <stp>BDH|5673533934505654695</stp>
        <tr r="E87" s="17"/>
        <tr r="E27" s="25"/>
      </tp>
      <tp t="e">
        <v>#N/A</v>
        <stp/>
        <stp>BDH|4850458856773380663</stp>
        <tr r="D56" s="24"/>
      </tp>
      <tp t="e">
        <v>#N/A</v>
        <stp/>
        <stp>BDH|9632945448094374070</stp>
        <tr r="I36" s="12"/>
      </tp>
      <tp t="e">
        <v>#N/A</v>
        <stp/>
        <stp>BDH|7458711811385248483</stp>
        <tr r="F27" s="26"/>
      </tp>
      <tp t="e">
        <v>#N/A</v>
        <stp/>
        <stp>BDH|4633494603769373914</stp>
        <tr r="F38" s="6"/>
      </tp>
      <tp t="e">
        <v>#N/A</v>
        <stp/>
        <stp>BDH|5781188567620528236</stp>
        <tr r="X49" s="21"/>
      </tp>
      <tp t="e">
        <v>#N/A</v>
        <stp/>
        <stp>BDH|3800005826090026102</stp>
        <tr r="D21" s="4"/>
      </tp>
      <tp t="e">
        <v>#N/A</v>
        <stp/>
        <stp>BDH|5875530670844197343</stp>
        <tr r="V58" s="21"/>
        <tr r="V30" s="25"/>
        <tr r="T31" s="4"/>
        <tr r="T56" s="11"/>
      </tp>
      <tp t="e">
        <v>#N/A</v>
        <stp/>
        <stp>BDH|3254494980796219972</stp>
        <tr r="V40" s="29"/>
      </tp>
      <tp t="e">
        <v>#N/A</v>
        <stp/>
        <stp>BDH|9084215880034987760</stp>
        <tr r="L8" s="8"/>
      </tp>
      <tp t="e">
        <v>#N/A</v>
        <stp/>
        <stp>BDH|6979352750238349817</stp>
        <tr r="Y17" s="14"/>
      </tp>
      <tp t="e">
        <v>#N/A</v>
        <stp/>
        <stp>BDH|7219309796054950939</stp>
        <tr r="P11" s="12"/>
      </tp>
      <tp t="e">
        <v>#N/A</v>
        <stp/>
        <stp>BDH|1006583163280016257</stp>
        <tr r="AA32" s="17"/>
      </tp>
      <tp t="e">
        <v>#N/A</v>
        <stp/>
        <stp>BDH|1339287204414418757</stp>
        <tr r="I61" s="12"/>
      </tp>
      <tp t="e">
        <v>#N/A</v>
        <stp/>
        <stp>BDH|4005557640594814135</stp>
        <tr r="T119" s="18"/>
      </tp>
      <tp t="e">
        <v>#N/A</v>
        <stp/>
        <stp>BDH|3453885435920122862</stp>
        <tr r="Y18" s="13"/>
      </tp>
      <tp t="e">
        <v>#N/A</v>
        <stp/>
        <stp>BDH|3557673080899532494</stp>
        <tr r="Z106" s="18"/>
      </tp>
      <tp t="e">
        <v>#N/A</v>
        <stp/>
        <stp>BDH|3923319212220219161</stp>
        <tr r="M18" s="18"/>
      </tp>
      <tp t="e">
        <v>#N/A</v>
        <stp/>
        <stp>BDH|6838840663979670175</stp>
        <tr r="Q9" s="17"/>
      </tp>
      <tp t="e">
        <v>#N/A</v>
        <stp/>
        <stp>BDH|1960265333233624348</stp>
        <tr r="P71" s="17"/>
      </tp>
      <tp t="e">
        <v>#N/A</v>
        <stp/>
        <stp>BDH|3095027227555276497</stp>
        <tr r="H18" s="30"/>
      </tp>
      <tp t="e">
        <v>#N/A</v>
        <stp/>
        <stp>BDH|3285144529145906580</stp>
        <tr r="L19" s="26"/>
      </tp>
      <tp t="e">
        <v>#N/A</v>
        <stp/>
        <stp>BDH|5469603123850053194</stp>
        <tr r="U48" s="21"/>
      </tp>
      <tp t="e">
        <v>#N/A</v>
        <stp/>
        <stp>BDH|5835335209194895242</stp>
        <tr r="U59" s="21"/>
        <tr r="S57" s="11"/>
      </tp>
      <tp t="e">
        <v>#N/A</v>
        <stp/>
        <stp>BDH|2790072163394538085</stp>
        <tr r="W50" s="17"/>
        <tr r="W10" s="25"/>
      </tp>
      <tp t="e">
        <v>#N/A</v>
        <stp/>
        <stp>BDH|4242824084393297784</stp>
        <tr r="G66" s="18"/>
      </tp>
      <tp t="e">
        <v>#N/A</v>
        <stp/>
        <stp>BDH|1942983741254801874</stp>
        <tr r="E29" s="22"/>
      </tp>
      <tp t="e">
        <v>#N/A</v>
        <stp/>
        <stp>BDH|7890199318020322753</stp>
        <tr r="W17" s="29"/>
        <tr r="W37" s="29"/>
      </tp>
      <tp t="e">
        <v>#N/A</v>
        <stp/>
        <stp>BDH|1180044955857663393</stp>
        <tr r="N22" s="21"/>
      </tp>
      <tp t="e">
        <v>#N/A</v>
        <stp/>
        <stp>BDH|7632287446670120160</stp>
        <tr r="G127" s="18"/>
      </tp>
      <tp t="e">
        <v>#N/A</v>
        <stp/>
        <stp>BDH|7309258015433599795</stp>
        <tr r="L52" s="17"/>
      </tp>
      <tp t="e">
        <v>#N/A</v>
        <stp/>
        <stp>BDH|2104795242748479915</stp>
        <tr r="J38" s="4"/>
        <tr r="J60" s="11"/>
        <tr r="L13" s="23"/>
      </tp>
      <tp t="e">
        <v>#N/A</v>
        <stp/>
        <stp>BDH|5017659129540476179</stp>
        <tr r="Y60" s="24"/>
      </tp>
      <tp t="e">
        <v>#N/A</v>
        <stp/>
        <stp>BDH|5559112337090957751</stp>
        <tr r="V53" s="12"/>
      </tp>
      <tp t="e">
        <v>#N/A</v>
        <stp/>
        <stp>BDH|6122442054034845367</stp>
        <tr r="M40" s="24"/>
      </tp>
      <tp t="e">
        <v>#N/A</v>
        <stp/>
        <stp>BDH|9224248019208120219</stp>
        <tr r="F15" s="5"/>
      </tp>
      <tp t="e">
        <v>#N/A</v>
        <stp/>
        <stp>BDH|2974181595949980325</stp>
        <tr r="C24" s="12"/>
      </tp>
      <tp t="e">
        <v>#N/A</v>
        <stp/>
        <stp>BDH|5845450065173318446</stp>
        <tr r="W17" s="12"/>
      </tp>
      <tp t="e">
        <v>#N/A</v>
        <stp/>
        <stp>BDH|6013087841693007165</stp>
        <tr r="AA20" s="30"/>
      </tp>
      <tp t="e">
        <v>#N/A</v>
        <stp/>
        <stp>BDH|8041826421115462780</stp>
        <tr r="O71" s="17"/>
      </tp>
      <tp t="e">
        <v>#N/A</v>
        <stp/>
        <stp>BDH|6753797930207565543</stp>
        <tr r="L30" s="17"/>
      </tp>
      <tp t="e">
        <v>#N/A</v>
        <stp/>
        <stp>BDH|1561000706465528495</stp>
        <tr r="Z46" s="21"/>
      </tp>
      <tp t="e">
        <v>#N/A</v>
        <stp/>
        <stp>BDH|3775595326107427335</stp>
        <tr r="C42" s="12"/>
      </tp>
      <tp t="e">
        <v>#N/A</v>
        <stp/>
        <stp>BDH|3874212624163776057</stp>
        <tr r="L41" s="21"/>
      </tp>
      <tp t="e">
        <v>#N/A</v>
        <stp/>
        <stp>BDH|4051165160033153083</stp>
        <tr r="D49" s="18"/>
      </tp>
      <tp t="e">
        <v>#N/A</v>
        <stp/>
        <stp>BDH|8449135788683554254</stp>
        <tr r="V77" s="18"/>
      </tp>
      <tp t="e">
        <v>#N/A</v>
        <stp/>
        <stp>BDH|7901417196103469956</stp>
        <tr r="V71" s="17"/>
      </tp>
      <tp t="e">
        <v>#N/A</v>
        <stp/>
        <stp>BDH|2861359427401371265</stp>
        <tr r="C27" s="13"/>
      </tp>
      <tp t="e">
        <v>#N/A</v>
        <stp/>
        <stp>BDH|3480375911245529484</stp>
        <tr r="I52" s="21"/>
      </tp>
      <tp t="e">
        <v>#N/A</v>
        <stp/>
        <stp>BDH|8930662821358423459</stp>
        <tr r="X6" s="19"/>
        <tr r="X34" s="17"/>
        <tr r="X16" s="3"/>
      </tp>
      <tp t="e">
        <v>#N/A</v>
        <stp/>
        <stp>BDH|9482885897951581915</stp>
        <tr r="R14" s="11"/>
      </tp>
      <tp t="e">
        <v>#N/A</v>
        <stp/>
        <stp>BDH|6705280955487342668</stp>
        <tr r="X46" s="21"/>
      </tp>
      <tp t="e">
        <v>#N/A</v>
        <stp/>
        <stp>BDH|9339037432613989941</stp>
        <tr r="E11" s="9"/>
      </tp>
      <tp t="e">
        <v>#N/A</v>
        <stp/>
        <stp>BDH|4992977386916042379</stp>
        <tr r="G22" s="24"/>
      </tp>
      <tp t="e">
        <v>#N/A</v>
        <stp/>
        <stp>BDH|5706669762566487389</stp>
        <tr r="Q7" s="24"/>
      </tp>
      <tp t="e">
        <v>#N/A</v>
        <stp/>
        <stp>BDH|6889714866361275625</stp>
        <tr r="U40" s="17"/>
        <tr r="U9" s="25"/>
      </tp>
      <tp t="e">
        <v>#N/A</v>
        <stp/>
        <stp>BDH|4974632052320522728</stp>
        <tr r="V15" s="9"/>
      </tp>
      <tp t="e">
        <v>#N/A</v>
        <stp/>
        <stp>BDH|1877868031328213221</stp>
        <tr r="T7" s="2"/>
        <tr r="T7" s="5"/>
        <tr r="T7" s="9"/>
        <tr r="V14" s="3"/>
      </tp>
      <tp t="e">
        <v>#N/A</v>
        <stp/>
        <stp>BDH|6668607786191694995</stp>
        <tr r="J14" s="6"/>
      </tp>
      <tp t="e">
        <v>#N/A</v>
        <stp/>
        <stp>BDH|5931798222614561487</stp>
        <tr r="Y131" s="18"/>
      </tp>
      <tp t="e">
        <v>#N/A</v>
        <stp/>
        <stp>BDH|7027249344975798487</stp>
        <tr r="N25" s="21"/>
      </tp>
      <tp t="e">
        <v>#N/A</v>
        <stp/>
        <stp>BDH|1722624522840025583</stp>
        <tr r="I18" s="22"/>
      </tp>
      <tp t="e">
        <v>#N/A</v>
        <stp/>
        <stp>BDH|3860386718200445139</stp>
        <tr r="O69" s="17"/>
      </tp>
      <tp t="e">
        <v>#N/A</v>
        <stp/>
        <stp>BDH|3935669006434326152</stp>
        <tr r="W18" s="26"/>
      </tp>
      <tp t="e">
        <v>#N/A</v>
        <stp/>
        <stp>BDH|5856493650962584686</stp>
        <tr r="M42" s="17"/>
      </tp>
      <tp t="e">
        <v>#N/A</v>
        <stp/>
        <stp>BDH|7752617408149061824</stp>
        <tr r="E31" s="12"/>
      </tp>
      <tp t="e">
        <v>#N/A</v>
        <stp/>
        <stp>BDH|4720178950145932558</stp>
        <tr r="Y52" s="21"/>
      </tp>
      <tp t="e">
        <v>#N/A</v>
        <stp/>
        <stp>BDH|5726349707031198792</stp>
        <tr r="G24" s="4"/>
        <tr r="G59" s="11"/>
      </tp>
      <tp t="e">
        <v>#N/A</v>
        <stp/>
        <stp>BDH|3714524902392867433</stp>
        <tr r="C41" s="17"/>
      </tp>
      <tp t="e">
        <v>#N/A</v>
        <stp/>
        <stp>BDH|3096668806527901257</stp>
        <tr r="O65" s="17"/>
        <tr r="M8" s="5"/>
        <tr r="M8" s="9"/>
      </tp>
      <tp t="e">
        <v>#N/A</v>
        <stp/>
        <stp>BDH|5350864675689847340</stp>
        <tr r="O10" s="28"/>
      </tp>
      <tp t="e">
        <v>#N/A</v>
        <stp/>
        <stp>BDH|7312419733972435290</stp>
        <tr r="N86" s="18"/>
        <tr r="N6" s="20"/>
      </tp>
      <tp t="e">
        <v>#N/A</v>
        <stp/>
        <stp>BDH|4745674155186804113</stp>
        <tr r="Y35" s="12"/>
      </tp>
      <tp t="e">
        <v>#N/A</v>
        <stp/>
        <stp>BDH|9155521979313734816</stp>
        <tr r="P72" s="17"/>
      </tp>
      <tp t="e">
        <v>#N/A</v>
        <stp/>
        <stp>BDH|8172607309578332673</stp>
        <tr r="U19" s="18"/>
      </tp>
      <tp t="e">
        <v>#N/A</v>
        <stp/>
        <stp>BDH|6860554231430837080</stp>
        <tr r="U44" s="24"/>
      </tp>
      <tp t="e">
        <v>#N/A</v>
        <stp/>
        <stp>BDH|9656992015874127578</stp>
        <tr r="X117" s="18"/>
      </tp>
      <tp t="e">
        <v>#N/A</v>
        <stp/>
        <stp>BDH|9822263545947351848</stp>
        <tr r="C19" s="18"/>
      </tp>
      <tp t="e">
        <v>#N/A</v>
        <stp/>
        <stp>BDH|3990460068936256791</stp>
        <tr r="W35" s="22"/>
      </tp>
      <tp t="e">
        <v>#N/A</v>
        <stp/>
        <stp>BDH|7896360483445590940</stp>
        <tr r="O20" s="17"/>
      </tp>
      <tp t="e">
        <v>#N/A</v>
        <stp/>
        <stp>BDH|6972358243814440575</stp>
        <tr r="S37" s="18"/>
      </tp>
      <tp t="e">
        <v>#N/A</v>
        <stp/>
        <stp>BDH|6601936491004965219</stp>
        <tr r="G35" s="22"/>
      </tp>
      <tp t="e">
        <v>#N/A</v>
        <stp/>
        <stp>BDH|9894215491334557612</stp>
        <tr r="M13" s="22"/>
      </tp>
      <tp t="e">
        <v>#N/A</v>
        <stp/>
        <stp>BDH|9237982612828494908</stp>
        <tr r="U14" s="14"/>
      </tp>
      <tp t="e">
        <v>#N/A</v>
        <stp/>
        <stp>BDH|9380210679105057974</stp>
        <tr r="AA12" s="17"/>
      </tp>
      <tp t="e">
        <v>#N/A</v>
        <stp/>
        <stp>BDH|1542698921914644179</stp>
        <tr r="J42" s="34"/>
      </tp>
      <tp t="e">
        <v>#N/A</v>
        <stp/>
        <stp>BDH|1840675191609094725</stp>
        <tr r="E20" s="26"/>
      </tp>
      <tp t="e">
        <v>#N/A</v>
        <stp/>
        <stp>BDH|9492928709849506963</stp>
        <tr r="P16" s="26"/>
      </tp>
      <tp t="e">
        <v>#N/A</v>
        <stp/>
        <stp>BDH|7729198427673154743</stp>
        <tr r="R9" s="29"/>
      </tp>
      <tp t="e">
        <v>#N/A</v>
        <stp/>
        <stp>BDH|7986766922241242332</stp>
        <tr r="N8" s="13"/>
      </tp>
      <tp t="e">
        <v>#N/A</v>
        <stp/>
        <stp>BDH|2323626578723565008</stp>
        <tr r="R10" s="12"/>
      </tp>
      <tp t="e">
        <v>#N/A</v>
        <stp/>
        <stp>BDH|8693637188674177202</stp>
        <tr r="V7" s="30"/>
      </tp>
      <tp t="e">
        <v>#N/A</v>
        <stp/>
        <stp>BDH|1834448004211443401</stp>
        <tr r="AA35" s="24"/>
      </tp>
      <tp t="e">
        <v>#N/A</v>
        <stp/>
        <stp>BDH|2349690415172283711</stp>
        <tr r="N58" s="24"/>
      </tp>
      <tp t="e">
        <v>#N/A</v>
        <stp/>
        <stp>BDH|4401088021502644476</stp>
        <tr r="G24" s="29"/>
      </tp>
      <tp t="e">
        <v>#N/A</v>
        <stp/>
        <stp>BDH|8871134859818834466</stp>
        <tr r="V91" s="18"/>
      </tp>
      <tp t="e">
        <v>#N/A</v>
        <stp/>
        <stp>BDH|1350639773282746284</stp>
        <tr r="V27" s="5"/>
        <tr r="V28" s="9"/>
      </tp>
      <tp t="e">
        <v>#N/A</v>
        <stp/>
        <stp>BDH|1969240126119008866</stp>
        <tr r="Q75" s="18"/>
      </tp>
      <tp t="e">
        <v>#N/A</v>
        <stp/>
        <stp>BDH|4225980727638138716</stp>
        <tr r="Z39" s="13"/>
      </tp>
      <tp t="e">
        <v>#N/A</v>
        <stp/>
        <stp>BDH|9618801468401738647</stp>
        <tr r="Y20" s="5"/>
        <tr r="Y21" s="9"/>
      </tp>
      <tp t="e">
        <v>#N/A</v>
        <stp/>
        <stp>BDH|1922568212427794277</stp>
        <tr r="P60" s="21"/>
      </tp>
      <tp t="e">
        <v>#N/A</v>
        <stp/>
        <stp>BDH|6430141368554251571</stp>
        <tr r="N33" s="10"/>
        <tr r="N31" s="11"/>
        <tr r="P31" s="13"/>
      </tp>
      <tp t="e">
        <v>#N/A</v>
        <stp/>
        <stp>BDH|5849966293164370137</stp>
        <tr r="H9" s="2"/>
        <tr r="J8" s="25"/>
        <tr r="H10" s="5"/>
      </tp>
      <tp t="e">
        <v>#N/A</v>
        <stp/>
        <stp>BDH|3040515201155511383</stp>
        <tr r="H44" s="18"/>
      </tp>
      <tp t="e">
        <v>#N/A</v>
        <stp/>
        <stp>BDH|4476295752872604148</stp>
        <tr r="X30" s="21"/>
      </tp>
      <tp t="e">
        <v>#N/A</v>
        <stp/>
        <stp>BDH|3997194094819938204</stp>
        <tr r="E32" s="18"/>
      </tp>
      <tp t="e">
        <v>#N/A</v>
        <stp/>
        <stp>BDH|6276101793377929952</stp>
        <tr r="E14" s="28"/>
      </tp>
      <tp t="e">
        <v>#N/A</v>
        <stp/>
        <stp>BDH|4674986362958857399</stp>
        <tr r="Z20" s="24"/>
      </tp>
      <tp t="e">
        <v>#N/A</v>
        <stp/>
        <stp>BDH|1396288957777329120</stp>
        <tr r="I40" s="34"/>
      </tp>
      <tp t="e">
        <v>#N/A</v>
        <stp/>
        <stp>BDH|4190921061218790387</stp>
        <tr r="X11" s="12"/>
      </tp>
      <tp t="e">
        <v>#N/A</v>
        <stp/>
        <stp>BDH|4992065273811462256</stp>
        <tr r="C8" s="2"/>
      </tp>
      <tp t="e">
        <v>#N/A</v>
        <stp/>
        <stp>BDH|7837064086086439913</stp>
        <tr r="G21" s="12"/>
      </tp>
      <tp t="e">
        <v>#N/A</v>
        <stp/>
        <stp>BDH|4030506711772557291</stp>
        <tr r="J63" s="12"/>
      </tp>
      <tp t="e">
        <v>#N/A</v>
        <stp/>
        <stp>BDH|3689615282825000883</stp>
        <tr r="Q36" s="12"/>
      </tp>
      <tp t="e">
        <v>#N/A</v>
        <stp/>
        <stp>BDH|1251943795863966271</stp>
        <tr r="R38" s="17"/>
      </tp>
      <tp t="e">
        <v>#N/A</v>
        <stp/>
        <stp>BDH|6024251408055438149</stp>
        <tr r="E65" s="17"/>
        <tr r="C8" s="5"/>
        <tr r="C8" s="9"/>
      </tp>
      <tp t="e">
        <v>#N/A</v>
        <stp/>
        <stp>BDH|1887088329652099146</stp>
        <tr r="Y38" s="22"/>
      </tp>
      <tp t="e">
        <v>#N/A</v>
        <stp/>
        <stp>BDH|1201379630269054886</stp>
        <tr r="O10" s="24"/>
      </tp>
      <tp t="e">
        <v>#N/A</v>
        <stp/>
        <stp>BDH|6615269455219855804</stp>
        <tr r="AA24" s="18"/>
      </tp>
      <tp t="e">
        <v>#N/A</v>
        <stp/>
        <stp>BDH|3041676014851719590</stp>
        <tr r="U16" s="23"/>
      </tp>
      <tp t="e">
        <v>#N/A</v>
        <stp/>
        <stp>BDH|7698583073811564459</stp>
        <tr r="P37" s="34"/>
      </tp>
      <tp t="e">
        <v>#N/A</v>
        <stp/>
        <stp>BDH|7877472218121889321</stp>
        <tr r="H88" s="18"/>
        <tr r="H8" s="20"/>
      </tp>
      <tp t="e">
        <v>#N/A</v>
        <stp/>
        <stp>BDH|8839307797920153235</stp>
        <tr r="C37" s="21"/>
        <tr r="C24" s="3"/>
      </tp>
      <tp t="e">
        <v>#N/A</v>
        <stp/>
        <stp>BDH|3691901433948897107</stp>
        <tr r="L36" s="18"/>
      </tp>
      <tp t="e">
        <v>#N/A</v>
        <stp/>
        <stp>BDH|8976711557659069329</stp>
        <tr r="Z18" s="24"/>
      </tp>
      <tp t="e">
        <v>#N/A</v>
        <stp/>
        <stp>BDH|2660985014962252851</stp>
        <tr r="T14" s="8"/>
      </tp>
      <tp t="e">
        <v>#N/A</v>
        <stp/>
        <stp>BDH|4819044733886309113</stp>
        <tr r="J125" s="18"/>
      </tp>
      <tp t="e">
        <v>#N/A</v>
        <stp/>
        <stp>BDH|6660979204676588920</stp>
        <tr r="I49" s="17"/>
        <tr r="I17" s="3"/>
      </tp>
      <tp t="e">
        <v>#N/A</v>
        <stp/>
        <stp>BDH|1247709865815519504</stp>
        <tr r="Z24" s="12"/>
      </tp>
      <tp t="e">
        <v>#N/A</v>
        <stp/>
        <stp>BDH|6151250589108924466</stp>
        <tr r="V18" s="9"/>
      </tp>
      <tp t="e">
        <v>#N/A</v>
        <stp/>
        <stp>BDH|2096442842986731432</stp>
        <tr r="I11" s="17"/>
      </tp>
      <tp t="e">
        <v>#N/A</v>
        <stp/>
        <stp>BDH|3323863280855133669</stp>
        <tr r="O9" s="34"/>
      </tp>
      <tp t="e">
        <v>#N/A</v>
        <stp/>
        <stp>BDH|7085554977845816086</stp>
        <tr r="G85" s="17"/>
      </tp>
      <tp t="e">
        <v>#N/A</v>
        <stp/>
        <stp>BDH|7250821893920884696</stp>
        <tr r="U102" s="18"/>
      </tp>
      <tp t="e">
        <v>#N/A</v>
        <stp/>
        <stp>BDH|4932178536565248388</stp>
        <tr r="M105" s="18"/>
      </tp>
      <tp t="e">
        <v>#N/A</v>
        <stp/>
        <stp>BDH|3233060192973266969</stp>
        <tr r="H20" s="5"/>
        <tr r="H21" s="9"/>
      </tp>
      <tp t="e">
        <v>#N/A</v>
        <stp/>
        <stp>BDH|5067739604082790023</stp>
        <tr r="E11" s="18"/>
      </tp>
      <tp t="e">
        <v>#N/A</v>
        <stp/>
        <stp>BDH|2919673623405749386</stp>
        <tr r="E28" s="22"/>
      </tp>
      <tp t="e">
        <v>#N/A</v>
        <stp/>
        <stp>BDH|7976268129664783335</stp>
        <tr r="R53" s="18"/>
      </tp>
      <tp t="e">
        <v>#N/A</v>
        <stp/>
        <stp>BDH|5466207873222304267</stp>
        <tr r="V29" s="24"/>
      </tp>
      <tp t="e">
        <v>#N/A</v>
        <stp/>
        <stp>BDH|1855066217855285594</stp>
        <tr r="E40" s="29"/>
      </tp>
      <tp t="e">
        <v>#N/A</v>
        <stp/>
        <stp>BDH|7911021867070667181</stp>
        <tr r="F75" s="17"/>
      </tp>
      <tp t="e">
        <v>#N/A</v>
        <stp/>
        <stp>BDH|1671429529846961166</stp>
        <tr r="G66" s="17"/>
      </tp>
      <tp t="e">
        <v>#N/A</v>
        <stp/>
        <stp>BDH|7083528867563251756</stp>
        <tr r="U89" s="18"/>
        <tr r="U9" s="20"/>
      </tp>
      <tp t="e">
        <v>#N/A</v>
        <stp/>
        <stp>BDH|1799769623652877687</stp>
        <tr r="H10" s="22"/>
      </tp>
      <tp t="e">
        <v>#N/A</v>
        <stp/>
        <stp>BDH|1274504940301780171</stp>
        <tr r="R108" s="18"/>
      </tp>
      <tp t="e">
        <v>#N/A</v>
        <stp/>
        <stp>BDH|2394682339292298528</stp>
        <tr r="I13" s="17"/>
        <tr r="I16" s="28"/>
      </tp>
      <tp t="e">
        <v>#N/A</v>
        <stp/>
        <stp>BDH|7186805023158510555</stp>
        <tr r="T25" s="24"/>
      </tp>
      <tp t="e">
        <v>#N/A</v>
        <stp/>
        <stp>BDH|9544766480293716569</stp>
        <tr r="F87" s="18"/>
        <tr r="F7" s="20"/>
      </tp>
      <tp t="e">
        <v>#N/A</v>
        <stp/>
        <stp>BDH|5188137816441353455</stp>
        <tr r="P24" s="25"/>
        <tr r="N14" s="5"/>
        <tr r="P17" s="27"/>
      </tp>
      <tp t="e">
        <v>#N/A</v>
        <stp/>
        <stp>BDH|8793555070798788278</stp>
        <tr r="F20" s="11"/>
      </tp>
      <tp t="e">
        <v>#N/A</v>
        <stp/>
        <stp>BDH|9593302686732149003</stp>
        <tr r="I45" s="17"/>
      </tp>
      <tp t="e">
        <v>#N/A</v>
        <stp/>
        <stp>BDH|4344207933500694544</stp>
        <tr r="V97" s="18"/>
      </tp>
      <tp t="e">
        <v>#N/A</v>
        <stp/>
        <stp>BDH|6923025530970948501</stp>
        <tr r="E61" s="17"/>
      </tp>
      <tp t="e">
        <v>#N/A</v>
        <stp/>
        <stp>BDH|7183914782763810580</stp>
        <tr r="X45" s="12"/>
      </tp>
      <tp t="e">
        <v>#N/A</v>
        <stp/>
        <stp>BDH|1923713827792851659</stp>
        <tr r="R63" s="12"/>
      </tp>
      <tp t="e">
        <v>#N/A</v>
        <stp/>
        <stp>BDH|8337091494043543299</stp>
        <tr r="Z21" s="17"/>
        <tr r="Z15" s="3"/>
      </tp>
      <tp t="e">
        <v>#N/A</v>
        <stp/>
        <stp>BDH|5785040727245464223</stp>
        <tr r="F9" s="17"/>
      </tp>
      <tp t="e">
        <v>#N/A</v>
        <stp/>
        <stp>BDH|8381942002249101866</stp>
        <tr r="C13" s="8"/>
      </tp>
      <tp t="e">
        <v>#N/A</v>
        <stp/>
        <stp>BDH|9362806772726783041</stp>
        <tr r="Q11" s="28"/>
      </tp>
      <tp t="e">
        <v>#N/A</v>
        <stp/>
        <stp>BDH|1911098631001622355</stp>
        <tr r="P40" s="24"/>
      </tp>
      <tp t="e">
        <v>#N/A</v>
        <stp/>
        <stp>BDH|6798912645059439256</stp>
        <tr r="P7" s="24"/>
      </tp>
      <tp t="e">
        <v>#N/A</v>
        <stp/>
        <stp>BDH|1164409958641267191</stp>
        <tr r="V10" s="10"/>
      </tp>
      <tp t="e">
        <v>#N/A</v>
        <stp/>
        <stp>BDH|3570812896617657568</stp>
        <tr r="E124" s="18"/>
      </tp>
      <tp t="e">
        <v>#N/A</v>
        <stp/>
        <stp>BDH|7874893582231465641</stp>
        <tr r="K97" s="18"/>
      </tp>
      <tp t="e">
        <v>#N/A</v>
        <stp/>
        <stp>BDH|8679740329395143891</stp>
        <tr r="C11" s="6"/>
      </tp>
      <tp t="e">
        <v>#N/A</v>
        <stp/>
        <stp>BDH|7342126046855628729</stp>
        <tr r="P58" s="17"/>
      </tp>
      <tp t="e">
        <v>#N/A</v>
        <stp/>
        <stp>BDH|6882846289097781117</stp>
        <tr r="U60" s="24"/>
      </tp>
      <tp t="e">
        <v>#N/A</v>
        <stp/>
        <stp>BDH|8387486015779919449</stp>
        <tr r="T9" s="11"/>
      </tp>
      <tp t="e">
        <v>#N/A</v>
        <stp/>
        <stp>BDH|7779013979294469480</stp>
        <tr r="K14" s="30"/>
      </tp>
      <tp t="e">
        <v>#N/A</v>
        <stp/>
        <stp>BDH|9142113404708237053</stp>
        <tr r="S45" s="24"/>
      </tp>
      <tp t="e">
        <v>#N/A</v>
        <stp/>
        <stp>BDH|8926332592474245693</stp>
        <tr r="P33" s="10"/>
        <tr r="P31" s="11"/>
        <tr r="R31" s="13"/>
      </tp>
      <tp t="e">
        <v>#N/A</v>
        <stp/>
        <stp>BDH|4989589253236193209</stp>
        <tr r="L50" s="17"/>
        <tr r="L10" s="25"/>
      </tp>
      <tp t="e">
        <v>#N/A</v>
        <stp/>
        <stp>BDH|4721153507891588433</stp>
        <tr r="J16" s="23"/>
      </tp>
      <tp t="e">
        <v>#N/A</v>
        <stp/>
        <stp>BDH|4817083537626746132</stp>
        <tr r="V58" s="18"/>
      </tp>
      <tp t="e">
        <v>#N/A</v>
        <stp/>
        <stp>BDH|9411162135433674822</stp>
        <tr r="R25" s="21"/>
      </tp>
      <tp t="e">
        <v>#N/A</v>
        <stp/>
        <stp>BDH|9627956600410117013</stp>
        <tr r="I22" s="7"/>
      </tp>
      <tp t="e">
        <v>#N/A</v>
        <stp/>
        <stp>BDH|3566747543768726866</stp>
        <tr r="M56" s="17"/>
      </tp>
      <tp t="e">
        <v>#N/A</v>
        <stp/>
        <stp>BDH|3933474833310670481</stp>
        <tr r="Q15" s="10"/>
      </tp>
      <tp t="e">
        <v>#N/A</v>
        <stp/>
        <stp>BDH|8528548243408181103</stp>
        <tr r="D17" s="9"/>
      </tp>
      <tp t="e">
        <v>#N/A</v>
        <stp/>
        <stp>BDH|8769407824049500755</stp>
        <tr r="C25" s="3"/>
      </tp>
      <tp t="e">
        <v>#N/A</v>
        <stp/>
        <stp>BDH|9152041173968499610</stp>
        <tr r="Q52" s="12"/>
      </tp>
      <tp t="e">
        <v>#N/A</v>
        <stp/>
        <stp>BDH|5743732968170815472</stp>
        <tr r="E21" s="12"/>
      </tp>
      <tp t="e">
        <v>#N/A</v>
        <stp/>
        <stp>BDH|4039704558154859234</stp>
        <tr r="Y63" s="21"/>
        <tr r="W23" s="7"/>
      </tp>
      <tp t="e">
        <v>#N/A</v>
        <stp/>
        <stp>BDH|8822489937138258768</stp>
        <tr r="M15" s="5"/>
      </tp>
      <tp t="e">
        <v>#N/A</v>
        <stp/>
        <stp>BDH|3318421393587141906</stp>
        <tr r="K35" s="4"/>
      </tp>
      <tp t="e">
        <v>#N/A</v>
        <stp/>
        <stp>BDH|6954256941886786694</stp>
        <tr r="K100" s="18"/>
      </tp>
      <tp t="e">
        <v>#N/A</v>
        <stp/>
        <stp>BDH|6461941510756254813</stp>
        <tr r="S62" s="18"/>
      </tp>
      <tp t="e">
        <v>#N/A</v>
        <stp/>
        <stp>BDH|5319569725174294618</stp>
        <tr r="C32" s="10"/>
        <tr r="C44" s="10"/>
        <tr r="C30" s="11"/>
        <tr r="C42" s="11"/>
      </tp>
      <tp t="e">
        <v>#N/A</v>
        <stp/>
        <stp>BDH|1361037820830625353</stp>
        <tr r="G52" s="12"/>
      </tp>
      <tp t="e">
        <v>#N/A</v>
        <stp/>
        <stp>BDH|5544296086619970608</stp>
        <tr r="I15" s="24"/>
      </tp>
      <tp t="e">
        <v>#N/A</v>
        <stp/>
        <stp>BDH|6845453058673734419</stp>
        <tr r="X28" s="10"/>
        <tr r="X26" s="11"/>
      </tp>
      <tp t="e">
        <v>#N/A</v>
        <stp/>
        <stp>BDH|1402467466131742209</stp>
        <tr r="Z8" s="27"/>
      </tp>
      <tp t="e">
        <v>#N/A</v>
        <stp/>
        <stp>BDH|5135559565531716754</stp>
        <tr r="K59" s="21"/>
        <tr r="I57" s="11"/>
      </tp>
      <tp t="e">
        <v>#N/A</v>
        <stp/>
        <stp>BDH|2178096558774498375</stp>
        <tr r="U62" s="18"/>
      </tp>
      <tp t="e">
        <v>#N/A</v>
        <stp/>
        <stp>BDH|7387662371273070575</stp>
        <tr r="V34" s="22"/>
      </tp>
      <tp t="e">
        <v>#N/A</v>
        <stp/>
        <stp>BDH|1388593234043513487</stp>
        <tr r="E32" s="24"/>
      </tp>
      <tp t="e">
        <v>#N/A</v>
        <stp/>
        <stp>BDH|9635971241711219519</stp>
        <tr r="R7" s="28"/>
      </tp>
      <tp t="e">
        <v>#N/A</v>
        <stp/>
        <stp>BDH|8333031898889802836</stp>
        <tr r="R19" s="14"/>
      </tp>
      <tp t="e">
        <v>#N/A</v>
        <stp/>
        <stp>BDH|7127243972574699622</stp>
        <tr r="N91" s="18"/>
      </tp>
      <tp t="e">
        <v>#N/A</v>
        <stp/>
        <stp>BDH|4333350844427994481</stp>
        <tr r="O44" s="17"/>
      </tp>
      <tp t="e">
        <v>#N/A</v>
        <stp/>
        <stp>BDH|1620066003301526064</stp>
        <tr r="U110" s="18"/>
      </tp>
      <tp t="e">
        <v>#N/A</v>
        <stp/>
        <stp>BDH|1992783985848445607</stp>
        <tr r="L106" s="18"/>
      </tp>
      <tp t="e">
        <v>#N/A</v>
        <stp/>
        <stp>BDH|7055707746632411626</stp>
        <tr r="Q14" s="22"/>
      </tp>
      <tp t="e">
        <v>#N/A</v>
        <stp/>
        <stp>BDH|9516951165912326468</stp>
        <tr r="T88" s="17"/>
      </tp>
      <tp t="e">
        <v>#N/A</v>
        <stp/>
        <stp>BDH|2000073077215637067</stp>
        <tr r="AA13" s="21"/>
      </tp>
      <tp t="e">
        <v>#N/A</v>
        <stp/>
        <stp>BDH|4348819195920059574</stp>
        <tr r="F61" s="18"/>
      </tp>
      <tp t="e">
        <v>#N/A</v>
        <stp/>
        <stp>BDH|3503799857224383586</stp>
        <tr r="L20" s="29"/>
      </tp>
      <tp t="e">
        <v>#N/A</v>
        <stp/>
        <stp>BDH|6216340507015726067</stp>
        <tr r="H25" s="4"/>
        <tr r="H61" s="10"/>
      </tp>
      <tp t="e">
        <v>#N/A</v>
        <stp/>
        <stp>BDH|4771604547336444040</stp>
        <tr r="R63" s="10"/>
      </tp>
      <tp t="e">
        <v>#N/A</v>
        <stp/>
        <stp>BDH|5674378746135099773</stp>
        <tr r="X100" s="18"/>
      </tp>
      <tp t="e">
        <v>#N/A</v>
        <stp/>
        <stp>BDH|3543143355580702736</stp>
        <tr r="Y23" s="2"/>
        <tr r="AA18" s="21"/>
        <tr r="AA23" s="3"/>
      </tp>
      <tp t="e">
        <v>#N/A</v>
        <stp/>
        <stp>BDH|5247397509595330311</stp>
        <tr r="O11" s="9"/>
      </tp>
      <tp t="e">
        <v>#N/A</v>
        <stp/>
        <stp>BDH|6586622055005140039</stp>
        <tr r="O46" s="17"/>
      </tp>
      <tp t="e">
        <v>#N/A</v>
        <stp/>
        <stp>BDH|1848100330033150096</stp>
        <tr r="X6" s="6"/>
      </tp>
      <tp t="e">
        <v>#N/A</v>
        <stp/>
        <stp>BDH|6922405320833006399</stp>
        <tr r="R18" s="24"/>
      </tp>
      <tp t="e">
        <v>#N/A</v>
        <stp/>
        <stp>BDH|1776589092759466499</stp>
        <tr r="L13" s="10"/>
      </tp>
      <tp t="e">
        <v>#N/A</v>
        <stp/>
        <stp>BDH|6148041553936529538</stp>
        <tr r="W8" s="24"/>
      </tp>
      <tp t="e">
        <v>#N/A</v>
        <stp/>
        <stp>BDH|2544658361964070614</stp>
        <tr r="W26" s="17"/>
      </tp>
      <tp t="e">
        <v>#N/A</v>
        <stp/>
        <stp>BDH|3287348274460561774</stp>
        <tr r="F55" s="24"/>
      </tp>
      <tp t="e">
        <v>#N/A</v>
        <stp/>
        <stp>BDH|6965595858342889401</stp>
        <tr r="Y10" s="11"/>
      </tp>
      <tp t="e">
        <v>#N/A</v>
        <stp/>
        <stp>BDH|3714885391620634288</stp>
        <tr r="O35" s="24"/>
      </tp>
      <tp t="e">
        <v>#N/A</v>
        <stp/>
        <stp>BDH|1554353452943409464</stp>
        <tr r="E43" s="12"/>
      </tp>
      <tp t="e">
        <v>#N/A</v>
        <stp/>
        <stp>BDH|7358096083889070696</stp>
        <tr r="N17" s="23"/>
      </tp>
      <tp t="e">
        <v>#N/A</v>
        <stp/>
        <stp>BDH|2440536757664970699</stp>
        <tr r="AA81" s="18"/>
      </tp>
      <tp t="e">
        <v>#N/A</v>
        <stp/>
        <stp>BDH|1543550373556699555</stp>
        <tr r="O64" s="12"/>
      </tp>
      <tp t="e">
        <v>#N/A</v>
        <stp/>
        <stp>BDH|7986485367063576636</stp>
        <tr r="N85" s="18"/>
      </tp>
      <tp t="e">
        <v>#N/A</v>
        <stp/>
        <stp>BDH|5365292009300693752</stp>
        <tr r="W13" s="7"/>
      </tp>
      <tp t="e">
        <v>#N/A</v>
        <stp/>
        <stp>BDH|4266632236765495436</stp>
        <tr r="K52" s="12"/>
      </tp>
      <tp t="e">
        <v>#N/A</v>
        <stp/>
        <stp>BDH|1865578355023212280</stp>
        <tr r="H6" s="15"/>
        <tr r="H12" s="2"/>
        <tr r="H11" s="4"/>
        <tr r="H6" s="10"/>
      </tp>
      <tp t="e">
        <v>#N/A</v>
        <stp/>
        <stp>BDH|4494624325644700444</stp>
        <tr r="Q18" s="11"/>
      </tp>
      <tp t="e">
        <v>#N/A</v>
        <stp/>
        <stp>BDH|6488950727468716512</stp>
        <tr r="E11" s="12"/>
      </tp>
      <tp t="e">
        <v>#N/A</v>
        <stp/>
        <stp>BDH|7149402076272595622</stp>
        <tr r="K30" s="9"/>
      </tp>
      <tp t="e">
        <v>#N/A</v>
        <stp/>
        <stp>BDH|3274417530805653153</stp>
        <tr r="Q20" s="27"/>
      </tp>
      <tp t="e">
        <v>#N/A</v>
        <stp/>
        <stp>BDH|1299912187873107342</stp>
        <tr r="R28" s="26"/>
      </tp>
      <tp t="e">
        <v>#N/A</v>
        <stp/>
        <stp>BDH|1826293866217343257</stp>
        <tr r="C69" s="17"/>
      </tp>
      <tp t="e">
        <v>#N/A</v>
        <stp/>
        <stp>BDH|9523236886557577446</stp>
        <tr r="L24" s="11"/>
      </tp>
      <tp t="e">
        <v>#N/A</v>
        <stp/>
        <stp>BDH|8744757117196207862</stp>
        <tr r="T42" s="17"/>
      </tp>
      <tp t="e">
        <v>#N/A</v>
        <stp/>
        <stp>BDH|9529192485497817706</stp>
        <tr r="L25" s="7"/>
      </tp>
      <tp t="e">
        <v>#N/A</v>
        <stp/>
        <stp>BDH|2782837420618740028</stp>
        <tr r="K10" s="26"/>
      </tp>
      <tp t="e">
        <v>#N/A</v>
        <stp/>
        <stp>BDH|2801078110986959571</stp>
        <tr r="T96" s="18"/>
      </tp>
      <tp t="e">
        <v>#N/A</v>
        <stp/>
        <stp>BDH|7099572538780896160</stp>
        <tr r="E43" s="10"/>
        <tr r="E41" s="11"/>
      </tp>
      <tp t="e">
        <v>#N/A</v>
        <stp/>
        <stp>BDH|3070650352294492429</stp>
        <tr r="W34" s="18"/>
      </tp>
      <tp t="e">
        <v>#N/A</v>
        <stp/>
        <stp>BDH|3382399143444837002</stp>
        <tr r="W30" s="22"/>
      </tp>
      <tp t="e">
        <v>#N/A</v>
        <stp/>
        <stp>BDH|9737905207798912884</stp>
        <tr r="J25" s="17"/>
      </tp>
      <tp t="e">
        <v>#N/A</v>
        <stp/>
        <stp>BDH|2249491576208412981</stp>
        <tr r="E95" s="18"/>
      </tp>
      <tp t="e">
        <v>#N/A</v>
        <stp/>
        <stp>BDH|6366595488363402876</stp>
        <tr r="V24" s="26"/>
        <tr r="T14" s="9"/>
      </tp>
      <tp t="e">
        <v>#N/A</v>
        <stp/>
        <stp>BDH|9512077676567214974</stp>
        <tr r="W31" s="26"/>
      </tp>
      <tp t="e">
        <v>#N/A</v>
        <stp/>
        <stp>BDH|4845874471412827970</stp>
        <tr r="R16" s="22"/>
      </tp>
      <tp t="e">
        <v>#N/A</v>
        <stp/>
        <stp>BDH|7625670284729045047</stp>
        <tr r="Q38" s="6"/>
      </tp>
      <tp t="e">
        <v>#N/A</v>
        <stp/>
        <stp>BDH|9424731874249204008</stp>
        <tr r="C23" s="29"/>
        <tr r="C14" s="29"/>
        <tr r="C34" s="29"/>
      </tp>
      <tp t="e">
        <v>#N/A</v>
        <stp/>
        <stp>BDH|4667143674535497731</stp>
        <tr r="M21" s="24"/>
      </tp>
      <tp t="e">
        <v>#N/A</v>
        <stp/>
        <stp>BDH|4194040883189356546</stp>
        <tr r="W13" s="13"/>
      </tp>
      <tp t="e">
        <v>#N/A</v>
        <stp/>
        <stp>BDH|2592437995866729958</stp>
        <tr r="N28" s="21"/>
      </tp>
      <tp t="e">
        <v>#N/A</v>
        <stp/>
        <stp>BDH|8095653581244076253</stp>
        <tr r="I123" s="18"/>
      </tp>
      <tp t="e">
        <v>#N/A</v>
        <stp/>
        <stp>BDH|4555776760262687755</stp>
        <tr r="N82" s="18"/>
      </tp>
      <tp t="e">
        <v>#N/A</v>
        <stp/>
        <stp>BDH|5342606914763595130</stp>
        <tr r="Z32" s="24"/>
      </tp>
      <tp t="e">
        <v>#N/A</v>
        <stp/>
        <stp>BDH|2952705468865337634</stp>
        <tr r="Q15" s="13"/>
      </tp>
      <tp t="e">
        <v>#N/A</v>
        <stp/>
        <stp>BDH|8061693688091887782</stp>
        <tr r="I16" s="23"/>
      </tp>
      <tp t="e">
        <v>#N/A</v>
        <stp/>
        <stp>BDH|1044027143160626511</stp>
        <tr r="R22" s="21"/>
      </tp>
      <tp t="e">
        <v>#N/A</v>
        <stp/>
        <stp>BDH|9774977974425053220</stp>
        <tr r="D33" s="13"/>
      </tp>
      <tp t="e">
        <v>#N/A</v>
        <stp/>
        <stp>BDH|8291129995927493771</stp>
        <tr r="U48" s="10"/>
        <tr r="U46" s="11"/>
        <tr r="U15" s="7"/>
      </tp>
      <tp t="e">
        <v>#N/A</v>
        <stp/>
        <stp>BDH|7969590304732242004</stp>
        <tr r="K10" s="18"/>
      </tp>
      <tp t="e">
        <v>#N/A</v>
        <stp/>
        <stp>BDH|2475357783259555017</stp>
        <tr r="W17" s="22"/>
      </tp>
      <tp t="e">
        <v>#N/A</v>
        <stp/>
        <stp>BDH|9199409480135446035</stp>
        <tr r="G50" s="18"/>
      </tp>
      <tp t="e">
        <v>#N/A</v>
        <stp/>
        <stp>BDH|8681754594083456559</stp>
        <tr r="E13" s="11"/>
      </tp>
      <tp t="e">
        <v>#N/A</v>
        <stp/>
        <stp>BDH|6778122869849272889</stp>
        <tr r="M65" s="10"/>
      </tp>
      <tp t="e">
        <v>#N/A</v>
        <stp/>
        <stp>BDH|3948061536164662490</stp>
        <tr r="R58" s="21"/>
        <tr r="R30" s="25"/>
        <tr r="P31" s="4"/>
        <tr r="P56" s="11"/>
      </tp>
      <tp t="e">
        <v>#N/A</v>
        <stp/>
        <stp>BDH|6422293158543740245</stp>
        <tr r="G29" s="17"/>
      </tp>
      <tp t="e">
        <v>#N/A</v>
        <stp/>
        <stp>BDH|5230515512405349443</stp>
        <tr r="S7" s="17"/>
      </tp>
      <tp t="e">
        <v>#N/A</v>
        <stp/>
        <stp>BDH|9401249813818336267</stp>
        <tr r="Q19" s="22"/>
      </tp>
      <tp t="e">
        <v>#N/A</v>
        <stp/>
        <stp>BDH|1814371919377143413</stp>
        <tr r="U46" s="24"/>
      </tp>
      <tp t="e">
        <v>#N/A</v>
        <stp/>
        <stp>BDH|7548627563504109330</stp>
        <tr r="Y41" s="21"/>
      </tp>
      <tp t="e">
        <v>#N/A</v>
        <stp/>
        <stp>BDH|3114740731835280209</stp>
        <tr r="V16" s="14"/>
      </tp>
      <tp t="e">
        <v>#N/A</v>
        <stp/>
        <stp>BDH|6573669612690106160</stp>
        <tr r="V15" s="22"/>
      </tp>
      <tp t="e">
        <v>#N/A</v>
        <stp/>
        <stp>BDH|6610331142638091914</stp>
        <tr r="J17" s="20"/>
      </tp>
      <tp t="e">
        <v>#N/A</v>
        <stp/>
        <stp>BDH|8036061975767387866</stp>
        <tr r="M14" s="29"/>
        <tr r="M23" s="29"/>
        <tr r="M34" s="29"/>
      </tp>
      <tp t="e">
        <v>#N/A</v>
        <stp/>
        <stp>BDH|5410114446939128945</stp>
        <tr r="D25" s="4"/>
        <tr r="D61" s="10"/>
      </tp>
      <tp t="e">
        <v>#N/A</v>
        <stp/>
        <stp>BDH|9508958146846081202</stp>
        <tr r="C24" s="11"/>
      </tp>
      <tp t="e">
        <v>#N/A</v>
        <stp/>
        <stp>BDH|5982387697327079801</stp>
        <tr r="Z17" s="22"/>
      </tp>
      <tp t="e">
        <v>#N/A</v>
        <stp/>
        <stp>BDH|4514272050922625124</stp>
        <tr r="J8" s="8"/>
      </tp>
      <tp t="e">
        <v>#N/A</v>
        <stp/>
        <stp>BDH|1448986590383980236</stp>
        <tr r="G15" s="12"/>
      </tp>
      <tp t="e">
        <v>#N/A</v>
        <stp/>
        <stp>BDH|5450581338975771655</stp>
        <tr r="K60" s="17"/>
      </tp>
      <tp t="e">
        <v>#N/A</v>
        <stp/>
        <stp>BDH|5617708441674795269</stp>
        <tr r="L39" s="18"/>
      </tp>
      <tp t="e">
        <v>#N/A</v>
        <stp/>
        <stp>BDH|7040236008614422199</stp>
        <tr r="H23" s="9"/>
      </tp>
      <tp t="e">
        <v>#N/A</v>
        <stp/>
        <stp>BDH|4087226104531118715</stp>
        <tr r="M25" s="18"/>
      </tp>
      <tp t="e">
        <v>#N/A</v>
        <stp/>
        <stp>BDH|3297471951565108733</stp>
        <tr r="L10" s="10"/>
      </tp>
      <tp t="e">
        <v>#N/A</v>
        <stp/>
        <stp>BDH|4972450132377938419</stp>
        <tr r="G38" s="13"/>
      </tp>
      <tp t="e">
        <v>#N/A</v>
        <stp/>
        <stp>BDH|6674703113234742453</stp>
        <tr r="E23" s="26"/>
      </tp>
      <tp t="e">
        <v>#N/A</v>
        <stp/>
        <stp>BDH|7109848056289080343</stp>
        <tr r="I36" s="18"/>
      </tp>
      <tp t="e">
        <v>#N/A</v>
        <stp/>
        <stp>BDH|6151439676473499670</stp>
        <tr r="Y40" s="17"/>
        <tr r="Y9" s="25"/>
      </tp>
      <tp t="e">
        <v>#N/A</v>
        <stp/>
        <stp>BDH|4100661720719532955</stp>
        <tr r="S69" s="17"/>
      </tp>
      <tp t="e">
        <v>#N/A</v>
        <stp/>
        <stp>BDH|9530925800783460347</stp>
        <tr r="J119" s="18"/>
      </tp>
      <tp t="e">
        <v>#N/A</v>
        <stp/>
        <stp>BDH|6221544942050370701</stp>
        <tr r="N21" s="12"/>
      </tp>
      <tp t="e">
        <v>#N/A</v>
        <stp/>
        <stp>BDH|9238936041412441635</stp>
        <tr r="J17" s="14"/>
      </tp>
      <tp t="e">
        <v>#N/A</v>
        <stp/>
        <stp>BDH|5405210624503358650</stp>
        <tr r="U70" s="24"/>
      </tp>
      <tp t="e">
        <v>#N/A</v>
        <stp/>
        <stp>BDH|1375305061667104347</stp>
        <tr r="V37" s="18"/>
      </tp>
      <tp t="e">
        <v>#N/A</v>
        <stp/>
        <stp>BDH|6114905514987462968</stp>
        <tr r="X17" s="4"/>
        <tr r="Z10" s="3"/>
        <tr r="X52" s="10"/>
        <tr r="X50" s="11"/>
        <tr r="X17" s="7"/>
        <tr r="Z37" s="13"/>
      </tp>
      <tp t="e">
        <v>#N/A</v>
        <stp/>
        <stp>BDH|7835397608483919774</stp>
        <tr r="AA22" s="24"/>
      </tp>
      <tp t="e">
        <v>#N/A</v>
        <stp/>
        <stp>BDH|1312701642686007462</stp>
        <tr r="G67" s="10"/>
        <tr r="G65" s="11"/>
      </tp>
      <tp t="e">
        <v>#N/A</v>
        <stp/>
        <stp>BDH|1821347336369900841</stp>
        <tr r="P33" s="17"/>
      </tp>
      <tp t="e">
        <v>#N/A</v>
        <stp/>
        <stp>BDH|5162475815522759234</stp>
        <tr r="P39" s="34"/>
      </tp>
      <tp t="e">
        <v>#N/A</v>
        <stp/>
        <stp>BDH|3036667271235044705</stp>
        <tr r="H8" s="6"/>
      </tp>
      <tp t="e">
        <v>#N/A</v>
        <stp/>
        <stp>BDH|2145577640493425052</stp>
        <tr r="F34" s="6"/>
        <tr r="H9" s="8"/>
      </tp>
      <tp t="e">
        <v>#N/A</v>
        <stp/>
        <stp>BDH|6160093108563678510</stp>
        <tr r="E14" s="12"/>
      </tp>
      <tp t="e">
        <v>#N/A</v>
        <stp/>
        <stp>BDH|7498223192404591860</stp>
        <tr r="V59" s="17"/>
      </tp>
      <tp t="e">
        <v>#N/A</v>
        <stp/>
        <stp>BDH|1304844103761659851</stp>
        <tr r="O65" s="12"/>
      </tp>
      <tp t="e">
        <v>#N/A</v>
        <stp/>
        <stp>BDH|7277120674130318100</stp>
        <tr r="Q95" s="18"/>
      </tp>
      <tp t="e">
        <v>#N/A</v>
        <stp/>
        <stp>BDH|7979652876531523784</stp>
        <tr r="M8" s="21"/>
      </tp>
      <tp t="e">
        <v>#N/A</v>
        <stp/>
        <stp>BDH|4438257507870820697</stp>
        <tr r="M7" s="28"/>
      </tp>
      <tp t="e">
        <v>#N/A</v>
        <stp/>
        <stp>BDH|2273725872982663036</stp>
        <tr r="E29" s="5"/>
      </tp>
      <tp t="e">
        <v>#N/A</v>
        <stp/>
        <stp>BDH|1159878004109435012</stp>
        <tr r="S31" s="24"/>
      </tp>
      <tp t="e">
        <v>#N/A</v>
        <stp/>
        <stp>BDH|3538709322075470342</stp>
        <tr r="T58" s="21"/>
        <tr r="T30" s="25"/>
        <tr r="R31" s="4"/>
        <tr r="R56" s="11"/>
      </tp>
      <tp t="e">
        <v>#N/A</v>
        <stp/>
        <stp>BDH|4389297572501832077</stp>
        <tr r="X23" s="11"/>
      </tp>
      <tp t="e">
        <v>#N/A</v>
        <stp/>
        <stp>BDH|2238178580279760251</stp>
        <tr r="T20" s="23"/>
      </tp>
      <tp t="e">
        <v>#N/A</v>
        <stp/>
        <stp>BDH|4134316017065016335</stp>
        <tr r="I43" s="12"/>
      </tp>
      <tp t="e">
        <v>#N/A</v>
        <stp/>
        <stp>BDH|4226387507474982308</stp>
        <tr r="T15" s="11"/>
      </tp>
      <tp t="e">
        <v>#N/A</v>
        <stp/>
        <stp>BDH|7049021613881785724</stp>
        <tr r="U43" s="17"/>
      </tp>
      <tp t="e">
        <v>#N/A</v>
        <stp/>
        <stp>BDH|4291924758368489087</stp>
        <tr r="X10" s="28"/>
      </tp>
      <tp t="e">
        <v>#N/A</v>
        <stp/>
        <stp>BDH|4641291034503657696</stp>
        <tr r="D68" s="10"/>
        <tr r="D66" s="11"/>
      </tp>
      <tp t="e">
        <v>#N/A</v>
        <stp/>
        <stp>BDH|6541197267723612296</stp>
        <tr r="R66" s="10"/>
        <tr r="R64" s="11"/>
        <tr r="R20" s="7"/>
      </tp>
      <tp t="e">
        <v>#N/A</v>
        <stp/>
        <stp>BDH|7195160801902128430</stp>
        <tr r="E21" s="11"/>
      </tp>
      <tp t="e">
        <v>#N/A</v>
        <stp/>
        <stp>BDH|7016670014818136868</stp>
        <tr r="T7" s="28"/>
      </tp>
      <tp t="e">
        <v>#N/A</v>
        <stp/>
        <stp>BDH|3348537563270662015</stp>
        <tr r="F17" s="10"/>
      </tp>
      <tp t="e">
        <v>#N/A</v>
        <stp/>
        <stp>BDH|3450337731346669545</stp>
        <tr r="C68" s="10"/>
        <tr r="C66" s="11"/>
      </tp>
      <tp t="e">
        <v>#N/A</v>
        <stp/>
        <stp>BDH|5278932652831318849</stp>
        <tr r="D17" s="21"/>
      </tp>
      <tp t="e">
        <v>#N/A</v>
        <stp/>
        <stp>BDH|3502467655665342710</stp>
        <tr r="G25" s="18"/>
      </tp>
      <tp t="e">
        <v>#N/A</v>
        <stp/>
        <stp>BDH|6740292709377707341</stp>
        <tr r="H35" s="24"/>
      </tp>
      <tp t="e">
        <v>#N/A</v>
        <stp/>
        <stp>BDH|6797379735613493558</stp>
        <tr r="G82" s="17"/>
      </tp>
      <tp t="e">
        <v>#N/A</v>
        <stp/>
        <stp>BDH|9064301355349728661</stp>
        <tr r="N21" s="21"/>
      </tp>
      <tp t="e">
        <v>#N/A</v>
        <stp/>
        <stp>BDH|1750493348025782458</stp>
        <tr r="D30" s="22"/>
      </tp>
      <tp t="e">
        <v>#N/A</v>
        <stp/>
        <stp>BDH|1206257526290257176</stp>
        <tr r="D49" s="4"/>
      </tp>
      <tp t="e">
        <v>#N/A</v>
        <stp/>
        <stp>BDH|3047662160425429669</stp>
        <tr r="N27" s="12"/>
      </tp>
      <tp t="e">
        <v>#N/A</v>
        <stp/>
        <stp>BDH|7810651778062892491</stp>
        <tr r="L25" s="18"/>
      </tp>
      <tp t="e">
        <v>#N/A</v>
        <stp/>
        <stp>BDH|6637386190905843923</stp>
        <tr r="L60" s="10"/>
      </tp>
      <tp t="e">
        <v>#N/A</v>
        <stp/>
        <stp>BDH|7461845027989679456</stp>
        <tr r="I59" s="12"/>
      </tp>
      <tp t="e">
        <v>#N/A</v>
        <stp/>
        <stp>BDH|4498762804520223307</stp>
        <tr r="O17" s="10"/>
      </tp>
      <tp t="e">
        <v>#N/A</v>
        <stp/>
        <stp>BDH|3343546566981772127</stp>
        <tr r="G14" s="23"/>
      </tp>
      <tp t="e">
        <v>#N/A</v>
        <stp/>
        <stp>BDH|7652020815725112348</stp>
        <tr r="C12" s="3"/>
      </tp>
      <tp t="e">
        <v>#N/A</v>
        <stp/>
        <stp>BDH|7166570942852631466</stp>
        <tr r="I10" s="13"/>
      </tp>
      <tp t="e">
        <v>#N/A</v>
        <stp/>
        <stp>BDH|4875047348400882086</stp>
        <tr r="I21" s="21"/>
      </tp>
      <tp t="e">
        <v>#N/A</v>
        <stp/>
        <stp>BDH|6082005935482664775</stp>
        <tr r="F39" s="12"/>
      </tp>
      <tp t="e">
        <v>#N/A</v>
        <stp/>
        <stp>BDH|5156609043467443026</stp>
        <tr r="O20" s="2"/>
        <tr r="O18" s="4"/>
        <tr r="O54" s="10"/>
        <tr r="O52" s="11"/>
        <tr r="O19" s="7"/>
        <tr r="Q41" s="13"/>
      </tp>
      <tp t="e">
        <v>#N/A</v>
        <stp/>
        <stp>BDH|9114460094264691010</stp>
        <tr r="L91" s="18"/>
      </tp>
      <tp t="e">
        <v>#N/A</v>
        <stp/>
        <stp>BDH|9791540640528271056</stp>
        <tr r="Z119" s="18"/>
      </tp>
      <tp t="e">
        <v>#N/A</v>
        <stp/>
        <stp>BDH|3364590423855955146</stp>
        <tr r="W33" s="22"/>
      </tp>
      <tp t="e">
        <v>#N/A</v>
        <stp/>
        <stp>BDH|2059584467961914024</stp>
        <tr r="X43" s="24"/>
      </tp>
      <tp t="e">
        <v>#N/A</v>
        <stp/>
        <stp>BDH|7530750305922940281</stp>
        <tr r="T16" s="6"/>
      </tp>
      <tp t="e">
        <v>#N/A</v>
        <stp/>
        <stp>BDH|5194451890248000004</stp>
        <tr r="I40" s="17"/>
        <tr r="I9" s="25"/>
      </tp>
      <tp t="e">
        <v>#N/A</v>
        <stp/>
        <stp>BDH|5141249227807214255</stp>
        <tr r="Y25" s="18"/>
      </tp>
      <tp t="e">
        <v>#N/A</v>
        <stp/>
        <stp>BDH|6516924052693275925</stp>
        <tr r="M31" s="25"/>
      </tp>
      <tp t="e">
        <v>#N/A</v>
        <stp/>
        <stp>BDH|9389909971955203258</stp>
        <tr r="O27" s="17"/>
      </tp>
      <tp t="e">
        <v>#N/A</v>
        <stp/>
        <stp>BDH|6035091327291263596</stp>
        <tr r="O33" s="21"/>
      </tp>
      <tp t="e">
        <v>#N/A</v>
        <stp/>
        <stp>BDH|1071303936377768642</stp>
        <tr r="E15" s="4"/>
      </tp>
      <tp t="e">
        <v>#N/A</v>
        <stp/>
        <stp>BDH|1115217476542257615</stp>
        <tr r="Q122" s="18"/>
      </tp>
      <tp t="e">
        <v>#N/A</v>
        <stp/>
        <stp>BDH|2395993157829139792</stp>
        <tr r="N34" s="22"/>
      </tp>
      <tp t="e">
        <v>#N/A</v>
        <stp/>
        <stp>BDH|4225237327302240610</stp>
        <tr r="J59" s="21"/>
        <tr r="H57" s="11"/>
      </tp>
      <tp t="e">
        <v>#N/A</v>
        <stp/>
        <stp>BDH|2363090505023901133</stp>
        <tr r="J37" s="21"/>
        <tr r="J24" s="3"/>
      </tp>
      <tp t="e">
        <v>#N/A</v>
        <stp/>
        <stp>BDH|2604662734617462057</stp>
        <tr r="L33" s="17"/>
      </tp>
      <tp t="e">
        <v>#N/A</v>
        <stp/>
        <stp>BDH|3869807178198203475</stp>
        <tr r="G20" s="25"/>
        <tr r="G13" s="27"/>
      </tp>
      <tp t="e">
        <v>#N/A</v>
        <stp/>
        <stp>BDH|8568104492135130535</stp>
        <tr r="P115" s="18"/>
      </tp>
      <tp t="e">
        <v>#N/A</v>
        <stp/>
        <stp>BDH|3040458558253131199</stp>
        <tr r="P8" s="10"/>
      </tp>
      <tp t="e">
        <v>#N/A</v>
        <stp/>
        <stp>BDH|1490831741528188521</stp>
        <tr r="AA24" s="25"/>
        <tr r="Y14" s="5"/>
        <tr r="AA17" s="27"/>
      </tp>
      <tp t="e">
        <v>#N/A</v>
        <stp/>
        <stp>BDH|7963966138718792559</stp>
        <tr r="P9" s="2"/>
        <tr r="R8" s="25"/>
        <tr r="P10" s="5"/>
      </tp>
      <tp t="e">
        <v>#N/A</v>
        <stp/>
        <stp>BDH|5588691995899954353</stp>
        <tr r="X108" s="18"/>
      </tp>
      <tp t="e">
        <v>#N/A</v>
        <stp/>
        <stp>BDH|2534568305696133129</stp>
        <tr r="K26" s="12"/>
      </tp>
      <tp t="e">
        <v>#N/A</v>
        <stp/>
        <stp>BDH|2256203914453435276</stp>
        <tr r="P19" s="22"/>
      </tp>
      <tp t="e">
        <v>#N/A</v>
        <stp/>
        <stp>BDH|3123845230511166912</stp>
        <tr r="M117" s="18"/>
      </tp>
      <tp t="e">
        <v>#N/A</v>
        <stp/>
        <stp>BDH|6952954399575171315</stp>
        <tr r="V72" s="18"/>
      </tp>
      <tp t="e">
        <v>#N/A</v>
        <stp/>
        <stp>BDH|2405306186640510927</stp>
        <tr r="J6" s="28"/>
      </tp>
      <tp t="e">
        <v>#N/A</v>
        <stp/>
        <stp>BDH|7409443392589413331</stp>
        <tr r="W29" s="9"/>
      </tp>
      <tp t="e">
        <v>#N/A</v>
        <stp/>
        <stp>BDH|2490468875714197539</stp>
        <tr r="AA60" s="21"/>
      </tp>
      <tp t="e">
        <v>#N/A</v>
        <stp/>
        <stp>BDH|4574377506173479450</stp>
        <tr r="I16" s="6"/>
      </tp>
      <tp t="e">
        <v>#N/A</v>
        <stp/>
        <stp>BDH|9910092903219243043</stp>
        <tr r="G81" s="17"/>
      </tp>
      <tp t="e">
        <v>#N/A</v>
        <stp/>
        <stp>BDH|8109420646538989095</stp>
        <tr r="R30" s="29"/>
        <tr r="R8" s="29"/>
      </tp>
      <tp t="e">
        <v>#N/A</v>
        <stp/>
        <stp>BDH|7428126932335883097</stp>
        <tr r="P19" s="34"/>
      </tp>
      <tp t="e">
        <v>#N/A</v>
        <stp/>
        <stp>BDH|8107138184907732649</stp>
        <tr r="L6" s="15"/>
        <tr r="L12" s="2"/>
        <tr r="L11" s="4"/>
        <tr r="L6" s="10"/>
      </tp>
      <tp t="e">
        <v>#N/A</v>
        <stp/>
        <stp>BDH|2714094621887948732</stp>
        <tr r="N20" s="2"/>
        <tr r="N18" s="4"/>
        <tr r="N54" s="10"/>
        <tr r="N52" s="11"/>
        <tr r="N19" s="7"/>
        <tr r="P41" s="13"/>
      </tp>
      <tp t="e">
        <v>#N/A</v>
        <stp/>
        <stp>BDH|4539507364896741133</stp>
        <tr r="P64" s="17"/>
        <tr r="P18" s="3"/>
      </tp>
      <tp t="e">
        <v>#N/A</v>
        <stp/>
        <stp>BDH|6898707078005264373</stp>
        <tr r="N37" s="34"/>
      </tp>
      <tp t="e">
        <v>#N/A</v>
        <stp/>
        <stp>BDH|1875847892943227391</stp>
        <tr r="P23" s="25"/>
        <tr r="P16" s="27"/>
      </tp>
      <tp t="e">
        <v>#N/A</v>
        <stp/>
        <stp>BDH|2141591816686997027</stp>
        <tr r="G20" s="10"/>
      </tp>
      <tp t="e">
        <v>#N/A</v>
        <stp/>
        <stp>BDH|7134124876818220920</stp>
        <tr r="X8" s="21"/>
      </tp>
      <tp t="e">
        <v>#N/A</v>
        <stp/>
        <stp>BDH|6806280207475219108</stp>
        <tr r="W74" s="18"/>
      </tp>
      <tp t="e">
        <v>#N/A</v>
        <stp/>
        <stp>BDH|7776291119682793655</stp>
        <tr r="P22" s="4"/>
      </tp>
      <tp t="e">
        <v>#N/A</v>
        <stp/>
        <stp>BDH|2022629662875145748</stp>
        <tr r="P27" s="12"/>
      </tp>
      <tp t="e">
        <v>#N/A</v>
        <stp/>
        <stp>BDH|3480371912364403505</stp>
        <tr r="K33" s="21"/>
      </tp>
      <tp t="e">
        <v>#N/A</v>
        <stp/>
        <stp>BDH|7285213865724006733</stp>
        <tr r="T7" s="8"/>
      </tp>
      <tp t="e">
        <v>#N/A</v>
        <stp/>
        <stp>BDH|1772082162680196794</stp>
        <tr r="F118" s="18"/>
      </tp>
      <tp t="e">
        <v>#N/A</v>
        <stp/>
        <stp>BDH|6744305671185475779</stp>
        <tr r="V82" s="18"/>
      </tp>
      <tp t="e">
        <v>#N/A</v>
        <stp/>
        <stp>BDH|97318382770145648</stp>
        <tr r="M63" s="12"/>
      </tp>
      <tp t="e">
        <v>#N/A</v>
        <stp/>
        <stp>BDH|36959445009393969</stp>
        <tr r="T43" s="21"/>
      </tp>
      <tp t="e">
        <v>#N/A</v>
        <stp/>
        <stp>BDH|97610554878771675</stp>
        <tr r="X67" s="24"/>
      </tp>
      <tp t="e">
        <v>#N/A</v>
        <stp/>
        <stp>BDH|12936624125376377</stp>
        <tr r="F72" s="17"/>
      </tp>
      <tp t="e">
        <v>#N/A</v>
        <stp/>
        <stp>BDH|63836441317557696</stp>
        <tr r="T23" s="24"/>
      </tp>
      <tp t="e">
        <v>#N/A</v>
        <stp/>
        <stp>BDH|4245254217035292388</stp>
        <tr r="P17" s="11"/>
      </tp>
      <tp t="e">
        <v>#N/A</v>
        <stp/>
        <stp>BDH|1392730819226696053</stp>
        <tr r="E14" s="17"/>
        <tr r="E17" s="28"/>
      </tp>
      <tp t="e">
        <v>#N/A</v>
        <stp/>
        <stp>BDH|1730786967732614342</stp>
        <tr r="V8" s="8"/>
      </tp>
      <tp t="e">
        <v>#N/A</v>
        <stp/>
        <stp>BDH|1671324819464315647</stp>
        <tr r="L116" s="18"/>
      </tp>
      <tp t="e">
        <v>#N/A</v>
        <stp/>
        <stp>BDH|8349172380516968677</stp>
        <tr r="H30" s="10"/>
        <tr r="H28" s="11"/>
      </tp>
      <tp t="e">
        <v>#N/A</v>
        <stp/>
        <stp>BDH|1690355819317391534</stp>
        <tr r="J66" s="12"/>
      </tp>
      <tp t="e">
        <v>#N/A</v>
        <stp/>
        <stp>BDH|6830613734583234154</stp>
        <tr r="T14" s="30"/>
      </tp>
      <tp t="e">
        <v>#N/A</v>
        <stp/>
        <stp>BDH|2000177074580920505</stp>
        <tr r="F45" s="24"/>
      </tp>
      <tp t="e">
        <v>#N/A</v>
        <stp/>
        <stp>BDH|7227272560500828272</stp>
        <tr r="V21" s="6"/>
      </tp>
      <tp t="e">
        <v>#N/A</v>
        <stp/>
        <stp>BDH|2471483668596763793</stp>
        <tr r="S118" s="18"/>
      </tp>
      <tp t="e">
        <v>#N/A</v>
        <stp/>
        <stp>BDH|6828972897065652242</stp>
        <tr r="L38" s="24"/>
      </tp>
      <tp t="e">
        <v>#N/A</v>
        <stp/>
        <stp>BDH|1123643627420954417</stp>
        <tr r="W45" s="21"/>
      </tp>
      <tp t="e">
        <v>#N/A</v>
        <stp/>
        <stp>BDH|9368021191468869923</stp>
        <tr r="J10" s="10"/>
      </tp>
      <tp t="e">
        <v>#N/A</v>
        <stp/>
        <stp>BDH|3680198102267660412</stp>
        <tr r="U61" s="17"/>
      </tp>
      <tp t="e">
        <v>#N/A</v>
        <stp/>
        <stp>BDH|3815016760237303303</stp>
        <tr r="M59" s="12"/>
      </tp>
      <tp t="e">
        <v>#N/A</v>
        <stp/>
        <stp>BDH|5833723916146602407</stp>
        <tr r="C18" s="23"/>
      </tp>
      <tp t="e">
        <v>#N/A</v>
        <stp/>
        <stp>BDH|1506566016133870779</stp>
        <tr r="K82" s="18"/>
      </tp>
      <tp t="e">
        <v>#N/A</v>
        <stp/>
        <stp>BDH|4250187505843473714</stp>
        <tr r="L16" s="2"/>
        <tr r="L32" s="4"/>
        <tr r="L58" s="10"/>
        <tr r="N19" s="13"/>
      </tp>
      <tp t="e">
        <v>#N/A</v>
        <stp/>
        <stp>BDH|5207418746102961667</stp>
        <tr r="T61" s="24"/>
      </tp>
      <tp t="e">
        <v>#N/A</v>
        <stp/>
        <stp>BDH|7953902397437790132</stp>
        <tr r="E114" s="18"/>
      </tp>
      <tp t="e">
        <v>#N/A</v>
        <stp/>
        <stp>BDH|5453507128752691107</stp>
        <tr r="Y44" s="18"/>
      </tp>
      <tp t="e">
        <v>#N/A</v>
        <stp/>
        <stp>BDH|1692466248525012520</stp>
        <tr r="AA42" s="18"/>
      </tp>
      <tp t="e">
        <v>#N/A</v>
        <stp/>
        <stp>BDH|6817980668080592875</stp>
        <tr r="V18" s="18"/>
      </tp>
      <tp t="e">
        <v>#N/A</v>
        <stp/>
        <stp>BDH|7686632276163909406</stp>
        <tr r="AA18" s="18"/>
      </tp>
      <tp t="e">
        <v>#N/A</v>
        <stp/>
        <stp>BDH|2963709622014122201</stp>
        <tr r="W15" s="10"/>
      </tp>
      <tp t="e">
        <v>#N/A</v>
        <stp/>
        <stp>BDH|7893065074509072802</stp>
        <tr r="S16" s="2"/>
        <tr r="S32" s="4"/>
        <tr r="S58" s="10"/>
        <tr r="U19" s="13"/>
      </tp>
      <tp t="e">
        <v>#N/A</v>
        <stp/>
        <stp>BDH|6915399238277203006</stp>
        <tr r="Y81" s="17"/>
      </tp>
      <tp t="e">
        <v>#N/A</v>
        <stp/>
        <stp>BDH|8630209494121042380</stp>
        <tr r="I25" s="22"/>
      </tp>
      <tp t="e">
        <v>#N/A</v>
        <stp/>
        <stp>BDH|1383567178033617111</stp>
        <tr r="O25" s="24"/>
      </tp>
      <tp t="e">
        <v>#N/A</v>
        <stp/>
        <stp>BDH|5793746577407731389</stp>
        <tr r="D14" s="12"/>
      </tp>
      <tp t="e">
        <v>#N/A</v>
        <stp/>
        <stp>BDH|6730456306153778082</stp>
        <tr r="AA58" s="17"/>
      </tp>
      <tp t="e">
        <v>#N/A</v>
        <stp/>
        <stp>BDH|2514679206180818578</stp>
        <tr r="F21" s="27"/>
      </tp>
      <tp t="e">
        <v>#N/A</v>
        <stp/>
        <stp>BDH|7067015143492851011</stp>
        <tr r="P22" s="17"/>
      </tp>
      <tp t="e">
        <v>#N/A</v>
        <stp/>
        <stp>BDH|3705553979744450442</stp>
        <tr r="G15" s="10"/>
      </tp>
      <tp t="e">
        <v>#N/A</v>
        <stp/>
        <stp>BDH|9459524941441404887</stp>
        <tr r="D43" s="34"/>
      </tp>
      <tp t="e">
        <v>#N/A</v>
        <stp/>
        <stp>BDH|4408662089362410942</stp>
        <tr r="X20" s="18"/>
      </tp>
      <tp t="e">
        <v>#N/A</v>
        <stp/>
        <stp>BDH|4900516286498745024</stp>
        <tr r="N128" s="18"/>
      </tp>
      <tp t="e">
        <v>#N/A</v>
        <stp/>
        <stp>BDH|7917895834244810975</stp>
        <tr r="U29" s="29"/>
        <tr r="U7" s="29"/>
      </tp>
      <tp t="e">
        <v>#N/A</v>
        <stp/>
        <stp>BDH|2170241706646055780</stp>
        <tr r="D11" s="6"/>
      </tp>
      <tp t="e">
        <v>#N/A</v>
        <stp/>
        <stp>BDH|4594368134147938256</stp>
        <tr r="R46" s="4"/>
        <tr r="R25" s="10"/>
        <tr r="T27" s="13"/>
      </tp>
      <tp t="e">
        <v>#N/A</v>
        <stp/>
        <stp>BDH|3540587340682517130</stp>
        <tr r="G11" s="7"/>
      </tp>
      <tp t="e">
        <v>#N/A</v>
        <stp/>
        <stp>BDH|9407067910488942100</stp>
        <tr r="P30" s="24"/>
      </tp>
      <tp t="e">
        <v>#N/A</v>
        <stp/>
        <stp>BDH|7525686619667754680</stp>
        <tr r="AA12" s="24"/>
      </tp>
      <tp t="e">
        <v>#N/A</v>
        <stp/>
        <stp>BDH|3419252648804194035</stp>
        <tr r="E60" s="12"/>
      </tp>
      <tp t="e">
        <v>#N/A</v>
        <stp/>
        <stp>BDH|5771766008180741352</stp>
        <tr r="X9" s="13"/>
      </tp>
      <tp t="e">
        <v>#N/A</v>
        <stp/>
        <stp>BDH|1924480869636066434</stp>
        <tr r="T37" s="24"/>
      </tp>
      <tp t="e">
        <v>#N/A</v>
        <stp/>
        <stp>BDH|3037736700627818204</stp>
        <tr r="L46" s="18"/>
      </tp>
      <tp t="e">
        <v>#N/A</v>
        <stp/>
        <stp>BDH|7849022563304051429</stp>
        <tr r="H61" s="18"/>
      </tp>
      <tp t="e">
        <v>#N/A</v>
        <stp/>
        <stp>BDH|8812814513235975588</stp>
        <tr r="M55" s="12"/>
      </tp>
      <tp t="e">
        <v>#N/A</v>
        <stp/>
        <stp>BDH|6993505777385525005</stp>
        <tr r="K42" s="18"/>
      </tp>
      <tp t="e">
        <v>#N/A</v>
        <stp/>
        <stp>BDH|7204247146166943629</stp>
        <tr r="N47" s="12"/>
      </tp>
      <tp t="e">
        <v>#N/A</v>
        <stp/>
        <stp>BDH|6507777052562892730</stp>
        <tr r="D21" s="21"/>
      </tp>
      <tp t="e">
        <v>#N/A</v>
        <stp/>
        <stp>BDH|5043489141681537573</stp>
        <tr r="F66" s="18"/>
      </tp>
      <tp t="e">
        <v>#N/A</v>
        <stp/>
        <stp>BDH|9817946386691593842</stp>
        <tr r="W24" s="17"/>
      </tp>
      <tp t="e">
        <v>#N/A</v>
        <stp/>
        <stp>BDH|5724111529845600226</stp>
        <tr r="W89" s="17"/>
        <tr r="W7" s="27"/>
      </tp>
      <tp t="e">
        <v>#N/A</v>
        <stp/>
        <stp>BDH|1358097152677299210</stp>
        <tr r="N14" s="18"/>
      </tp>
      <tp t="e">
        <v>#N/A</v>
        <stp/>
        <stp>BDH|4094775869373008752</stp>
        <tr r="T17" s="10"/>
      </tp>
      <tp t="e">
        <v>#N/A</v>
        <stp/>
        <stp>BDH|5944174688558415598</stp>
        <tr r="AA27" s="21"/>
      </tp>
      <tp t="e">
        <v>#N/A</v>
        <stp/>
        <stp>BDH|1931045421185545713</stp>
        <tr r="P16" s="21"/>
      </tp>
      <tp t="e">
        <v>#N/A</v>
        <stp/>
        <stp>BDH|1856295561094901010</stp>
        <tr r="O28" s="4"/>
      </tp>
      <tp t="e">
        <v>#N/A</v>
        <stp/>
        <stp>BDH|5599708238182257277</stp>
        <tr r="T20" s="17"/>
      </tp>
      <tp t="e">
        <v>#N/A</v>
        <stp/>
        <stp>BDH|6780367106270889477</stp>
        <tr r="R26" s="12"/>
      </tp>
      <tp t="e">
        <v>#N/A</v>
        <stp/>
        <stp>BDH|9502655693321940627</stp>
        <tr r="F12" s="17"/>
      </tp>
      <tp t="e">
        <v>#N/A</v>
        <stp/>
        <stp>BDH|4575676336933985355</stp>
        <tr r="J82" s="17"/>
      </tp>
      <tp t="e">
        <v>#N/A</v>
        <stp/>
        <stp>BDH|2472465765747800670</stp>
        <tr r="G29" s="29"/>
        <tr r="G7" s="29"/>
      </tp>
      <tp t="e">
        <v>#N/A</v>
        <stp/>
        <stp>BDH|8627307424160229883</stp>
        <tr r="C11" s="13"/>
      </tp>
      <tp t="e">
        <v>#N/A</v>
        <stp/>
        <stp>BDH|1706925686129849835</stp>
        <tr r="M22" s="9"/>
      </tp>
      <tp t="e">
        <v>#N/A</v>
        <stp/>
        <stp>BDH|3876072910592653111</stp>
        <tr r="C90" s="17"/>
        <tr r="C13" s="28"/>
      </tp>
      <tp t="e">
        <v>#N/A</v>
        <stp/>
        <stp>BDH|2784154229454043438</stp>
        <tr r="O70" s="24"/>
      </tp>
      <tp t="e">
        <v>#N/A</v>
        <stp/>
        <stp>BDH|9066925599739543164</stp>
        <tr r="X13" s="13"/>
      </tp>
      <tp t="e">
        <v>#N/A</v>
        <stp/>
        <stp>BDH|6020056087656904935</stp>
        <tr r="X30" s="17"/>
      </tp>
      <tp t="e">
        <v>#N/A</v>
        <stp/>
        <stp>BDH|7222117756585572780</stp>
        <tr r="Q11" s="14"/>
      </tp>
      <tp t="e">
        <v>#N/A</v>
        <stp/>
        <stp>BDH|4526467035812734098</stp>
        <tr r="M87" s="18"/>
        <tr r="M7" s="20"/>
      </tp>
      <tp t="e">
        <v>#N/A</v>
        <stp/>
        <stp>BDH|5974548675883961597</stp>
        <tr r="Q22" s="27"/>
      </tp>
      <tp t="e">
        <v>#N/A</v>
        <stp/>
        <stp>BDH|4220524741957079391</stp>
        <tr r="U17" s="17"/>
        <tr r="U20" s="28"/>
      </tp>
      <tp t="e">
        <v>#N/A</v>
        <stp/>
        <stp>BDH|1886214471347523255</stp>
        <tr r="H18" s="5"/>
        <tr r="G31" s="6"/>
      </tp>
      <tp t="e">
        <v>#N/A</v>
        <stp/>
        <stp>BDH|9409079661188985638</stp>
        <tr r="H58" s="12"/>
      </tp>
      <tp t="e">
        <v>#N/A</v>
        <stp/>
        <stp>BDH|6273614799759181137</stp>
        <tr r="AA122" s="18"/>
      </tp>
      <tp t="e">
        <v>#N/A</v>
        <stp/>
        <stp>BDH|6967892009686685971</stp>
        <tr r="X17" s="21"/>
      </tp>
      <tp t="e">
        <v>#N/A</v>
        <stp/>
        <stp>BDH|3724095252845241261</stp>
        <tr r="M60" s="12"/>
      </tp>
      <tp t="e">
        <v>#N/A</v>
        <stp/>
        <stp>BDH|3691720046698946931</stp>
        <tr r="Q25" s="26"/>
      </tp>
      <tp t="e">
        <v>#N/A</v>
        <stp/>
        <stp>BDH|1798860491560910117</stp>
        <tr r="P58" s="12"/>
      </tp>
      <tp t="e">
        <v>#N/A</v>
        <stp/>
        <stp>BDH|9068146823673732888</stp>
        <tr r="O37" s="21"/>
        <tr r="O24" s="3"/>
      </tp>
      <tp t="e">
        <v>#N/A</v>
        <stp/>
        <stp>BDH|2140438470550347091</stp>
        <tr r="Q48" s="21"/>
      </tp>
      <tp t="e">
        <v>#N/A</v>
        <stp/>
        <stp>BDH|4620274469297889683</stp>
        <tr r="Z8" s="28"/>
      </tp>
      <tp t="e">
        <v>#N/A</v>
        <stp/>
        <stp>BDH|1722305479520397454</stp>
        <tr r="X90" s="17"/>
        <tr r="X13" s="28"/>
      </tp>
      <tp t="e">
        <v>#N/A</v>
        <stp/>
        <stp>BDH|3922038573215859092</stp>
        <tr r="H27" s="5"/>
        <tr r="H28" s="9"/>
      </tp>
      <tp t="e">
        <v>#N/A</v>
        <stp/>
        <stp>BDH|2054367559376182367</stp>
        <tr r="X22" s="24"/>
      </tp>
      <tp t="e">
        <v>#N/A</v>
        <stp/>
        <stp>BDH|4014225883547988807</stp>
        <tr r="U33" s="17"/>
      </tp>
      <tp t="e">
        <v>#N/A</v>
        <stp/>
        <stp>BDH|1820941795435904596</stp>
        <tr r="X82" s="18"/>
      </tp>
      <tp t="e">
        <v>#N/A</v>
        <stp/>
        <stp>BDH|1946678504834220216</stp>
        <tr r="X84" s="18"/>
      </tp>
      <tp t="e">
        <v>#N/A</v>
        <stp/>
        <stp>BDH|6137692505123022242</stp>
        <tr r="P21" s="10"/>
      </tp>
      <tp t="e">
        <v>#N/A</v>
        <stp/>
        <stp>BDH|5855861297535861084</stp>
        <tr r="W24" s="26"/>
        <tr r="U14" s="9"/>
      </tp>
      <tp t="e">
        <v>#N/A</v>
        <stp/>
        <stp>BDH|6975350795505923892</stp>
        <tr r="N48" s="12"/>
      </tp>
      <tp t="e">
        <v>#N/A</v>
        <stp/>
        <stp>BDH|7073781250255126103</stp>
        <tr r="K21" s="18"/>
      </tp>
      <tp t="e">
        <v>#N/A</v>
        <stp/>
        <stp>BDH|6089698455364752023</stp>
        <tr r="V18" s="25"/>
        <tr r="V10" s="27"/>
      </tp>
      <tp t="e">
        <v>#N/A</v>
        <stp/>
        <stp>BDH|7283350413175586185</stp>
        <tr r="F41" s="21"/>
      </tp>
      <tp t="e">
        <v>#N/A</v>
        <stp/>
        <stp>BDH|2245719348966427662</stp>
        <tr r="O14" s="14"/>
      </tp>
      <tp t="e">
        <v>#N/A</v>
        <stp/>
        <stp>BDH|3915054641424367270</stp>
        <tr r="O16" s="12"/>
      </tp>
      <tp t="e">
        <v>#N/A</v>
        <stp/>
        <stp>BDH|9933062083185408517</stp>
        <tr r="V43" s="10"/>
        <tr r="V41" s="11"/>
      </tp>
      <tp t="e">
        <v>#N/A</v>
        <stp/>
        <stp>BDH|9461205899997454409</stp>
        <tr r="Z108" s="18"/>
      </tp>
      <tp t="e">
        <v>#N/A</v>
        <stp/>
        <stp>BDH|1804142362465566226</stp>
        <tr r="X9" s="21"/>
      </tp>
      <tp t="e">
        <v>#N/A</v>
        <stp/>
        <stp>BDH|8722287064618742551</stp>
        <tr r="C65" s="17"/>
      </tp>
      <tp t="e">
        <v>#N/A</v>
        <stp/>
        <stp>BDH|2745239627431868229</stp>
        <tr r="Z85" s="18"/>
      </tp>
      <tp t="e">
        <v>#N/A</v>
        <stp/>
        <stp>BDH|3901545407553301409</stp>
        <tr r="P73" s="17"/>
        <tr r="N9" s="5"/>
        <tr r="N9" s="9"/>
      </tp>
      <tp t="e">
        <v>#N/A</v>
        <stp/>
        <stp>BDH|3785508194618977638</stp>
        <tr r="R20" s="17"/>
      </tp>
      <tp t="e">
        <v>#N/A</v>
        <stp/>
        <stp>BDH|4880672452321669726</stp>
        <tr r="O54" s="21"/>
      </tp>
      <tp t="e">
        <v>#N/A</v>
        <stp/>
        <stp>BDH|8167391928818030094</stp>
        <tr r="S62" s="24"/>
      </tp>
      <tp t="e">
        <v>#N/A</v>
        <stp/>
        <stp>BDH|3833754315671480552</stp>
        <tr r="Q8" s="27"/>
      </tp>
      <tp t="e">
        <v>#N/A</v>
        <stp/>
        <stp>BDH|9191770744573314887</stp>
        <tr r="W10" s="22"/>
      </tp>
      <tp t="e">
        <v>#N/A</v>
        <stp/>
        <stp>BDH|3788391576313536543</stp>
        <tr r="E41" s="34"/>
      </tp>
      <tp t="e">
        <v>#N/A</v>
        <stp/>
        <stp>BDH|6227578689288502202</stp>
        <tr r="I57" s="12"/>
      </tp>
      <tp t="e">
        <v>#N/A</v>
        <stp/>
        <stp>BDH|1612426042945865575</stp>
        <tr r="T21" s="22"/>
      </tp>
      <tp t="e">
        <v>#N/A</v>
        <stp/>
        <stp>BDH|7399045820187669387</stp>
        <tr r="C38" s="24"/>
      </tp>
      <tp t="e">
        <v>#N/A</v>
        <stp/>
        <stp>BDH|5479594741281688435</stp>
        <tr r="L19" s="20"/>
      </tp>
      <tp t="e">
        <v>#N/A</v>
        <stp/>
        <stp>BDH|4995457852682545623</stp>
        <tr r="M10" s="10"/>
      </tp>
      <tp t="e">
        <v>#N/A</v>
        <stp/>
        <stp>BDH|3076081678683966609</stp>
        <tr r="O102" s="18"/>
      </tp>
      <tp t="e">
        <v>#N/A</v>
        <stp/>
        <stp>BDH|6122015846317934468</stp>
        <tr r="C21" s="22"/>
      </tp>
      <tp t="e">
        <v>#N/A</v>
        <stp/>
        <stp>BDH|3794927301172439992</stp>
        <tr r="K20" s="25"/>
        <tr r="K13" s="27"/>
      </tp>
      <tp t="e">
        <v>#N/A</v>
        <stp/>
        <stp>BDH|2796520562830027092</stp>
        <tr r="N39" s="24"/>
      </tp>
      <tp t="e">
        <v>#N/A</v>
        <stp/>
        <stp>BDH|7410083225401574521</stp>
        <tr r="L60" s="24"/>
      </tp>
      <tp t="e">
        <v>#N/A</v>
        <stp/>
        <stp>BDH|8575889804990614116</stp>
        <tr r="Y32" s="10"/>
        <tr r="Y44" s="10"/>
        <tr r="Y30" s="11"/>
        <tr r="Y42" s="11"/>
      </tp>
      <tp t="e">
        <v>#N/A</v>
        <stp/>
        <stp>BDH|3951126872661356543</stp>
        <tr r="O36" s="22"/>
      </tp>
      <tp t="e">
        <v>#N/A</v>
        <stp/>
        <stp>BDH|1167121231671869344</stp>
        <tr r="S48" s="10"/>
        <tr r="S46" s="11"/>
        <tr r="S15" s="7"/>
      </tp>
      <tp t="e">
        <v>#N/A</v>
        <stp/>
        <stp>BDH|2297306954242961718</stp>
        <tr r="P41" s="12"/>
      </tp>
      <tp t="e">
        <v>#N/A</v>
        <stp/>
        <stp>BDH|3928377122625626643</stp>
        <tr r="S50" s="4"/>
      </tp>
      <tp t="e">
        <v>#N/A</v>
        <stp/>
        <stp>BDH|3755361959397752317</stp>
        <tr r="T54" s="12"/>
      </tp>
      <tp t="e">
        <v>#N/A</v>
        <stp/>
        <stp>BDH|1839856662316117802</stp>
        <tr r="W30" s="12"/>
      </tp>
      <tp t="e">
        <v>#N/A</v>
        <stp/>
        <stp>BDH|6283099304106009115</stp>
        <tr r="E8" s="26"/>
        <tr r="C10" s="9"/>
      </tp>
      <tp t="e">
        <v>#N/A</v>
        <stp/>
        <stp>BDH|9592917044101792492</stp>
        <tr r="J31" s="25"/>
      </tp>
      <tp t="e">
        <v>#N/A</v>
        <stp/>
        <stp>BDH|7113071951200934305</stp>
        <tr r="Z42" s="24"/>
      </tp>
      <tp t="e">
        <v>#N/A</v>
        <stp/>
        <stp>BDH|2132097931740741000</stp>
        <tr r="E12" s="11"/>
      </tp>
      <tp t="e">
        <v>#N/A</v>
        <stp/>
        <stp>BDH|7295982657888300204</stp>
        <tr r="W9" s="28"/>
      </tp>
      <tp t="e">
        <v>#N/A</v>
        <stp/>
        <stp>BDH|8752618798844536250</stp>
        <tr r="J79" s="18"/>
      </tp>
      <tp t="e">
        <v>#N/A</v>
        <stp/>
        <stp>BDH|3509358033340480295</stp>
        <tr r="E93" s="18"/>
      </tp>
      <tp t="e">
        <v>#N/A</v>
        <stp/>
        <stp>BDH|5157679838778250928</stp>
        <tr r="T12" s="17"/>
      </tp>
      <tp t="e">
        <v>#N/A</v>
        <stp/>
        <stp>BDH|1391774508356001127</stp>
        <tr r="P19" s="26"/>
      </tp>
      <tp t="e">
        <v>#N/A</v>
        <stp/>
        <stp>BDH|3434670169466073449</stp>
        <tr r="M37" s="24"/>
      </tp>
      <tp t="e">
        <v>#N/A</v>
        <stp/>
        <stp>BDH|1187645203113819504</stp>
        <tr r="R35" s="6"/>
        <tr r="T10" s="8"/>
      </tp>
      <tp t="e">
        <v>#N/A</v>
        <stp/>
        <stp>BDH|9078328109773507801</stp>
        <tr r="P42" s="17"/>
      </tp>
      <tp t="e">
        <v>#N/A</v>
        <stp/>
        <stp>BDH|2681602639921120709</stp>
        <tr r="G16" s="21"/>
      </tp>
      <tp t="e">
        <v>#N/A</v>
        <stp/>
        <stp>BDH|7809942783414849399</stp>
        <tr r="S32" s="21"/>
      </tp>
      <tp t="e">
        <v>#N/A</v>
        <stp/>
        <stp>BDH|4763143341141483187</stp>
        <tr r="AA65" s="17"/>
        <tr r="Y8" s="5"/>
        <tr r="Y8" s="9"/>
      </tp>
      <tp t="e">
        <v>#N/A</v>
        <stp/>
        <stp>BDH|1197448579975350617</stp>
        <tr r="AA29" s="29"/>
        <tr r="AA7" s="29"/>
      </tp>
      <tp t="e">
        <v>#N/A</v>
        <stp/>
        <stp>BDH|4967152541112260219</stp>
        <tr r="W38" s="6"/>
      </tp>
      <tp t="e">
        <v>#N/A</v>
        <stp/>
        <stp>BDH|7520233856091950079</stp>
        <tr r="S59" s="21"/>
        <tr r="Q57" s="11"/>
      </tp>
      <tp t="e">
        <v>#N/A</v>
        <stp/>
        <stp>BDH|1687664462283937350</stp>
        <tr r="F21" s="11"/>
      </tp>
      <tp t="e">
        <v>#N/A</v>
        <stp/>
        <stp>BDH|2258598255692237127</stp>
        <tr r="N13" s="17"/>
        <tr r="N16" s="28"/>
      </tp>
      <tp t="e">
        <v>#N/A</v>
        <stp/>
        <stp>BDH|2472386737932043153</stp>
        <tr r="M32" s="24"/>
      </tp>
      <tp t="e">
        <v>#N/A</v>
        <stp/>
        <stp>BDH|9047083376788369739</stp>
        <tr r="S85" s="17"/>
      </tp>
      <tp t="e">
        <v>#N/A</v>
        <stp/>
        <stp>BDH|6838414454643299516</stp>
        <tr r="K15" s="17"/>
        <tr r="K18" s="28"/>
      </tp>
      <tp t="e">
        <v>#N/A</v>
        <stp/>
        <stp>BDH|1879404100853061763</stp>
        <tr r="T79" s="17"/>
        <tr r="T20" s="3"/>
        <tr r="R6" s="7"/>
      </tp>
      <tp t="e">
        <v>#N/A</v>
        <stp/>
        <stp>BDH|3590678571163864047</stp>
        <tr r="Y10" s="28"/>
      </tp>
      <tp t="e">
        <v>#N/A</v>
        <stp/>
        <stp>BDH|1736553352147617790</stp>
        <tr r="L17" s="4"/>
        <tr r="N10" s="3"/>
        <tr r="L52" s="10"/>
        <tr r="L50" s="11"/>
        <tr r="L17" s="7"/>
        <tr r="N37" s="13"/>
      </tp>
      <tp t="e">
        <v>#N/A</v>
        <stp/>
        <stp>BDH|2515467611751550787</stp>
        <tr r="J22" s="18"/>
      </tp>
      <tp t="e">
        <v>#N/A</v>
        <stp/>
        <stp>BDH|6440460447000975730</stp>
        <tr r="H31" s="22"/>
      </tp>
      <tp t="e">
        <v>#N/A</v>
        <stp/>
        <stp>BDH|8096767589763322539</stp>
        <tr r="Y19" s="26"/>
      </tp>
      <tp t="e">
        <v>#N/A</v>
        <stp/>
        <stp>BDH|1595681402337502159</stp>
        <tr r="C14" s="23"/>
      </tp>
      <tp t="e">
        <v>#N/A</v>
        <stp/>
        <stp>BDH|7350185980649360672</stp>
        <tr r="E70" s="18"/>
      </tp>
      <tp t="e">
        <v>#N/A</v>
        <stp/>
        <stp>BDH|2484098842760331736</stp>
        <tr r="P16" s="10"/>
      </tp>
      <tp t="e">
        <v>#N/A</v>
        <stp/>
        <stp>BDH|6965830101927091842</stp>
        <tr r="D61" s="11"/>
        <tr r="F15" s="23"/>
      </tp>
      <tp t="e">
        <v>#N/A</v>
        <stp/>
        <stp>BDH|4237290404171847682</stp>
        <tr r="Y71" s="18"/>
      </tp>
      <tp t="e">
        <v>#N/A</v>
        <stp/>
        <stp>BDH|6297363951006945739</stp>
        <tr r="J60" s="24"/>
      </tp>
      <tp t="e">
        <v>#N/A</v>
        <stp/>
        <stp>BDH|3739066927445969501</stp>
        <tr r="F91" s="17"/>
      </tp>
      <tp t="e">
        <v>#N/A</v>
        <stp/>
        <stp>BDH|1174776811547072185</stp>
        <tr r="K32" s="24"/>
      </tp>
      <tp t="e">
        <v>#N/A</v>
        <stp/>
        <stp>BDH|2998057227487158659</stp>
        <tr r="U11" s="11"/>
      </tp>
      <tp t="e">
        <v>#N/A</v>
        <stp/>
        <stp>BDH|8063890752200487405</stp>
        <tr r="F65" s="12"/>
      </tp>
      <tp t="e">
        <v>#N/A</v>
        <stp/>
        <stp>BDH|1463080334136083577</stp>
        <tr r="K18" s="9"/>
      </tp>
      <tp t="e">
        <v>#N/A</v>
        <stp/>
        <stp>BDH|6950188139084779102</stp>
        <tr r="O9" s="27"/>
      </tp>
      <tp t="e">
        <v>#N/A</v>
        <stp/>
        <stp>BDH|3550018863455001182</stp>
        <tr r="U10" s="18"/>
      </tp>
      <tp t="e">
        <v>#N/A</v>
        <stp/>
        <stp>BDH|5656175516560993411</stp>
        <tr r="N18" s="12"/>
      </tp>
      <tp t="e">
        <v>#N/A</v>
        <stp/>
        <stp>BDH|3993577803705605244</stp>
        <tr r="T48" s="17"/>
      </tp>
      <tp t="e">
        <v>#N/A</v>
        <stp/>
        <stp>BDH|9902472996973704606</stp>
        <tr r="M15" s="22"/>
      </tp>
      <tp t="e">
        <v>#N/A</v>
        <stp/>
        <stp>BDH|6168032420023883653</stp>
        <tr r="F7" s="4"/>
      </tp>
      <tp t="e">
        <v>#N/A</v>
        <stp/>
        <stp>BDH|1294068916398492995</stp>
        <tr r="E18" s="14"/>
      </tp>
      <tp t="e">
        <v>#N/A</v>
        <stp/>
        <stp>BDH|4303431877730113699</stp>
        <tr r="N15" s="21"/>
      </tp>
      <tp t="e">
        <v>#N/A</v>
        <stp/>
        <stp>BDH|8934039796143634369</stp>
        <tr r="Y66" s="18"/>
      </tp>
      <tp t="e">
        <v>#N/A</v>
        <stp/>
        <stp>BDH|1666838839773810889</stp>
        <tr r="N20" s="17"/>
      </tp>
      <tp t="e">
        <v>#N/A</v>
        <stp/>
        <stp>BDH|8884041861917728862</stp>
        <tr r="T60" s="12"/>
      </tp>
      <tp t="e">
        <v>#N/A</v>
        <stp/>
        <stp>BDH|2018535283449498789</stp>
        <tr r="P19" s="17"/>
      </tp>
      <tp t="e">
        <v>#N/A</v>
        <stp/>
        <stp>BDH|3049809196090252388</stp>
        <tr r="W55" s="17"/>
      </tp>
      <tp t="e">
        <v>#N/A</v>
        <stp/>
        <stp>BDH|7321764328631666275</stp>
        <tr r="T21" s="27"/>
      </tp>
      <tp t="e">
        <v>#N/A</v>
        <stp/>
        <stp>BDH|8831302185360646275</stp>
        <tr r="G44" s="24"/>
      </tp>
      <tp t="e">
        <v>#N/A</v>
        <stp/>
        <stp>BDH|9699320481344008799</stp>
        <tr r="U33" s="10"/>
        <tr r="U31" s="11"/>
        <tr r="W31" s="13"/>
      </tp>
      <tp t="e">
        <v>#N/A</v>
        <stp/>
        <stp>BDH|8728022168219894698</stp>
        <tr r="Q38" s="10"/>
        <tr r="Q36" s="11"/>
      </tp>
      <tp t="e">
        <v>#N/A</v>
        <stp/>
        <stp>BDH|8034965608682112232</stp>
        <tr r="T59" s="24"/>
      </tp>
      <tp t="e">
        <v>#N/A</v>
        <stp/>
        <stp>BDH|6105342771044182798</stp>
        <tr r="L87" s="18"/>
        <tr r="L7" s="20"/>
      </tp>
      <tp t="e">
        <v>#N/A</v>
        <stp/>
        <stp>BDH|1481483042246694642</stp>
        <tr r="D28" s="6"/>
      </tp>
      <tp t="e">
        <v>#N/A</v>
        <stp/>
        <stp>BDH|9487303898950255222</stp>
        <tr r="C109" s="18"/>
      </tp>
      <tp t="e">
        <v>#N/A</v>
        <stp/>
        <stp>BDH|9306915477312032491</stp>
        <tr r="C77" s="18"/>
      </tp>
      <tp t="e">
        <v>#N/A</v>
        <stp/>
        <stp>BDH|3389680846735407558</stp>
        <tr r="N12" s="30"/>
      </tp>
      <tp t="e">
        <v>#N/A</v>
        <stp/>
        <stp>BDH|6292978299044464340</stp>
        <tr r="W39" s="6"/>
      </tp>
      <tp t="e">
        <v>#N/A</v>
        <stp/>
        <stp>BDH|7147347835284853242</stp>
        <tr r="X9" s="6"/>
      </tp>
      <tp t="e">
        <v>#N/A</v>
        <stp/>
        <stp>BDH|8903769939035287887</stp>
        <tr r="Z69" s="24"/>
      </tp>
      <tp t="e">
        <v>#N/A</v>
        <stp/>
        <stp>BDH|7967236537243792462</stp>
        <tr r="K26" s="29"/>
      </tp>
      <tp t="e">
        <v>#N/A</v>
        <stp/>
        <stp>BDH|1167280485359745378</stp>
        <tr r="X34" s="12"/>
      </tp>
      <tp t="e">
        <v>#N/A</v>
        <stp/>
        <stp>BDH|5084203334533817606</stp>
        <tr r="T40" s="12"/>
      </tp>
      <tp t="e">
        <v>#N/A</v>
        <stp/>
        <stp>BDH|4744953866629081380</stp>
        <tr r="O14" s="6"/>
      </tp>
      <tp t="e">
        <v>#N/A</v>
        <stp/>
        <stp>BDH|5523010718941065405</stp>
        <tr r="V11" s="7"/>
      </tp>
      <tp t="e">
        <v>#N/A</v>
        <stp/>
        <stp>BDH|3969760245829729814</stp>
        <tr r="Z13" s="12"/>
      </tp>
      <tp t="e">
        <v>#N/A</v>
        <stp/>
        <stp>BDH|2989522120244704000</stp>
        <tr r="E26" s="12"/>
      </tp>
      <tp t="e">
        <v>#N/A</v>
        <stp/>
        <stp>BDH|4990614604736206521</stp>
        <tr r="G62" s="17"/>
      </tp>
      <tp t="e">
        <v>#N/A</v>
        <stp/>
        <stp>BDH|7624691621320492263</stp>
        <tr r="L23" s="26"/>
      </tp>
      <tp t="e">
        <v>#N/A</v>
        <stp/>
        <stp>BDH|7431217498855903886</stp>
        <tr r="X10" s="18"/>
      </tp>
      <tp t="e">
        <v>#N/A</v>
        <stp/>
        <stp>BDH|2189147444875454398</stp>
        <tr r="L43" s="21"/>
      </tp>
      <tp t="e">
        <v>#N/A</v>
        <stp/>
        <stp>BDH|1459132118372670259</stp>
        <tr r="F28" s="10"/>
        <tr r="F26" s="11"/>
      </tp>
      <tp t="e">
        <v>#N/A</v>
        <stp/>
        <stp>BDH|2443582346347290541</stp>
        <tr r="I57" s="18"/>
      </tp>
      <tp t="e">
        <v>#N/A</v>
        <stp/>
        <stp>BDH|4324589136616582548</stp>
        <tr r="Q9" s="28"/>
      </tp>
      <tp t="e">
        <v>#N/A</v>
        <stp/>
        <stp>BDH|5113705331428887844</stp>
        <tr r="G34" s="12"/>
      </tp>
      <tp t="e">
        <v>#N/A</v>
        <stp/>
        <stp>BDH|1920225074690795544</stp>
        <tr r="T31" s="21"/>
      </tp>
      <tp t="e">
        <v>#N/A</v>
        <stp/>
        <stp>BDH|3861370414501053179</stp>
        <tr r="K55" s="18"/>
      </tp>
      <tp t="e">
        <v>#N/A</v>
        <stp/>
        <stp>BDH|6523148113631726691</stp>
        <tr r="U34" s="6"/>
        <tr r="W9" s="8"/>
      </tp>
      <tp t="e">
        <v>#N/A</v>
        <stp/>
        <stp>BDH|6282588169621612598</stp>
        <tr r="E21" s="27"/>
      </tp>
      <tp t="e">
        <v>#N/A</v>
        <stp/>
        <stp>BDH|6476387685185086956</stp>
        <tr r="S126" s="18"/>
      </tp>
      <tp t="e">
        <v>#N/A</v>
        <stp/>
        <stp>BDH|6169451158841763777</stp>
        <tr r="E33" s="10"/>
        <tr r="E31" s="11"/>
        <tr r="G31" s="13"/>
      </tp>
      <tp t="e">
        <v>#N/A</v>
        <stp/>
        <stp>BDH|1345731156873309193</stp>
        <tr r="F8" s="17"/>
      </tp>
      <tp t="e">
        <v>#N/A</v>
        <stp/>
        <stp>BDH|3019999695052921094</stp>
        <tr r="I17" s="22"/>
      </tp>
      <tp t="e">
        <v>#N/A</v>
        <stp/>
        <stp>BDH|5135226238126301355</stp>
        <tr r="D19" s="6"/>
      </tp>
      <tp t="e">
        <v>#N/A</v>
        <stp/>
        <stp>BDH|8215048688813675257</stp>
        <tr r="I9" s="6"/>
      </tp>
      <tp t="e">
        <v>#N/A</v>
        <stp/>
        <stp>BDH|9129958048840660574</stp>
        <tr r="O13" s="34"/>
      </tp>
      <tp t="e">
        <v>#N/A</v>
        <stp/>
        <stp>BDH|1436295183792550864</stp>
        <tr r="P32" s="26"/>
      </tp>
      <tp t="e">
        <v>#N/A</v>
        <stp/>
        <stp>BDH|6248439723276680794</stp>
        <tr r="AA41" s="24"/>
      </tp>
      <tp t="e">
        <v>#N/A</v>
        <stp/>
        <stp>BDH|1317251104391745384</stp>
        <tr r="M98" s="18"/>
      </tp>
      <tp t="e">
        <v>#N/A</v>
        <stp/>
        <stp>BDH|6061396382724269843</stp>
        <tr r="J63" s="10"/>
      </tp>
      <tp t="e">
        <v>#N/A</v>
        <stp/>
        <stp>BDH|3832122141663564434</stp>
        <tr r="R55" s="18"/>
      </tp>
      <tp t="e">
        <v>#N/A</v>
        <stp/>
        <stp>BDH|1352449921831857734</stp>
        <tr r="Q89" s="18"/>
        <tr r="Q9" s="20"/>
      </tp>
      <tp t="e">
        <v>#N/A</v>
        <stp/>
        <stp>BDH|1056883215610069902</stp>
        <tr r="J9" s="21"/>
      </tp>
      <tp t="e">
        <v>#N/A</v>
        <stp/>
        <stp>BDH|6175767667613847555</stp>
        <tr r="T63" s="17"/>
      </tp>
      <tp t="e">
        <v>#N/A</v>
        <stp/>
        <stp>BDH|1728294727217719732</stp>
        <tr r="G24" s="12"/>
      </tp>
      <tp t="e">
        <v>#N/A</v>
        <stp/>
        <stp>BDH|9121790540692065955</stp>
        <tr r="P82" s="17"/>
      </tp>
      <tp t="e">
        <v>#N/A</v>
        <stp/>
        <stp>BDH|2884519201371202774</stp>
        <tr r="W52" s="21"/>
      </tp>
      <tp t="e">
        <v>#N/A</v>
        <stp/>
        <stp>BDH|7101064255336633592</stp>
        <tr r="L21" s="21"/>
      </tp>
      <tp t="e">
        <v>#N/A</v>
        <stp/>
        <stp>BDH|5318060509936472259</stp>
        <tr r="I42" s="21"/>
      </tp>
      <tp t="e">
        <v>#N/A</v>
        <stp/>
        <stp>BDH|5269937528618526713</stp>
        <tr r="N13" s="18"/>
      </tp>
      <tp t="e">
        <v>#N/A</v>
        <stp/>
        <stp>BDH|3697064994159859210</stp>
        <tr r="K11" s="13"/>
      </tp>
      <tp t="e">
        <v>#N/A</v>
        <stp/>
        <stp>BDH|9735649768378630002</stp>
        <tr r="K127" s="18"/>
      </tp>
      <tp t="e">
        <v>#N/A</v>
        <stp/>
        <stp>BDH|7550160233736520288</stp>
        <tr r="C16" s="12"/>
      </tp>
      <tp t="e">
        <v>#N/A</v>
        <stp/>
        <stp>BDH|9872139685574574567</stp>
        <tr r="G36" s="18"/>
      </tp>
      <tp t="e">
        <v>#N/A</v>
        <stp/>
        <stp>BDH|6888683683740944973</stp>
        <tr r="AA20" s="12"/>
      </tp>
      <tp t="e">
        <v>#N/A</v>
        <stp/>
        <stp>BDH|8881468496851067554</stp>
        <tr r="C29" s="22"/>
      </tp>
      <tp t="e">
        <v>#N/A</v>
        <stp/>
        <stp>BDH|8702411143120090984</stp>
        <tr r="T27" s="17"/>
      </tp>
      <tp t="e">
        <v>#N/A</v>
        <stp/>
        <stp>BDH|1801643191157164818</stp>
        <tr r="M112" s="18"/>
      </tp>
      <tp t="e">
        <v>#N/A</v>
        <stp/>
        <stp>BDH|8345880096171401949</stp>
        <tr r="R34" s="10"/>
        <tr r="R32" s="11"/>
        <tr r="T32" s="13"/>
      </tp>
      <tp t="e">
        <v>#N/A</v>
        <stp/>
        <stp>BDH|1330695268948892879</stp>
        <tr r="R45" s="18"/>
      </tp>
      <tp t="e">
        <v>#N/A</v>
        <stp/>
        <stp>BDH|1743253722899556985</stp>
        <tr r="L50" s="4"/>
      </tp>
      <tp t="e">
        <v>#N/A</v>
        <stp/>
        <stp>BDH|6305590539944945573</stp>
        <tr r="S36" s="10"/>
        <tr r="S34" s="11"/>
      </tp>
      <tp t="e">
        <v>#N/A</v>
        <stp/>
        <stp>BDH|9242074277378220720</stp>
        <tr r="I16" s="11"/>
      </tp>
      <tp t="e">
        <v>#N/A</v>
        <stp/>
        <stp>BDH|6445049441881328206</stp>
        <tr r="Q27" s="6"/>
      </tp>
      <tp t="e">
        <v>#N/A</v>
        <stp/>
        <stp>BDH|6112202110972791643</stp>
        <tr r="R42" s="18"/>
      </tp>
      <tp t="e">
        <v>#N/A</v>
        <stp/>
        <stp>BDH|4206776206612213031</stp>
        <tr r="L25" s="2"/>
        <tr r="N61" s="21"/>
      </tp>
      <tp t="e">
        <v>#N/A</v>
        <stp/>
        <stp>BDH|6172074279034514482</stp>
        <tr r="O117" s="18"/>
      </tp>
      <tp t="e">
        <v>#N/A</v>
        <stp/>
        <stp>BDH|4148545831653355051</stp>
        <tr r="H10" s="21"/>
      </tp>
      <tp t="e">
        <v>#N/A</v>
        <stp/>
        <stp>BDH|2122080573812990611</stp>
        <tr r="E62" s="24"/>
      </tp>
      <tp t="e">
        <v>#N/A</v>
        <stp/>
        <stp>BDH|3188708164810125368</stp>
        <tr r="I89" s="18"/>
        <tr r="I9" s="20"/>
      </tp>
      <tp t="e">
        <v>#N/A</v>
        <stp/>
        <stp>BDH|3057900125421146860</stp>
        <tr r="S74" s="17"/>
        <tr r="S19" s="3"/>
      </tp>
      <tp t="e">
        <v>#N/A</v>
        <stp/>
        <stp>BDH|2777410747356019530</stp>
        <tr r="L38" s="22"/>
      </tp>
      <tp t="e">
        <v>#N/A</v>
        <stp/>
        <stp>BDH|1465340952957423148</stp>
        <tr r="M92" s="18"/>
      </tp>
      <tp t="e">
        <v>#N/A</v>
        <stp/>
        <stp>BDH|6257361624140310610</stp>
        <tr r="C9" s="34"/>
      </tp>
      <tp t="e">
        <v>#N/A</v>
        <stp/>
        <stp>BDH|2524614040187524631</stp>
        <tr r="G34" s="34"/>
      </tp>
      <tp t="e">
        <v>#N/A</v>
        <stp/>
        <stp>BDH|1729121072735763326</stp>
        <tr r="R73" s="18"/>
      </tp>
      <tp t="e">
        <v>#N/A</v>
        <stp/>
        <stp>BDH|4287722734998232944</stp>
        <tr r="X7" s="11"/>
      </tp>
      <tp t="e">
        <v>#N/A</v>
        <stp/>
        <stp>BDH|1014756507755850282</stp>
        <tr r="X39" s="12"/>
      </tp>
      <tp t="e">
        <v>#N/A</v>
        <stp/>
        <stp>BDH|4535757157441500607</stp>
        <tr r="M45" s="34"/>
      </tp>
      <tp t="e">
        <v>#N/A</v>
        <stp/>
        <stp>BDH|7876534069173834687</stp>
        <tr r="C18" s="34"/>
      </tp>
      <tp t="e">
        <v>#N/A</v>
        <stp/>
        <stp>BDH|8161241673288369475</stp>
        <tr r="O78" s="18"/>
      </tp>
      <tp t="e">
        <v>#N/A</v>
        <stp/>
        <stp>BDH|6623678934393164169</stp>
        <tr r="R82" s="17"/>
      </tp>
      <tp t="e">
        <v>#N/A</v>
        <stp/>
        <stp>BDH|6996911208577729959</stp>
        <tr r="Y46" s="21"/>
      </tp>
      <tp t="e">
        <v>#N/A</v>
        <stp/>
        <stp>BDH|5580427622794616610</stp>
        <tr r="V12" s="24"/>
      </tp>
      <tp t="e">
        <v>#N/A</v>
        <stp/>
        <stp>BDH|3833556262978454992</stp>
        <tr r="X17" s="13"/>
      </tp>
      <tp t="e">
        <v>#N/A</v>
        <stp/>
        <stp>BDH|3724071757014085356</stp>
        <tr r="P43" s="12"/>
      </tp>
      <tp t="e">
        <v>#N/A</v>
        <stp/>
        <stp>BDH|6777993125855040994</stp>
        <tr r="Q84" s="18"/>
      </tp>
      <tp t="e">
        <v>#N/A</v>
        <stp/>
        <stp>BDH|2249528340570673242</stp>
        <tr r="C13" s="7"/>
      </tp>
      <tp t="e">
        <v>#N/A</v>
        <stp/>
        <stp>BDH|6308510903866631454</stp>
        <tr r="L10" s="13"/>
      </tp>
      <tp t="e">
        <v>#N/A</v>
        <stp/>
        <stp>BDH|1904656178499093864</stp>
        <tr r="Y69" s="18"/>
      </tp>
      <tp t="e">
        <v>#N/A</v>
        <stp/>
        <stp>BDH|9628244656339236649</stp>
        <tr r="J26" s="7"/>
      </tp>
      <tp t="e">
        <v>#N/A</v>
        <stp/>
        <stp>BDH|4199594519135501462</stp>
        <tr r="N12" s="13"/>
      </tp>
      <tp t="e">
        <v>#N/A</v>
        <stp/>
        <stp>BDH|4326265262423536211</stp>
        <tr r="I58" s="12"/>
      </tp>
      <tp t="e">
        <v>#N/A</v>
        <stp/>
        <stp>BDH|5946086112725741071</stp>
        <tr r="E13" s="14"/>
      </tp>
      <tp t="e">
        <v>#N/A</v>
        <stp/>
        <stp>BDH|7984165258913568112</stp>
        <tr r="D13" s="23"/>
      </tp>
      <tp t="e">
        <v>#N/A</v>
        <stp/>
        <stp>BDH|5712004913177534227</stp>
        <tr r="X67" s="18"/>
      </tp>
      <tp t="e">
        <v>#N/A</v>
        <stp/>
        <stp>BDH|4033421565512437507</stp>
        <tr r="T18" s="25"/>
        <tr r="T10" s="27"/>
      </tp>
      <tp t="e">
        <v>#N/A</v>
        <stp/>
        <stp>BDH|6581548499739867232</stp>
        <tr r="C29" s="4"/>
      </tp>
      <tp t="e">
        <v>#N/A</v>
        <stp/>
        <stp>BDH|1776618452343268059</stp>
        <tr r="U16" s="21"/>
      </tp>
      <tp t="e">
        <v>#N/A</v>
        <stp/>
        <stp>BDH|8353886091721805911</stp>
        <tr r="W10" s="26"/>
      </tp>
      <tp t="e">
        <v>#N/A</v>
        <stp/>
        <stp>BDH|2830110551155813236</stp>
        <tr r="N42" s="12"/>
      </tp>
      <tp t="e">
        <v>#N/A</v>
        <stp/>
        <stp>BDH|1114538307747698202</stp>
        <tr r="V23" s="9"/>
      </tp>
      <tp t="e">
        <v>#N/A</v>
        <stp/>
        <stp>BDH|7097464006106493471</stp>
        <tr r="M12" s="7"/>
      </tp>
      <tp t="e">
        <v>#N/A</v>
        <stp/>
        <stp>BDH|1037285526000950047</stp>
        <tr r="U32" s="18"/>
      </tp>
      <tp t="e">
        <v>#N/A</v>
        <stp/>
        <stp>BDH|2886630270604987612</stp>
        <tr r="X48" s="10"/>
        <tr r="X46" s="11"/>
        <tr r="X15" s="7"/>
      </tp>
      <tp t="e">
        <v>#N/A</v>
        <stp/>
        <stp>BDH|9292871241204063078</stp>
        <tr r="D109" s="18"/>
      </tp>
      <tp t="e">
        <v>#N/A</v>
        <stp/>
        <stp>BDH|6200665280081409832</stp>
        <tr r="X20" s="2"/>
        <tr r="X18" s="4"/>
        <tr r="X54" s="10"/>
        <tr r="X52" s="11"/>
        <tr r="X19" s="7"/>
        <tr r="Z41" s="13"/>
      </tp>
      <tp t="e">
        <v>#N/A</v>
        <stp/>
        <stp>BDH|1328129423577487451</stp>
        <tr r="C17" s="17"/>
        <tr r="C20" s="28"/>
      </tp>
      <tp t="e">
        <v>#N/A</v>
        <stp/>
        <stp>BDH|7408175845236698539</stp>
        <tr r="M10" s="30"/>
      </tp>
      <tp t="e">
        <v>#N/A</v>
        <stp/>
        <stp>BDH|2612348120222954087</stp>
        <tr r="S17" s="21"/>
      </tp>
      <tp t="e">
        <v>#N/A</v>
        <stp/>
        <stp>BDH|1192532592649762542</stp>
        <tr r="H13" s="8"/>
      </tp>
      <tp t="e">
        <v>#N/A</v>
        <stp/>
        <stp>BDH|7566629075170760760</stp>
        <tr r="K117" s="18"/>
      </tp>
      <tp t="e">
        <v>#N/A</v>
        <stp/>
        <stp>BDH|5248504338415191785</stp>
        <tr r="O32" s="10"/>
        <tr r="O44" s="10"/>
        <tr r="O30" s="11"/>
        <tr r="O42" s="11"/>
      </tp>
      <tp t="e">
        <v>#N/A</v>
        <stp/>
        <stp>BDH|7424478103843311108</stp>
        <tr r="Z16" s="12"/>
      </tp>
      <tp t="e">
        <v>#N/A</v>
        <stp/>
        <stp>BDH|1476347277710099445</stp>
        <tr r="R88" s="18"/>
        <tr r="R8" s="20"/>
      </tp>
      <tp t="e">
        <v>#N/A</v>
        <stp/>
        <stp>BDH|5278419203612443277</stp>
        <tr r="D62" s="18"/>
      </tp>
      <tp t="e">
        <v>#N/A</v>
        <stp/>
        <stp>BDH|4562970817935710815</stp>
        <tr r="X31" s="24"/>
      </tp>
      <tp t="e">
        <v>#N/A</v>
        <stp/>
        <stp>BDH|8455937365277780162</stp>
        <tr r="C26" s="29"/>
      </tp>
      <tp t="e">
        <v>#N/A</v>
        <stp/>
        <stp>BDH|5725767893088098216</stp>
        <tr r="P38" s="24"/>
      </tp>
      <tp t="e">
        <v>#N/A</v>
        <stp/>
        <stp>BDH|4093253140043659005</stp>
        <tr r="S20" s="11"/>
      </tp>
      <tp t="e">
        <v>#N/A</v>
        <stp/>
        <stp>BDH|1184884896288800943</stp>
        <tr r="V43" s="12"/>
      </tp>
      <tp t="e">
        <v>#N/A</v>
        <stp/>
        <stp>BDH|7689215769521448391</stp>
        <tr r="R25" s="22"/>
      </tp>
      <tp t="e">
        <v>#N/A</v>
        <stp/>
        <stp>BDH|4026267343751466229</stp>
        <tr r="O43" s="18"/>
      </tp>
      <tp t="e">
        <v>#N/A</v>
        <stp/>
        <stp>BDH|1795517675080938290</stp>
        <tr r="Y124" s="18"/>
      </tp>
      <tp t="e">
        <v>#N/A</v>
        <stp/>
        <stp>BDH|7048865998277976048</stp>
        <tr r="O53" s="10"/>
        <tr r="O51" s="11"/>
        <tr r="O18" s="7"/>
        <tr r="Q40" s="13"/>
      </tp>
      <tp t="e">
        <v>#N/A</v>
        <stp/>
        <stp>BDH|4834280901862671540</stp>
        <tr r="T23" s="10"/>
      </tp>
      <tp t="e">
        <v>#N/A</v>
        <stp/>
        <stp>BDH|1216425100822222611</stp>
        <tr r="X11" s="11"/>
      </tp>
      <tp t="e">
        <v>#N/A</v>
        <stp/>
        <stp>BDH|2629526706653859598</stp>
        <tr r="W91" s="18"/>
      </tp>
      <tp t="e">
        <v>#N/A</v>
        <stp/>
        <stp>BDH|2850339241617849311</stp>
        <tr r="E66" s="18"/>
      </tp>
      <tp t="e">
        <v>#N/A</v>
        <stp/>
        <stp>BDH|3049165929342821371</stp>
        <tr r="W28" s="26"/>
      </tp>
      <tp t="e">
        <v>#N/A</v>
        <stp/>
        <stp>BDH|8409186998500442106</stp>
        <tr r="F21" s="25"/>
        <tr r="F14" s="27"/>
      </tp>
      <tp t="e">
        <v>#N/A</v>
        <stp/>
        <stp>BDH|8295564585351188507</stp>
        <tr r="Q6" s="28"/>
      </tp>
      <tp t="e">
        <v>#N/A</v>
        <stp/>
        <stp>BDH|3400491473385828460</stp>
        <tr r="H14" s="6"/>
      </tp>
      <tp t="e">
        <v>#N/A</v>
        <stp/>
        <stp>BDH|2164180308046670471</stp>
        <tr r="Z83" s="18"/>
      </tp>
      <tp t="e">
        <v>#N/A</v>
        <stp/>
        <stp>BDH|6790044715320176679</stp>
        <tr r="K16" s="21"/>
      </tp>
      <tp t="e">
        <v>#N/A</v>
        <stp/>
        <stp>BDH|3918567705277345090</stp>
        <tr r="V32" s="21"/>
      </tp>
      <tp t="e">
        <v>#N/A</v>
        <stp/>
        <stp>BDH|7525063308374278295</stp>
        <tr r="C14" s="10"/>
      </tp>
      <tp t="e">
        <v>#N/A</v>
        <stp/>
        <stp>BDH|2664107354737732056</stp>
        <tr r="W16" s="14"/>
      </tp>
      <tp t="e">
        <v>#N/A</v>
        <stp/>
        <stp>BDH|2887798557453238244</stp>
        <tr r="H40" s="34"/>
      </tp>
      <tp t="e">
        <v>#N/A</v>
        <stp/>
        <stp>BDH|2230775466720661255</stp>
        <tr r="Z81" s="17"/>
      </tp>
      <tp t="e">
        <v>#N/A</v>
        <stp/>
        <stp>BDH|3839098945966536013</stp>
        <tr r="P18" s="17"/>
      </tp>
      <tp t="e">
        <v>#N/A</v>
        <stp/>
        <stp>BDH|7723764546776770304</stp>
        <tr r="D13" s="12"/>
      </tp>
      <tp t="e">
        <v>#N/A</v>
        <stp/>
        <stp>BDH|8962780205748345677</stp>
        <tr r="Y43" s="17"/>
      </tp>
      <tp t="e">
        <v>#N/A</v>
        <stp/>
        <stp>BDH|3166241690938025159</stp>
        <tr r="S78" s="18"/>
      </tp>
      <tp t="e">
        <v>#N/A</v>
        <stp/>
        <stp>BDH|7251333345944796533</stp>
        <tr r="M21" s="27"/>
      </tp>
      <tp t="e">
        <v>#N/A</v>
        <stp/>
        <stp>BDH|4345175052204669500</stp>
        <tr r="E15" s="20"/>
      </tp>
      <tp t="e">
        <v>#N/A</v>
        <stp/>
        <stp>BDH|9314346955459301716</stp>
        <tr r="S15" s="4"/>
      </tp>
      <tp t="e">
        <v>#N/A</v>
        <stp/>
        <stp>BDH|1195861915980641941</stp>
        <tr r="Q16" s="23"/>
      </tp>
      <tp t="e">
        <v>#N/A</v>
        <stp/>
        <stp>BDH|5850703672373380799</stp>
        <tr r="J23" s="11"/>
      </tp>
      <tp t="e">
        <v>#N/A</v>
        <stp/>
        <stp>BDH|8702791699423128463</stp>
        <tr r="L9" s="26"/>
      </tp>
      <tp t="e">
        <v>#N/A</v>
        <stp/>
        <stp>BDH|6501911744573644967</stp>
        <tr r="T13" s="13"/>
      </tp>
      <tp t="e">
        <v>#N/A</v>
        <stp/>
        <stp>BDH|5555569617662688224</stp>
        <tr r="V10" s="29"/>
        <tr r="V19" s="29"/>
        <tr r="V25" s="29"/>
        <tr r="T6" s="2"/>
        <tr r="T6" s="5"/>
        <tr r="T6" s="9"/>
        <tr r="U12" s="8"/>
      </tp>
      <tp t="e">
        <v>#N/A</v>
        <stp/>
        <stp>BDH|9824719372289390186</stp>
        <tr r="S11" s="22"/>
      </tp>
      <tp t="e">
        <v>#N/A</v>
        <stp/>
        <stp>BDH|1103355741474119346</stp>
        <tr r="D33" s="18"/>
      </tp>
      <tp t="e">
        <v>#N/A</v>
        <stp/>
        <stp>BDH|7040027724977655307</stp>
        <tr r="O28" s="12"/>
      </tp>
      <tp t="e">
        <v>#N/A</v>
        <stp/>
        <stp>BDH|2898153158772549501</stp>
        <tr r="K92" s="18"/>
      </tp>
      <tp t="e">
        <v>#N/A</v>
        <stp/>
        <stp>BDH|3587671662307675566</stp>
        <tr r="E52" s="12"/>
      </tp>
      <tp t="e">
        <v>#N/A</v>
        <stp/>
        <stp>BDH|1191737775516771607</stp>
        <tr r="Z110" s="18"/>
      </tp>
      <tp t="e">
        <v>#N/A</v>
        <stp/>
        <stp>BDH|2934981918232829919</stp>
        <tr r="K68" s="24"/>
      </tp>
      <tp t="e">
        <v>#N/A</v>
        <stp/>
        <stp>BDH|5671213947793000109</stp>
        <tr r="Y19" s="22"/>
      </tp>
      <tp t="e">
        <v>#N/A</v>
        <stp/>
        <stp>BDH|2283713244904063479</stp>
        <tr r="I21" s="26"/>
      </tp>
      <tp t="e">
        <v>#N/A</v>
        <stp/>
        <stp>BDH|9635664107486475839</stp>
        <tr r="J11" s="29"/>
      </tp>
      <tp t="e">
        <v>#N/A</v>
        <stp/>
        <stp>BDH|4159926352558185103</stp>
        <tr r="N26" s="17"/>
      </tp>
      <tp t="e">
        <v>#N/A</v>
        <stp/>
        <stp>BDH|9141669771040635902</stp>
        <tr r="W81" s="17"/>
      </tp>
      <tp t="e">
        <v>#N/A</v>
        <stp/>
        <stp>BDH|3851180171266987280</stp>
        <tr r="Y13" s="5"/>
      </tp>
      <tp t="e">
        <v>#N/A</v>
        <stp/>
        <stp>BDH|2297672105992680765</stp>
        <tr r="V8" s="28"/>
      </tp>
      <tp t="e">
        <v>#N/A</v>
        <stp/>
        <stp>BDH|6570476432115673569</stp>
        <tr r="AA18" s="12"/>
      </tp>
      <tp t="e">
        <v>#N/A</v>
        <stp/>
        <stp>BDH|8302582349400614856</stp>
        <tr r="D59" s="21"/>
      </tp>
      <tp t="e">
        <v>#N/A</v>
        <stp/>
        <stp>BDH|2202351496328764175</stp>
        <tr r="Q44" s="21"/>
      </tp>
      <tp t="e">
        <v>#N/A</v>
        <stp/>
        <stp>BDH|1509940785885183440</stp>
        <tr r="N114" s="18"/>
      </tp>
      <tp t="e">
        <v>#N/A</v>
        <stp/>
        <stp>BDH|2418577145022723004</stp>
        <tr r="C12" s="17"/>
      </tp>
      <tp t="e">
        <v>#N/A</v>
        <stp/>
        <stp>BDH|1060003827127470523</stp>
        <tr r="X113" s="18"/>
      </tp>
      <tp t="e">
        <v>#N/A</v>
        <stp/>
        <stp>BDH|6262501133635414443</stp>
        <tr r="V114" s="18"/>
      </tp>
      <tp t="e">
        <v>#N/A</v>
        <stp/>
        <stp>BDH|5174163032295738336</stp>
        <tr r="D90" s="17"/>
        <tr r="D13" s="28"/>
      </tp>
      <tp t="e">
        <v>#N/A</v>
        <stp/>
        <stp>BDH|5372031502146405275</stp>
        <tr r="Q39" s="22"/>
      </tp>
      <tp t="e">
        <v>#N/A</v>
        <stp/>
        <stp>BDH|9378969454292193617</stp>
        <tr r="Y18" s="9"/>
      </tp>
      <tp t="e">
        <v>#N/A</v>
        <stp/>
        <stp>BDH|1085770927446278339</stp>
        <tr r="W7" s="21"/>
      </tp>
      <tp t="e">
        <v>#N/A</v>
        <stp/>
        <stp>BDH|3356109537320253078</stp>
        <tr r="L21" s="22"/>
      </tp>
      <tp t="e">
        <v>#N/A</v>
        <stp/>
        <stp>BDH|8345445595305553165</stp>
        <tr r="J27" s="21"/>
      </tp>
      <tp t="e">
        <v>#N/A</v>
        <stp/>
        <stp>BDH|1202014867611263771</stp>
        <tr r="N6" s="6"/>
      </tp>
      <tp t="e">
        <v>#N/A</v>
        <stp/>
        <stp>BDH|3956445133202874771</stp>
        <tr r="P64" s="18"/>
      </tp>
      <tp t="e">
        <v>#N/A</v>
        <stp/>
        <stp>BDH|5112466717440048113</stp>
        <tr r="H46" s="18"/>
      </tp>
      <tp t="e">
        <v>#N/A</v>
        <stp/>
        <stp>BDH|4869792675495713026</stp>
        <tr r="I10" s="28"/>
      </tp>
      <tp t="e">
        <v>#N/A</v>
        <stp/>
        <stp>BDH|8411704537035346816</stp>
        <tr r="U10" s="30"/>
      </tp>
      <tp t="e">
        <v>#N/A</v>
        <stp/>
        <stp>BDH|1050252204416010405</stp>
        <tr r="AA132" s="18"/>
      </tp>
      <tp t="e">
        <v>#N/A</v>
        <stp/>
        <stp>BDH|7309382111150329487</stp>
        <tr r="Y19" s="14"/>
      </tp>
      <tp t="e">
        <v>#N/A</v>
        <stp/>
        <stp>BDH|8745864067420426730</stp>
        <tr r="O123" s="18"/>
      </tp>
      <tp t="e">
        <v>#N/A</v>
        <stp/>
        <stp>BDH|7459891865758968003</stp>
        <tr r="K31" s="21"/>
      </tp>
      <tp t="e">
        <v>#N/A</v>
        <stp/>
        <stp>BDH|5207569580030079958</stp>
        <tr r="I14" s="6"/>
      </tp>
      <tp t="e">
        <v>#N/A</v>
        <stp/>
        <stp>BDH|7755063600027376138</stp>
        <tr r="Y33" s="22"/>
      </tp>
      <tp t="e">
        <v>#N/A</v>
        <stp/>
        <stp>BDH|7594245920770863684</stp>
        <tr r="E22" s="4"/>
      </tp>
      <tp t="e">
        <v>#N/A</v>
        <stp/>
        <stp>BDH|8626641695503464528</stp>
        <tr r="G33" s="13"/>
      </tp>
      <tp t="e">
        <v>#N/A</v>
        <stp/>
        <stp>BDH|1701165825052581105</stp>
        <tr r="F65" s="24"/>
      </tp>
      <tp t="e">
        <v>#N/A</v>
        <stp/>
        <stp>BDH|9946422557979932047</stp>
        <tr r="U13" s="11"/>
      </tp>
      <tp t="e">
        <v>#N/A</v>
        <stp/>
        <stp>BDH|7731378563211179235</stp>
        <tr r="U17" s="20"/>
      </tp>
      <tp t="e">
        <v>#N/A</v>
        <stp/>
        <stp>BDH|3631244885801321956</stp>
        <tr r="D29" s="24"/>
      </tp>
      <tp t="e">
        <v>#N/A</v>
        <stp/>
        <stp>BDH|5901021135793957469</stp>
        <tr r="J103" s="18"/>
      </tp>
      <tp t="e">
        <v>#N/A</v>
        <stp/>
        <stp>BDH|6712078110282601471</stp>
        <tr r="C21" s="25"/>
        <tr r="C14" s="27"/>
      </tp>
      <tp t="e">
        <v>#N/A</v>
        <stp/>
        <stp>BDH|1792541950040754057</stp>
        <tr r="R42" s="21"/>
      </tp>
      <tp t="e">
        <v>#N/A</v>
        <stp/>
        <stp>BDH|2252258602786749733</stp>
        <tr r="P85" s="18"/>
      </tp>
      <tp t="e">
        <v>#N/A</v>
        <stp/>
        <stp>BDH|1008984585753896247</stp>
        <tr r="M53" s="17"/>
      </tp>
      <tp t="e">
        <v>#N/A</v>
        <stp/>
        <stp>BDH|7178656173150396754</stp>
        <tr r="J30" s="9"/>
      </tp>
      <tp t="e">
        <v>#N/A</v>
        <stp/>
        <stp>BDH|1506343824986633727</stp>
        <tr r="S11" s="6"/>
      </tp>
      <tp t="e">
        <v>#N/A</v>
        <stp/>
        <stp>BDH|3351729310117315332</stp>
        <tr r="X74" s="17"/>
        <tr r="X19" s="3"/>
      </tp>
      <tp t="e">
        <v>#N/A</v>
        <stp/>
        <stp>BDH|9997903119151445151</stp>
        <tr r="X7" s="10"/>
      </tp>
      <tp t="e">
        <v>#N/A</v>
        <stp/>
        <stp>BDH|5662427900014070458</stp>
        <tr r="W40" s="6"/>
      </tp>
      <tp t="e">
        <v>#N/A</v>
        <stp/>
        <stp>BDH|1893457579465632648</stp>
        <tr r="S46" s="17"/>
      </tp>
      <tp t="e">
        <v>#N/A</v>
        <stp/>
        <stp>BDH|5773625402333936183</stp>
        <tr r="S8" s="11"/>
      </tp>
      <tp t="e">
        <v>#N/A</v>
        <stp/>
        <stp>BDH|2188328005098558854</stp>
        <tr r="F14" s="18"/>
      </tp>
      <tp t="e">
        <v>#N/A</v>
        <stp/>
        <stp>BDH|8809047003431803813</stp>
        <tr r="H34" s="34"/>
      </tp>
      <tp t="e">
        <v>#N/A</v>
        <stp/>
        <stp>BDH|3647623777031448213</stp>
        <tr r="T20" s="20"/>
      </tp>
      <tp t="e">
        <v>#N/A</v>
        <stp/>
        <stp>BDH|9717824402156655672</stp>
        <tr r="H65" s="17"/>
        <tr r="F8" s="5"/>
        <tr r="F8" s="9"/>
      </tp>
      <tp t="e">
        <v>#N/A</v>
        <stp/>
        <stp>BDH|5121092831737670093</stp>
        <tr r="Z132" s="18"/>
      </tp>
      <tp t="e">
        <v>#N/A</v>
        <stp/>
        <stp>BDH|7126247773240070302</stp>
        <tr r="P46" s="18"/>
      </tp>
      <tp t="e">
        <v>#N/A</v>
        <stp/>
        <stp>BDH|2027507833092776720</stp>
        <tr r="P24" s="4"/>
        <tr r="P59" s="11"/>
      </tp>
      <tp t="e">
        <v>#N/A</v>
        <stp/>
        <stp>BDH|5022528462934035362</stp>
        <tr r="C37" s="18"/>
      </tp>
      <tp t="e">
        <v>#N/A</v>
        <stp/>
        <stp>BDH|2644912892145440671</stp>
        <tr r="M99" s="18"/>
      </tp>
      <tp t="e">
        <v>#N/A</v>
        <stp/>
        <stp>BDH|3565309635141523338</stp>
        <tr r="M31" s="12"/>
      </tp>
      <tp t="e">
        <v>#N/A</v>
        <stp/>
        <stp>BDH|2797733427117777128</stp>
        <tr r="V8" s="14"/>
      </tp>
      <tp t="e">
        <v>#N/A</v>
        <stp/>
        <stp>BDH|2314532664608344815</stp>
        <tr r="X12" s="18"/>
      </tp>
      <tp t="e">
        <v>#N/A</v>
        <stp/>
        <stp>BDH|4282484263826925162</stp>
        <tr r="G9" s="34"/>
      </tp>
      <tp t="e">
        <v>#N/A</v>
        <stp/>
        <stp>BDH|8278187982284942472</stp>
        <tr r="W13" s="18"/>
      </tp>
      <tp t="e">
        <v>#N/A</v>
        <stp/>
        <stp>BDH|8580143707510212828</stp>
        <tr r="D53" s="10"/>
        <tr r="D51" s="11"/>
        <tr r="D18" s="7"/>
        <tr r="F40" s="13"/>
      </tp>
      <tp t="e">
        <v>#N/A</v>
        <stp/>
        <stp>BDH|6518446694098755245</stp>
        <tr r="J65" s="18"/>
      </tp>
      <tp t="e">
        <v>#N/A</v>
        <stp/>
        <stp>BDH|7144686127656819402</stp>
        <tr r="Y45" s="24"/>
      </tp>
      <tp t="e">
        <v>#N/A</v>
        <stp/>
        <stp>BDH|4373877877329395363</stp>
        <tr r="V65" s="12"/>
      </tp>
      <tp t="e">
        <v>#N/A</v>
        <stp/>
        <stp>BDH|3083589543654988746</stp>
        <tr r="S19" s="26"/>
      </tp>
      <tp t="e">
        <v>#N/A</v>
        <stp/>
        <stp>BDH|7197720537740616247</stp>
        <tr r="H105" s="18"/>
      </tp>
      <tp t="e">
        <v>#N/A</v>
        <stp/>
        <stp>BDH|1423029875476350162</stp>
        <tr r="Q9" s="6"/>
      </tp>
      <tp t="e">
        <v>#N/A</v>
        <stp/>
        <stp>BDH|8120464513929718556</stp>
        <tr r="W15" s="20"/>
      </tp>
      <tp t="e">
        <v>#N/A</v>
        <stp/>
        <stp>BDH|5301181923877773095</stp>
        <tr r="AA21" s="12"/>
      </tp>
      <tp t="e">
        <v>#N/A</v>
        <stp/>
        <stp>BDH|2790345573337038067</stp>
        <tr r="G28" s="6"/>
      </tp>
      <tp t="e">
        <v>#N/A</v>
        <stp/>
        <stp>BDH|7780442958730441792</stp>
        <tr r="S40" s="17"/>
        <tr r="S9" s="25"/>
      </tp>
      <tp t="e">
        <v>#N/A</v>
        <stp/>
        <stp>BDH|9248613415358369738</stp>
        <tr r="W16" s="25"/>
        <tr r="U22" s="11"/>
      </tp>
      <tp t="e">
        <v>#N/A</v>
        <stp/>
        <stp>BDH|7492650173350714731</stp>
        <tr r="W61" s="18"/>
      </tp>
      <tp t="e">
        <v>#N/A</v>
        <stp/>
        <stp>BDH|6738353618880809545</stp>
        <tr r="Q11" s="18"/>
      </tp>
      <tp t="e">
        <v>#N/A</v>
        <stp/>
        <stp>BDH|6447370642838131863</stp>
        <tr r="I63" s="11"/>
      </tp>
      <tp t="e">
        <v>#N/A</v>
        <stp/>
        <stp>BDH|4659045743610408139</stp>
        <tr r="X11" s="18"/>
      </tp>
      <tp t="e">
        <v>#N/A</v>
        <stp/>
        <stp>BDH|1425538969430132393</stp>
        <tr r="G26" s="22"/>
      </tp>
      <tp t="e">
        <v>#N/A</v>
        <stp/>
        <stp>BDH|3377194877926267292</stp>
        <tr r="F23" s="21"/>
      </tp>
      <tp t="e">
        <v>#N/A</v>
        <stp/>
        <stp>BDH|7304878585936056065</stp>
        <tr r="O62" s="12"/>
      </tp>
      <tp t="e">
        <v>#N/A</v>
        <stp/>
        <stp>BDH|7240776394740554831</stp>
        <tr r="R17" s="24"/>
      </tp>
      <tp t="e">
        <v>#N/A</v>
        <stp/>
        <stp>BDH|1280408337812319518</stp>
        <tr r="J21" s="18"/>
      </tp>
      <tp t="e">
        <v>#N/A</v>
        <stp/>
        <stp>BDH|3163135426750364102</stp>
        <tr r="W18" s="9"/>
      </tp>
      <tp t="e">
        <v>#N/A</v>
        <stp/>
        <stp>BDH|3847442300047331185</stp>
        <tr r="X25" s="26"/>
      </tp>
      <tp t="e">
        <v>#N/A</v>
        <stp/>
        <stp>BDH|9939591087823728678</stp>
        <tr r="L23" s="2"/>
        <tr r="N18" s="21"/>
        <tr r="N23" s="3"/>
      </tp>
      <tp t="e">
        <v>#N/A</v>
        <stp/>
        <stp>BDH|6663227003381237422</stp>
        <tr r="F14" s="29"/>
        <tr r="F23" s="29"/>
        <tr r="F34" s="29"/>
      </tp>
      <tp t="e">
        <v>#N/A</v>
        <stp/>
        <stp>BDH|2275170824729171974</stp>
        <tr r="V29" s="18"/>
      </tp>
      <tp t="e">
        <v>#N/A</v>
        <stp/>
        <stp>BDH|8234303897530711357</stp>
        <tr r="S66" s="18"/>
      </tp>
      <tp t="e">
        <v>#N/A</v>
        <stp/>
        <stp>BDH|2054205638344882679</stp>
        <tr r="AA18" s="22"/>
      </tp>
      <tp t="e">
        <v>#N/A</v>
        <stp/>
        <stp>BDH|9618536330467048925</stp>
        <tr r="C24" s="4"/>
        <tr r="C59" s="11"/>
      </tp>
      <tp t="e">
        <v>#N/A</v>
        <stp/>
        <stp>BDH|1844197916169006900</stp>
        <tr r="I12" s="10"/>
      </tp>
      <tp t="e">
        <v>#N/A</v>
        <stp/>
        <stp>BDH|6572484541282970524</stp>
        <tr r="J69" s="18"/>
      </tp>
      <tp t="e">
        <v>#N/A</v>
        <stp/>
        <stp>BDH|1460504914713452732</stp>
        <tr r="X14" s="28"/>
      </tp>
      <tp t="e">
        <v>#N/A</v>
        <stp/>
        <stp>BDH|7449930091900915689</stp>
        <tr r="U13" s="29"/>
        <tr r="U22" s="29"/>
        <tr r="U33" s="29"/>
      </tp>
      <tp t="e">
        <v>#N/A</v>
        <stp/>
        <stp>BDH|7989788385158124126</stp>
        <tr r="J20" s="24"/>
      </tp>
      <tp t="e">
        <v>#N/A</v>
        <stp/>
        <stp>BDH|4759146982264520837</stp>
        <tr r="V125" s="18"/>
      </tp>
      <tp t="e">
        <v>#N/A</v>
        <stp/>
        <stp>BDH|7565324879446009492</stp>
        <tr r="Z10" s="22"/>
      </tp>
      <tp t="e">
        <v>#N/A</v>
        <stp/>
        <stp>BDH|6568254810301053570</stp>
        <tr r="N79" s="18"/>
      </tp>
      <tp t="e">
        <v>#N/A</v>
        <stp/>
        <stp>BDH|8078606760339137065</stp>
        <tr r="N29" s="34"/>
      </tp>
      <tp t="e">
        <v>#N/A</v>
        <stp/>
        <stp>BDH|9615532085746145367</stp>
        <tr r="N14" s="2"/>
        <tr r="N11" s="10"/>
      </tp>
      <tp t="e">
        <v>#N/A</v>
        <stp/>
        <stp>BDH|7920247306125454186</stp>
        <tr r="U107" s="18"/>
      </tp>
      <tp t="e">
        <v>#N/A</v>
        <stp/>
        <stp>BDH|9204745674590354862</stp>
        <tr r="W88" s="18"/>
        <tr r="W8" s="20"/>
      </tp>
      <tp t="e">
        <v>#N/A</v>
        <stp/>
        <stp>BDH|6286209979172410087</stp>
        <tr r="H26" s="22"/>
      </tp>
      <tp t="e">
        <v>#N/A</v>
        <stp/>
        <stp>BDH|9281225784786338400</stp>
        <tr r="J59" s="17"/>
      </tp>
      <tp t="e">
        <v>#N/A</v>
        <stp/>
        <stp>BDH|7822685651552481722</stp>
        <tr r="W13" s="21"/>
      </tp>
      <tp t="e">
        <v>#N/A</v>
        <stp/>
        <stp>BDH|1596244312052512117</stp>
        <tr r="E7" s="11"/>
      </tp>
      <tp t="e">
        <v>#N/A</v>
        <stp/>
        <stp>BDH|9227210792066784511</stp>
        <tr r="W42" s="21"/>
      </tp>
      <tp t="e">
        <v>#N/A</v>
        <stp/>
        <stp>BDH|6754985844908879244</stp>
        <tr r="O128" s="18"/>
      </tp>
      <tp t="e">
        <v>#N/A</v>
        <stp/>
        <stp>BDH|8810153049238123428</stp>
        <tr r="H18" s="13"/>
      </tp>
      <tp t="e">
        <v>#N/A</v>
        <stp/>
        <stp>BDH|8500105111151304809</stp>
        <tr r="E115" s="18"/>
      </tp>
      <tp t="e">
        <v>#N/A</v>
        <stp/>
        <stp>BDH|6504756308173981362</stp>
        <tr r="N11" s="12"/>
      </tp>
      <tp t="e">
        <v>#N/A</v>
        <stp/>
        <stp>BDH|4356161645155224558</stp>
        <tr r="E47" s="21"/>
      </tp>
      <tp t="e">
        <v>#N/A</v>
        <stp/>
        <stp>BDH|5867547008486283712</stp>
        <tr r="P36" s="22"/>
      </tp>
      <tp t="e">
        <v>#N/A</v>
        <stp/>
        <stp>BDH|4337337176723286235</stp>
        <tr r="D7" s="28"/>
      </tp>
      <tp t="e">
        <v>#N/A</v>
        <stp/>
        <stp>BDH|4838446750802247697</stp>
        <tr r="K51" s="18"/>
      </tp>
      <tp t="e">
        <v>#N/A</v>
        <stp/>
        <stp>BDH|7801317439040521614</stp>
        <tr r="M14" s="2"/>
        <tr r="M11" s="10"/>
      </tp>
      <tp t="e">
        <v>#N/A</v>
        <stp/>
        <stp>BDH|2026766904612427621</stp>
        <tr r="E103" s="18"/>
      </tp>
      <tp t="e">
        <v>#N/A</v>
        <stp/>
        <stp>BDH|4527769641943151577</stp>
        <tr r="O20" s="6"/>
      </tp>
      <tp t="e">
        <v>#N/A</v>
        <stp/>
        <stp>BDH|4604816813479967594</stp>
        <tr r="W105" s="18"/>
      </tp>
      <tp t="e">
        <v>#N/A</v>
        <stp/>
        <stp>BDH|2347719872910271363</stp>
        <tr r="D6" s="6"/>
      </tp>
      <tp t="e">
        <v>#N/A</v>
        <stp/>
        <stp>BDH|7993262245958921873</stp>
        <tr r="Z9" s="18"/>
      </tp>
      <tp t="e">
        <v>#N/A</v>
        <stp/>
        <stp>BDH|9119550896165071164</stp>
        <tr r="X38" s="4"/>
        <tr r="X60" s="11"/>
        <tr r="Z13" s="23"/>
      </tp>
      <tp t="e">
        <v>#N/A</v>
        <stp/>
        <stp>BDH|7602723350011510551</stp>
        <tr r="U22" s="17"/>
      </tp>
      <tp t="e">
        <v>#N/A</v>
        <stp/>
        <stp>BDH|4533810880781252422</stp>
        <tr r="V7" s="17"/>
      </tp>
      <tp t="e">
        <v>#N/A</v>
        <stp/>
        <stp>BDH|5094986717079347588</stp>
        <tr r="I109" s="18"/>
      </tp>
      <tp t="e">
        <v>#N/A</v>
        <stp/>
        <stp>BDH|6865384016872713759</stp>
        <tr r="K60" s="10"/>
      </tp>
      <tp t="e">
        <v>#N/A</v>
        <stp/>
        <stp>BDH|3156038156843484448</stp>
        <tr r="N80" s="17"/>
      </tp>
      <tp t="e">
        <v>#N/A</v>
        <stp/>
        <stp>BDH|1021749643554292712</stp>
        <tr r="C54" s="24"/>
      </tp>
      <tp t="e">
        <v>#N/A</v>
        <stp/>
        <stp>BDH|6406369896088694565</stp>
        <tr r="K9" s="11"/>
      </tp>
      <tp t="e">
        <v>#N/A</v>
        <stp/>
        <stp>BDH|4262773340560863692</stp>
        <tr r="T115" s="18"/>
      </tp>
      <tp t="e">
        <v>#N/A</v>
        <stp/>
        <stp>BDH|1847048284350897842</stp>
        <tr r="Y8" s="13"/>
      </tp>
      <tp t="e">
        <v>#N/A</v>
        <stp/>
        <stp>BDH|9230903889311741883</stp>
        <tr r="L12" s="13"/>
      </tp>
      <tp t="e">
        <v>#N/A</v>
        <stp/>
        <stp>BDH|4222072337532709411</stp>
        <tr r="U9" s="28"/>
      </tp>
      <tp t="e">
        <v>#N/A</v>
        <stp/>
        <stp>BDH|4480357219101439689</stp>
        <tr r="N19" s="25"/>
        <tr r="N12" s="27"/>
      </tp>
      <tp t="e">
        <v>#N/A</v>
        <stp/>
        <stp>BDH|3388468731225549051</stp>
        <tr r="AA100" s="18"/>
      </tp>
      <tp t="e">
        <v>#N/A</v>
        <stp/>
        <stp>BDH|5096013615665423049</stp>
        <tr r="E31" s="21"/>
      </tp>
      <tp t="e">
        <v>#N/A</v>
        <stp/>
        <stp>BDH|7238022873092366340</stp>
        <tr r="J10" s="18"/>
      </tp>
      <tp t="e">
        <v>#N/A</v>
        <stp/>
        <stp>BDH|2704221213200620047</stp>
        <tr r="N102" s="18"/>
      </tp>
      <tp t="e">
        <v>#N/A</v>
        <stp/>
        <stp>BDH|4765201211733785551</stp>
        <tr r="G7" s="21"/>
      </tp>
      <tp t="e">
        <v>#N/A</v>
        <stp/>
        <stp>BDH|5784797768001709456</stp>
        <tr r="P29" s="21"/>
      </tp>
      <tp t="e">
        <v>#N/A</v>
        <stp/>
        <stp>BDH|1576141947964078120</stp>
        <tr r="L95" s="18"/>
      </tp>
      <tp t="e">
        <v>#N/A</v>
        <stp/>
        <stp>BDH|2123797742840825064</stp>
        <tr r="X13" s="5"/>
      </tp>
      <tp t="e">
        <v>#N/A</v>
        <stp/>
        <stp>BDH|7513715203978341902</stp>
        <tr r="X65" s="10"/>
      </tp>
      <tp t="e">
        <v>#N/A</v>
        <stp/>
        <stp>BDH|3866629772243553092</stp>
        <tr r="M90" s="18"/>
      </tp>
      <tp t="e">
        <v>#N/A</v>
        <stp/>
        <stp>BDH|2695447170737075764</stp>
        <tr r="V25" s="7"/>
      </tp>
      <tp t="e">
        <v>#N/A</v>
        <stp/>
        <stp>BDH|9179593699483624738</stp>
        <tr r="K49" s="21"/>
      </tp>
      <tp t="e">
        <v>#N/A</v>
        <stp/>
        <stp>BDH|6557785659835816084</stp>
        <tr r="F10" s="11"/>
      </tp>
      <tp t="e">
        <v>#N/A</v>
        <stp/>
        <stp>BDH|7200523697672587860</stp>
        <tr r="C56" s="18"/>
      </tp>
      <tp t="e">
        <v>#N/A</v>
        <stp/>
        <stp>BDH|1897603073722912361</stp>
        <tr r="T43" s="12"/>
      </tp>
      <tp t="e">
        <v>#N/A</v>
        <stp/>
        <stp>BDH|4689562846102236605</stp>
        <tr r="S18" s="11"/>
      </tp>
      <tp t="e">
        <v>#N/A</v>
        <stp/>
        <stp>BDH|6226725730962028141</stp>
        <tr r="P45" s="21"/>
      </tp>
      <tp t="e">
        <v>#N/A</v>
        <stp/>
        <stp>BDH|6252141507756665039</stp>
        <tr r="C21" s="26"/>
      </tp>
      <tp t="e">
        <v>#N/A</v>
        <stp/>
        <stp>BDH|6162009827257081229</stp>
        <tr r="Q15" s="5"/>
      </tp>
      <tp t="e">
        <v>#N/A</v>
        <stp/>
        <stp>BDH|6289229325617497051</stp>
        <tr r="H13" s="11"/>
      </tp>
      <tp t="e">
        <v>#N/A</v>
        <stp/>
        <stp>BDH|6366623261796045148</stp>
        <tr r="U21" s="4"/>
      </tp>
      <tp t="e">
        <v>#N/A</v>
        <stp/>
        <stp>BDH|1695398721117912620</stp>
        <tr r="M57" s="12"/>
      </tp>
      <tp t="e">
        <v>#N/A</v>
        <stp/>
        <stp>BDH|7293221546972583268</stp>
        <tr r="K65" s="10"/>
      </tp>
      <tp t="e">
        <v>#N/A</v>
        <stp/>
        <stp>BDH|4874305994239155685</stp>
        <tr r="T38" s="6"/>
      </tp>
      <tp t="e">
        <v>#N/A</v>
        <stp/>
        <stp>BDH|3296863882274035638</stp>
        <tr r="W41" s="21"/>
      </tp>
      <tp t="e">
        <v>#N/A</v>
        <stp/>
        <stp>BDH|7110000641100020250</stp>
        <tr r="Y33" s="21"/>
      </tp>
      <tp t="e">
        <v>#N/A</v>
        <stp/>
        <stp>BDH|2677227064361112640</stp>
        <tr r="L60" s="21"/>
      </tp>
      <tp t="e">
        <v>#N/A</v>
        <stp/>
        <stp>BDH|2385348141624552066</stp>
        <tr r="I101" s="18"/>
      </tp>
      <tp t="e">
        <v>#N/A</v>
        <stp/>
        <stp>BDH|5026648781958125214</stp>
        <tr r="K19" s="34"/>
      </tp>
      <tp t="e">
        <v>#N/A</v>
        <stp/>
        <stp>BDH|5321847672412260923</stp>
        <tr r="W7" s="28"/>
      </tp>
      <tp t="e">
        <v>#N/A</v>
        <stp/>
        <stp>BDH|2324236200422505304</stp>
        <tr r="E48" s="17"/>
      </tp>
      <tp t="e">
        <v>#N/A</v>
        <stp/>
        <stp>BDH|9461890269687202134</stp>
        <tr r="J19" s="17"/>
      </tp>
      <tp t="e">
        <v>#N/A</v>
        <stp/>
        <stp>BDH|5059506243912780716</stp>
        <tr r="J22" s="10"/>
      </tp>
      <tp t="e">
        <v>#N/A</v>
        <stp/>
        <stp>BDH|2420267403347094648</stp>
        <tr r="AA131" s="18"/>
      </tp>
      <tp t="e">
        <v>#N/A</v>
        <stp/>
        <stp>BDH|1616157346710123514</stp>
        <tr r="L12" s="11"/>
      </tp>
      <tp t="e">
        <v>#N/A</v>
        <stp/>
        <stp>BDH|4473326383956687867</stp>
        <tr r="F15" s="17"/>
        <tr r="F18" s="28"/>
      </tp>
      <tp t="e">
        <v>#N/A</v>
        <stp/>
        <stp>BDH|6314585220004868465</stp>
        <tr r="H18" s="29"/>
        <tr r="H38" s="29"/>
      </tp>
      <tp t="e">
        <v>#N/A</v>
        <stp/>
        <stp>BDH|2603701627977276169</stp>
        <tr r="L41" s="24"/>
      </tp>
      <tp t="e">
        <v>#N/A</v>
        <stp/>
        <stp>BDH|4911303759726462515</stp>
        <tr r="T13" s="29"/>
        <tr r="T22" s="29"/>
        <tr r="T33" s="29"/>
      </tp>
      <tp t="e">
        <v>#N/A</v>
        <stp/>
        <stp>BDH|9506906020582909195</stp>
        <tr r="K13" s="9"/>
      </tp>
      <tp t="e">
        <v>#N/A</v>
        <stp/>
        <stp>BDH|2383620623370550728</stp>
        <tr r="O12" s="24"/>
      </tp>
      <tp t="e">
        <v>#N/A</v>
        <stp/>
        <stp>BDH|8608899039863299110</stp>
        <tr r="D60" s="17"/>
      </tp>
      <tp t="e">
        <v>#N/A</v>
        <stp/>
        <stp>BDH|8772033355924043841</stp>
        <tr r="H9" s="24"/>
      </tp>
      <tp t="e">
        <v>#N/A</v>
        <stp/>
        <stp>BDH|4969992586811770543</stp>
        <tr r="Y35" s="10"/>
        <tr r="Y33" s="11"/>
      </tp>
      <tp t="e">
        <v>#N/A</v>
        <stp/>
        <stp>BDH|6297533860084424003</stp>
        <tr r="K42" s="34"/>
      </tp>
      <tp t="e">
        <v>#N/A</v>
        <stp/>
        <stp>BDH|2823113598912766934</stp>
        <tr r="L31" s="22"/>
      </tp>
      <tp t="e">
        <v>#N/A</v>
        <stp/>
        <stp>BDH|7627001721921205506</stp>
        <tr r="J38" s="18"/>
      </tp>
      <tp t="e">
        <v>#N/A</v>
        <stp/>
        <stp>BDH|1300186375266318089</stp>
        <tr r="L37" s="22"/>
      </tp>
      <tp t="e">
        <v>#N/A</v>
        <stp/>
        <stp>BDH|7794551363872464709</stp>
        <tr r="C15" s="12"/>
      </tp>
      <tp t="e">
        <v>#N/A</v>
        <stp/>
        <stp>BDH|1808038447195069190</stp>
        <tr r="X19" s="28"/>
        <tr r="X16" s="17"/>
      </tp>
      <tp t="e">
        <v>#N/A</v>
        <stp/>
        <stp>BDH|1938666082578065689</stp>
        <tr r="E26" s="7"/>
      </tp>
      <tp t="e">
        <v>#N/A</v>
        <stp/>
        <stp>BDH|6184020080288267743</stp>
        <tr r="R30" s="12"/>
      </tp>
      <tp t="e">
        <v>#N/A</v>
        <stp/>
        <stp>BDH|6835021771300670088</stp>
        <tr r="F20" s="23"/>
      </tp>
      <tp t="e">
        <v>#N/A</v>
        <stp/>
        <stp>BDH|2432464113936363076</stp>
        <tr r="K30" s="10"/>
        <tr r="K28" s="11"/>
      </tp>
      <tp t="e">
        <v>#N/A</v>
        <stp/>
        <stp>BDH|49220983061595760</stp>
        <tr r="E21" s="24"/>
      </tp>
      <tp t="e">
        <v>#N/A</v>
        <stp/>
        <stp>BDH|65284876238716199</stp>
        <tr r="Q10" s="10"/>
      </tp>
      <tp t="e">
        <v>#N/A</v>
        <stp/>
        <stp>BDH|23790595220729274</stp>
        <tr r="O85" s="18"/>
      </tp>
      <tp t="e">
        <v>#N/A</v>
        <stp/>
        <stp>BDH|47595058239207598</stp>
        <tr r="S119" s="18"/>
      </tp>
      <tp t="e">
        <v>#N/A</v>
        <stp/>
        <stp>BDH|8086826949354885294</stp>
        <tr r="G36" s="4"/>
      </tp>
      <tp t="e">
        <v>#N/A</v>
        <stp/>
        <stp>BDH|4857441807496952485</stp>
        <tr r="K47" s="17"/>
      </tp>
      <tp t="e">
        <v>#N/A</v>
        <stp/>
        <stp>BDH|7025535572093804434</stp>
        <tr r="C43" s="17"/>
      </tp>
      <tp t="e">
        <v>#N/A</v>
        <stp/>
        <stp>BDH|4492986489051637699</stp>
        <tr r="P21" s="22"/>
      </tp>
      <tp t="e">
        <v>#N/A</v>
        <stp/>
        <stp>BDH|7339893136327146972</stp>
        <tr r="U27" s="26"/>
      </tp>
      <tp t="e">
        <v>#N/A</v>
        <stp/>
        <stp>BDH|2678940470659119794</stp>
        <tr r="M18" s="28"/>
        <tr r="M15" s="17"/>
      </tp>
      <tp t="e">
        <v>#N/A</v>
        <stp/>
        <stp>BDH|7528776745486471090</stp>
        <tr r="X15" s="9"/>
      </tp>
      <tp t="e">
        <v>#N/A</v>
        <stp/>
        <stp>BDH|4105368975886836404</stp>
        <tr r="E97" s="18"/>
      </tp>
      <tp t="e">
        <v>#N/A</v>
        <stp/>
        <stp>BDH|8965133934520242863</stp>
        <tr r="L31" s="18"/>
      </tp>
      <tp t="e">
        <v>#N/A</v>
        <stp/>
        <stp>BDH|4227786047802038778</stp>
        <tr r="O9" s="10"/>
      </tp>
      <tp t="e">
        <v>#N/A</v>
        <stp/>
        <stp>BDH|1272147323498751886</stp>
        <tr r="O66" s="18"/>
      </tp>
      <tp t="e">
        <v>#N/A</v>
        <stp/>
        <stp>BDH|4240619995451587896</stp>
        <tr r="AA15" s="21"/>
      </tp>
      <tp t="e">
        <v>#N/A</v>
        <stp/>
        <stp>BDH|5825614167491136656</stp>
        <tr r="S54" s="18"/>
      </tp>
      <tp t="e">
        <v>#N/A</v>
        <stp/>
        <stp>BDH|9806771969082412889</stp>
        <tr r="W38" s="4"/>
        <tr r="W60" s="11"/>
        <tr r="Y13" s="23"/>
      </tp>
      <tp t="e">
        <v>#N/A</v>
        <stp/>
        <stp>BDH|3723029087509133095</stp>
        <tr r="C7" s="23"/>
      </tp>
      <tp t="e">
        <v>#N/A</v>
        <stp/>
        <stp>BDH|5623490836972500263</stp>
        <tr r="Y35" s="24"/>
      </tp>
      <tp t="e">
        <v>#N/A</v>
        <stp/>
        <stp>BDH|9544223283897954672</stp>
        <tr r="W58" s="12"/>
      </tp>
      <tp t="e">
        <v>#N/A</v>
        <stp/>
        <stp>BDH|9379491487911738607</stp>
        <tr r="D72" s="18"/>
      </tp>
      <tp t="e">
        <v>#N/A</v>
        <stp/>
        <stp>BDH|4108168158347768526</stp>
        <tr r="R52" s="4"/>
        <tr r="T8" s="3"/>
        <tr r="R40" s="10"/>
        <tr r="R38" s="11"/>
        <tr r="T30" s="13"/>
      </tp>
      <tp t="e">
        <v>#N/A</v>
        <stp/>
        <stp>BDH|3915578880255285968</stp>
        <tr r="J15" s="21"/>
      </tp>
      <tp t="e">
        <v>#N/A</v>
        <stp/>
        <stp>BDH|3959059261687248055</stp>
        <tr r="K13" s="24"/>
      </tp>
      <tp t="e">
        <v>#N/A</v>
        <stp/>
        <stp>BDH|6350755207044950728</stp>
        <tr r="I6" s="27"/>
      </tp>
      <tp t="e">
        <v>#N/A</v>
        <stp/>
        <stp>BDH|4984480333181927016</stp>
        <tr r="E61" s="11"/>
        <tr r="G15" s="23"/>
      </tp>
      <tp t="e">
        <v>#N/A</v>
        <stp/>
        <stp>BDH|3850746905416781042</stp>
        <tr r="O8" s="12"/>
      </tp>
      <tp t="e">
        <v>#N/A</v>
        <stp/>
        <stp>BDH|3902056262952073544</stp>
        <tr r="H63" s="12"/>
      </tp>
      <tp t="e">
        <v>#N/A</v>
        <stp/>
        <stp>BDH|1653521587767067999</stp>
        <tr r="W62" s="21"/>
      </tp>
      <tp t="e">
        <v>#N/A</v>
        <stp/>
        <stp>BDH|2276664963917821754</stp>
        <tr r="Y7" s="4"/>
      </tp>
      <tp t="e">
        <v>#N/A</v>
        <stp/>
        <stp>BDH|2851800283485667578</stp>
        <tr r="O7" s="10"/>
      </tp>
      <tp t="e">
        <v>#N/A</v>
        <stp/>
        <stp>BDH|8410680780951030565</stp>
        <tr r="H46" s="21"/>
      </tp>
      <tp t="e">
        <v>#N/A</v>
        <stp/>
        <stp>BDH|9048968224134860405</stp>
        <tr r="D13" s="8"/>
      </tp>
      <tp t="e">
        <v>#N/A</v>
        <stp/>
        <stp>BDH|1542909932511988851</stp>
        <tr r="M54" s="12"/>
      </tp>
      <tp t="e">
        <v>#N/A</v>
        <stp/>
        <stp>BDH|3470481922121039655</stp>
        <tr r="K54" s="21"/>
      </tp>
      <tp t="e">
        <v>#N/A</v>
        <stp/>
        <stp>BDH|7832607063030102515</stp>
        <tr r="AA19" s="22"/>
      </tp>
      <tp t="e">
        <v>#N/A</v>
        <stp/>
        <stp>BDH|9797092935740459848</stp>
        <tr r="U14" s="30"/>
      </tp>
      <tp t="e">
        <v>#N/A</v>
        <stp/>
        <stp>BDH|6803840122419444710</stp>
        <tr r="P81" s="17"/>
      </tp>
      <tp t="e">
        <v>#N/A</v>
        <stp/>
        <stp>BDH|3040354915943297090</stp>
        <tr r="Q52" s="24"/>
      </tp>
      <tp t="e">
        <v>#N/A</v>
        <stp/>
        <stp>BDH|4978666417628058930</stp>
        <tr r="S72" s="17"/>
      </tp>
      <tp t="e">
        <v>#N/A</v>
        <stp/>
        <stp>BDH|4996261825481768768</stp>
        <tr r="D22" s="7"/>
      </tp>
      <tp t="e">
        <v>#N/A</v>
        <stp/>
        <stp>BDH|2606959605930452990</stp>
        <tr r="I55" s="24"/>
      </tp>
      <tp t="e">
        <v>#N/A</v>
        <stp/>
        <stp>BDH|1512186257276028112</stp>
        <tr r="R29" s="21"/>
      </tp>
      <tp t="e">
        <v>#N/A</v>
        <stp/>
        <stp>BDH|5927919223658595450</stp>
        <tr r="C23" s="11"/>
      </tp>
      <tp t="e">
        <v>#N/A</v>
        <stp/>
        <stp>BDH|6369313598539909784</stp>
        <tr r="M20" s="12"/>
      </tp>
      <tp t="e">
        <v>#N/A</v>
        <stp/>
        <stp>BDH|1592470889299463649</stp>
        <tr r="D58" s="18"/>
      </tp>
      <tp t="e">
        <v>#N/A</v>
        <stp/>
        <stp>BDH|8894160225019744079</stp>
        <tr r="R39" s="17"/>
      </tp>
      <tp t="e">
        <v>#N/A</v>
        <stp/>
        <stp>BDH|8331004363219257597</stp>
        <tr r="AA43" s="12"/>
      </tp>
      <tp t="e">
        <v>#N/A</v>
        <stp/>
        <stp>BDH|2858622196087477837</stp>
        <tr r="X66" s="12"/>
      </tp>
      <tp t="e">
        <v>#N/A</v>
        <stp/>
        <stp>BDH|2889991791085276599</stp>
        <tr r="D8" s="21"/>
      </tp>
      <tp t="e">
        <v>#N/A</v>
        <stp/>
        <stp>BDH|9450294592396204665</stp>
        <tr r="Z10" s="21"/>
      </tp>
      <tp t="e">
        <v>#N/A</v>
        <stp/>
        <stp>BDH|4324813590017945003</stp>
        <tr r="Q19" s="26"/>
      </tp>
      <tp t="e">
        <v>#N/A</v>
        <stp/>
        <stp>BDH|5869984088395656352</stp>
        <tr r="D17" s="10"/>
      </tp>
      <tp t="e">
        <v>#N/A</v>
        <stp/>
        <stp>BDH|7099736129252921289</stp>
        <tr r="O7" s="28"/>
      </tp>
      <tp t="e">
        <v>#N/A</v>
        <stp/>
        <stp>BDH|3164943294213870229</stp>
        <tr r="Z14" s="30"/>
      </tp>
      <tp t="e">
        <v>#N/A</v>
        <stp/>
        <stp>BDH|7192989596196003348</stp>
        <tr r="AA67" s="12"/>
      </tp>
      <tp t="e">
        <v>#N/A</v>
        <stp/>
        <stp>BDH|4142316221303300499</stp>
        <tr r="L14" s="4"/>
      </tp>
      <tp t="e">
        <v>#N/A</v>
        <stp/>
        <stp>BDH|2457808051844871969</stp>
        <tr r="W34" s="10"/>
        <tr r="W32" s="11"/>
        <tr r="Y32" s="13"/>
      </tp>
      <tp t="e">
        <v>#N/A</v>
        <stp/>
        <stp>BDH|7191792366093473717</stp>
        <tr r="Z13" s="13"/>
      </tp>
      <tp t="e">
        <v>#N/A</v>
        <stp/>
        <stp>BDH|3665843420633902809</stp>
        <tr r="D127" s="18"/>
      </tp>
      <tp t="e">
        <v>#N/A</v>
        <stp/>
        <stp>BDH|6864034236904004366</stp>
        <tr r="R8" s="18"/>
      </tp>
      <tp t="e">
        <v>#N/A</v>
        <stp/>
        <stp>BDH|7706308118905544218</stp>
        <tr r="K44" s="34"/>
      </tp>
      <tp t="e">
        <v>#N/A</v>
        <stp/>
        <stp>BDH|1852928487483761112</stp>
        <tr r="Q22" s="9"/>
      </tp>
      <tp t="e">
        <v>#N/A</v>
        <stp/>
        <stp>BDH|3547515220854629296</stp>
        <tr r="Z46" s="24"/>
      </tp>
      <tp t="e">
        <v>#N/A</v>
        <stp/>
        <stp>BDH|5988405963602678771</stp>
        <tr r="J18" s="23"/>
      </tp>
      <tp t="e">
        <v>#N/A</v>
        <stp/>
        <stp>BDH|7538786832935357475</stp>
        <tr r="W28" s="5"/>
      </tp>
      <tp t="e">
        <v>#N/A</v>
        <stp/>
        <stp>BDH|1798042876177954373</stp>
        <tr r="V31" s="24"/>
      </tp>
      <tp t="e">
        <v>#N/A</v>
        <stp/>
        <stp>BDH|6348475732725403699</stp>
        <tr r="AA54" s="24"/>
      </tp>
      <tp t="e">
        <v>#N/A</v>
        <stp/>
        <stp>BDH|5674283633572173478</stp>
        <tr r="D12" s="10"/>
      </tp>
      <tp t="e">
        <v>#N/A</v>
        <stp/>
        <stp>BDH|9274009458989167730</stp>
        <tr r="M79" s="18"/>
      </tp>
      <tp t="e">
        <v>#N/A</v>
        <stp/>
        <stp>BDH|6047050316150238597</stp>
        <tr r="R21" s="21"/>
      </tp>
      <tp t="e">
        <v>#N/A</v>
        <stp/>
        <stp>BDH|2821577866832882196</stp>
        <tr r="I21" s="4"/>
      </tp>
      <tp t="e">
        <v>#N/A</v>
        <stp/>
        <stp>BDH|3573449708142594744</stp>
        <tr r="G128" s="18"/>
      </tp>
      <tp t="e">
        <v>#N/A</v>
        <stp/>
        <stp>BDH|6427225613995437298</stp>
        <tr r="S10" s="23"/>
      </tp>
      <tp t="e">
        <v>#N/A</v>
        <stp/>
        <stp>BDH|7400642623078879930</stp>
        <tr r="J43" s="34"/>
      </tp>
      <tp t="e">
        <v>#N/A</v>
        <stp/>
        <stp>BDH|5746156581768211690</stp>
        <tr r="F11" s="14"/>
      </tp>
      <tp t="e">
        <v>#N/A</v>
        <stp/>
        <stp>BDH|5008266858321733112</stp>
        <tr r="AA82" s="18"/>
      </tp>
      <tp t="e">
        <v>#N/A</v>
        <stp/>
        <stp>BDH|9366819639549277919</stp>
        <tr r="Q25" s="17"/>
      </tp>
      <tp t="e">
        <v>#N/A</v>
        <stp/>
        <stp>BDH|9731232409670596909</stp>
        <tr r="X24" s="26"/>
        <tr r="V14" s="9"/>
      </tp>
      <tp t="e">
        <v>#N/A</v>
        <stp/>
        <stp>BDH|2865889265856971847</stp>
        <tr r="E104" s="18"/>
      </tp>
      <tp t="e">
        <v>#N/A</v>
        <stp/>
        <stp>BDH|7674223169301238073</stp>
        <tr r="P13" s="10"/>
      </tp>
      <tp t="e">
        <v>#N/A</v>
        <stp/>
        <stp>BDH|8428891134903797264</stp>
        <tr r="L44" s="21"/>
      </tp>
      <tp t="e">
        <v>#N/A</v>
        <stp/>
        <stp>BDH|1796952605803775982</stp>
        <tr r="H47" s="24"/>
      </tp>
      <tp t="e">
        <v>#N/A</v>
        <stp/>
        <stp>BDH|3928113724062344073</stp>
        <tr r="Z33" s="22"/>
      </tp>
      <tp t="e">
        <v>#N/A</v>
        <stp/>
        <stp>BDH|4650026869708200872</stp>
        <tr r="C23" s="10"/>
      </tp>
      <tp t="e">
        <v>#N/A</v>
        <stp/>
        <stp>BDH|6408450267170947673</stp>
        <tr r="N8" s="17"/>
      </tp>
      <tp t="e">
        <v>#N/A</v>
        <stp/>
        <stp>BDH|3881357661303001745</stp>
        <tr r="C10" s="12"/>
      </tp>
      <tp t="e">
        <v>#N/A</v>
        <stp/>
        <stp>BDH|4957319017721512523</stp>
        <tr r="M19" s="24"/>
      </tp>
      <tp t="e">
        <v>#N/A</v>
        <stp/>
        <stp>BDH|5819107990657587851</stp>
        <tr r="L6" s="27"/>
      </tp>
      <tp t="e">
        <v>#N/A</v>
        <stp/>
        <stp>BDH|1713299828583840060</stp>
        <tr r="I80" s="17"/>
      </tp>
      <tp t="e">
        <v>#N/A</v>
        <stp/>
        <stp>BDH|2936810532628257308</stp>
        <tr r="D22" s="4"/>
      </tp>
      <tp t="e">
        <v>#N/A</v>
        <stp/>
        <stp>BDH|6342134099145596940</stp>
        <tr r="X49" s="4"/>
      </tp>
      <tp t="e">
        <v>#N/A</v>
        <stp/>
        <stp>BDH|1291420903262309580</stp>
        <tr r="R13" s="17"/>
        <tr r="R16" s="28"/>
      </tp>
      <tp t="e">
        <v>#N/A</v>
        <stp/>
        <stp>BDH|2851141863575087272</stp>
        <tr r="F12" s="20"/>
      </tp>
      <tp t="e">
        <v>#N/A</v>
        <stp/>
        <stp>BDH|7353672388888071343</stp>
        <tr r="U41" s="18"/>
      </tp>
      <tp t="e">
        <v>#N/A</v>
        <stp/>
        <stp>BDH|1589593891177240874</stp>
        <tr r="Q10" s="4"/>
        <tr r="P6" s="16"/>
        <tr r="S6" s="3"/>
        <tr r="Q6" s="11"/>
      </tp>
      <tp t="e">
        <v>#N/A</v>
        <stp/>
        <stp>BDH|5759797327996404451</stp>
        <tr r="H31" s="12"/>
      </tp>
      <tp t="e">
        <v>#N/A</v>
        <stp/>
        <stp>BDH|9256299995161669101</stp>
        <tr r="Z8" s="23"/>
      </tp>
      <tp t="e">
        <v>#N/A</v>
        <stp/>
        <stp>BDH|7344370169871251173</stp>
        <tr r="M49" s="21"/>
      </tp>
      <tp t="e">
        <v>#N/A</v>
        <stp/>
        <stp>BDH|9114960642231489791</stp>
        <tr r="W39" s="24"/>
      </tp>
      <tp t="e">
        <v>#N/A</v>
        <stp/>
        <stp>BDH|3430050633531921339</stp>
        <tr r="G106" s="18"/>
      </tp>
      <tp t="e">
        <v>#N/A</v>
        <stp/>
        <stp>BDH|2895273026941160108</stp>
        <tr r="W24" s="25"/>
        <tr r="U14" s="5"/>
        <tr r="W17" s="27"/>
      </tp>
      <tp t="e">
        <v>#N/A</v>
        <stp/>
        <stp>BDH|6052272341463679189</stp>
        <tr r="F31" s="18"/>
      </tp>
      <tp t="e">
        <v>#N/A</v>
        <stp/>
        <stp>BDH|6668399259364839663</stp>
        <tr r="E10" s="18"/>
      </tp>
      <tp t="e">
        <v>#N/A</v>
        <stp/>
        <stp>BDH|7024819781753861606</stp>
        <tr r="C59" s="24"/>
      </tp>
      <tp t="e">
        <v>#N/A</v>
        <stp/>
        <stp>BDH|9748028334448147080</stp>
        <tr r="Y27" s="12"/>
      </tp>
      <tp t="e">
        <v>#N/A</v>
        <stp/>
        <stp>BDH|7162642868405787027</stp>
        <tr r="G66" s="12"/>
      </tp>
      <tp t="e">
        <v>#N/A</v>
        <stp/>
        <stp>BDH|8583532618949053768</stp>
        <tr r="K9" s="10"/>
      </tp>
      <tp t="e">
        <v>#N/A</v>
        <stp/>
        <stp>BDH|7421952956271950876</stp>
        <tr r="G69" s="18"/>
      </tp>
      <tp t="e">
        <v>#N/A</v>
        <stp/>
        <stp>BDH|5125501873905994022</stp>
        <tr r="F25" s="4"/>
        <tr r="F61" s="10"/>
      </tp>
      <tp t="e">
        <v>#N/A</v>
        <stp/>
        <stp>BDH|4711386640093238244</stp>
        <tr r="X30" s="12"/>
      </tp>
      <tp t="e">
        <v>#N/A</v>
        <stp/>
        <stp>BDH|8240570189752648537</stp>
        <tr r="J25" s="4"/>
        <tr r="J61" s="10"/>
      </tp>
      <tp t="e">
        <v>#N/A</v>
        <stp/>
        <stp>BDH|1027989199070995310</stp>
        <tr r="Y84" s="17"/>
      </tp>
      <tp t="e">
        <v>#N/A</v>
        <stp/>
        <stp>BDH|7645243839112738657</stp>
        <tr r="M40" s="18"/>
      </tp>
      <tp t="e">
        <v>#N/A</v>
        <stp/>
        <stp>BDH|9442231263377442897</stp>
        <tr r="Q93" s="18"/>
      </tp>
      <tp t="e">
        <v>#N/A</v>
        <stp/>
        <stp>BDH|7647862713564827824</stp>
        <tr r="U73" s="18"/>
      </tp>
      <tp t="e">
        <v>#N/A</v>
        <stp/>
        <stp>BDH|8284032427830761881</stp>
        <tr r="Z8" s="26"/>
        <tr r="X10" s="9"/>
      </tp>
      <tp t="e">
        <v>#N/A</v>
        <stp/>
        <stp>BDH|8714727698660127457</stp>
        <tr r="E12" s="18"/>
      </tp>
      <tp t="e">
        <v>#N/A</v>
        <stp/>
        <stp>BDH|8572787429627995848</stp>
        <tr r="S65" s="17"/>
        <tr r="Q8" s="5"/>
        <tr r="Q8" s="9"/>
      </tp>
      <tp t="e">
        <v>#N/A</v>
        <stp/>
        <stp>BDH|3036251155481861717</stp>
        <tr r="E24" s="22"/>
      </tp>
      <tp t="e">
        <v>#N/A</v>
        <stp/>
        <stp>BDH|1156668631290778681</stp>
        <tr r="M60" s="21"/>
      </tp>
      <tp t="e">
        <v>#N/A</v>
        <stp/>
        <stp>BDH|6755077926624986265</stp>
        <tr r="X75" s="17"/>
      </tp>
      <tp t="e">
        <v>#N/A</v>
        <stp/>
        <stp>BDH|5963896049948962397</stp>
        <tr r="R69" s="18"/>
      </tp>
      <tp t="e">
        <v>#N/A</v>
        <stp/>
        <stp>BDH|1993608052211594171</stp>
        <tr r="Z39" s="18"/>
      </tp>
      <tp t="e">
        <v>#N/A</v>
        <stp/>
        <stp>BDH|3177282237199174968</stp>
        <tr r="O57" s="12"/>
      </tp>
      <tp t="e">
        <v>#N/A</v>
        <stp/>
        <stp>BDH|6047498122717163537</stp>
        <tr r="U14" s="18"/>
      </tp>
      <tp t="e">
        <v>#N/A</v>
        <stp/>
        <stp>BDH|6685264319771772671</stp>
        <tr r="H69" s="24"/>
      </tp>
      <tp t="e">
        <v>#N/A</v>
        <stp/>
        <stp>BDH|6795720563102737784</stp>
        <tr r="U28" s="26"/>
      </tp>
      <tp t="e">
        <v>#N/A</v>
        <stp/>
        <stp>BDH|2938378725451323012</stp>
        <tr r="T10" s="11"/>
      </tp>
      <tp t="e">
        <v>#N/A</v>
        <stp/>
        <stp>BDH|7784617528502528326</stp>
        <tr r="X59" s="21"/>
        <tr r="V57" s="11"/>
      </tp>
      <tp t="e">
        <v>#N/A</v>
        <stp/>
        <stp>BDH|6386857471398182385</stp>
        <tr r="S59" s="18"/>
      </tp>
      <tp t="e">
        <v>#N/A</v>
        <stp/>
        <stp>BDH|1585038559942898490</stp>
        <tr r="N26" s="7"/>
      </tp>
      <tp t="e">
        <v>#N/A</v>
        <stp/>
        <stp>BDH|9352394016789366010</stp>
        <tr r="Z21" s="27"/>
      </tp>
      <tp t="e">
        <v>#N/A</v>
        <stp/>
        <stp>BDH|4811284061432737081</stp>
        <tr r="O16" s="17"/>
        <tr r="O19" s="28"/>
      </tp>
      <tp t="e">
        <v>#N/A</v>
        <stp/>
        <stp>BDH|1518811320000369995</stp>
        <tr r="I44" s="17"/>
      </tp>
      <tp t="e">
        <v>#N/A</v>
        <stp/>
        <stp>BDH|5011766469553134503</stp>
        <tr r="X47" s="17"/>
      </tp>
      <tp t="e">
        <v>#N/A</v>
        <stp/>
        <stp>BDH|2379619902737795192</stp>
        <tr r="D19" s="18"/>
      </tp>
      <tp t="e">
        <v>#N/A</v>
        <stp/>
        <stp>BDH|1464090071771473564</stp>
        <tr r="G34" s="10"/>
        <tr r="G32" s="11"/>
        <tr r="I32" s="13"/>
      </tp>
      <tp t="e">
        <v>#N/A</v>
        <stp/>
        <stp>BDH|8857469411726383921</stp>
        <tr r="D119" s="18"/>
      </tp>
      <tp t="e">
        <v>#N/A</v>
        <stp/>
        <stp>BDH|8611566486236835103</stp>
        <tr r="Q13" s="22"/>
      </tp>
      <tp t="e">
        <v>#N/A</v>
        <stp/>
        <stp>BDH|5148283737311892788</stp>
        <tr r="O40" s="6"/>
      </tp>
      <tp t="e">
        <v>#N/A</v>
        <stp/>
        <stp>BDH|7369739182872923850</stp>
        <tr r="U39" s="6"/>
      </tp>
      <tp t="e">
        <v>#N/A</v>
        <stp/>
        <stp>BDH|7942401900223266254</stp>
        <tr r="U65" s="18"/>
      </tp>
      <tp t="e">
        <v>#N/A</v>
        <stp/>
        <stp>BDH|3900452961177642453</stp>
        <tr r="S91" s="18"/>
      </tp>
      <tp t="e">
        <v>#N/A</v>
        <stp/>
        <stp>BDH|4966890739788164563</stp>
        <tr r="R68" s="24"/>
      </tp>
      <tp t="e">
        <v>#N/A</v>
        <stp/>
        <stp>BDH|6824465825997228578</stp>
        <tr r="E19" s="6"/>
      </tp>
      <tp t="e">
        <v>#N/A</v>
        <stp/>
        <stp>BDH|6423188751447191720</stp>
        <tr r="S83" s="17"/>
      </tp>
      <tp t="e">
        <v>#N/A</v>
        <stp/>
        <stp>BDH|8942126423221566831</stp>
        <tr r="L19" s="9"/>
      </tp>
      <tp t="e">
        <v>#N/A</v>
        <stp/>
        <stp>BDH|2600657669336644626</stp>
        <tr r="F39" s="10"/>
        <tr r="F37" s="11"/>
      </tp>
      <tp t="e">
        <v>#N/A</v>
        <stp/>
        <stp>BDH|6706097975867539405</stp>
        <tr r="C62" s="24"/>
      </tp>
      <tp t="e">
        <v>#N/A</v>
        <stp/>
        <stp>BDH|6161201385087293987</stp>
        <tr r="H42" s="4"/>
      </tp>
      <tp t="e">
        <v>#N/A</v>
        <stp/>
        <stp>BDH|3634465902185881047</stp>
        <tr r="Q22" s="12"/>
      </tp>
      <tp t="e">
        <v>#N/A</v>
        <stp/>
        <stp>BDH|7690511619167936692</stp>
        <tr r="T13" s="10"/>
      </tp>
      <tp t="e">
        <v>#N/A</v>
        <stp/>
        <stp>BDH|8650123753247980904</stp>
        <tr r="J86" s="18"/>
        <tr r="J6" s="20"/>
      </tp>
      <tp t="e">
        <v>#N/A</v>
        <stp/>
        <stp>BDH|7967361518973057490</stp>
        <tr r="I21" s="24"/>
      </tp>
      <tp t="e">
        <v>#N/A</v>
        <stp/>
        <stp>BDH|4943987312239529788</stp>
        <tr r="O50" s="18"/>
      </tp>
      <tp t="e">
        <v>#N/A</v>
        <stp/>
        <stp>BDH|1670148983329837375</stp>
        <tr r="W15" s="11"/>
      </tp>
      <tp t="e">
        <v>#N/A</v>
        <stp/>
        <stp>BDH|4363396102436607308</stp>
        <tr r="U72" s="17"/>
      </tp>
      <tp t="e">
        <v>#N/A</v>
        <stp/>
        <stp>BDH|4307592320856563710</stp>
        <tr r="O27" s="6"/>
      </tp>
      <tp t="e">
        <v>#N/A</v>
        <stp/>
        <stp>BDH|7105944478553286815</stp>
        <tr r="P9" s="6"/>
      </tp>
      <tp t="e">
        <v>#N/A</v>
        <stp/>
        <stp>BDH|7521638519197453552</stp>
        <tr r="Z16" s="25"/>
        <tr r="X22" s="11"/>
      </tp>
      <tp t="e">
        <v>#N/A</v>
        <stp/>
        <stp>BDH|5887420976793368715</stp>
        <tr r="K130" s="18"/>
      </tp>
      <tp t="e">
        <v>#N/A</v>
        <stp/>
        <stp>BDH|7422147738475680206</stp>
        <tr r="I115" s="18"/>
      </tp>
      <tp t="e">
        <v>#N/A</v>
        <stp/>
        <stp>BDH|7184441840285960023</stp>
        <tr r="M30" s="29"/>
        <tr r="M8" s="29"/>
      </tp>
      <tp t="e">
        <v>#N/A</v>
        <stp/>
        <stp>BDH|2023285957596054119</stp>
        <tr r="L20" s="34"/>
      </tp>
      <tp t="e">
        <v>#N/A</v>
        <stp/>
        <stp>BDH|4967904042758232378</stp>
        <tr r="Y14" s="17"/>
        <tr r="Y17" s="28"/>
      </tp>
      <tp t="e">
        <v>#N/A</v>
        <stp/>
        <stp>BDH|8352471379768297114</stp>
        <tr r="Z19" s="22"/>
      </tp>
      <tp t="e">
        <v>#N/A</v>
        <stp/>
        <stp>BDH|5974559824240407022</stp>
        <tr r="U31" s="18"/>
      </tp>
      <tp t="e">
        <v>#N/A</v>
        <stp/>
        <stp>BDH|5304008147822361187</stp>
        <tr r="D39" s="10"/>
        <tr r="D37" s="11"/>
      </tp>
      <tp t="e">
        <v>#N/A</v>
        <stp/>
        <stp>BDH|1993548043791277330</stp>
        <tr r="F9" s="2"/>
        <tr r="H8" s="25"/>
        <tr r="F10" s="5"/>
      </tp>
      <tp t="e">
        <v>#N/A</v>
        <stp/>
        <stp>BDH|1144900461515928962</stp>
        <tr r="L130" s="18"/>
      </tp>
      <tp t="e">
        <v>#N/A</v>
        <stp/>
        <stp>BDH|2727660109435153363</stp>
        <tr r="H16" s="29"/>
        <tr r="H36" s="29"/>
      </tp>
      <tp t="e">
        <v>#N/A</v>
        <stp/>
        <stp>BDH|7352682761713094659</stp>
        <tr r="Q10" s="13"/>
      </tp>
      <tp t="e">
        <v>#N/A</v>
        <stp/>
        <stp>BDH|1988970472978067537</stp>
        <tr r="F110" s="18"/>
      </tp>
      <tp t="e">
        <v>#N/A</v>
        <stp/>
        <stp>BDH|2111897977137454842</stp>
        <tr r="E13" s="21"/>
      </tp>
      <tp t="e">
        <v>#N/A</v>
        <stp/>
        <stp>BDH|3351950745645929951</stp>
        <tr r="E15" s="13"/>
      </tp>
      <tp t="e">
        <v>#N/A</v>
        <stp/>
        <stp>BDH|1640547574057016697</stp>
        <tr r="U68" s="10"/>
        <tr r="U66" s="11"/>
      </tp>
      <tp t="e">
        <v>#N/A</v>
        <stp/>
        <stp>BDH|9300292380538202972</stp>
        <tr r="T28" s="25"/>
      </tp>
      <tp t="e">
        <v>#N/A</v>
        <stp/>
        <stp>BDH|3157711431037856265</stp>
        <tr r="N13" s="11"/>
      </tp>
      <tp t="e">
        <v>#N/A</v>
        <stp/>
        <stp>BDH|3664690250430733275</stp>
        <tr r="I40" s="18"/>
      </tp>
      <tp t="e">
        <v>#N/A</v>
        <stp/>
        <stp>BDH|4072780071124723213</stp>
        <tr r="R94" s="18"/>
      </tp>
      <tp t="e">
        <v>#N/A</v>
        <stp/>
        <stp>BDH|8926710296233879790</stp>
        <tr r="AA16" s="23"/>
      </tp>
      <tp t="e">
        <v>#N/A</v>
        <stp/>
        <stp>BDH|2238717245297119480</stp>
        <tr r="T14" s="4"/>
      </tp>
      <tp t="e">
        <v>#N/A</v>
        <stp/>
        <stp>BDH|8326041785437449594</stp>
        <tr r="H14" s="13"/>
      </tp>
      <tp t="e">
        <v>#N/A</v>
        <stp/>
        <stp>BDH|8372883253727325047</stp>
        <tr r="M8" s="13"/>
      </tp>
      <tp t="e">
        <v>#N/A</v>
        <stp/>
        <stp>BDH|3427195850597346210</stp>
        <tr r="K57" s="24"/>
      </tp>
      <tp t="e">
        <v>#N/A</v>
        <stp/>
        <stp>BDH|5699911194524526399</stp>
        <tr r="M82" s="18"/>
      </tp>
      <tp t="e">
        <v>#N/A</v>
        <stp/>
        <stp>BDH|1834516409167638191</stp>
        <tr r="C60" s="17"/>
      </tp>
      <tp t="e">
        <v>#N/A</v>
        <stp/>
        <stp>BDH|3985553452014599544</stp>
        <tr r="J40" s="29"/>
      </tp>
      <tp t="e">
        <v>#N/A</v>
        <stp/>
        <stp>BDH|4344206696958862524</stp>
        <tr r="O36" s="10"/>
        <tr r="O34" s="11"/>
      </tp>
      <tp t="e">
        <v>#N/A</v>
        <stp/>
        <stp>BDH|4348529173352861650</stp>
        <tr r="Y28" s="17"/>
      </tp>
      <tp t="e">
        <v>#N/A</v>
        <stp/>
        <stp>BDH|3762340370863938655</stp>
        <tr r="R12" s="10"/>
      </tp>
      <tp t="e">
        <v>#N/A</v>
        <stp/>
        <stp>BDH|3382036759706450227</stp>
        <tr r="E9" s="10"/>
      </tp>
      <tp t="e">
        <v>#N/A</v>
        <stp/>
        <stp>BDH|2323574986504480990</stp>
        <tr r="J26" s="24"/>
      </tp>
      <tp t="e">
        <v>#N/A</v>
        <stp/>
        <stp>BDH|5070386522691453718</stp>
        <tr r="L8" s="13"/>
      </tp>
      <tp t="e">
        <v>#N/A</v>
        <stp/>
        <stp>BDH|4484333316920792496</stp>
        <tr r="M11" s="6"/>
      </tp>
      <tp t="e">
        <v>#N/A</v>
        <stp/>
        <stp>BDH|7470879898153570715</stp>
        <tr r="Y18" s="10"/>
      </tp>
      <tp t="e">
        <v>#N/A</v>
        <stp/>
        <stp>BDH|8166674152991828836</stp>
        <tr r="S17" s="20"/>
      </tp>
      <tp t="e">
        <v>#N/A</v>
        <stp/>
        <stp>BDH|2292021213251945051</stp>
        <tr r="T27" s="18"/>
      </tp>
      <tp t="e">
        <v>#N/A</v>
        <stp/>
        <stp>BDH|5116491771415493122</stp>
        <tr r="S31" s="21"/>
      </tp>
      <tp t="e">
        <v>#N/A</v>
        <stp/>
        <stp>BDH|6600888703104279801</stp>
        <tr r="E8" s="23"/>
      </tp>
      <tp t="e">
        <v>#N/A</v>
        <stp/>
        <stp>BDH|4898917405657521865</stp>
        <tr r="U118" s="18"/>
      </tp>
      <tp t="e">
        <v>#N/A</v>
        <stp/>
        <stp>BDH|7704700878751111419</stp>
        <tr r="W18" s="23"/>
      </tp>
      <tp t="e">
        <v>#N/A</v>
        <stp/>
        <stp>BDH|3179783210840756716</stp>
        <tr r="R48" s="21"/>
      </tp>
      <tp t="e">
        <v>#N/A</v>
        <stp/>
        <stp>BDH|5990972630249366421</stp>
        <tr r="X22" s="27"/>
      </tp>
      <tp t="e">
        <v>#N/A</v>
        <stp/>
        <stp>BDH|7966705404165642748</stp>
        <tr r="M33" s="13"/>
      </tp>
      <tp t="e">
        <v>#N/A</v>
        <stp/>
        <stp>BDH|5539890074620126856</stp>
        <tr r="E20" s="6"/>
      </tp>
      <tp t="e">
        <v>#N/A</v>
        <stp/>
        <stp>BDH|4788973784587197097</stp>
        <tr r="V20" s="26"/>
      </tp>
      <tp t="e">
        <v>#N/A</v>
        <stp/>
        <stp>BDH|7369329722665999160</stp>
        <tr r="E19" s="10"/>
        <tr r="G16" s="13"/>
        <tr r="G23" s="13"/>
      </tp>
      <tp t="e">
        <v>#N/A</v>
        <stp/>
        <stp>BDH|2144330380713675884</stp>
        <tr r="V39" s="22"/>
      </tp>
      <tp t="e">
        <v>#N/A</v>
        <stp/>
        <stp>BDH|3061667178148607840</stp>
        <tr r="F10" s="23"/>
      </tp>
      <tp t="e">
        <v>#N/A</v>
        <stp/>
        <stp>BDH|8820625888011839567</stp>
        <tr r="T12" s="22"/>
      </tp>
      <tp t="e">
        <v>#N/A</v>
        <stp/>
        <stp>BDH|3407424569742503161</stp>
        <tr r="N9" s="13"/>
      </tp>
      <tp t="e">
        <v>#N/A</v>
        <stp/>
        <stp>BDH|9879302685476578644</stp>
        <tr r="W37" s="18"/>
      </tp>
      <tp t="e">
        <v>#N/A</v>
        <stp/>
        <stp>BDH|3266904393646573781</stp>
        <tr r="R36" s="21"/>
      </tp>
      <tp t="e">
        <v>#N/A</v>
        <stp/>
        <stp>BDH|1299443426036572398</stp>
        <tr r="AA26" s="22"/>
      </tp>
      <tp t="e">
        <v>#N/A</v>
        <stp/>
        <stp>BDH|5811599006870359280</stp>
        <tr r="M46" s="21"/>
      </tp>
      <tp t="e">
        <v>#N/A</v>
        <stp/>
        <stp>BDH|1897289747062974723</stp>
        <tr r="T63" s="12"/>
      </tp>
      <tp t="e">
        <v>#N/A</v>
        <stp/>
        <stp>BDH|1090005407926941526</stp>
        <tr r="Z45" s="21"/>
      </tp>
      <tp t="e">
        <v>#N/A</v>
        <stp/>
        <stp>BDH|4079457915114436785</stp>
        <tr r="X17" s="5"/>
        <tr r="W25" s="6"/>
      </tp>
      <tp t="e">
        <v>#N/A</v>
        <stp/>
        <stp>BDH|3378622833316816261</stp>
        <tr r="Q45" s="17"/>
      </tp>
      <tp t="e">
        <v>#N/A</v>
        <stp/>
        <stp>BDH|9743875224678067987</stp>
        <tr r="S18" s="5"/>
        <tr r="R31" s="6"/>
      </tp>
      <tp t="e">
        <v>#N/A</v>
        <stp/>
        <stp>BDH|4829040911940556748</stp>
        <tr r="Z25" s="26"/>
      </tp>
      <tp t="e">
        <v>#N/A</v>
        <stp/>
        <stp>BDH|1738623031354045281</stp>
        <tr r="I85" s="17"/>
      </tp>
      <tp t="e">
        <v>#N/A</v>
        <stp/>
        <stp>BDH|1602052863712412782</stp>
        <tr r="F10" s="30"/>
      </tp>
      <tp t="e">
        <v>#N/A</v>
        <stp/>
        <stp>BDH|7469591270246840198</stp>
        <tr r="W10" s="29"/>
        <tr r="U6" s="5"/>
        <tr r="U6" s="2"/>
        <tr r="U6" s="9"/>
        <tr r="V12" s="8"/>
        <tr r="W25" s="29"/>
        <tr r="W19" s="29"/>
      </tp>
      <tp t="e">
        <v>#N/A</v>
        <stp/>
        <stp>BDH|2174995579939469795</stp>
        <tr r="X24" s="12"/>
      </tp>
      <tp t="e">
        <v>#N/A</v>
        <stp/>
        <stp>BDH|6342678108456915492</stp>
        <tr r="R32" s="26"/>
      </tp>
      <tp t="e">
        <v>#N/A</v>
        <stp/>
        <stp>BDH|2861377652970778664</stp>
        <tr r="Z11" s="17"/>
      </tp>
      <tp t="e">
        <v>#N/A</v>
        <stp/>
        <stp>BDH|8847163697951150341</stp>
        <tr r="M20" s="34"/>
      </tp>
      <tp t="e">
        <v>#N/A</v>
        <stp/>
        <stp>BDH|7479703352536898122</stp>
        <tr r="G16" s="14"/>
      </tp>
      <tp t="e">
        <v>#N/A</v>
        <stp/>
        <stp>BDH|4401826388841275703</stp>
        <tr r="Z14" s="18"/>
      </tp>
      <tp t="e">
        <v>#N/A</v>
        <stp/>
        <stp>BDH|7558073993828818455</stp>
        <tr r="X16" s="26"/>
      </tp>
      <tp t="e">
        <v>#N/A</v>
        <stp/>
        <stp>BDH|1302264050823814710</stp>
        <tr r="T83" s="18"/>
      </tp>
      <tp t="e">
        <v>#N/A</v>
        <stp/>
        <stp>BDH|9817160047836265872</stp>
        <tr r="E28" s="5"/>
      </tp>
      <tp t="e">
        <v>#N/A</v>
        <stp/>
        <stp>BDH|1412093519716884400</stp>
        <tr r="R25" s="3"/>
      </tp>
      <tp t="e">
        <v>#N/A</v>
        <stp/>
        <stp>BDH|5500027342964867715</stp>
        <tr r="Y16" s="2"/>
        <tr r="Y32" s="4"/>
        <tr r="Y58" s="10"/>
        <tr r="AA19" s="13"/>
      </tp>
      <tp t="e">
        <v>#N/A</v>
        <stp/>
        <stp>BDH|2740686589308386694</stp>
        <tr r="D45" s="18"/>
      </tp>
      <tp t="e">
        <v>#N/A</v>
        <stp/>
        <stp>BDH|3871129516482578351</stp>
        <tr r="N49" s="4"/>
      </tp>
      <tp t="e">
        <v>#N/A</v>
        <stp/>
        <stp>BDH|9763852912687589596</stp>
        <tr r="P10" s="17"/>
      </tp>
      <tp t="e">
        <v>#N/A</v>
        <stp/>
        <stp>BDH|7185426149615748013</stp>
        <tr r="D8" s="3"/>
        <tr r="D30" s="13"/>
      </tp>
      <tp t="e">
        <v>#N/A</v>
        <stp/>
        <stp>BDH|1698152973452890748</stp>
        <tr r="H31" s="21"/>
      </tp>
      <tp t="e">
        <v>#N/A</v>
        <stp/>
        <stp>BDH|2653507336647995153</stp>
        <tr r="Q63" s="11"/>
      </tp>
      <tp t="e">
        <v>#N/A</v>
        <stp/>
        <stp>BDH|5489708905278596885</stp>
        <tr r="O54" s="17"/>
      </tp>
      <tp t="e">
        <v>#N/A</v>
        <stp/>
        <stp>BDH|5685715614077756699</stp>
        <tr r="D31" s="13"/>
      </tp>
      <tp t="e">
        <v>#N/A</v>
        <stp/>
        <stp>BDH|3619682674517533724</stp>
        <tr r="X21" s="17"/>
        <tr r="X15" s="3"/>
      </tp>
      <tp t="e">
        <v>#N/A</v>
        <stp/>
        <stp>BDH|7713718317497546498</stp>
        <tr r="Y60" s="21"/>
      </tp>
      <tp t="e">
        <v>#N/A</v>
        <stp/>
        <stp>BDH|2959525242644561510</stp>
        <tr r="P25" s="2"/>
        <tr r="R61" s="21"/>
      </tp>
      <tp t="e">
        <v>#N/A</v>
        <stp/>
        <stp>BDH|9786624371229095394</stp>
        <tr r="M20" s="24"/>
      </tp>
      <tp t="e">
        <v>#N/A</v>
        <stp/>
        <stp>BDH|2849000010619102841</stp>
        <tr r="K36" s="34"/>
      </tp>
      <tp t="e">
        <v>#N/A</v>
        <stp/>
        <stp>BDH|5619213443370000192</stp>
        <tr r="S11" s="3"/>
        <tr r="Q46" s="10"/>
        <tr r="Q44" s="11"/>
        <tr r="Q8" s="7"/>
      </tp>
      <tp t="e">
        <v>#N/A</v>
        <stp/>
        <stp>BDH|6305285201331151761</stp>
        <tr r="R14" s="2"/>
        <tr r="R11" s="10"/>
      </tp>
      <tp t="e">
        <v>#N/A</v>
        <stp/>
        <stp>BDH|6305958884257917269</stp>
        <tr r="E17" s="18"/>
      </tp>
      <tp t="e">
        <v>#N/A</v>
        <stp/>
        <stp>BDH|1892807744866508944</stp>
        <tr r="H8" s="12"/>
      </tp>
      <tp t="e">
        <v>#N/A</v>
        <stp/>
        <stp>BDH|2927735189527870860</stp>
        <tr r="E12" s="24"/>
      </tp>
      <tp t="e">
        <v>#N/A</v>
        <stp/>
        <stp>BDH|2067128704806358786</stp>
        <tr r="M50" s="21"/>
      </tp>
      <tp t="e">
        <v>#N/A</v>
        <stp/>
        <stp>BDH|2417421271900243389</stp>
        <tr r="V17" s="10"/>
      </tp>
      <tp t="e">
        <v>#N/A</v>
        <stp/>
        <stp>BDH|1605397953045546047</stp>
        <tr r="AA25" s="17"/>
      </tp>
      <tp t="e">
        <v>#N/A</v>
        <stp/>
        <stp>BDH|4338686769274876274</stp>
        <tr r="S7" s="10"/>
      </tp>
      <tp t="e">
        <v>#N/A</v>
        <stp/>
        <stp>BDH|5416421806267801455</stp>
        <tr r="D67" s="18"/>
      </tp>
      <tp t="e">
        <v>#N/A</v>
        <stp/>
        <stp>BDH|8245686467618292225</stp>
        <tr r="C10" s="8"/>
      </tp>
      <tp t="e">
        <v>#N/A</v>
        <stp/>
        <stp>BDH|9478837808110194333</stp>
        <tr r="F37" s="24"/>
      </tp>
      <tp t="e">
        <v>#N/A</v>
        <stp/>
        <stp>BDH|5759421406120987376</stp>
        <tr r="E55" s="12"/>
      </tp>
      <tp t="e">
        <v>#N/A</v>
        <stp/>
        <stp>BDH|7542507939490786365</stp>
        <tr r="O91" s="18"/>
      </tp>
      <tp t="e">
        <v>#N/A</v>
        <stp/>
        <stp>BDH|5276087261985434420</stp>
        <tr r="D19" s="9"/>
      </tp>
      <tp t="e">
        <v>#N/A</v>
        <stp/>
        <stp>BDH|1321352466565910349</stp>
        <tr r="G24" s="18"/>
      </tp>
      <tp t="e">
        <v>#N/A</v>
        <stp/>
        <stp>BDH|5693049218213763509</stp>
        <tr r="Q32" s="22"/>
      </tp>
      <tp t="e">
        <v>#N/A</v>
        <stp/>
        <stp>BDH|1342688547091801091</stp>
        <tr r="P21" s="27"/>
      </tp>
      <tp t="e">
        <v>#N/A</v>
        <stp/>
        <stp>BDH|4476343632310806678</stp>
        <tr r="M75" s="17"/>
      </tp>
      <tp t="e">
        <v>#N/A</v>
        <stp/>
        <stp>BDH|4302119957492912013</stp>
        <tr r="U70" s="10"/>
        <tr r="U68" s="11"/>
      </tp>
      <tp t="e">
        <v>#N/A</v>
        <stp/>
        <stp>BDH|5125288972321517337</stp>
        <tr r="V110" s="18"/>
      </tp>
      <tp t="e">
        <v>#N/A</v>
        <stp/>
        <stp>BDH|4729355591814749895</stp>
        <tr r="G20" s="23"/>
      </tp>
      <tp t="e">
        <v>#N/A</v>
        <stp/>
        <stp>BDH|8138924224765881426</stp>
        <tr r="W13" s="11"/>
      </tp>
      <tp t="e">
        <v>#N/A</v>
        <stp/>
        <stp>BDH|1908063377302494617</stp>
        <tr r="D16" s="2"/>
        <tr r="D32" s="4"/>
        <tr r="D58" s="10"/>
        <tr r="F19" s="13"/>
      </tp>
      <tp t="e">
        <v>#N/A</v>
        <stp/>
        <stp>BDH|2691164704966613704</stp>
        <tr r="O57" s="17"/>
      </tp>
      <tp t="e">
        <v>#N/A</v>
        <stp/>
        <stp>BDH|8767079885086465439</stp>
        <tr r="S21" s="6"/>
      </tp>
      <tp t="e">
        <v>#N/A</v>
        <stp/>
        <stp>BDH|1466211527112271121</stp>
        <tr r="F13" s="18"/>
      </tp>
      <tp t="e">
        <v>#N/A</v>
        <stp/>
        <stp>BDH|9319336860766671844</stp>
        <tr r="H14" s="30"/>
      </tp>
      <tp t="e">
        <v>#N/A</v>
        <stp/>
        <stp>BDH|1482832718688463299</stp>
        <tr r="T59" s="10"/>
      </tp>
      <tp t="e">
        <v>#N/A</v>
        <stp/>
        <stp>BDH|7579250017625671335</stp>
        <tr r="U29" s="4"/>
      </tp>
      <tp t="e">
        <v>#N/A</v>
        <stp/>
        <stp>BDH|9671977247462041442</stp>
        <tr r="T38" s="18"/>
      </tp>
      <tp t="e">
        <v>#N/A</v>
        <stp/>
        <stp>BDH|3311149195051780875</stp>
        <tr r="R10" s="2"/>
        <tr r="R11" s="5"/>
        <tr r="Q37" s="6"/>
        <tr r="T31" s="29"/>
        <tr r="T39" s="29"/>
      </tp>
      <tp t="e">
        <v>#N/A</v>
        <stp/>
        <stp>BDH|5687596200637554588</stp>
        <tr r="Y97" s="18"/>
      </tp>
      <tp t="e">
        <v>#N/A</v>
        <stp/>
        <stp>BDH|2469886529648204253</stp>
        <tr r="N13" s="21"/>
      </tp>
      <tp t="e">
        <v>#N/A</v>
        <stp/>
        <stp>BDH|3970302933005955415</stp>
        <tr r="H76" s="18"/>
      </tp>
      <tp t="e">
        <v>#N/A</v>
        <stp/>
        <stp>BDH|8936932168286511357</stp>
        <tr r="L22" s="27"/>
      </tp>
      <tp t="e">
        <v>#N/A</v>
        <stp/>
        <stp>BDH|3742732533863489612</stp>
        <tr r="U52" s="18"/>
      </tp>
      <tp t="e">
        <v>#N/A</v>
        <stp/>
        <stp>BDH|7153733530642648360</stp>
        <tr r="D15" s="10"/>
      </tp>
      <tp t="e">
        <v>#N/A</v>
        <stp/>
        <stp>BDH|8099237994652781327</stp>
        <tr r="S23" s="11"/>
      </tp>
      <tp t="e">
        <v>#N/A</v>
        <stp/>
        <stp>BDH|5085220457813067371</stp>
        <tr r="N27" s="18"/>
      </tp>
      <tp t="e">
        <v>#N/A</v>
        <stp/>
        <stp>BDH|3421619215833334516</stp>
        <tr r="P17" s="4"/>
        <tr r="R10" s="3"/>
        <tr r="P52" s="10"/>
        <tr r="P50" s="11"/>
        <tr r="P17" s="7"/>
        <tr r="R37" s="13"/>
      </tp>
      <tp t="e">
        <v>#N/A</v>
        <stp/>
        <stp>BDH|3781708870684684538</stp>
        <tr r="V7" s="11"/>
      </tp>
      <tp t="e">
        <v>#N/A</v>
        <stp/>
        <stp>BDH|8583101211702203848</stp>
        <tr r="F7" s="11"/>
      </tp>
      <tp t="e">
        <v>#N/A</v>
        <stp/>
        <stp>BDH|4276604501186045610</stp>
        <tr r="M14" s="17"/>
        <tr r="M17" s="28"/>
      </tp>
      <tp t="e">
        <v>#N/A</v>
        <stp/>
        <stp>BDH|3167407307390265562</stp>
        <tr r="P107" s="18"/>
      </tp>
      <tp t="e">
        <v>#N/A</v>
        <stp/>
        <stp>BDH|3819304053387179087</stp>
        <tr r="M9" s="13"/>
      </tp>
      <tp t="e">
        <v>#N/A</v>
        <stp/>
        <stp>BDH|6508015926871130717</stp>
        <tr r="I40" s="21"/>
      </tp>
      <tp t="e">
        <v>#N/A</v>
        <stp/>
        <stp>BDH|7377550675073198407</stp>
        <tr r="L21" s="4"/>
      </tp>
      <tp t="e">
        <v>#N/A</v>
        <stp/>
        <stp>BDH|4704588873153700790</stp>
        <tr r="D6" s="19"/>
        <tr r="D34" s="17"/>
        <tr r="D16" s="3"/>
      </tp>
      <tp t="e">
        <v>#N/A</v>
        <stp/>
        <stp>BDH|5684542924935187552</stp>
        <tr r="M26" s="7"/>
      </tp>
      <tp t="e">
        <v>#N/A</v>
        <stp/>
        <stp>BDH|6029423192211199832</stp>
        <tr r="K31" s="26"/>
      </tp>
      <tp t="e">
        <v>#N/A</v>
        <stp/>
        <stp>BDH|6880007319351058431</stp>
        <tr r="C49" s="18"/>
      </tp>
      <tp t="e">
        <v>#N/A</v>
        <stp/>
        <stp>BDH|3256006431453992185</stp>
        <tr r="M14" s="21"/>
      </tp>
      <tp t="e">
        <v>#N/A</v>
        <stp/>
        <stp>BDH|4145468135715984498</stp>
        <tr r="C34" s="13"/>
      </tp>
      <tp t="e">
        <v>#N/A</v>
        <stp/>
        <stp>BDH|8412363642145211809</stp>
        <tr r="U54" s="21"/>
      </tp>
      <tp t="e">
        <v>#N/A</v>
        <stp/>
        <stp>BDH|6449809045151060931</stp>
        <tr r="K20" s="6"/>
      </tp>
      <tp t="e">
        <v>#N/A</v>
        <stp/>
        <stp>BDH|7928732658014830388</stp>
        <tr r="G115" s="18"/>
      </tp>
      <tp t="e">
        <v>#N/A</v>
        <stp/>
        <stp>BDH|1073254254733668759</stp>
        <tr r="Q24" s="18"/>
      </tp>
      <tp t="e">
        <v>#N/A</v>
        <stp/>
        <stp>BDH|9129354181543709309</stp>
        <tr r="T14" s="28"/>
      </tp>
      <tp t="e">
        <v>#N/A</v>
        <stp/>
        <stp>BDH|6277662534664282506</stp>
        <tr r="I14" s="8"/>
      </tp>
      <tp t="e">
        <v>#N/A</v>
        <stp/>
        <stp>BDH|2221527920983605440</stp>
        <tr r="M22" s="27"/>
      </tp>
      <tp t="e">
        <v>#N/A</v>
        <stp/>
        <stp>BDH|3292559345920253020</stp>
        <tr r="Y24" s="2"/>
      </tp>
      <tp t="e">
        <v>#N/A</v>
        <stp/>
        <stp>BDH|6753737465954323105</stp>
        <tr r="G7" s="30"/>
      </tp>
      <tp t="e">
        <v>#N/A</v>
        <stp/>
        <stp>BDH|2481362646622109573</stp>
        <tr r="Q37" s="24"/>
      </tp>
      <tp t="e">
        <v>#N/A</v>
        <stp/>
        <stp>BDH|9110554734875779855</stp>
        <tr r="S28" s="4"/>
      </tp>
      <tp t="e">
        <v>#N/A</v>
        <stp/>
        <stp>BDH|3880321455477467095</stp>
        <tr r="J30" s="10"/>
        <tr r="J28" s="11"/>
      </tp>
      <tp t="e">
        <v>#N/A</v>
        <stp/>
        <stp>BDH|4852062757931854235</stp>
        <tr r="Y61" s="12"/>
      </tp>
      <tp t="e">
        <v>#N/A</v>
        <stp/>
        <stp>BDH|4341617507496004666</stp>
        <tr r="Q46" s="24"/>
      </tp>
      <tp t="e">
        <v>#N/A</v>
        <stp/>
        <stp>BDH|8609929022924611530</stp>
        <tr r="H55" s="12"/>
      </tp>
      <tp t="e">
        <v>#N/A</v>
        <stp/>
        <stp>BDH|5704352415227449205</stp>
        <tr r="J71" s="18"/>
      </tp>
      <tp t="e">
        <v>#N/A</v>
        <stp/>
        <stp>BDH|7964037106595677092</stp>
        <tr r="R70" s="18"/>
      </tp>
      <tp t="e">
        <v>#N/A</v>
        <stp/>
        <stp>BDH|4674541961845175019</stp>
        <tr r="T24" s="26"/>
        <tr r="R14" s="9"/>
      </tp>
      <tp t="e">
        <v>#N/A</v>
        <stp/>
        <stp>BDH|6244036744673308354</stp>
        <tr r="U42" s="12"/>
      </tp>
      <tp t="e">
        <v>#N/A</v>
        <stp/>
        <stp>BDH|5055550868453995778</stp>
        <tr r="O58" s="21"/>
        <tr r="O30" s="25"/>
        <tr r="M31" s="4"/>
        <tr r="M56" s="11"/>
      </tp>
      <tp t="e">
        <v>#N/A</v>
        <stp/>
        <stp>BDH|3742969034389191277</stp>
        <tr r="U10" s="17"/>
      </tp>
      <tp t="e">
        <v>#N/A</v>
        <stp/>
        <stp>BDH|3515866497306673610</stp>
        <tr r="F68" s="24"/>
      </tp>
      <tp t="e">
        <v>#N/A</v>
        <stp/>
        <stp>BDH|4762443618085148693</stp>
        <tr r="N30" s="10"/>
        <tr r="N28" s="11"/>
      </tp>
      <tp t="e">
        <v>#N/A</v>
        <stp/>
        <stp>BDH|9163444283024464316</stp>
        <tr r="Q15" s="29"/>
        <tr r="Q35" s="29"/>
      </tp>
      <tp t="e">
        <v>#N/A</v>
        <stp/>
        <stp>BDH|6066602060650639453</stp>
        <tr r="H50" s="21"/>
      </tp>
      <tp t="e">
        <v>#N/A</v>
        <stp/>
        <stp>BDH|7549284529294056172</stp>
        <tr r="D43" s="10"/>
        <tr r="D41" s="11"/>
      </tp>
      <tp t="e">
        <v>#N/A</v>
        <stp/>
        <stp>BDH|3905862626759229282</stp>
        <tr r="D36" s="4"/>
      </tp>
      <tp t="e">
        <v>#N/A</v>
        <stp/>
        <stp>BDH|1445526303690237642</stp>
        <tr r="L58" s="12"/>
      </tp>
      <tp t="e">
        <v>#N/A</v>
        <stp/>
        <stp>BDH|4281178267089310824</stp>
        <tr r="F18" s="30"/>
      </tp>
      <tp t="e">
        <v>#N/A</v>
        <stp/>
        <stp>BDH|4296519537225345541</stp>
        <tr r="W52" s="17"/>
      </tp>
      <tp t="e">
        <v>#N/A</v>
        <stp/>
        <stp>BDH|8177554833429409501</stp>
        <tr r="L15" s="17"/>
        <tr r="L18" s="28"/>
      </tp>
      <tp t="e">
        <v>#N/A</v>
        <stp/>
        <stp>BDH|5993292863617290422</stp>
        <tr r="X36" s="18"/>
      </tp>
      <tp t="e">
        <v>#N/A</v>
        <stp/>
        <stp>BDH|8037341595813201303</stp>
        <tr r="H62" s="21"/>
      </tp>
      <tp t="e">
        <v>#N/A</v>
        <stp/>
        <stp>BDH|9839282894818703800</stp>
        <tr r="J14" s="28"/>
      </tp>
      <tp t="e">
        <v>#N/A</v>
        <stp/>
        <stp>BDH|2858367875952964615</stp>
        <tr r="Y92" s="18"/>
      </tp>
      <tp t="e">
        <v>#N/A</v>
        <stp/>
        <stp>BDH|6271378953383202174</stp>
        <tr r="N24" s="17"/>
      </tp>
      <tp t="e">
        <v>#N/A</v>
        <stp/>
        <stp>BDH|8816597147479796220</stp>
        <tr r="S27" s="21"/>
      </tp>
      <tp t="e">
        <v>#N/A</v>
        <stp/>
        <stp>BDH|4026582735021784193</stp>
        <tr r="M45" s="12"/>
      </tp>
      <tp t="e">
        <v>#N/A</v>
        <stp/>
        <stp>BDH|7923634004355980640</stp>
        <tr r="AA9" s="18"/>
      </tp>
      <tp t="e">
        <v>#N/A</v>
        <stp/>
        <stp>BDH|7558134309905434186</stp>
        <tr r="S17" s="23"/>
      </tp>
      <tp t="e">
        <v>#N/A</v>
        <stp/>
        <stp>BDH|5640702914207696671</stp>
        <tr r="W98" s="18"/>
      </tp>
      <tp t="e">
        <v>#N/A</v>
        <stp/>
        <stp>BDH|4163126434054266069</stp>
        <tr r="H28" s="6"/>
      </tp>
      <tp t="e">
        <v>#N/A</v>
        <stp/>
        <stp>BDH|3355672744710171328</stp>
        <tr r="O12" s="14"/>
      </tp>
      <tp t="e">
        <v>#N/A</v>
        <stp/>
        <stp>BDH|3285114551675956081</stp>
        <tr r="E11" s="17"/>
      </tp>
      <tp t="e">
        <v>#N/A</v>
        <stp/>
        <stp>BDH|4016024345446793436</stp>
        <tr r="G68" s="10"/>
        <tr r="G66" s="11"/>
      </tp>
      <tp t="e">
        <v>#N/A</v>
        <stp/>
        <stp>BDH|2281052097670455977</stp>
        <tr r="T45" s="18"/>
      </tp>
      <tp t="e">
        <v>#N/A</v>
        <stp/>
        <stp>BDH|2711741961188489957</stp>
        <tr r="O21" s="24"/>
      </tp>
      <tp t="e">
        <v>#N/A</v>
        <stp/>
        <stp>BDH|1057621010674315012</stp>
        <tr r="L17" s="10"/>
      </tp>
      <tp t="e">
        <v>#N/A</v>
        <stp/>
        <stp>BDH|7265925737716664913</stp>
        <tr r="Y12" s="18"/>
      </tp>
      <tp t="e">
        <v>#N/A</v>
        <stp/>
        <stp>BDH|8807200898405201425</stp>
        <tr r="U31" s="10"/>
        <tr r="U29" s="11"/>
      </tp>
      <tp t="e">
        <v>#N/A</v>
        <stp/>
        <stp>BDH|5212339433325120239</stp>
        <tr r="D13" s="29"/>
        <tr r="D22" s="29"/>
        <tr r="D33" s="29"/>
      </tp>
      <tp t="e">
        <v>#N/A</v>
        <stp/>
        <stp>BDH|1666678938856147082</stp>
        <tr r="T64" s="18"/>
      </tp>
      <tp t="e">
        <v>#N/A</v>
        <stp/>
        <stp>BDH|9611882748762174570</stp>
        <tr r="W31" s="22"/>
      </tp>
      <tp t="e">
        <v>#N/A</v>
        <stp/>
        <stp>BDH|5979327178564556763</stp>
        <tr r="P21" s="18"/>
      </tp>
      <tp t="e">
        <v>#N/A</v>
        <stp/>
        <stp>BDH|4659851276130301966</stp>
        <tr r="Y25" s="24"/>
      </tp>
      <tp t="e">
        <v>#N/A</v>
        <stp/>
        <stp>BDH|3015785836904709198</stp>
        <tr r="O10" s="10"/>
      </tp>
      <tp t="e">
        <v>#N/A</v>
        <stp/>
        <stp>BDH|6726140042528313923</stp>
        <tr r="Q49" s="18"/>
      </tp>
      <tp t="e">
        <v>#N/A</v>
        <stp/>
        <stp>BDH|2964798650201193310</stp>
        <tr r="J25" s="2"/>
        <tr r="L61" s="21"/>
      </tp>
      <tp t="e">
        <v>#N/A</v>
        <stp/>
        <stp>BDH|2248147772224148251</stp>
        <tr r="D77" s="18"/>
      </tp>
      <tp t="e">
        <v>#N/A</v>
        <stp/>
        <stp>BDH|9926687244240217972</stp>
        <tr r="N64" s="17"/>
        <tr r="N18" s="3"/>
      </tp>
      <tp t="e">
        <v>#N/A</v>
        <stp/>
        <stp>BDH|2420065214074536533</stp>
        <tr r="S61" s="12"/>
      </tp>
      <tp t="e">
        <v>#N/A</v>
        <stp/>
        <stp>BDH|6581789677896970239</stp>
        <tr r="N21" s="18"/>
      </tp>
      <tp t="e">
        <v>#N/A</v>
        <stp/>
        <stp>BDH|2274865213020346940</stp>
        <tr r="D29" s="34"/>
      </tp>
      <tp t="e">
        <v>#N/A</v>
        <stp/>
        <stp>BDH|6033863075382352900</stp>
        <tr r="C23" s="22"/>
      </tp>
      <tp t="e">
        <v>#N/A</v>
        <stp/>
        <stp>BDH|5193009665859106851</stp>
        <tr r="N8" s="12"/>
      </tp>
      <tp t="e">
        <v>#N/A</v>
        <stp/>
        <stp>BDH|9658871466704222158</stp>
        <tr r="W28" s="12"/>
      </tp>
      <tp t="e">
        <v>#N/A</v>
        <stp/>
        <stp>BDH|8653196829949238041</stp>
        <tr r="Y85" s="18"/>
      </tp>
      <tp t="e">
        <v>#N/A</v>
        <stp/>
        <stp>BDH|2457476850826707743</stp>
        <tr r="L53" s="18"/>
      </tp>
      <tp t="e">
        <v>#N/A</v>
        <stp/>
        <stp>BDH|4512792546185984032</stp>
        <tr r="C25" s="4"/>
        <tr r="C61" s="10"/>
      </tp>
      <tp t="e">
        <v>#N/A</v>
        <stp/>
        <stp>BDH|2009470512506796327</stp>
        <tr r="D18" s="2"/>
        <tr r="D53" s="4"/>
        <tr r="D42" s="10"/>
        <tr r="D40" s="11"/>
        <tr r="F34" s="13"/>
      </tp>
      <tp t="e">
        <v>#N/A</v>
        <stp/>
        <stp>BDH|1903725329315445368</stp>
        <tr r="W43" s="21"/>
      </tp>
      <tp t="e">
        <v>#N/A</v>
        <stp/>
        <stp>BDH|9866169468528113471</stp>
        <tr r="R78" s="18"/>
      </tp>
      <tp t="e">
        <v>#N/A</v>
        <stp/>
        <stp>BDH|3215239634026327667</stp>
        <tr r="O31" s="17"/>
      </tp>
      <tp t="e">
        <v>#N/A</v>
        <stp/>
        <stp>BDH|2457440944959326973</stp>
        <tr r="Q39" s="10"/>
        <tr r="Q37" s="11"/>
      </tp>
      <tp t="e">
        <v>#N/A</v>
        <stp/>
        <stp>BDH|1651662474814209663</stp>
        <tr r="W45" s="24"/>
      </tp>
      <tp t="e">
        <v>#N/A</v>
        <stp/>
        <stp>BDH|9181992962663849727</stp>
        <tr r="J17" s="9"/>
      </tp>
      <tp t="e">
        <v>#N/A</v>
        <stp/>
        <stp>BDH|4091467485872693850</stp>
        <tr r="S21" s="26"/>
      </tp>
      <tp t="e">
        <v>#N/A</v>
        <stp/>
        <stp>BDH|3552663555621389357</stp>
        <tr r="R23" s="21"/>
      </tp>
      <tp t="e">
        <v>#N/A</v>
        <stp/>
        <stp>BDH|1487741925843392567</stp>
        <tr r="P21" s="21"/>
      </tp>
      <tp t="e">
        <v>#N/A</v>
        <stp/>
        <stp>BDH|2532601380466253862</stp>
        <tr r="T20" s="12"/>
      </tp>
      <tp t="e">
        <v>#N/A</v>
        <stp/>
        <stp>BDH|3681729472165497438</stp>
        <tr r="V31" s="25"/>
      </tp>
      <tp t="e">
        <v>#N/A</v>
        <stp/>
        <stp>BDH|9822505106018642693</stp>
        <tr r="R10" s="6"/>
      </tp>
      <tp t="e">
        <v>#N/A</v>
        <stp/>
        <stp>BDH|9385843872593368778</stp>
        <tr r="U19" s="20"/>
      </tp>
      <tp t="e">
        <v>#N/A</v>
        <stp/>
        <stp>BDH|3269236494493749930</stp>
        <tr r="G8" s="12"/>
      </tp>
      <tp t="e">
        <v>#N/A</v>
        <stp/>
        <stp>BDH|8105047922408326051</stp>
        <tr r="H30" s="34"/>
      </tp>
      <tp t="e">
        <v>#N/A</v>
        <stp/>
        <stp>BDH|8734493388545734304</stp>
        <tr r="L14" s="14"/>
      </tp>
      <tp t="e">
        <v>#N/A</v>
        <stp/>
        <stp>BDH|1701743712151391439</stp>
        <tr r="J15" s="9"/>
      </tp>
      <tp t="e">
        <v>#N/A</v>
        <stp/>
        <stp>BDH|3100328000517093526</stp>
        <tr r="AA39" s="17"/>
      </tp>
      <tp t="e">
        <v>#N/A</v>
        <stp/>
        <stp>BDH|1651531872350271142</stp>
        <tr r="S16" s="25"/>
        <tr r="Q22" s="11"/>
      </tp>
      <tp t="e">
        <v>#N/A</v>
        <stp/>
        <stp>BDH|2449844567179024761</stp>
        <tr r="O14" s="29"/>
        <tr r="O23" s="29"/>
        <tr r="O34" s="29"/>
      </tp>
      <tp t="e">
        <v>#N/A</v>
        <stp/>
        <stp>BDH|9791240997431001159</stp>
        <tr r="Q13" s="13"/>
      </tp>
      <tp t="e">
        <v>#N/A</v>
        <stp/>
        <stp>BDH|6522432712502211373</stp>
        <tr r="T8" s="12"/>
      </tp>
      <tp t="e">
        <v>#N/A</v>
        <stp/>
        <stp>BDH|3250230503471617257</stp>
        <tr r="D66" s="10"/>
        <tr r="D64" s="11"/>
        <tr r="D20" s="7"/>
      </tp>
      <tp t="e">
        <v>#N/A</v>
        <stp/>
        <stp>BDH|9760929422030792011</stp>
        <tr r="L43" s="4"/>
      </tp>
      <tp t="e">
        <v>#N/A</v>
        <stp/>
        <stp>BDH|3352076605150347131</stp>
        <tr r="I104" s="18"/>
      </tp>
      <tp t="e">
        <v>#N/A</v>
        <stp/>
        <stp>BDH|6749243497229460614</stp>
        <tr r="L13" s="14"/>
      </tp>
      <tp t="e">
        <v>#N/A</v>
        <stp/>
        <stp>BDH|1604722942961448139</stp>
        <tr r="O49" s="12"/>
      </tp>
      <tp t="e">
        <v>#N/A</v>
        <stp/>
        <stp>BDH|6415516782198265146</stp>
        <tr r="C11" s="3"/>
      </tp>
      <tp t="e">
        <v>#N/A</v>
        <stp/>
        <stp>BDH|4088403493749636246</stp>
        <tr r="Y17" s="18"/>
      </tp>
      <tp t="e">
        <v>#N/A</v>
        <stp/>
        <stp>BDH|8088403845589466301</stp>
        <tr r="Q94" s="18"/>
      </tp>
      <tp t="e">
        <v>#N/A</v>
        <stp/>
        <stp>BDH|9753418996536037012</stp>
        <tr r="R11" s="12"/>
      </tp>
      <tp t="e">
        <v>#N/A</v>
        <stp/>
        <stp>BDH|6923613591679084287</stp>
        <tr r="H16" s="24"/>
      </tp>
      <tp t="e">
        <v>#N/A</v>
        <stp/>
        <stp>BDH|2481125294148408074</stp>
        <tr r="Q8" s="24"/>
      </tp>
      <tp t="e">
        <v>#N/A</v>
        <stp/>
        <stp>BDH|2296534851557452756</stp>
        <tr r="H16" s="14"/>
      </tp>
      <tp t="e">
        <v>#N/A</v>
        <stp/>
        <stp>BDH|8086363096412713264</stp>
        <tr r="X56" s="12"/>
      </tp>
      <tp t="e">
        <v>#N/A</v>
        <stp/>
        <stp>BDH|2578358954314675231</stp>
        <tr r="Y63" s="12"/>
      </tp>
      <tp t="e">
        <v>#N/A</v>
        <stp/>
        <stp>BDH|1574232183808023145</stp>
        <tr r="S18" s="2"/>
        <tr r="S53" s="4"/>
        <tr r="S42" s="10"/>
        <tr r="S40" s="11"/>
        <tr r="U34" s="13"/>
      </tp>
      <tp t="e">
        <v>#N/A</v>
        <stp/>
        <stp>BDH|5288767011597365671</stp>
        <tr r="AA25" s="24"/>
      </tp>
      <tp t="e">
        <v>#N/A</v>
        <stp/>
        <stp>BDH|4653053337956433311</stp>
        <tr r="E79" s="18"/>
      </tp>
      <tp t="e">
        <v>#N/A</v>
        <stp/>
        <stp>BDH|1196219212125257519</stp>
        <tr r="X7" s="30"/>
      </tp>
      <tp t="e">
        <v>#N/A</v>
        <stp/>
        <stp>BDH|8111464445433057939</stp>
        <tr r="T22" s="10"/>
      </tp>
      <tp t="e">
        <v>#N/A</v>
        <stp/>
        <stp>BDH|7170434526924568701</stp>
        <tr r="I63" s="21"/>
        <tr r="G23" s="7"/>
      </tp>
      <tp t="e">
        <v>#N/A</v>
        <stp/>
        <stp>BDH|7899334104816781090</stp>
        <tr r="Q10" s="17"/>
      </tp>
      <tp t="e">
        <v>#N/A</v>
        <stp/>
        <stp>BDH|5151912709529963718</stp>
        <tr r="R15" s="13"/>
      </tp>
      <tp t="e">
        <v>#N/A</v>
        <stp/>
        <stp>BDH|7776421576831358714</stp>
        <tr r="X54" s="12"/>
      </tp>
      <tp t="e">
        <v>#N/A</v>
        <stp/>
        <stp>BDH|7786291718771354745</stp>
        <tr r="G10" s="30"/>
      </tp>
      <tp t="e">
        <v>#N/A</v>
        <stp/>
        <stp>BDH|7832109107943961704</stp>
        <tr r="Z11" s="18"/>
      </tp>
      <tp t="e">
        <v>#N/A</v>
        <stp/>
        <stp>BDH|3673564657475422454</stp>
        <tr r="K10" s="30"/>
      </tp>
      <tp t="e">
        <v>#N/A</v>
        <stp/>
        <stp>BDH|1093948050798008727</stp>
        <tr r="T99" s="18"/>
      </tp>
      <tp t="e">
        <v>#N/A</v>
        <stp/>
        <stp>BDH|9011524208818858649</stp>
        <tr r="F12" s="7"/>
      </tp>
      <tp t="e">
        <v>#N/A</v>
        <stp/>
        <stp>BDH|6545110681008337507</stp>
        <tr r="K84" s="17"/>
      </tp>
      <tp t="e">
        <v>#N/A</v>
        <stp/>
        <stp>BDH|3176710473647563607</stp>
        <tr r="N49" s="24"/>
      </tp>
      <tp t="e">
        <v>#N/A</v>
        <stp/>
        <stp>BDH|4171033024041874580</stp>
        <tr r="H23" s="17"/>
      </tp>
      <tp t="e">
        <v>#N/A</v>
        <stp/>
        <stp>BDH|5457565503955194763</stp>
        <tr r="J56" s="18"/>
      </tp>
      <tp t="e">
        <v>#N/A</v>
        <stp/>
        <stp>BDH|3695643451853669137</stp>
        <tr r="R25" s="26"/>
      </tp>
      <tp t="e">
        <v>#N/A</v>
        <stp/>
        <stp>BDH|7109608335589762959</stp>
        <tr r="H26" s="21"/>
      </tp>
      <tp t="e">
        <v>#N/A</v>
        <stp/>
        <stp>BDH|2533462472321518221</stp>
        <tr r="AA14" s="20"/>
      </tp>
      <tp t="e">
        <v>#N/A</v>
        <stp/>
        <stp>BDH|6815089824457197130</stp>
        <tr r="G27" s="26"/>
      </tp>
      <tp t="e">
        <v>#N/A</v>
        <stp/>
        <stp>BDH|5649647205406841796</stp>
        <tr r="R63" s="18"/>
      </tp>
      <tp t="e">
        <v>#N/A</v>
        <stp/>
        <stp>BDH|7863570978091445656</stp>
        <tr r="E30" s="29"/>
        <tr r="E8" s="29"/>
      </tp>
      <tp t="e">
        <v>#N/A</v>
        <stp/>
        <stp>BDH|3334771823967282337</stp>
        <tr r="L48" s="12"/>
      </tp>
      <tp t="e">
        <v>#N/A</v>
        <stp/>
        <stp>BDH|6334160647546718730</stp>
        <tr r="H21" s="21"/>
      </tp>
      <tp t="e">
        <v>#N/A</v>
        <stp/>
        <stp>BDH|6588548217082875281</stp>
        <tr r="S18" s="22"/>
      </tp>
      <tp t="e">
        <v>#N/A</v>
        <stp/>
        <stp>BDH|2484653764400536065</stp>
        <tr r="X15" s="4"/>
      </tp>
      <tp t="e">
        <v>#N/A</v>
        <stp/>
        <stp>BDH|7119477719811048193</stp>
        <tr r="L20" s="26"/>
      </tp>
      <tp t="e">
        <v>#N/A</v>
        <stp/>
        <stp>BDH|8745589461311873800</stp>
        <tr r="C33" s="22"/>
      </tp>
      <tp t="e">
        <v>#N/A</v>
        <stp/>
        <stp>BDH|1477612980979066433</stp>
        <tr r="P33" s="21"/>
      </tp>
      <tp t="e">
        <v>#N/A</v>
        <stp/>
        <stp>BDH|6731869825119152737</stp>
        <tr r="D23" s="9"/>
      </tp>
      <tp t="e">
        <v>#N/A</v>
        <stp/>
        <stp>BDH|4006265047723132369</stp>
        <tr r="O52" s="4"/>
        <tr r="Q8" s="3"/>
        <tr r="O40" s="10"/>
        <tr r="O38" s="11"/>
        <tr r="Q30" s="13"/>
      </tp>
      <tp t="e">
        <v>#N/A</v>
        <stp/>
        <stp>BDH|4480035170421659074</stp>
        <tr r="M16" s="21"/>
      </tp>
      <tp t="e">
        <v>#N/A</v>
        <stp/>
        <stp>BDH|5772606616164726409</stp>
        <tr r="R64" s="12"/>
      </tp>
      <tp t="e">
        <v>#N/A</v>
        <stp/>
        <stp>BDH|7297661663500251533</stp>
        <tr r="F55" s="12"/>
      </tp>
      <tp t="e">
        <v>#N/A</v>
        <stp/>
        <stp>BDH|8268161449618991723</stp>
        <tr r="J41" s="17"/>
      </tp>
      <tp t="e">
        <v>#N/A</v>
        <stp/>
        <stp>BDH|5257438006686101500</stp>
        <tr r="T35" s="12"/>
      </tp>
      <tp t="e">
        <v>#N/A</v>
        <stp/>
        <stp>BDH|1503302940847751344</stp>
        <tr r="L93" s="18"/>
      </tp>
      <tp t="e">
        <v>#N/A</v>
        <stp/>
        <stp>BDH|5972793222422528019</stp>
        <tr r="O57" s="24"/>
      </tp>
      <tp t="e">
        <v>#N/A</v>
        <stp/>
        <stp>BDH|2171749958560811230</stp>
        <tr r="X8" s="10"/>
      </tp>
      <tp t="e">
        <v>#N/A</v>
        <stp/>
        <stp>BDH|3157986827739809309</stp>
        <tr r="Z14" s="29"/>
        <tr r="Z23" s="29"/>
        <tr r="Z34" s="29"/>
      </tp>
      <tp t="e">
        <v>#N/A</v>
        <stp/>
        <stp>BDH|1754842096550182227</stp>
        <tr r="E59" s="12"/>
      </tp>
      <tp t="e">
        <v>#N/A</v>
        <stp/>
        <stp>BDH|2992614379230277154</stp>
        <tr r="R66" s="12"/>
      </tp>
      <tp t="e">
        <v>#N/A</v>
        <stp/>
        <stp>BDH|3343765753090992397</stp>
        <tr r="R102" s="18"/>
      </tp>
      <tp t="e">
        <v>#N/A</v>
        <stp/>
        <stp>BDH|9814996513026594510</stp>
        <tr r="E50" s="4"/>
      </tp>
      <tp t="e">
        <v>#N/A</v>
        <stp/>
        <stp>BDH|1525099629020160123</stp>
        <tr r="Q99" s="18"/>
      </tp>
      <tp t="e">
        <v>#N/A</v>
        <stp/>
        <stp>BDH|4000029407536115023</stp>
        <tr r="X17" s="11"/>
      </tp>
      <tp t="e">
        <v>#N/A</v>
        <stp/>
        <stp>BDH|7389380863852887266</stp>
        <tr r="C45" s="21"/>
      </tp>
      <tp t="e">
        <v>#N/A</v>
        <stp/>
        <stp>BDH|7634537961932542477</stp>
        <tr r="R8" s="8"/>
      </tp>
      <tp t="e">
        <v>#N/A</v>
        <stp/>
        <stp>BDH|3480876897182088229</stp>
        <tr r="S60" s="10"/>
      </tp>
      <tp t="e">
        <v>#N/A</v>
        <stp/>
        <stp>BDH|9776999060503934709</stp>
        <tr r="Z49" s="17"/>
        <tr r="Z17" s="3"/>
      </tp>
      <tp t="e">
        <v>#N/A</v>
        <stp/>
        <stp>BDH|6796326742983570050</stp>
        <tr r="R10" s="13"/>
      </tp>
      <tp t="e">
        <v>#N/A</v>
        <stp/>
        <stp>BDH|4402668705499196915</stp>
        <tr r="F54" s="17"/>
      </tp>
      <tp t="e">
        <v>#N/A</v>
        <stp/>
        <stp>BDH|6356720007083005015</stp>
        <tr r="T14" s="10"/>
      </tp>
      <tp t="e">
        <v>#N/A</v>
        <stp/>
        <stp>BDH|6455247035346557377</stp>
        <tr r="V28" s="25"/>
      </tp>
      <tp t="e">
        <v>#N/A</v>
        <stp/>
        <stp>BDH|4621658654386737379</stp>
        <tr r="T18" s="22"/>
      </tp>
      <tp t="e">
        <v>#N/A</v>
        <stp/>
        <stp>BDH|8233045305713348976</stp>
        <tr r="F10" s="17"/>
      </tp>
      <tp t="e">
        <v>#N/A</v>
        <stp/>
        <stp>BDH|8226940988033067897</stp>
        <tr r="I8" s="34"/>
      </tp>
      <tp t="e">
        <v>#N/A</v>
        <stp/>
        <stp>BDH|6156154341359467866</stp>
        <tr r="S14" s="30"/>
      </tp>
      <tp t="e">
        <v>#N/A</v>
        <stp/>
        <stp>BDH|3121791018706160160</stp>
        <tr r="R36" s="4"/>
      </tp>
      <tp t="e">
        <v>#N/A</v>
        <stp/>
        <stp>BDH|5050120604271620777</stp>
        <tr r="R75" s="17"/>
      </tp>
      <tp t="e">
        <v>#N/A</v>
        <stp/>
        <stp>BDH|8640988670866061290</stp>
        <tr r="E18" s="10"/>
      </tp>
      <tp t="e">
        <v>#N/A</v>
        <stp/>
        <stp>BDH|9911893601257015464</stp>
        <tr r="G68" s="17"/>
      </tp>
      <tp t="e">
        <v>#N/A</v>
        <stp/>
        <stp>BDH|2802796075837123728</stp>
        <tr r="I42" s="17"/>
      </tp>
      <tp t="e">
        <v>#N/A</v>
        <stp/>
        <stp>BDH|4094082155234376799</stp>
        <tr r="G51" s="17"/>
      </tp>
      <tp t="e">
        <v>#N/A</v>
        <stp/>
        <stp>BDH|5830189973966013745</stp>
        <tr r="U39" s="24"/>
      </tp>
      <tp t="e">
        <v>#N/A</v>
        <stp/>
        <stp>BDH|5761106633695713040</stp>
        <tr r="Z72" s="17"/>
      </tp>
      <tp t="e">
        <v>#N/A</v>
        <stp/>
        <stp>BDH|2751836914358766101</stp>
        <tr r="Y10" s="21"/>
      </tp>
      <tp t="e">
        <v>#N/A</v>
        <stp/>
        <stp>BDH|1600103458613045497</stp>
        <tr r="O23" s="2"/>
        <tr r="Q18" s="21"/>
        <tr r="Q23" s="3"/>
      </tp>
      <tp t="e">
        <v>#N/A</v>
        <stp/>
        <stp>BDH|4372773107708433906</stp>
        <tr r="Q30" s="10"/>
        <tr r="Q28" s="11"/>
      </tp>
      <tp t="e">
        <v>#N/A</v>
        <stp/>
        <stp>BDH|2227355089142071997</stp>
        <tr r="X23" s="24"/>
      </tp>
      <tp t="e">
        <v>#N/A</v>
        <stp/>
        <stp>BDH|3436379938312580397</stp>
        <tr r="O16" s="6"/>
      </tp>
      <tp t="e">
        <v>#N/A</v>
        <stp/>
        <stp>BDH|3341642772902233204</stp>
        <tr r="P54" s="18"/>
      </tp>
      <tp t="e">
        <v>#N/A</v>
        <stp/>
        <stp>BDH|6486331151055287739</stp>
        <tr r="N22" s="18"/>
      </tp>
      <tp t="e">
        <v>#N/A</v>
        <stp/>
        <stp>BDH|8254236290404075568</stp>
        <tr r="I18" s="30"/>
      </tp>
      <tp t="e">
        <v>#N/A</v>
        <stp/>
        <stp>BDH|7114641090993448967</stp>
        <tr r="G9" s="3"/>
        <tr r="E47" s="10"/>
        <tr r="E45" s="11"/>
        <tr r="E14" s="7"/>
      </tp>
      <tp t="e">
        <v>#N/A</v>
        <stp/>
        <stp>BDH|4332800150919104256</stp>
        <tr r="M68" s="24"/>
      </tp>
      <tp t="e">
        <v>#N/A</v>
        <stp/>
        <stp>BDH|5621524324542267259</stp>
        <tr r="C27" s="26"/>
      </tp>
      <tp t="e">
        <v>#N/A</v>
        <stp/>
        <stp>BDH|4437959823639701420</stp>
        <tr r="Z111" s="18"/>
      </tp>
      <tp t="e">
        <v>#N/A</v>
        <stp/>
        <stp>BDH|4473698015122664397</stp>
        <tr r="M25" s="25"/>
        <tr r="M18" s="27"/>
      </tp>
      <tp t="e">
        <v>#N/A</v>
        <stp/>
        <stp>BDH|8579846629999727985</stp>
        <tr r="M108" s="18"/>
      </tp>
      <tp t="e">
        <v>#N/A</v>
        <stp/>
        <stp>BDH|4218597139326589602</stp>
        <tr r="D12" s="14"/>
      </tp>
      <tp t="e">
        <v>#N/A</v>
        <stp/>
        <stp>BDH|4169214550281290057</stp>
        <tr r="G61" s="12"/>
      </tp>
      <tp t="e">
        <v>#N/A</v>
        <stp/>
        <stp>BDH|5613903592172484575</stp>
        <tr r="V20" s="17"/>
      </tp>
      <tp t="e">
        <v>#N/A</v>
        <stp/>
        <stp>BDH|5603756203459582924</stp>
        <tr r="O101" s="18"/>
      </tp>
      <tp t="e">
        <v>#N/A</v>
        <stp/>
        <stp>BDH|1201969812079150202</stp>
        <tr r="L21" s="26"/>
      </tp>
      <tp t="e">
        <v>#N/A</v>
        <stp/>
        <stp>BDH|9831493448043560887</stp>
        <tr r="U30" s="29"/>
        <tr r="U8" s="29"/>
      </tp>
      <tp t="e">
        <v>#N/A</v>
        <stp/>
        <stp>BDH|1102811142986515938</stp>
        <tr r="V54" s="12"/>
      </tp>
      <tp t="e">
        <v>#N/A</v>
        <stp/>
        <stp>BDH|7037931506785751961</stp>
        <tr r="M27" s="26"/>
      </tp>
      <tp t="e">
        <v>#N/A</v>
        <stp/>
        <stp>BDH|6655639144161653738</stp>
        <tr r="I29" s="17"/>
      </tp>
      <tp t="e">
        <v>#N/A</v>
        <stp/>
        <stp>BDH|9015196646128248692</stp>
        <tr r="K7" s="17"/>
      </tp>
      <tp t="e">
        <v>#N/A</v>
        <stp/>
        <stp>BDH|5953628372003475599</stp>
        <tr r="Q57" s="18"/>
      </tp>
      <tp t="e">
        <v>#N/A</v>
        <stp/>
        <stp>BDH|2922213255201907600</stp>
        <tr r="P21" s="24"/>
      </tp>
      <tp t="e">
        <v>#N/A</v>
        <stp/>
        <stp>BDH|6263346051410039234</stp>
        <tr r="Y32" s="12"/>
      </tp>
      <tp t="e">
        <v>#N/A</v>
        <stp/>
        <stp>BDH|6468332156762604030</stp>
        <tr r="G90" s="17"/>
        <tr r="G13" s="28"/>
      </tp>
      <tp t="e">
        <v>#N/A</v>
        <stp/>
        <stp>BDH|4851306223256612192</stp>
        <tr r="P20" s="2"/>
        <tr r="P18" s="4"/>
        <tr r="P54" s="10"/>
        <tr r="P52" s="11"/>
        <tr r="P19" s="7"/>
        <tr r="R41" s="13"/>
      </tp>
      <tp t="e">
        <v>#N/A</v>
        <stp/>
        <stp>BDH|3087218632367238752</stp>
        <tr r="G14" s="6"/>
      </tp>
      <tp t="e">
        <v>#N/A</v>
        <stp/>
        <stp>BDH|7200223337243540760</stp>
        <tr r="H36" s="21"/>
      </tp>
      <tp t="e">
        <v>#N/A</v>
        <stp/>
        <stp>BDH|9152990868121336572</stp>
        <tr r="L10" s="30"/>
      </tp>
      <tp t="e">
        <v>#N/A</v>
        <stp/>
        <stp>BDH|8592504719186812808</stp>
        <tr r="V17" s="18"/>
      </tp>
      <tp t="e">
        <v>#N/A</v>
        <stp/>
        <stp>BDH|5309632902689546834</stp>
        <tr r="L10" s="17"/>
      </tp>
      <tp t="e">
        <v>#N/A</v>
        <stp/>
        <stp>BDH|6849984317365424975</stp>
        <tr r="O16" s="25"/>
        <tr r="M22" s="11"/>
      </tp>
      <tp t="e">
        <v>#N/A</v>
        <stp/>
        <stp>BDH|3290358773136116316</stp>
        <tr r="I25" s="25"/>
        <tr r="I18" s="27"/>
      </tp>
      <tp t="e">
        <v>#N/A</v>
        <stp/>
        <stp>BDH|3401631130144268011</stp>
        <tr r="G119" s="18"/>
      </tp>
      <tp t="e">
        <v>#N/A</v>
        <stp/>
        <stp>BDH|8503561325274409964</stp>
        <tr r="S13" s="18"/>
      </tp>
      <tp t="e">
        <v>#N/A</v>
        <stp/>
        <stp>BDH|3316771171595019412</stp>
        <tr r="G20" s="26"/>
      </tp>
      <tp t="e">
        <v>#N/A</v>
        <stp/>
        <stp>BDH|2574836244334483822</stp>
        <tr r="R59" s="17"/>
      </tp>
      <tp t="e">
        <v>#N/A</v>
        <stp/>
        <stp>BDH|3670618212171174701</stp>
        <tr r="E21" s="18"/>
      </tp>
      <tp t="e">
        <v>#N/A</v>
        <stp/>
        <stp>BDH|4498795039152236026</stp>
        <tr r="N12" s="3"/>
        <tr r="L51" s="10"/>
        <tr r="L49" s="11"/>
        <tr r="L7" s="7"/>
      </tp>
      <tp t="e">
        <v>#N/A</v>
        <stp/>
        <stp>BDH|8407107392936112435</stp>
        <tr r="I7" s="23"/>
      </tp>
      <tp t="e">
        <v>#N/A</v>
        <stp/>
        <stp>BDH|3095033027511602265</stp>
        <tr r="V46" s="12"/>
      </tp>
      <tp t="e">
        <v>#N/A</v>
        <stp/>
        <stp>BDH|6606600492419264228</stp>
        <tr r="C38" s="13"/>
      </tp>
      <tp t="e">
        <v>#N/A</v>
        <stp/>
        <stp>BDH|1583070132520122055</stp>
        <tr r="E32" s="17"/>
      </tp>
      <tp t="e">
        <v>#N/A</v>
        <stp/>
        <stp>BDH|2954949288769118800</stp>
        <tr r="W20" s="27"/>
      </tp>
      <tp t="e">
        <v>#N/A</v>
        <stp/>
        <stp>BDH|9680142394437769455</stp>
        <tr r="M10" s="23"/>
      </tp>
      <tp t="e">
        <v>#N/A</v>
        <stp/>
        <stp>BDH|3745939098358019983</stp>
        <tr r="AA29" s="22"/>
      </tp>
      <tp t="e">
        <v>#N/A</v>
        <stp/>
        <stp>BDH|3788655129005879075</stp>
        <tr r="Q17" s="21"/>
      </tp>
      <tp t="e">
        <v>#N/A</v>
        <stp/>
        <stp>BDH|3753783269394288403</stp>
        <tr r="S35" s="12"/>
      </tp>
      <tp t="e">
        <v>#N/A</v>
        <stp/>
        <stp>BDH|6884430404558316882</stp>
        <tr r="D51" s="18"/>
      </tp>
      <tp t="e">
        <v>#N/A</v>
        <stp/>
        <stp>BDH|4905471217703564091</stp>
        <tr r="C104" s="18"/>
      </tp>
      <tp t="e">
        <v>#N/A</v>
        <stp/>
        <stp>BDH|7321143045164472437</stp>
        <tr r="AA79" s="17"/>
        <tr r="AA20" s="3"/>
        <tr r="Y6" s="7"/>
      </tp>
      <tp t="e">
        <v>#N/A</v>
        <stp/>
        <stp>BDH|9009812122028055967</stp>
        <tr r="T69" s="17"/>
      </tp>
      <tp t="e">
        <v>#N/A</v>
        <stp/>
        <stp>BDH|2596400819023005699</stp>
        <tr r="C34" s="18"/>
      </tp>
      <tp t="e">
        <v>#N/A</v>
        <stp/>
        <stp>BDH|1044642737541605700</stp>
        <tr r="F26" s="7"/>
      </tp>
      <tp t="e">
        <v>#N/A</v>
        <stp/>
        <stp>BDH|4712944512597719933</stp>
        <tr r="F9" s="13"/>
      </tp>
      <tp t="e">
        <v>#N/A</v>
        <stp/>
        <stp>BDH|2182558403397663247</stp>
        <tr r="O20" s="20"/>
      </tp>
      <tp t="e">
        <v>#N/A</v>
        <stp/>
        <stp>BDH|1340462933172761643</stp>
        <tr r="E18" s="34"/>
      </tp>
      <tp t="e">
        <v>#N/A</v>
        <stp/>
        <stp>BDH|6035469714884240554</stp>
        <tr r="Y37" s="22"/>
      </tp>
      <tp t="e">
        <v>#N/A</v>
        <stp/>
        <stp>BDH|2302773931393447741</stp>
        <tr r="F36" s="21"/>
      </tp>
      <tp t="e">
        <v>#N/A</v>
        <stp/>
        <stp>BDH|7811755239498154900</stp>
        <tr r="X37" s="10"/>
        <tr r="X35" s="11"/>
      </tp>
      <tp t="e">
        <v>#N/A</v>
        <stp/>
        <stp>BDH|2216411820502544434</stp>
        <tr r="D26" s="10"/>
      </tp>
      <tp t="e">
        <v>#N/A</v>
        <stp/>
        <stp>BDH|3622958587194794467</stp>
        <tr r="T27" s="5"/>
        <tr r="T28" s="9"/>
      </tp>
      <tp t="e">
        <v>#N/A</v>
        <stp/>
        <stp>BDH|5735417903602270121</stp>
        <tr r="W8" s="27"/>
      </tp>
      <tp t="e">
        <v>#N/A</v>
        <stp/>
        <stp>BDH|7691168822353620514</stp>
        <tr r="T20" s="27"/>
      </tp>
      <tp t="e">
        <v>#N/A</v>
        <stp/>
        <stp>BDH|8540383691332926201</stp>
        <tr r="W124" s="18"/>
      </tp>
      <tp t="e">
        <v>#N/A</v>
        <stp/>
        <stp>BDH|1134034462912404718</stp>
        <tr r="E65" s="18"/>
      </tp>
      <tp t="e">
        <v>#N/A</v>
        <stp/>
        <stp>BDH|6711397543594076782</stp>
        <tr r="P9" s="10"/>
      </tp>
      <tp t="e">
        <v>#N/A</v>
        <stp/>
        <stp>BDH|4422700872950710643</stp>
        <tr r="M9" s="26"/>
      </tp>
      <tp t="e">
        <v>#N/A</v>
        <stp/>
        <stp>BDH|7212763851535973299</stp>
        <tr r="T58" s="12"/>
      </tp>
      <tp t="e">
        <v>#N/A</v>
        <stp/>
        <stp>BDH|5351505514245282602</stp>
        <tr r="H22" s="17"/>
      </tp>
      <tp t="e">
        <v>#N/A</v>
        <stp/>
        <stp>BDH|2032662948335226798</stp>
        <tr r="V92" s="18"/>
      </tp>
      <tp t="e">
        <v>#N/A</v>
        <stp/>
        <stp>BDH|8016460396801503602</stp>
        <tr r="U50" s="21"/>
      </tp>
      <tp t="e">
        <v>#N/A</v>
        <stp/>
        <stp>BDH|2662403045698584830</stp>
        <tr r="X64" s="18"/>
      </tp>
      <tp t="e">
        <v>#N/A</v>
        <stp/>
        <stp>BDH|6235568256020176461</stp>
        <tr r="K13" s="21"/>
      </tp>
      <tp t="e">
        <v>#N/A</v>
        <stp/>
        <stp>BDH|9440228811339145136</stp>
        <tr r="U45" s="4"/>
        <tr r="U27" s="10"/>
        <tr r="U25" s="11"/>
        <tr r="W26" s="13"/>
      </tp>
      <tp t="e">
        <v>#N/A</v>
        <stp/>
        <stp>BDH|9342311383866052644</stp>
        <tr r="S115" s="18"/>
      </tp>
      <tp t="e">
        <v>#N/A</v>
        <stp/>
        <stp>BDH|9949626829897034875</stp>
        <tr r="O46" s="34"/>
      </tp>
      <tp t="e">
        <v>#N/A</v>
        <stp/>
        <stp>BDH|3684565162556127465</stp>
        <tr r="U7" s="28"/>
      </tp>
      <tp t="e">
        <v>#N/A</v>
        <stp/>
        <stp>BDH|6795522934584224663</stp>
        <tr r="F49" s="24"/>
      </tp>
      <tp t="e">
        <v>#N/A</v>
        <stp/>
        <stp>BDH|1528674049848808960</stp>
        <tr r="C40" s="13"/>
      </tp>
      <tp t="e">
        <v>#N/A</v>
        <stp/>
        <stp>BDH|8104239755539235401</stp>
        <tr r="M32" s="21"/>
      </tp>
      <tp t="e">
        <v>#N/A</v>
        <stp/>
        <stp>BDH|7321674827819255845</stp>
        <tr r="L45" s="4"/>
        <tr r="L27" s="10"/>
        <tr r="L25" s="11"/>
        <tr r="N26" s="13"/>
      </tp>
      <tp t="e">
        <v>#N/A</v>
        <stp/>
        <stp>BDH|57677480566103744</stp>
        <tr r="X15" s="29"/>
        <tr r="X35" s="29"/>
      </tp>
      <tp t="e">
        <v>#N/A</v>
        <stp/>
        <stp>BDH|41439878685838998</stp>
        <tr r="Z12" s="22"/>
      </tp>
      <tp t="e">
        <v>#N/A</v>
        <stp/>
        <stp>BDH|3016430269524062603</stp>
        <tr r="O18" s="20"/>
      </tp>
      <tp t="e">
        <v>#N/A</v>
        <stp/>
        <stp>BDH|3366577537280058697</stp>
        <tr r="V67" s="18"/>
      </tp>
      <tp t="e">
        <v>#N/A</v>
        <stp/>
        <stp>BDH|3710785552954443638</stp>
        <tr r="W90" s="17"/>
        <tr r="W13" s="28"/>
      </tp>
      <tp t="e">
        <v>#N/A</v>
        <stp/>
        <stp>BDH|2635721506483036585</stp>
        <tr r="F28" s="12"/>
      </tp>
      <tp t="e">
        <v>#N/A</v>
        <stp/>
        <stp>BDH|9091472934345902808</stp>
        <tr r="L28" s="10"/>
        <tr r="L26" s="11"/>
      </tp>
      <tp t="e">
        <v>#N/A</v>
        <stp/>
        <stp>BDH|4481240097818445497</stp>
        <tr r="R32" s="18"/>
      </tp>
      <tp t="e">
        <v>#N/A</v>
        <stp/>
        <stp>BDH|7265597867644104374</stp>
        <tr r="G26" s="6"/>
      </tp>
      <tp t="e">
        <v>#N/A</v>
        <stp/>
        <stp>BDH|1984365155981059503</stp>
        <tr r="K104" s="18"/>
      </tp>
      <tp t="e">
        <v>#N/A</v>
        <stp/>
        <stp>BDH|1815642397788100506</stp>
        <tr r="T14" s="12"/>
      </tp>
      <tp t="e">
        <v>#N/A</v>
        <stp/>
        <stp>BDH|3056079650467982245</stp>
        <tr r="T20" s="26"/>
      </tp>
      <tp t="e">
        <v>#N/A</v>
        <stp/>
        <stp>BDH|8867612154409601115</stp>
        <tr r="I10" s="24"/>
      </tp>
      <tp t="e">
        <v>#N/A</v>
        <stp/>
        <stp>BDH|3051305063595197089</stp>
        <tr r="U23" s="22"/>
      </tp>
      <tp t="e">
        <v>#N/A</v>
        <stp/>
        <stp>BDH|3360987528489806210</stp>
        <tr r="AA42" s="24"/>
      </tp>
      <tp t="e">
        <v>#N/A</v>
        <stp/>
        <stp>BDH|8145972725770929007</stp>
        <tr r="F24" s="12"/>
      </tp>
      <tp t="e">
        <v>#N/A</v>
        <stp/>
        <stp>BDH|3860374181238326375</stp>
        <tr r="Y14" s="14"/>
      </tp>
      <tp t="e">
        <v>#N/A</v>
        <stp/>
        <stp>BDH|6838158410133258659</stp>
        <tr r="Y62" s="12"/>
      </tp>
      <tp t="e">
        <v>#N/A</v>
        <stp/>
        <stp>BDH|8474315818268009176</stp>
        <tr r="Z39" s="17"/>
      </tp>
      <tp t="e">
        <v>#N/A</v>
        <stp/>
        <stp>BDH|5029860668109636126</stp>
        <tr r="R23" s="10"/>
      </tp>
      <tp t="e">
        <v>#N/A</v>
        <stp/>
        <stp>BDH|1137359298210161877</stp>
        <tr r="Z19" s="17"/>
      </tp>
      <tp t="e">
        <v>#N/A</v>
        <stp/>
        <stp>BDH|6562392767818124807</stp>
        <tr r="M51" s="18"/>
      </tp>
      <tp t="e">
        <v>#N/A</v>
        <stp/>
        <stp>BDH|5358001377345781496</stp>
        <tr r="R45" s="4"/>
        <tr r="R27" s="10"/>
        <tr r="R25" s="11"/>
        <tr r="T26" s="13"/>
      </tp>
      <tp t="e">
        <v>#N/A</v>
        <stp/>
        <stp>BDH|4698401706310861324</stp>
        <tr r="C24" s="29"/>
      </tp>
      <tp t="e">
        <v>#N/A</v>
        <stp/>
        <stp>BDH|4478399961537094569</stp>
        <tr r="G13" s="18"/>
      </tp>
      <tp t="e">
        <v>#N/A</v>
        <stp/>
        <stp>BDH|9133709621488359791</stp>
        <tr r="T71" s="17"/>
      </tp>
      <tp t="e">
        <v>#N/A</v>
        <stp/>
        <stp>BDH|1949457821346798203</stp>
        <tr r="O39" s="24"/>
      </tp>
      <tp t="e">
        <v>#N/A</v>
        <stp/>
        <stp>BDH|5684486334252102310</stp>
        <tr r="C14" s="2"/>
        <tr r="C11" s="10"/>
      </tp>
      <tp t="e">
        <v>#N/A</v>
        <stp/>
        <stp>BDH|3810924363116111929</stp>
        <tr r="U35" s="12"/>
      </tp>
      <tp t="e">
        <v>#N/A</v>
        <stp/>
        <stp>BDH|2889658567936925797</stp>
        <tr r="I39" s="24"/>
      </tp>
      <tp t="e">
        <v>#N/A</v>
        <stp/>
        <stp>BDH|1425474282368385682</stp>
        <tr r="E41" s="18"/>
      </tp>
      <tp t="e">
        <v>#N/A</v>
        <stp/>
        <stp>BDH|9859124100958009307</stp>
        <tr r="I47" s="12"/>
      </tp>
      <tp t="e">
        <v>#N/A</v>
        <stp/>
        <stp>BDH|1897020065426735221</stp>
        <tr r="I17" s="9"/>
      </tp>
      <tp t="e">
        <v>#N/A</v>
        <stp/>
        <stp>BDH|4451268258180304033</stp>
        <tr r="X55" s="18"/>
      </tp>
      <tp t="e">
        <v>#N/A</v>
        <stp/>
        <stp>BDH|6212676287708165398</stp>
        <tr r="Y43" s="24"/>
      </tp>
      <tp t="e">
        <v>#N/A</v>
        <stp/>
        <stp>BDH|2499437848962044342</stp>
        <tr r="C25" s="22"/>
      </tp>
      <tp t="e">
        <v>#N/A</v>
        <stp/>
        <stp>BDH|1096225837661735298</stp>
        <tr r="D12" s="11"/>
      </tp>
      <tp t="e">
        <v>#N/A</v>
        <stp/>
        <stp>BDH|3562274868153927780</stp>
        <tr r="Q12" s="30"/>
      </tp>
      <tp t="e">
        <v>#N/A</v>
        <stp/>
        <stp>BDH|1666124660257620292</stp>
        <tr r="Z129" s="18"/>
      </tp>
      <tp t="e">
        <v>#N/A</v>
        <stp/>
        <stp>BDH|8578224888037473604</stp>
        <tr r="C64" s="18"/>
      </tp>
      <tp t="e">
        <v>#N/A</v>
        <stp/>
        <stp>BDH|2501923869559401715</stp>
        <tr r="T14" s="6"/>
      </tp>
      <tp t="e">
        <v>#N/A</v>
        <stp/>
        <stp>BDH|9419134069734132942</stp>
        <tr r="X64" s="17"/>
        <tr r="X18" s="3"/>
      </tp>
      <tp t="e">
        <v>#N/A</v>
        <stp/>
        <stp>BDH|3452197339677930565</stp>
        <tr r="M18" s="25"/>
        <tr r="M10" s="27"/>
      </tp>
      <tp t="e">
        <v>#N/A</v>
        <stp/>
        <stp>BDH|2376675349302424121</stp>
        <tr r="J40" s="12"/>
      </tp>
      <tp t="e">
        <v>#N/A</v>
        <stp/>
        <stp>BDH|1501051978617267213</stp>
        <tr r="O81" s="18"/>
      </tp>
      <tp t="e">
        <v>#N/A</v>
        <stp/>
        <stp>BDH|4522566376344721190</stp>
        <tr r="O16" s="23"/>
      </tp>
      <tp t="e">
        <v>#N/A</v>
        <stp/>
        <stp>BDH|6791132718907254252</stp>
        <tr r="W69" s="10"/>
        <tr r="W67" s="11"/>
      </tp>
      <tp t="e">
        <v>#N/A</v>
        <stp/>
        <stp>BDH|7874705497528501213</stp>
        <tr r="H100" s="18"/>
      </tp>
      <tp t="e">
        <v>#N/A</v>
        <stp/>
        <stp>BDH|8636765634017712883</stp>
        <tr r="H43" s="12"/>
      </tp>
      <tp t="e">
        <v>#N/A</v>
        <stp/>
        <stp>BDH|1123158735964307494</stp>
        <tr r="V21" s="10"/>
      </tp>
      <tp t="e">
        <v>#N/A</v>
        <stp/>
        <stp>BDH|3811997058435410965</stp>
        <tr r="J78" s="18"/>
      </tp>
      <tp t="e">
        <v>#N/A</v>
        <stp/>
        <stp>BDH|7648489777123344411</stp>
        <tr r="S22" s="7"/>
      </tp>
      <tp t="e">
        <v>#N/A</v>
        <stp/>
        <stp>BDH|8609888337118251807</stp>
        <tr r="AA8" s="18"/>
      </tp>
      <tp t="e">
        <v>#N/A</v>
        <stp/>
        <stp>BDH|1079861689845501714</stp>
        <tr r="L28" s="26"/>
      </tp>
      <tp t="e">
        <v>#N/A</v>
        <stp/>
        <stp>BDH|2180347748523602507</stp>
        <tr r="V123" s="18"/>
      </tp>
      <tp t="e">
        <v>#N/A</v>
        <stp/>
        <stp>BDH|5790313459423564315</stp>
        <tr r="K70" s="18"/>
      </tp>
      <tp t="e">
        <v>#N/A</v>
        <stp/>
        <stp>BDH|2794295904206064517</stp>
        <tr r="V15" s="4"/>
      </tp>
      <tp t="e">
        <v>#N/A</v>
        <stp/>
        <stp>BDH|4265566204333991124</stp>
        <tr r="I21" s="18"/>
      </tp>
      <tp t="e">
        <v>#N/A</v>
        <stp/>
        <stp>BDH|3505604035457267298</stp>
        <tr r="M50" s="4"/>
      </tp>
      <tp t="e">
        <v>#N/A</v>
        <stp/>
        <stp>BDH|2842527972426085531</stp>
        <tr r="AA10" s="18"/>
      </tp>
      <tp t="e">
        <v>#N/A</v>
        <stp/>
        <stp>BDH|4352929096180957756</stp>
        <tr r="N13" s="20"/>
      </tp>
      <tp t="e">
        <v>#N/A</v>
        <stp/>
        <stp>BDH|4770386845704064421</stp>
        <tr r="Q34" s="10"/>
        <tr r="Q32" s="11"/>
        <tr r="S32" s="13"/>
      </tp>
      <tp t="e">
        <v>#N/A</v>
        <stp/>
        <stp>BDH|6794401945861291488</stp>
        <tr r="N52" s="12"/>
      </tp>
      <tp t="e">
        <v>#N/A</v>
        <stp/>
        <stp>BDH|6181170558657386656</stp>
        <tr r="I106" s="18"/>
      </tp>
      <tp t="e">
        <v>#N/A</v>
        <stp/>
        <stp>BDH|1621359221515362698</stp>
        <tr r="Q21" s="17"/>
        <tr r="Q15" s="3"/>
      </tp>
      <tp t="e">
        <v>#N/A</v>
        <stp/>
        <stp>BDH|9899264740385550939</stp>
        <tr r="D18" s="22"/>
      </tp>
      <tp t="e">
        <v>#N/A</v>
        <stp/>
        <stp>BDH|4424485541115573203</stp>
        <tr r="T9" s="22"/>
      </tp>
      <tp t="e">
        <v>#N/A</v>
        <stp/>
        <stp>BDH|5465913230449802554</stp>
        <tr r="M22" s="10"/>
      </tp>
      <tp t="e">
        <v>#N/A</v>
        <stp/>
        <stp>BDH|3194506302391803439</stp>
        <tr r="R52" s="18"/>
      </tp>
      <tp t="e">
        <v>#N/A</v>
        <stp/>
        <stp>BDH|7584204254345802619</stp>
        <tr r="O9" s="12"/>
      </tp>
      <tp t="e">
        <v>#N/A</v>
        <stp/>
        <stp>BDH|7708324680878410794</stp>
        <tr r="H91" s="17"/>
      </tp>
      <tp t="e">
        <v>#N/A</v>
        <stp/>
        <stp>BDH|9992661561539343352</stp>
        <tr r="G9" s="24"/>
      </tp>
      <tp t="e">
        <v>#N/A</v>
        <stp/>
        <stp>BDH|7993891086636803265</stp>
        <tr r="W25" s="12"/>
      </tp>
      <tp t="e">
        <v>#N/A</v>
        <stp/>
        <stp>BDH|3509678688478576676</stp>
        <tr r="F32" s="18"/>
      </tp>
      <tp t="e">
        <v>#N/A</v>
        <stp/>
        <stp>BDH|4575371956971843046</stp>
        <tr r="T52" s="4"/>
        <tr r="V8" s="3"/>
        <tr r="T40" s="10"/>
        <tr r="T38" s="11"/>
        <tr r="V30" s="13"/>
      </tp>
      <tp t="e">
        <v>#N/A</v>
        <stp/>
        <stp>BDH|9524574467251481890</stp>
        <tr r="J15" s="10"/>
      </tp>
      <tp t="e">
        <v>#N/A</v>
        <stp/>
        <stp>BDH|3992711633313659752</stp>
        <tr r="U38" s="24"/>
      </tp>
      <tp t="e">
        <v>#N/A</v>
        <stp/>
        <stp>BDH|1188586579462888213</stp>
        <tr r="Q12" s="20"/>
      </tp>
      <tp t="e">
        <v>#N/A</v>
        <stp/>
        <stp>BDH|2140613928770312520</stp>
        <tr r="S60" s="12"/>
      </tp>
      <tp t="e">
        <v>#N/A</v>
        <stp/>
        <stp>BDH|5199051551212832148</stp>
        <tr r="L46" s="24"/>
      </tp>
      <tp t="e">
        <v>#N/A</v>
        <stp/>
        <stp>BDH|1161198697208793215</stp>
        <tr r="AA13" s="17"/>
        <tr r="AA16" s="28"/>
      </tp>
      <tp t="e">
        <v>#N/A</v>
        <stp/>
        <stp>BDH|2840362107711826383</stp>
        <tr r="J17" s="10"/>
      </tp>
      <tp t="e">
        <v>#N/A</v>
        <stp/>
        <stp>BDH|5469062057536828543</stp>
        <tr r="N75" s="17"/>
      </tp>
      <tp t="e">
        <v>#N/A</v>
        <stp/>
        <stp>BDH|7670799927977430654</stp>
        <tr r="M10" s="11"/>
      </tp>
      <tp t="e">
        <v>#N/A</v>
        <stp/>
        <stp>BDH|7362583155535516122</stp>
        <tr r="W31" s="12"/>
      </tp>
      <tp t="e">
        <v>#N/A</v>
        <stp/>
        <stp>BDH|9819898370030895503</stp>
        <tr r="AA86" s="17"/>
      </tp>
      <tp t="e">
        <v>#N/A</v>
        <stp/>
        <stp>BDH|4548490413853496126</stp>
        <tr r="O22" s="7"/>
      </tp>
      <tp t="e">
        <v>#N/A</v>
        <stp/>
        <stp>BDH|3871303757121561731</stp>
        <tr r="W62" s="17"/>
      </tp>
      <tp t="e">
        <v>#N/A</v>
        <stp/>
        <stp>BDH|7275730869773513644</stp>
        <tr r="T13" s="5"/>
      </tp>
      <tp t="e">
        <v>#N/A</v>
        <stp/>
        <stp>BDH|5315481529128947821</stp>
        <tr r="R16" s="17"/>
        <tr r="R19" s="28"/>
      </tp>
      <tp t="e">
        <v>#N/A</v>
        <stp/>
        <stp>BDH|5305105849294523761</stp>
        <tr r="F20" s="34"/>
      </tp>
      <tp t="e">
        <v>#N/A</v>
        <stp/>
        <stp>BDH|5909307085415574800</stp>
        <tr r="W84" s="17"/>
      </tp>
      <tp t="e">
        <v>#N/A</v>
        <stp/>
        <stp>BDH|5347294430783488478</stp>
        <tr r="U30" s="26"/>
      </tp>
      <tp t="e">
        <v>#N/A</v>
        <stp/>
        <stp>BDH|2610042748195117024</stp>
        <tr r="Y8" s="21"/>
      </tp>
      <tp t="e">
        <v>#N/A</v>
        <stp/>
        <stp>BDH|7915204161498717867</stp>
        <tr r="S38" s="10"/>
        <tr r="S36" s="11"/>
      </tp>
      <tp t="e">
        <v>#N/A</v>
        <stp/>
        <stp>BDH|4502281022835076268</stp>
        <tr r="Q14" s="11"/>
      </tp>
      <tp t="e">
        <v>#N/A</v>
        <stp/>
        <stp>BDH|1773794152558064856</stp>
        <tr r="T75" s="18"/>
      </tp>
      <tp t="e">
        <v>#N/A</v>
        <stp/>
        <stp>BDH|6325600572860055489</stp>
        <tr r="T64" s="17"/>
        <tr r="T18" s="3"/>
      </tp>
      <tp t="e">
        <v>#N/A</v>
        <stp/>
        <stp>BDH|9286907334434853477</stp>
        <tr r="J36" s="22"/>
      </tp>
      <tp t="e">
        <v>#N/A</v>
        <stp/>
        <stp>BDH|3780038533986811560</stp>
        <tr r="O45" s="24"/>
      </tp>
      <tp t="e">
        <v>#N/A</v>
        <stp/>
        <stp>BDH|9150858931620924151</stp>
        <tr r="H34" s="6"/>
        <tr r="J9" s="8"/>
      </tp>
      <tp t="e">
        <v>#N/A</v>
        <stp/>
        <stp>BDH|9226054788583526139</stp>
        <tr r="U11" s="22"/>
      </tp>
      <tp t="e">
        <v>#N/A</v>
        <stp/>
        <stp>BDH|5564208201157414395</stp>
        <tr r="G33" s="17"/>
      </tp>
      <tp t="e">
        <v>#N/A</v>
        <stp/>
        <stp>BDH|3162500492599302598</stp>
        <tr r="P18" s="18"/>
      </tp>
      <tp t="e">
        <v>#N/A</v>
        <stp/>
        <stp>BDH|8015959329859698933</stp>
        <tr r="G17" s="12"/>
      </tp>
      <tp t="e">
        <v>#N/A</v>
        <stp/>
        <stp>BDH|1886427617620255761</stp>
        <tr r="P10" s="24"/>
      </tp>
      <tp t="e">
        <v>#N/A</v>
        <stp/>
        <stp>BDH|6459025376970842210</stp>
        <tr r="Y96" s="18"/>
      </tp>
      <tp t="e">
        <v>#N/A</v>
        <stp/>
        <stp>BDH|2818714575247025659</stp>
        <tr r="S112" s="18"/>
      </tp>
      <tp t="e">
        <v>#N/A</v>
        <stp/>
        <stp>BDH|1480406557663267081</stp>
        <tr r="U20" s="10"/>
      </tp>
      <tp t="e">
        <v>#N/A</v>
        <stp/>
        <stp>BDH|5966309407386662315</stp>
        <tr r="J62" s="24"/>
      </tp>
      <tp t="e">
        <v>#N/A</v>
        <stp/>
        <stp>BDH|4196920696686993159</stp>
        <tr r="V39" s="4"/>
        <tr r="V62" s="10"/>
      </tp>
      <tp t="e">
        <v>#N/A</v>
        <stp/>
        <stp>BDH|1501234379642702563</stp>
        <tr r="L11" s="13"/>
      </tp>
      <tp t="e">
        <v>#N/A</v>
        <stp/>
        <stp>BDH|2810550045974513438</stp>
        <tr r="D12" s="18"/>
      </tp>
      <tp t="e">
        <v>#N/A</v>
        <stp/>
        <stp>BDH|3992745452255495756</stp>
        <tr r="S14" s="17"/>
        <tr r="S17" s="28"/>
      </tp>
      <tp t="e">
        <v>#N/A</v>
        <stp/>
        <stp>BDH|8033988314670098325</stp>
        <tr r="C114" s="18"/>
      </tp>
      <tp t="e">
        <v>#N/A</v>
        <stp/>
        <stp>BDH|6281604982908709395</stp>
        <tr r="D115" s="18"/>
      </tp>
      <tp t="e">
        <v>#N/A</v>
        <stp/>
        <stp>BDH|1157650632642156596</stp>
        <tr r="O9" s="11"/>
      </tp>
      <tp t="e">
        <v>#N/A</v>
        <stp/>
        <stp>BDH|1910566764281151040</stp>
        <tr r="M31" s="10"/>
        <tr r="M29" s="11"/>
      </tp>
      <tp t="e">
        <v>#N/A</v>
        <stp/>
        <stp>BDH|9872722808855847849</stp>
        <tr r="E62" s="11"/>
        <tr r="G19" s="23"/>
      </tp>
      <tp t="e">
        <v>#N/A</v>
        <stp/>
        <stp>BDH|1165767948072765364</stp>
        <tr r="X36" s="12"/>
      </tp>
      <tp t="e">
        <v>#N/A</v>
        <stp/>
        <stp>BDH|4264629155745285192</stp>
        <tr r="E45" s="21"/>
      </tp>
      <tp t="e">
        <v>#N/A</v>
        <stp/>
        <stp>BDH|7567030279650512343</stp>
        <tr r="F17" s="24"/>
      </tp>
      <tp t="e">
        <v>#N/A</v>
        <stp/>
        <stp>BDH|3637064462502989458</stp>
        <tr r="F11" s="28"/>
      </tp>
      <tp t="e">
        <v>#N/A</v>
        <stp/>
        <stp>BDH|7748149751689877949</stp>
        <tr r="C103" s="18"/>
      </tp>
      <tp t="e">
        <v>#N/A</v>
        <stp/>
        <stp>BDH|1623126942155801200</stp>
        <tr r="G29" s="24"/>
      </tp>
      <tp t="e">
        <v>#N/A</v>
        <stp/>
        <stp>BDH|8964720789125853146</stp>
        <tr r="K26" s="10"/>
      </tp>
      <tp t="e">
        <v>#N/A</v>
        <stp/>
        <stp>BDH|2933931090735348475</stp>
        <tr r="C19" s="14"/>
      </tp>
      <tp t="e">
        <v>#N/A</v>
        <stp/>
        <stp>BDH|6788392631972539747</stp>
        <tr r="I23" s="11"/>
      </tp>
      <tp t="e">
        <v>#N/A</v>
        <stp/>
        <stp>BDH|5668458891722581996</stp>
        <tr r="J47" s="24"/>
      </tp>
      <tp t="e">
        <v>#N/A</v>
        <stp/>
        <stp>BDH|8753222138982797841</stp>
        <tr r="C52" s="4"/>
        <tr r="E8" s="3"/>
        <tr r="C40" s="10"/>
        <tr r="C38" s="11"/>
        <tr r="E30" s="13"/>
      </tp>
      <tp t="e">
        <v>#N/A</v>
        <stp/>
        <stp>BDH|7703139505013613691</stp>
        <tr r="R99" s="18"/>
      </tp>
      <tp t="e">
        <v>#N/A</v>
        <stp/>
        <stp>BDH|1912185047836977112</stp>
        <tr r="K21" s="12"/>
      </tp>
      <tp t="e">
        <v>#N/A</v>
        <stp/>
        <stp>BDH|6642814789902986799</stp>
        <tr r="X46" s="12"/>
      </tp>
      <tp t="e">
        <v>#N/A</v>
        <stp/>
        <stp>BDH|7651846388375499101</stp>
        <tr r="N21" s="24"/>
      </tp>
      <tp t="e">
        <v>#N/A</v>
        <stp/>
        <stp>BDH|9921855306666391472</stp>
        <tr r="G31" s="24"/>
      </tp>
      <tp t="e">
        <v>#N/A</v>
        <stp/>
        <stp>BDH|5286428022549594996</stp>
        <tr r="F43" s="4"/>
      </tp>
      <tp t="e">
        <v>#N/A</v>
        <stp/>
        <stp>BDH|7288626942442503490</stp>
        <tr r="AA17" s="13"/>
      </tp>
      <tp t="e">
        <v>#N/A</v>
        <stp/>
        <stp>BDH|7785358529583692636</stp>
        <tr r="P59" s="21"/>
        <tr r="N57" s="11"/>
      </tp>
      <tp t="e">
        <v>#N/A</v>
        <stp/>
        <stp>BDH|3813661502417486161</stp>
        <tr r="M39" s="13"/>
      </tp>
      <tp t="e">
        <v>#N/A</v>
        <stp/>
        <stp>BDH|5127616012481541099</stp>
        <tr r="H27" s="21"/>
      </tp>
      <tp t="e">
        <v>#N/A</v>
        <stp/>
        <stp>BDH|5909647704714580425</stp>
        <tr r="C21" s="3"/>
      </tp>
      <tp t="e">
        <v>#N/A</v>
        <stp/>
        <stp>BDH|5336265617934918151</stp>
        <tr r="Y45" s="4"/>
        <tr r="Y27" s="10"/>
        <tr r="Y25" s="11"/>
        <tr r="AA26" s="13"/>
      </tp>
      <tp t="e">
        <v>#N/A</v>
        <stp/>
        <stp>BDH|6995749105821211347</stp>
        <tr r="O60" s="21"/>
      </tp>
      <tp t="e">
        <v>#N/A</v>
        <stp/>
        <stp>BDH|3607303507322893177</stp>
        <tr r="L109" s="18"/>
      </tp>
      <tp t="e">
        <v>#N/A</v>
        <stp/>
        <stp>BDH|6930564106736214640</stp>
        <tr r="X75" s="18"/>
      </tp>
      <tp t="e">
        <v>#N/A</v>
        <stp/>
        <stp>BDH|3424941659815732918</stp>
        <tr r="Z36" s="21"/>
      </tp>
      <tp t="e">
        <v>#N/A</v>
        <stp/>
        <stp>BDH|4759655218351231170</stp>
        <tr r="H70" s="17"/>
      </tp>
      <tp t="e">
        <v>#N/A</v>
        <stp/>
        <stp>BDH|1641621174470603392</stp>
        <tr r="D89" s="17"/>
        <tr r="D7" s="27"/>
      </tp>
      <tp t="e">
        <v>#N/A</v>
        <stp/>
        <stp>BDH|3085528048266637732</stp>
        <tr r="S21" s="2"/>
      </tp>
      <tp t="e">
        <v>#N/A</v>
        <stp/>
        <stp>BDH|2326685025653624670</stp>
        <tr r="N14" s="14"/>
      </tp>
      <tp t="e">
        <v>#N/A</v>
        <stp/>
        <stp>BDH|8961486984212969537</stp>
        <tr r="L11" s="17"/>
      </tp>
      <tp t="e">
        <v>#N/A</v>
        <stp/>
        <stp>BDH|9087370198531184116</stp>
        <tr r="N17" s="13"/>
      </tp>
      <tp t="e">
        <v>#N/A</v>
        <stp/>
        <stp>BDH|3546457539214752316</stp>
        <tr r="I55" s="12"/>
      </tp>
      <tp t="e">
        <v>#N/A</v>
        <stp/>
        <stp>BDH|3841976611130467850</stp>
        <tr r="S26" s="22"/>
      </tp>
      <tp t="e">
        <v>#N/A</v>
        <stp/>
        <stp>BDH|9803197999455064770</stp>
        <tr r="N22" s="17"/>
      </tp>
      <tp t="e">
        <v>#N/A</v>
        <stp/>
        <stp>BDH|2146722919861529608</stp>
        <tr r="R89" s="17"/>
        <tr r="R7" s="27"/>
      </tp>
      <tp t="e">
        <v>#N/A</v>
        <stp/>
        <stp>BDH|7914437729137950556</stp>
        <tr r="Q34" s="12"/>
      </tp>
      <tp t="e">
        <v>#N/A</v>
        <stp/>
        <stp>BDH|3832171851211279533</stp>
        <tr r="W10" s="28"/>
      </tp>
      <tp t="e">
        <v>#N/A</v>
        <stp/>
        <stp>BDH|2642257218846096445</stp>
        <tr r="G8" s="11"/>
      </tp>
      <tp t="e">
        <v>#N/A</v>
        <stp/>
        <stp>BDH|3805173172577660147</stp>
        <tr r="D9" s="17"/>
      </tp>
      <tp t="e">
        <v>#N/A</v>
        <stp/>
        <stp>BDH|9871741112859800597</stp>
        <tr r="U21" s="25"/>
        <tr r="U14" s="27"/>
      </tp>
      <tp t="e">
        <v>#N/A</v>
        <stp/>
        <stp>BDH|6327744725406998642</stp>
        <tr r="S98" s="18"/>
      </tp>
      <tp t="e">
        <v>#N/A</v>
        <stp/>
        <stp>BDH|2662786921197282321</stp>
        <tr r="P17" s="18"/>
      </tp>
      <tp t="e">
        <v>#N/A</v>
        <stp/>
        <stp>BDH|2391417336493996528</stp>
        <tr r="X31" s="10"/>
        <tr r="X29" s="11"/>
      </tp>
      <tp t="e">
        <v>#N/A</v>
        <stp/>
        <stp>BDH|3080230542756848066</stp>
        <tr r="I49" s="21"/>
      </tp>
      <tp t="e">
        <v>#N/A</v>
        <stp/>
        <stp>BDH|2818733055270785365</stp>
        <tr r="J44" s="12"/>
      </tp>
      <tp t="e">
        <v>#N/A</v>
        <stp/>
        <stp>BDH|5090426512162926160</stp>
        <tr r="L56" s="18"/>
      </tp>
      <tp t="e">
        <v>#N/A</v>
        <stp/>
        <stp>BDH|1495390578424856226</stp>
        <tr r="J44" s="17"/>
      </tp>
      <tp t="e">
        <v>#N/A</v>
        <stp/>
        <stp>BDH|8615845962931748487</stp>
        <tr r="T24" s="4"/>
        <tr r="T59" s="11"/>
      </tp>
      <tp t="e">
        <v>#N/A</v>
        <stp/>
        <stp>BDH|1445204157024990168</stp>
        <tr r="N25" s="22"/>
      </tp>
      <tp t="e">
        <v>#N/A</v>
        <stp/>
        <stp>BDH|4626544123414869455</stp>
        <tr r="Y39" s="4"/>
        <tr r="Y62" s="10"/>
      </tp>
      <tp t="e">
        <v>#N/A</v>
        <stp/>
        <stp>BDH|6066116064541819315</stp>
        <tr r="T29" s="4"/>
      </tp>
      <tp t="e">
        <v>#N/A</v>
        <stp/>
        <stp>BDH|9531404088777330120</stp>
        <tr r="Q24" s="25"/>
        <tr r="O14" s="5"/>
        <tr r="Q17" s="27"/>
      </tp>
      <tp t="e">
        <v>#N/A</v>
        <stp/>
        <stp>BDH|9701738812025295982</stp>
        <tr r="O19" s="25"/>
        <tr r="O12" s="27"/>
      </tp>
      <tp t="e">
        <v>#N/A</v>
        <stp/>
        <stp>BDH|7708676367365356183</stp>
        <tr r="C29" s="21"/>
      </tp>
      <tp t="e">
        <v>#N/A</v>
        <stp/>
        <stp>BDH|9752273519868788124</stp>
        <tr r="P18" s="10"/>
      </tp>
      <tp t="e">
        <v>#N/A</v>
        <stp/>
        <stp>BDH|8389800889863127877</stp>
        <tr r="Q33" s="6"/>
        <tr r="S6" s="8"/>
      </tp>
      <tp t="e">
        <v>#N/A</v>
        <stp/>
        <stp>BDH|6801816726149500662</stp>
        <tr r="C10" s="24"/>
      </tp>
      <tp t="e">
        <v>#N/A</v>
        <stp/>
        <stp>BDH|1462736422791962604</stp>
        <tr r="W7" s="10"/>
      </tp>
      <tp t="e">
        <v>#N/A</v>
        <stp/>
        <stp>BDH|5138188451953317176</stp>
        <tr r="AA18" s="29"/>
        <tr r="AA38" s="29"/>
      </tp>
      <tp t="e">
        <v>#N/A</v>
        <stp/>
        <stp>BDH|2050822099272522223</stp>
        <tr r="U40" s="29"/>
      </tp>
      <tp t="e">
        <v>#N/A</v>
        <stp/>
        <stp>BDH|1250084932195621426</stp>
        <tr r="V18" s="12"/>
      </tp>
      <tp t="e">
        <v>#N/A</v>
        <stp/>
        <stp>BDH|5225113864469376886</stp>
        <tr r="P108" s="18"/>
      </tp>
      <tp t="e">
        <v>#N/A</v>
        <stp/>
        <stp>BDH|2045866099287639754</stp>
        <tr r="X50" s="4"/>
      </tp>
      <tp t="e">
        <v>#N/A</v>
        <stp/>
        <stp>BDH|1342337058026631227</stp>
        <tr r="C29" s="18"/>
      </tp>
      <tp t="e">
        <v>#N/A</v>
        <stp/>
        <stp>BDH|1770294687718608033</stp>
        <tr r="R14" s="21"/>
      </tp>
      <tp t="e">
        <v>#N/A</v>
        <stp/>
        <stp>BDH|1368791927652477550</stp>
        <tr r="L87" s="17"/>
        <tr r="L27" s="25"/>
      </tp>
      <tp t="e">
        <v>#N/A</v>
        <stp/>
        <stp>BDH|4422875601317746899</stp>
        <tr r="J49" s="4"/>
      </tp>
      <tp t="e">
        <v>#N/A</v>
        <stp/>
        <stp>BDH|3152627901457693186</stp>
        <tr r="N42" s="21"/>
      </tp>
      <tp t="e">
        <v>#N/A</v>
        <stp/>
        <stp>BDH|1983021256224404353</stp>
        <tr r="AA30" s="26"/>
      </tp>
      <tp t="e">
        <v>#N/A</v>
        <stp/>
        <stp>BDH|3516204422984910426</stp>
        <tr r="H44" s="21"/>
      </tp>
      <tp t="e">
        <v>#N/A</v>
        <stp/>
        <stp>BDH|1737292197711050859</stp>
        <tr r="M28" s="25"/>
      </tp>
      <tp t="e">
        <v>#N/A</v>
        <stp/>
        <stp>BDH|3901652762764771458</stp>
        <tr r="S47" s="21"/>
      </tp>
      <tp t="e">
        <v>#N/A</v>
        <stp/>
        <stp>BDH|4638807448043477869</stp>
        <tr r="T17" s="13"/>
      </tp>
      <tp t="e">
        <v>#N/A</v>
        <stp/>
        <stp>BDH|4712528337226926774</stp>
        <tr r="G60" s="17"/>
      </tp>
      <tp t="e">
        <v>#N/A</v>
        <stp/>
        <stp>BDH|6526095072321002329</stp>
        <tr r="N43" s="21"/>
      </tp>
      <tp t="e">
        <v>#N/A</v>
        <stp/>
        <stp>BDH|6445844127758339789</stp>
        <tr r="W19" s="22"/>
      </tp>
      <tp t="e">
        <v>#N/A</v>
        <stp/>
        <stp>BDH|6163618707231847234</stp>
        <tr r="L76" s="18"/>
      </tp>
      <tp t="e">
        <v>#N/A</v>
        <stp/>
        <stp>BDH|1047217914277991604</stp>
        <tr r="Z15" s="21"/>
      </tp>
      <tp t="e">
        <v>#N/A</v>
        <stp/>
        <stp>BDH|5025538605380829324</stp>
        <tr r="R32" s="22"/>
      </tp>
      <tp t="e">
        <v>#N/A</v>
        <stp/>
        <stp>BDH|7369585904033307212</stp>
        <tr r="R20" s="10"/>
      </tp>
      <tp t="e">
        <v>#N/A</v>
        <stp/>
        <stp>BDH|8774842266863862608</stp>
        <tr r="Z48" s="21"/>
      </tp>
      <tp t="e">
        <v>#N/A</v>
        <stp/>
        <stp>BDH|8523822099293214910</stp>
        <tr r="F9" s="12"/>
      </tp>
      <tp t="e">
        <v>#N/A</v>
        <stp/>
        <stp>BDH|1956944834749073143</stp>
        <tr r="W32" s="10"/>
        <tr r="W44" s="10"/>
        <tr r="W30" s="11"/>
        <tr r="W42" s="11"/>
      </tp>
      <tp t="e">
        <v>#N/A</v>
        <stp/>
        <stp>BDH|6387852528166194926</stp>
        <tr r="S19" s="6"/>
      </tp>
      <tp t="e">
        <v>#N/A</v>
        <stp/>
        <stp>BDH|3010358324027843649</stp>
        <tr r="S32" s="17"/>
      </tp>
      <tp t="e">
        <v>#N/A</v>
        <stp/>
        <stp>BDH|3627882192435020411</stp>
        <tr r="Y24" s="29"/>
      </tp>
      <tp t="e">
        <v>#N/A</v>
        <stp/>
        <stp>BDH|4012759466406920079</stp>
        <tr r="AA65" s="24"/>
      </tp>
      <tp t="e">
        <v>#N/A</v>
        <stp/>
        <stp>BDH|7863187280878897557</stp>
        <tr r="K37" s="21"/>
        <tr r="K24" s="3"/>
      </tp>
      <tp t="e">
        <v>#N/A</v>
        <stp/>
        <stp>BDH|2272237775407066395</stp>
        <tr r="I30" s="12"/>
      </tp>
      <tp t="e">
        <v>#N/A</v>
        <stp/>
        <stp>BDH|4215528901234857649</stp>
        <tr r="U14" s="22"/>
      </tp>
      <tp t="e">
        <v>#N/A</v>
        <stp/>
        <stp>BDH|5268301259785538534</stp>
        <tr r="Z10" s="12"/>
      </tp>
      <tp t="e">
        <v>#N/A</v>
        <stp/>
        <stp>BDH|2183314630098822958</stp>
        <tr r="I46" s="17"/>
      </tp>
      <tp t="e">
        <v>#N/A</v>
        <stp/>
        <stp>BDH|3854028916503412250</stp>
        <tr r="F25" s="12"/>
      </tp>
      <tp t="e">
        <v>#N/A</v>
        <stp/>
        <stp>BDH|7025156561376065599</stp>
        <tr r="I10" s="2"/>
        <tr r="I11" s="5"/>
        <tr r="H37" s="6"/>
        <tr r="K31" s="29"/>
        <tr r="K39" s="29"/>
      </tp>
      <tp t="e">
        <v>#N/A</v>
        <stp/>
        <stp>BDH|5683902377138479084</stp>
        <tr r="G11" s="18"/>
      </tp>
      <tp t="e">
        <v>#N/A</v>
        <stp/>
        <stp>BDH|1493684645174024444</stp>
        <tr r="L9" s="11"/>
      </tp>
      <tp t="e">
        <v>#N/A</v>
        <stp/>
        <stp>BDH|6894386375902157399</stp>
        <tr r="T35" s="24"/>
      </tp>
      <tp t="e">
        <v>#N/A</v>
        <stp/>
        <stp>BDH|4164684045201050418</stp>
        <tr r="O20" s="29"/>
      </tp>
      <tp t="e">
        <v>#N/A</v>
        <stp/>
        <stp>BDH|2112709062814646488</stp>
        <tr r="X44" s="18"/>
      </tp>
      <tp t="e">
        <v>#N/A</v>
        <stp/>
        <stp>BDH|8831266036463780925</stp>
        <tr r="V23" s="11"/>
      </tp>
      <tp t="e">
        <v>#N/A</v>
        <stp/>
        <stp>BDH|6528502830192094184</stp>
        <tr r="K21" s="26"/>
      </tp>
      <tp t="e">
        <v>#N/A</v>
        <stp/>
        <stp>BDH|5061841346673881976</stp>
        <tr r="E35" s="12"/>
      </tp>
      <tp t="e">
        <v>#N/A</v>
        <stp/>
        <stp>BDH|1094685905876128219</stp>
        <tr r="X8" s="2"/>
      </tp>
      <tp t="e">
        <v>#N/A</v>
        <stp/>
        <stp>BDH|4745845715368949629</stp>
        <tr r="G117" s="18"/>
      </tp>
      <tp t="e">
        <v>#N/A</v>
        <stp/>
        <stp>BDH|1300566205882825553</stp>
        <tr r="X17" s="29"/>
        <tr r="X37" s="29"/>
      </tp>
      <tp t="e">
        <v>#N/A</v>
        <stp/>
        <stp>BDH|3137156301807802603</stp>
        <tr r="X36" s="4"/>
      </tp>
      <tp t="e">
        <v>#N/A</v>
        <stp/>
        <stp>BDH|2124379829265756552</stp>
        <tr r="S38" s="18"/>
      </tp>
      <tp t="e">
        <v>#N/A</v>
        <stp/>
        <stp>BDH|9425957779211108549</stp>
        <tr r="V70" s="24"/>
      </tp>
      <tp t="e">
        <v>#N/A</v>
        <stp/>
        <stp>BDH|7409771852075782348</stp>
        <tr r="K17" s="24"/>
      </tp>
      <tp t="e">
        <v>#N/A</v>
        <stp/>
        <stp>BDH|4893683994868305053</stp>
        <tr r="E10" s="17"/>
      </tp>
      <tp t="e">
        <v>#N/A</v>
        <stp/>
        <stp>BDH|2497721033121381442</stp>
        <tr r="Y21" s="5"/>
      </tp>
      <tp t="e">
        <v>#N/A</v>
        <stp/>
        <stp>BDH|5053546964234078125</stp>
        <tr r="K64" s="12"/>
      </tp>
      <tp t="e">
        <v>#N/A</v>
        <stp/>
        <stp>BDH|5670672044603331743</stp>
        <tr r="M16" s="24"/>
      </tp>
      <tp t="e">
        <v>#N/A</v>
        <stp/>
        <stp>BDH|3498979006658105165</stp>
        <tr r="O62" s="18"/>
      </tp>
      <tp t="e">
        <v>#N/A</v>
        <stp/>
        <stp>BDH|6058143174646120530</stp>
        <tr r="P28" s="18"/>
      </tp>
      <tp t="e">
        <v>#N/A</v>
        <stp/>
        <stp>BDH|8939766638306451911</stp>
        <tr r="C15" s="11"/>
      </tp>
      <tp t="e">
        <v>#N/A</v>
        <stp/>
        <stp>BDH|1277138953453683561</stp>
        <tr r="X45" s="24"/>
      </tp>
      <tp t="e">
        <v>#N/A</v>
        <stp/>
        <stp>BDH|2173615114396212042</stp>
        <tr r="G65" s="18"/>
      </tp>
      <tp t="e">
        <v>#N/A</v>
        <stp/>
        <stp>BDH|5577924640873693837</stp>
        <tr r="S45" s="4"/>
        <tr r="S27" s="10"/>
        <tr r="S25" s="11"/>
        <tr r="U26" s="13"/>
      </tp>
      <tp t="e">
        <v>#N/A</v>
        <stp/>
        <stp>BDH|3539641296059406617</stp>
        <tr r="D18" s="14"/>
      </tp>
      <tp t="e">
        <v>#N/A</v>
        <stp/>
        <stp>BDH|8031429575929216176</stp>
        <tr r="G31" s="18"/>
      </tp>
      <tp t="e">
        <v>#N/A</v>
        <stp/>
        <stp>BDH|3394338027356619737</stp>
        <tr r="H48" s="21"/>
      </tp>
      <tp t="e">
        <v>#N/A</v>
        <stp/>
        <stp>BDH|2090256651544442228</stp>
        <tr r="V21" s="17"/>
        <tr r="V15" s="3"/>
      </tp>
      <tp t="e">
        <v>#N/A</v>
        <stp/>
        <stp>BDH|2665318545851794779</stp>
        <tr r="F36" s="4"/>
      </tp>
      <tp t="e">
        <v>#N/A</v>
        <stp/>
        <stp>BDH|8999989141415155337</stp>
        <tr r="H16" s="12"/>
      </tp>
      <tp t="e">
        <v>#N/A</v>
        <stp/>
        <stp>BDH|4327505440936424055</stp>
        <tr r="Z48" s="18"/>
      </tp>
      <tp t="e">
        <v>#N/A</v>
        <stp/>
        <stp>BDH|4952164316860803730</stp>
        <tr r="T28" s="21"/>
      </tp>
      <tp t="e">
        <v>#N/A</v>
        <stp/>
        <stp>BDH|1038724242955079420</stp>
        <tr r="G18" s="25"/>
        <tr r="G10" s="27"/>
      </tp>
      <tp t="e">
        <v>#N/A</v>
        <stp/>
        <stp>BDH|5524745933656899481</stp>
        <tr r="S108" s="18"/>
      </tp>
      <tp t="e">
        <v>#N/A</v>
        <stp/>
        <stp>BDH|8792809124484087517</stp>
        <tr r="Q32" s="21"/>
      </tp>
      <tp t="e">
        <v>#N/A</v>
        <stp/>
        <stp>BDH|8672806936092338219</stp>
        <tr r="P13" s="34"/>
      </tp>
      <tp t="e">
        <v>#N/A</v>
        <stp/>
        <stp>BDH|7748708733411663104</stp>
        <tr r="X58" s="17"/>
      </tp>
      <tp t="e">
        <v>#N/A</v>
        <stp/>
        <stp>BDH|2582746622434779060</stp>
        <tr r="P25" s="7"/>
      </tp>
      <tp t="e">
        <v>#N/A</v>
        <stp/>
        <stp>BDH|4347033634350315459</stp>
        <tr r="O52" s="12"/>
      </tp>
      <tp t="e">
        <v>#N/A</v>
        <stp/>
        <stp>BDH|4473503233884662536</stp>
        <tr r="C40" s="29"/>
      </tp>
      <tp t="e">
        <v>#N/A</v>
        <stp/>
        <stp>BDH|9146241665288009628</stp>
        <tr r="R27" s="21"/>
      </tp>
      <tp t="e">
        <v>#N/A</v>
        <stp/>
        <stp>BDH|5886001589349567762</stp>
        <tr r="C14" s="18"/>
      </tp>
      <tp t="e">
        <v>#N/A</v>
        <stp/>
        <stp>BDH|6086190920617872137</stp>
        <tr r="T112" s="18"/>
      </tp>
      <tp t="e">
        <v>#N/A</v>
        <stp/>
        <stp>BDH|2343248522059482824</stp>
        <tr r="W11" s="6"/>
      </tp>
      <tp t="e">
        <v>#N/A</v>
        <stp/>
        <stp>BDH|2528943097625173440</stp>
        <tr r="X16" s="2"/>
        <tr r="X32" s="4"/>
        <tr r="X58" s="10"/>
        <tr r="Z19" s="13"/>
      </tp>
      <tp t="e">
        <v>#N/A</v>
        <stp/>
        <stp>BDH|8913958972353985642</stp>
        <tr r="T49" s="17"/>
        <tr r="T17" s="3"/>
      </tp>
      <tp t="e">
        <v>#N/A</v>
        <stp/>
        <stp>BDH|5136167659345550781</stp>
        <tr r="C14" s="20"/>
      </tp>
      <tp t="e">
        <v>#N/A</v>
        <stp/>
        <stp>BDH|6320796627279600985</stp>
        <tr r="P40" s="18"/>
      </tp>
      <tp t="e">
        <v>#N/A</v>
        <stp/>
        <stp>BDH|1019150500245585638</stp>
        <tr r="P128" s="18"/>
      </tp>
      <tp t="e">
        <v>#N/A</v>
        <stp/>
        <stp>BDH|2047398916067494487</stp>
        <tr r="Y24" s="22"/>
      </tp>
      <tp t="e">
        <v>#N/A</v>
        <stp/>
        <stp>BDH|8765743091143558643</stp>
        <tr r="I9" s="10"/>
      </tp>
      <tp t="e">
        <v>#N/A</v>
        <stp/>
        <stp>BDH|3970455319306228341</stp>
        <tr r="R18" s="13"/>
      </tp>
      <tp t="e">
        <v>#N/A</v>
        <stp/>
        <stp>BDH|1620751865976068559</stp>
        <tr r="R60" s="18"/>
      </tp>
      <tp t="e">
        <v>#N/A</v>
        <stp/>
        <stp>BDH|4862087247121773232</stp>
        <tr r="Q20" s="23"/>
      </tp>
      <tp t="e">
        <v>#N/A</v>
        <stp/>
        <stp>BDH|9581555231135712958</stp>
        <tr r="D70" s="17"/>
      </tp>
      <tp t="e">
        <v>#N/A</v>
        <stp/>
        <stp>BDH|6982793776994341163</stp>
        <tr r="X101" s="18"/>
      </tp>
      <tp t="e">
        <v>#N/A</v>
        <stp/>
        <stp>BDH|7637970456098323074</stp>
        <tr r="G23" s="21"/>
      </tp>
      <tp t="e">
        <v>#N/A</v>
        <stp/>
        <stp>BDH|8931881176584275064</stp>
        <tr r="C101" s="18"/>
      </tp>
      <tp t="e">
        <v>#N/A</v>
        <stp/>
        <stp>BDH|6655761126679649932</stp>
        <tr r="W19" s="6"/>
      </tp>
      <tp t="e">
        <v>#N/A</v>
        <stp/>
        <stp>BDH|4250670951593065771</stp>
        <tr r="Y35" s="4"/>
      </tp>
      <tp t="e">
        <v>#N/A</v>
        <stp/>
        <stp>BDH|5276743614141662174</stp>
        <tr r="M70" s="18"/>
      </tp>
      <tp t="e">
        <v>#N/A</v>
        <stp/>
        <stp>BDH|6071399352915171696</stp>
        <tr r="S67" s="10"/>
        <tr r="S65" s="11"/>
      </tp>
      <tp t="e">
        <v>#N/A</v>
        <stp/>
        <stp>BDH|8722419964548961181</stp>
        <tr r="J38" s="10"/>
        <tr r="J36" s="11"/>
      </tp>
      <tp t="e">
        <v>#N/A</v>
        <stp/>
        <stp>BDH|5879380714005288157</stp>
        <tr r="R7" s="2"/>
        <tr r="R7" s="5"/>
        <tr r="R7" s="9"/>
        <tr r="T14" s="3"/>
      </tp>
      <tp t="e">
        <v>#N/A</v>
        <stp/>
        <stp>BDH|1778326141087301249</stp>
        <tr r="M38" s="4"/>
        <tr r="M60" s="11"/>
        <tr r="O13" s="23"/>
      </tp>
      <tp t="e">
        <v>#N/A</v>
        <stp/>
        <stp>BDH|6852847979902213842</stp>
        <tr r="V23" s="26"/>
      </tp>
      <tp t="e">
        <v>#N/A</v>
        <stp/>
        <stp>BDH|4198530257500768711</stp>
        <tr r="Q32" s="24"/>
      </tp>
      <tp t="e">
        <v>#N/A</v>
        <stp/>
        <stp>BDH|1514745575153177169</stp>
        <tr r="E101" s="18"/>
      </tp>
      <tp t="e">
        <v>#N/A</v>
        <stp/>
        <stp>BDH|4819409239976193633</stp>
        <tr r="O18" s="18"/>
      </tp>
      <tp t="e">
        <v>#N/A</v>
        <stp/>
        <stp>BDH|6028100366550489215</stp>
        <tr r="P12" s="30"/>
      </tp>
      <tp t="e">
        <v>#N/A</v>
        <stp/>
        <stp>BDH|1080481422364088098</stp>
        <tr r="V17" s="29"/>
        <tr r="V37" s="29"/>
      </tp>
      <tp t="e">
        <v>#N/A</v>
        <stp/>
        <stp>BDH|5612363164851756202</stp>
        <tr r="D35" s="34"/>
      </tp>
      <tp t="e">
        <v>#N/A</v>
        <stp/>
        <stp>BDH|8553322793012699313</stp>
        <tr r="F27" s="17"/>
      </tp>
      <tp t="e">
        <v>#N/A</v>
        <stp/>
        <stp>BDH|8750817333522535238</stp>
        <tr r="H14" s="10"/>
      </tp>
      <tp t="e">
        <v>#N/A</v>
        <stp/>
        <stp>BDH|4564339511537745232</stp>
        <tr r="E113" s="18"/>
      </tp>
      <tp t="e">
        <v>#N/A</v>
        <stp/>
        <stp>BDH|4473642721872127130</stp>
        <tr r="H8" s="28"/>
      </tp>
      <tp t="e">
        <v>#N/A</v>
        <stp/>
        <stp>BDH|3076823987332202248</stp>
        <tr r="R43" s="17"/>
      </tp>
      <tp t="e">
        <v>#N/A</v>
        <stp/>
        <stp>BDH|6760838977068937293</stp>
        <tr r="Z41" s="24"/>
      </tp>
      <tp t="e">
        <v>#N/A</v>
        <stp/>
        <stp>BDH|2800969201861933963</stp>
        <tr r="Y83" s="18"/>
      </tp>
      <tp t="e">
        <v>#N/A</v>
        <stp/>
        <stp>BDH|7012768024516543778</stp>
        <tr r="M132" s="18"/>
      </tp>
      <tp t="e">
        <v>#N/A</v>
        <stp/>
        <stp>BDH|5740653706455203560</stp>
        <tr r="N43" s="24"/>
      </tp>
      <tp t="e">
        <v>#N/A</v>
        <stp/>
        <stp>BDH|8294471769400499986</stp>
        <tr r="C7" s="14"/>
      </tp>
      <tp t="e">
        <v>#N/A</v>
        <stp/>
        <stp>BDH|9621464570961285825</stp>
        <tr r="M25" s="7"/>
      </tp>
      <tp t="e">
        <v>#N/A</v>
        <stp/>
        <stp>BDH|4404366819336853332</stp>
        <tr r="AA70" s="24"/>
      </tp>
      <tp t="e">
        <v>#N/A</v>
        <stp/>
        <stp>BDH|6963894300409859481</stp>
        <tr r="Z26" s="17"/>
      </tp>
      <tp t="e">
        <v>#N/A</v>
        <stp/>
        <stp>BDH|6534046712192470671</stp>
        <tr r="F46" s="4"/>
        <tr r="F25" s="10"/>
        <tr r="H27" s="13"/>
      </tp>
      <tp t="e">
        <v>#N/A</v>
        <stp/>
        <stp>BDH|6854998381977694368</stp>
        <tr r="V35" s="12"/>
      </tp>
      <tp t="e">
        <v>#N/A</v>
        <stp/>
        <stp>BDH|1151840481682677021</stp>
        <tr r="T9" s="27"/>
      </tp>
      <tp t="e">
        <v>#N/A</v>
        <stp/>
        <stp>BDH|5469721846323268627</stp>
        <tr r="W16" s="2"/>
        <tr r="W32" s="4"/>
        <tr r="W58" s="10"/>
        <tr r="Y19" s="13"/>
      </tp>
      <tp t="e">
        <v>#N/A</v>
        <stp/>
        <stp>BDH|2090603563200450179</stp>
        <tr r="S34" s="21"/>
      </tp>
      <tp t="e">
        <v>#N/A</v>
        <stp/>
        <stp>BDH|5362257745110127026</stp>
        <tr r="Q58" s="24"/>
      </tp>
      <tp t="e">
        <v>#N/A</v>
        <stp/>
        <stp>BDH|1254737991648977497</stp>
        <tr r="M42" s="12"/>
      </tp>
      <tp t="e">
        <v>#N/A</v>
        <stp/>
        <stp>BDH|4251720511171776064</stp>
        <tr r="D46" s="21"/>
      </tp>
      <tp t="e">
        <v>#N/A</v>
        <stp/>
        <stp>BDH|5091532264590088571</stp>
        <tr r="X7" s="17"/>
      </tp>
      <tp t="e">
        <v>#N/A</v>
        <stp/>
        <stp>BDH|5351351241880225159</stp>
        <tr r="Z7" s="30"/>
      </tp>
      <tp t="e">
        <v>#N/A</v>
        <stp/>
        <stp>BDH|5323592038653122332</stp>
        <tr r="AA55" s="12"/>
      </tp>
      <tp t="e">
        <v>#N/A</v>
        <stp/>
        <stp>BDH|4979287390794171806</stp>
        <tr r="I56" s="24"/>
      </tp>
      <tp t="e">
        <v>#N/A</v>
        <stp/>
        <stp>BDH|5143436913563715060</stp>
        <tr r="V31" s="22"/>
      </tp>
      <tp t="e">
        <v>#N/A</v>
        <stp/>
        <stp>BDH|3848470067012912013</stp>
        <tr r="F66" s="10"/>
        <tr r="F64" s="11"/>
        <tr r="F20" s="7"/>
      </tp>
      <tp t="e">
        <v>#N/A</v>
        <stp/>
        <stp>BDH|8209895861350884527</stp>
        <tr r="N115" s="18"/>
      </tp>
      <tp t="e">
        <v>#N/A</v>
        <stp/>
        <stp>BDH|2827271094923834930</stp>
        <tr r="H58" s="24"/>
      </tp>
      <tp t="e">
        <v>#N/A</v>
        <stp/>
        <stp>BDH|4356020033793782753</stp>
        <tr r="I42" s="12"/>
      </tp>
      <tp t="e">
        <v>#N/A</v>
        <stp/>
        <stp>BDH|1011205332897723457</stp>
        <tr r="Z59" s="12"/>
      </tp>
      <tp t="e">
        <v>#N/A</v>
        <stp/>
        <stp>BDH|5566109731407709332</stp>
        <tr r="P8" s="14"/>
      </tp>
      <tp t="e">
        <v>#N/A</v>
        <stp/>
        <stp>BDH|6106870287570265538</stp>
        <tr r="F52" s="12"/>
      </tp>
      <tp t="e">
        <v>#N/A</v>
        <stp/>
        <stp>BDH|8708299964116307993</stp>
        <tr r="E11" s="28"/>
      </tp>
      <tp t="e">
        <v>#N/A</v>
        <stp/>
        <stp>BDH|2990427289959586475</stp>
        <tr r="L25" s="17"/>
      </tp>
      <tp t="e">
        <v>#N/A</v>
        <stp/>
        <stp>BDH|4312402224394398543</stp>
        <tr r="H35" s="34"/>
      </tp>
      <tp t="e">
        <v>#N/A</v>
        <stp/>
        <stp>BDH|3446593799369689526</stp>
        <tr r="C83" s="17"/>
      </tp>
      <tp t="e">
        <v>#N/A</v>
        <stp/>
        <stp>BDH|3738680372882502386</stp>
        <tr r="K54" s="17"/>
      </tp>
      <tp t="e">
        <v>#N/A</v>
        <stp/>
        <stp>BDH|3530377920348630949</stp>
        <tr r="X21" s="6"/>
      </tp>
      <tp t="e">
        <v>#N/A</v>
        <stp/>
        <stp>BDH|6399402597868294067</stp>
        <tr r="M43" s="10"/>
        <tr r="M41" s="11"/>
      </tp>
      <tp t="e">
        <v>#N/A</v>
        <stp/>
        <stp>BDH|8857722038048328718</stp>
        <tr r="U7" s="4"/>
      </tp>
      <tp t="e">
        <v>#N/A</v>
        <stp/>
        <stp>BDH|7599705481219068244</stp>
        <tr r="C49" s="24"/>
      </tp>
      <tp t="e">
        <v>#N/A</v>
        <stp/>
        <stp>BDH|2443450750538352828</stp>
        <tr r="W8" s="4"/>
      </tp>
      <tp t="e">
        <v>#N/A</v>
        <stp/>
        <stp>BDH|6452593420606885457</stp>
        <tr r="H62" s="11"/>
        <tr r="J19" s="23"/>
      </tp>
      <tp t="e">
        <v>#N/A</v>
        <stp/>
        <stp>BDH|8767379970598640760</stp>
        <tr r="E63" s="11"/>
      </tp>
      <tp t="e">
        <v>#N/A</v>
        <stp/>
        <stp>BDH|7497769273146501250</stp>
        <tr r="L10" s="12"/>
      </tp>
      <tp t="e">
        <v>#N/A</v>
        <stp/>
        <stp>BDH|4807214108366972391</stp>
        <tr r="V26" s="17"/>
      </tp>
      <tp t="e">
        <v>#N/A</v>
        <stp/>
        <stp>BDH|5909013640546802417</stp>
        <tr r="V65" s="10"/>
      </tp>
      <tp t="e">
        <v>#N/A</v>
        <stp/>
        <stp>BDH|8668933157863185424</stp>
        <tr r="R114" s="18"/>
      </tp>
      <tp t="e">
        <v>#N/A</v>
        <stp/>
        <stp>BDH|7703803281381618512</stp>
        <tr r="S22" s="21"/>
      </tp>
      <tp t="e">
        <v>#N/A</v>
        <stp/>
        <stp>BDH|8096561796887601073</stp>
        <tr r="V23" s="10"/>
      </tp>
      <tp t="e">
        <v>#N/A</v>
        <stp/>
        <stp>BDH|2449751490757581859</stp>
        <tr r="M35" s="21"/>
      </tp>
      <tp t="e">
        <v>#N/A</v>
        <stp/>
        <stp>BDH|5231007408476967024</stp>
        <tr r="L21" s="12"/>
      </tp>
      <tp t="e">
        <v>#N/A</v>
        <stp/>
        <stp>BDH|3020924993440052005</stp>
        <tr r="R8" s="12"/>
      </tp>
      <tp t="e">
        <v>#N/A</v>
        <stp/>
        <stp>BDH|4406088836352800639</stp>
        <tr r="W36" s="22"/>
      </tp>
      <tp t="e">
        <v>#N/A</v>
        <stp/>
        <stp>BDH|2728742745166101464</stp>
        <tr r="L48" s="21"/>
      </tp>
      <tp t="e">
        <v>#N/A</v>
        <stp/>
        <stp>BDH|8740321625473601975</stp>
        <tr r="Q23" s="2"/>
        <tr r="S18" s="21"/>
        <tr r="S23" s="3"/>
      </tp>
      <tp t="e">
        <v>#N/A</v>
        <stp/>
        <stp>BDH|9940289778968157796</stp>
        <tr r="Y14" s="12"/>
      </tp>
      <tp t="e">
        <v>#N/A</v>
        <stp/>
        <stp>BDH|7904447240372466685</stp>
        <tr r="P15" s="20"/>
      </tp>
      <tp t="e">
        <v>#N/A</v>
        <stp/>
        <stp>BDH|6117337917347367074</stp>
        <tr r="U120" s="18"/>
      </tp>
      <tp t="e">
        <v>#N/A</v>
        <stp/>
        <stp>BDH|6204290179326638657</stp>
        <tr r="R10" s="28"/>
      </tp>
      <tp t="e">
        <v>#N/A</v>
        <stp/>
        <stp>BDH|2141325465475069174</stp>
        <tr r="Q18" s="18"/>
      </tp>
      <tp t="e">
        <v>#N/A</v>
        <stp/>
        <stp>BDH|3654555417203257771</stp>
        <tr r="I20" s="34"/>
      </tp>
      <tp t="e">
        <v>#N/A</v>
        <stp/>
        <stp>BDH|5261054840842050069</stp>
        <tr r="O43" s="12"/>
      </tp>
      <tp t="e">
        <v>#N/A</v>
        <stp/>
        <stp>BDH|2898868167548941719</stp>
        <tr r="O28" s="5"/>
      </tp>
      <tp t="e">
        <v>#N/A</v>
        <stp/>
        <stp>BDH|2291141695029408061</stp>
        <tr r="Q51" s="17"/>
      </tp>
      <tp t="e">
        <v>#N/A</v>
        <stp/>
        <stp>BDH|5898913660228126193</stp>
        <tr r="H46" s="12"/>
      </tp>
      <tp t="e">
        <v>#N/A</v>
        <stp/>
        <stp>BDH|8263809353195103317</stp>
        <tr r="U27" s="17"/>
      </tp>
      <tp t="e">
        <v>#N/A</v>
        <stp/>
        <stp>BDH|5724415288888731284</stp>
        <tr r="J28" s="12"/>
      </tp>
      <tp t="e">
        <v>#N/A</v>
        <stp/>
        <stp>BDH|2957399195322559910</stp>
        <tr r="G10" s="26"/>
      </tp>
      <tp t="e">
        <v>#N/A</v>
        <stp/>
        <stp>BDH|9671953296988725235</stp>
        <tr r="E56" s="17"/>
      </tp>
      <tp t="e">
        <v>#N/A</v>
        <stp/>
        <stp>BDH|2154236948034396380</stp>
        <tr r="D53" s="17"/>
      </tp>
      <tp t="e">
        <v>#N/A</v>
        <stp/>
        <stp>BDH|6212197111451892436</stp>
        <tr r="J26" s="12"/>
      </tp>
      <tp t="e">
        <v>#N/A</v>
        <stp/>
        <stp>BDH|4307364814257234228</stp>
        <tr r="W39" s="18"/>
      </tp>
      <tp t="e">
        <v>#N/A</v>
        <stp/>
        <stp>BDH|7987150581154840941</stp>
        <tr r="Z97" s="18"/>
      </tp>
      <tp t="e">
        <v>#N/A</v>
        <stp/>
        <stp>BDH|2976940404930813803</stp>
        <tr r="R26" s="24"/>
      </tp>
      <tp t="e">
        <v>#N/A</v>
        <stp/>
        <stp>BDH|7670412302662697226</stp>
        <tr r="W20" s="12"/>
      </tp>
      <tp t="e">
        <v>#N/A</v>
        <stp/>
        <stp>BDH|5055442047747373118</stp>
        <tr r="Z114" s="18"/>
      </tp>
      <tp t="e">
        <v>#N/A</v>
        <stp/>
        <stp>BDH|8554938834448153922</stp>
        <tr r="W14" s="12"/>
      </tp>
      <tp t="e">
        <v>#N/A</v>
        <stp/>
        <stp>BDH|5918250988649743552</stp>
        <tr r="K41" s="17"/>
      </tp>
      <tp t="e">
        <v>#N/A</v>
        <stp/>
        <stp>BDH|6660353876516171726</stp>
        <tr r="U22" s="10"/>
      </tp>
      <tp t="e">
        <v>#N/A</v>
        <stp/>
        <stp>BDH|1521411499508240792</stp>
        <tr r="J38" s="22"/>
      </tp>
      <tp t="e">
        <v>#N/A</v>
        <stp/>
        <stp>BDH|7034968453101630959</stp>
        <tr r="C28" s="18"/>
      </tp>
      <tp t="e">
        <v>#N/A</v>
        <stp/>
        <stp>BDH|6826798791939263245</stp>
        <tr r="J67" s="18"/>
      </tp>
      <tp t="e">
        <v>#N/A</v>
        <stp/>
        <stp>BDH|4742323620584612250</stp>
        <tr r="Z17" s="12"/>
      </tp>
      <tp t="e">
        <v>#N/A</v>
        <stp/>
        <stp>BDH|7453327907161706600</stp>
        <tr r="Q25" s="4"/>
        <tr r="Q61" s="10"/>
      </tp>
      <tp t="e">
        <v>#N/A</v>
        <stp/>
        <stp>BDH|9336805744394646273</stp>
        <tr r="L11" s="22"/>
      </tp>
      <tp t="e">
        <v>#N/A</v>
        <stp/>
        <stp>BDH|2411746846262551055</stp>
        <tr r="H11" s="28"/>
      </tp>
      <tp t="e">
        <v>#N/A</v>
        <stp/>
        <stp>BDH|2014665333057182328</stp>
        <tr r="L24" s="2"/>
      </tp>
      <tp t="e">
        <v>#N/A</v>
        <stp/>
        <stp>BDH|2483158266195439356</stp>
        <tr r="J7" s="17"/>
      </tp>
      <tp t="e">
        <v>#N/A</v>
        <stp/>
        <stp>BDH|1938179974732400689</stp>
        <tr r="O67" s="10"/>
        <tr r="O65" s="11"/>
      </tp>
      <tp t="e">
        <v>#N/A</v>
        <stp/>
        <stp>BDH|9591805765447490325</stp>
        <tr r="H36" s="4"/>
      </tp>
      <tp t="e">
        <v>#N/A</v>
        <stp/>
        <stp>BDH|4843087165017627656</stp>
        <tr r="X20" s="25"/>
        <tr r="X13" s="27"/>
      </tp>
      <tp t="e">
        <v>#N/A</v>
        <stp/>
        <stp>BDH|1473260112289645806</stp>
        <tr r="W25" s="2"/>
        <tr r="Y61" s="21"/>
      </tp>
      <tp t="e">
        <v>#N/A</v>
        <stp/>
        <stp>BDH|9079388600839844064</stp>
        <tr r="F18" s="24"/>
      </tp>
      <tp t="e">
        <v>#N/A</v>
        <stp/>
        <stp>BDH|8645405894646139052</stp>
        <tr r="Q49" s="12"/>
      </tp>
      <tp t="e">
        <v>#N/A</v>
        <stp/>
        <stp>BDH|6277107146029328914</stp>
        <tr r="U54" s="24"/>
      </tp>
      <tp t="e">
        <v>#N/A</v>
        <stp/>
        <stp>BDH|7511445357884248121</stp>
        <tr r="J67" s="10"/>
        <tr r="J65" s="11"/>
      </tp>
      <tp t="e">
        <v>#N/A</v>
        <stp/>
        <stp>BDH|4521334264997604526</stp>
        <tr r="H10" s="12"/>
      </tp>
      <tp t="e">
        <v>#N/A</v>
        <stp/>
        <stp>BDH|2255160661195595365</stp>
        <tr r="Q32" s="10"/>
        <tr r="Q44" s="10"/>
        <tr r="Q30" s="11"/>
        <tr r="Q42" s="11"/>
      </tp>
      <tp t="e">
        <v>#N/A</v>
        <stp/>
        <stp>BDH|5553548948770908761</stp>
        <tr r="O9" s="28"/>
      </tp>
      <tp t="e">
        <v>#N/A</v>
        <stp/>
        <stp>BDH|3840184187638341129</stp>
        <tr r="Y52" s="24"/>
      </tp>
      <tp t="e">
        <v>#N/A</v>
        <stp/>
        <stp>BDH|2409557944792287213</stp>
        <tr r="Z109" s="18"/>
      </tp>
      <tp t="e">
        <v>#N/A</v>
        <stp/>
        <stp>BDH|3997192050686541232</stp>
        <tr r="G43" s="17"/>
      </tp>
      <tp t="e">
        <v>#N/A</v>
        <stp/>
        <stp>BDH|6767654313030171268</stp>
        <tr r="N46" s="24"/>
      </tp>
      <tp t="e">
        <v>#N/A</v>
        <stp/>
        <stp>BDH|6045712590508666319</stp>
        <tr r="H16" s="11"/>
      </tp>
      <tp t="e">
        <v>#N/A</v>
        <stp/>
        <stp>BDH|6632627957925402311</stp>
        <tr r="C7" s="10"/>
      </tp>
      <tp t="e">
        <v>#N/A</v>
        <stp/>
        <stp>BDH|6904728768060101447</stp>
        <tr r="W113" s="18"/>
      </tp>
      <tp t="e">
        <v>#N/A</v>
        <stp/>
        <stp>BDH|1644679706331361526</stp>
        <tr r="Q19" s="25"/>
        <tr r="Q12" s="27"/>
      </tp>
      <tp t="e">
        <v>#N/A</v>
        <stp/>
        <stp>BDH|2361326607467604575</stp>
        <tr r="X43" s="17"/>
      </tp>
      <tp t="e">
        <v>#N/A</v>
        <stp/>
        <stp>BDH|3910500779930281251</stp>
        <tr r="Z81" s="18"/>
      </tp>
      <tp t="e">
        <v>#N/A</v>
        <stp/>
        <stp>BDH|7012609834971421072</stp>
        <tr r="T59" s="17"/>
      </tp>
      <tp t="e">
        <v>#N/A</v>
        <stp/>
        <stp>BDH|4851321179077647423</stp>
        <tr r="T11" s="12"/>
      </tp>
      <tp t="e">
        <v>#N/A</v>
        <stp/>
        <stp>BDH|5686772770940745614</stp>
        <tr r="V39" s="13"/>
      </tp>
      <tp t="e">
        <v>#N/A</v>
        <stp/>
        <stp>BDH|6739405375461222775</stp>
        <tr r="F76" s="18"/>
      </tp>
      <tp t="e">
        <v>#N/A</v>
        <stp/>
        <stp>BDH|3590805902951954994</stp>
        <tr r="P35" s="24"/>
      </tp>
      <tp t="e">
        <v>#N/A</v>
        <stp/>
        <stp>BDH|2588066172520162679</stp>
        <tr r="T17" s="20"/>
      </tp>
      <tp t="e">
        <v>#N/A</v>
        <stp/>
        <stp>BDH|3271295718174205764</stp>
        <tr r="E42" s="4"/>
      </tp>
      <tp t="e">
        <v>#N/A</v>
        <stp/>
        <stp>BDH|5920377860710176382</stp>
        <tr r="M6" s="27"/>
      </tp>
      <tp t="e">
        <v>#N/A</v>
        <stp/>
        <stp>BDH|2250766758585396688</stp>
        <tr r="T61" s="12"/>
      </tp>
      <tp t="e">
        <v>#N/A</v>
        <stp/>
        <stp>BDH|2693011914553425308</stp>
        <tr r="Q20" s="2"/>
        <tr r="Q18" s="4"/>
        <tr r="Q54" s="10"/>
        <tr r="Q52" s="11"/>
        <tr r="Q19" s="7"/>
        <tr r="S41" s="13"/>
      </tp>
      <tp t="e">
        <v>#N/A</v>
        <stp/>
        <stp>BDH|4554725451007044212</stp>
        <tr r="D45" s="34"/>
      </tp>
      <tp t="e">
        <v>#N/A</v>
        <stp/>
        <stp>BDH|7975483372517452002</stp>
        <tr r="T26" s="29"/>
      </tp>
      <tp t="e">
        <v>#N/A</v>
        <stp/>
        <stp>BDH|9210530619367715985</stp>
        <tr r="S39" s="13"/>
      </tp>
      <tp t="e">
        <v>#N/A</v>
        <stp/>
        <stp>BDH|7422165551051201161</stp>
        <tr r="Z28" s="22"/>
      </tp>
      <tp t="e">
        <v>#N/A</v>
        <stp/>
        <stp>BDH|2674538746443253367</stp>
        <tr r="T19" s="26"/>
      </tp>
      <tp t="e">
        <v>#N/A</v>
        <stp/>
        <stp>BDH|5453059235216174320</stp>
        <tr r="I62" s="12"/>
      </tp>
      <tp t="e">
        <v>#N/A</v>
        <stp/>
        <stp>BDH|5483120631006263226</stp>
        <tr r="T18" s="26"/>
      </tp>
      <tp t="e">
        <v>#N/A</v>
        <stp/>
        <stp>BDH|5291606961163713537</stp>
        <tr r="C28" s="6"/>
      </tp>
      <tp t="e">
        <v>#N/A</v>
        <stp/>
        <stp>BDH|5719457514434089711</stp>
        <tr r="D45" s="21"/>
      </tp>
      <tp t="e">
        <v>#N/A</v>
        <stp/>
        <stp>BDH|1093980464489238494</stp>
        <tr r="F83" s="17"/>
      </tp>
      <tp t="e">
        <v>#N/A</v>
        <stp/>
        <stp>BDH|1362813039899939054</stp>
        <tr r="F43" s="34"/>
      </tp>
      <tp t="e">
        <v>#N/A</v>
        <stp/>
        <stp>BDH|5055039415673927485</stp>
        <tr r="J19" s="20"/>
      </tp>
      <tp t="e">
        <v>#N/A</v>
        <stp/>
        <stp>BDH|5438877117707484876</stp>
        <tr r="N14" s="6"/>
      </tp>
      <tp t="e">
        <v>#N/A</v>
        <stp/>
        <stp>BDH|7236857654969542015</stp>
        <tr r="F16" s="24"/>
      </tp>
      <tp t="e">
        <v>#N/A</v>
        <stp/>
        <stp>BDH|1175000174274412168</stp>
        <tr r="S128" s="18"/>
      </tp>
      <tp t="e">
        <v>#N/A</v>
        <stp/>
        <stp>BDH|6178270513892447467</stp>
        <tr r="M14" s="11"/>
      </tp>
      <tp t="e">
        <v>#N/A</v>
        <stp/>
        <stp>BDH|4778472025560651149</stp>
        <tr r="Y16" s="25"/>
        <tr r="W22" s="11"/>
      </tp>
      <tp t="e">
        <v>#N/A</v>
        <stp/>
        <stp>BDH|1287677817371161446</stp>
        <tr r="W15" s="5"/>
      </tp>
      <tp t="e">
        <v>#N/A</v>
        <stp/>
        <stp>BDH|7505301170860113037</stp>
        <tr r="D32" s="13"/>
      </tp>
      <tp t="e">
        <v>#N/A</v>
        <stp/>
        <stp>BDH|8415079456819161739</stp>
        <tr r="G82" s="18"/>
      </tp>
      <tp t="e">
        <v>#N/A</v>
        <stp/>
        <stp>BDH|4845290282778743538</stp>
        <tr r="S13" s="22"/>
      </tp>
      <tp t="e">
        <v>#N/A</v>
        <stp/>
        <stp>BDH|5685183591937040989</stp>
        <tr r="G33" s="18"/>
      </tp>
      <tp t="e">
        <v>#N/A</v>
        <stp/>
        <stp>BDH|1176768058126809600</stp>
        <tr r="J9" s="34"/>
      </tp>
      <tp t="e">
        <v>#N/A</v>
        <stp/>
        <stp>BDH|8857151752928956728</stp>
        <tr r="I15" s="11"/>
      </tp>
      <tp t="e">
        <v>#N/A</v>
        <stp/>
        <stp>BDH|2451151326700375204</stp>
        <tr r="S31" s="29"/>
        <tr r="S39" s="29"/>
        <tr r="Q11" s="5"/>
        <tr r="Q10" s="2"/>
        <tr r="P37" s="6"/>
      </tp>
      <tp t="e">
        <v>#N/A</v>
        <stp/>
        <stp>BDH|9641320590320125015</stp>
        <tr r="M46" s="34"/>
      </tp>
      <tp t="e">
        <v>#N/A</v>
        <stp/>
        <stp>BDH|4806272884374643995</stp>
        <tr r="E11" s="13"/>
      </tp>
      <tp t="e">
        <v>#N/A</v>
        <stp/>
        <stp>BDH|4670972380117039157</stp>
        <tr r="Q40" s="21"/>
      </tp>
      <tp t="e">
        <v>#N/A</v>
        <stp/>
        <stp>BDH|6565342201552536411</stp>
        <tr r="M16" s="6"/>
      </tp>
      <tp t="e">
        <v>#N/A</v>
        <stp/>
        <stp>BDH|7534789894149495391</stp>
        <tr r="C20" s="30"/>
      </tp>
      <tp t="e">
        <v>#N/A</v>
        <stp/>
        <stp>BDH|1920207809175677520</stp>
        <tr r="L27" s="5"/>
        <tr r="L28" s="9"/>
      </tp>
      <tp t="e">
        <v>#N/A</v>
        <stp/>
        <stp>BDH|5845267649942613259</stp>
        <tr r="R7" s="14"/>
      </tp>
      <tp t="e">
        <v>#N/A</v>
        <stp/>
        <stp>BDH|4540422721385007427</stp>
        <tr r="J24" s="21"/>
      </tp>
      <tp t="e">
        <v>#N/A</v>
        <stp/>
        <stp>BDH|5073596529738560915</stp>
        <tr r="N21" s="4"/>
      </tp>
      <tp t="e">
        <v>#N/A</v>
        <stp/>
        <stp>BDH|6722605176627070353</stp>
        <tr r="O30" s="34"/>
      </tp>
      <tp t="e">
        <v>#N/A</v>
        <stp/>
        <stp>BDH|2012675871771128135</stp>
        <tr r="I41" s="18"/>
      </tp>
      <tp t="e">
        <v>#N/A</v>
        <stp/>
        <stp>BDH|8668870811530032244</stp>
        <tr r="U7" s="8"/>
      </tp>
      <tp t="e">
        <v>#N/A</v>
        <stp/>
        <stp>BDH|3024512700550626531</stp>
        <tr r="O26" s="29"/>
      </tp>
      <tp t="e">
        <v>#N/A</v>
        <stp/>
        <stp>BDH|1130287870610534787</stp>
        <tr r="H20" s="26"/>
      </tp>
      <tp t="e">
        <v>#N/A</v>
        <stp/>
        <stp>BDH|2326410744628653948</stp>
        <tr r="H12" s="22"/>
      </tp>
      <tp t="e">
        <v>#N/A</v>
        <stp/>
        <stp>BDH|4574230845740322149</stp>
        <tr r="N20" s="25"/>
        <tr r="N13" s="27"/>
      </tp>
      <tp t="e">
        <v>#N/A</v>
        <stp/>
        <stp>BDH|5281829117758227719</stp>
        <tr r="V11" s="24"/>
      </tp>
      <tp t="e">
        <v>#N/A</v>
        <stp/>
        <stp>BDH|5384011823500255474</stp>
        <tr r="D18" s="20"/>
      </tp>
      <tp t="e">
        <v>#N/A</v>
        <stp/>
        <stp>BDH|3463119877045007363</stp>
        <tr r="W27" s="17"/>
      </tp>
      <tp t="e">
        <v>#N/A</v>
        <stp/>
        <stp>BDH|2448640745862149107</stp>
        <tr r="W48" s="18"/>
      </tp>
      <tp t="e">
        <v>#N/A</v>
        <stp/>
        <stp>BDH|6814593162813627517</stp>
        <tr r="AA118" s="18"/>
      </tp>
      <tp t="e">
        <v>#N/A</v>
        <stp/>
        <stp>BDH|8871558118447607874</stp>
        <tr r="M7" s="10"/>
      </tp>
      <tp t="e">
        <v>#N/A</v>
        <stp/>
        <stp>BDH|2897396543692070461</stp>
        <tr r="O11" s="21"/>
      </tp>
      <tp t="e">
        <v>#N/A</v>
        <stp/>
        <stp>BDH|1344068423948437877</stp>
        <tr r="AA16" s="29"/>
        <tr r="AA36" s="29"/>
      </tp>
      <tp t="e">
        <v>#N/A</v>
        <stp/>
        <stp>BDH|2391624466336697744</stp>
        <tr r="T28" s="26"/>
      </tp>
      <tp t="e">
        <v>#N/A</v>
        <stp/>
        <stp>BDH|8629405327388340573</stp>
        <tr r="Q26" s="24"/>
      </tp>
      <tp t="e">
        <v>#N/A</v>
        <stp/>
        <stp>BDH|4292344337580026749</stp>
        <tr r="N18" s="14"/>
      </tp>
      <tp t="e">
        <v>#N/A</v>
        <stp/>
        <stp>BDH|3065930256165338937</stp>
        <tr r="X12" s="20"/>
      </tp>
      <tp t="e">
        <v>#N/A</v>
        <stp/>
        <stp>BDH|2483088188829885095</stp>
        <tr r="AA38" s="13"/>
      </tp>
      <tp t="e">
        <v>#N/A</v>
        <stp/>
        <stp>BDH|6101013565042112117</stp>
        <tr r="T41" s="12"/>
      </tp>
      <tp t="e">
        <v>#N/A</v>
        <stp/>
        <stp>BDH|4142526950250174772</stp>
        <tr r="K6" s="19"/>
        <tr r="K34" s="17"/>
        <tr r="K16" s="3"/>
      </tp>
      <tp t="e">
        <v>#N/A</v>
        <stp/>
        <stp>BDH|2400744164558101806</stp>
        <tr r="O27" s="21"/>
      </tp>
      <tp t="e">
        <v>#N/A</v>
        <stp/>
        <stp>BDH|4695899745542825970</stp>
        <tr r="F119" s="18"/>
      </tp>
      <tp t="e">
        <v>#N/A</v>
        <stp/>
        <stp>BDH|5256903179458919074</stp>
        <tr r="H58" s="17"/>
      </tp>
      <tp t="e">
        <v>#N/A</v>
        <stp/>
        <stp>BDH|2716455922914588303</stp>
        <tr r="AA11" s="22"/>
      </tp>
      <tp t="e">
        <v>#N/A</v>
        <stp/>
        <stp>BDH|8379586687497807113</stp>
        <tr r="G59" s="21"/>
        <tr r="E57" s="11"/>
      </tp>
      <tp t="e">
        <v>#N/A</v>
        <stp/>
        <stp>BDH|1584069247263721568</stp>
        <tr r="G8" s="2"/>
      </tp>
      <tp t="e">
        <v>#N/A</v>
        <stp/>
        <stp>BDH|1323471449734851609</stp>
        <tr r="X30" s="29"/>
        <tr r="X8" s="29"/>
      </tp>
      <tp t="e">
        <v>#N/A</v>
        <stp/>
        <stp>BDH|9694807505475400722</stp>
        <tr r="C16" s="23"/>
      </tp>
      <tp t="e">
        <v>#N/A</v>
        <stp/>
        <stp>BDH|2941042601336172789</stp>
        <tr r="X41" s="18"/>
      </tp>
      <tp t="e">
        <v>#N/A</v>
        <stp/>
        <stp>BDH|8932857259435990392</stp>
        <tr r="U17" s="29"/>
        <tr r="U37" s="29"/>
      </tp>
      <tp t="e">
        <v>#N/A</v>
        <stp/>
        <stp>BDH|4485972799076878176</stp>
        <tr r="N62" s="21"/>
      </tp>
      <tp t="e">
        <v>#N/A</v>
        <stp/>
        <stp>BDH|2336759522155992188</stp>
        <tr r="N24" s="22"/>
      </tp>
      <tp t="e">
        <v>#N/A</v>
        <stp/>
        <stp>BDH|8676992214520783392</stp>
        <tr r="R79" s="18"/>
      </tp>
      <tp t="e">
        <v>#N/A</v>
        <stp/>
        <stp>BDH|1627757704866240303</stp>
        <tr r="M37" s="10"/>
        <tr r="M35" s="11"/>
      </tp>
      <tp t="e">
        <v>#N/A</v>
        <stp/>
        <stp>BDH|5920649009741512147</stp>
        <tr r="O49" s="10"/>
        <tr r="O47" s="11"/>
        <tr r="O16" s="7"/>
      </tp>
      <tp t="e">
        <v>#N/A</v>
        <stp/>
        <stp>BDH|3241059267500379665</stp>
        <tr r="Q20" s="11"/>
      </tp>
      <tp t="e">
        <v>#N/A</v>
        <stp/>
        <stp>BDH|3001628394039763643</stp>
        <tr r="F11" s="13"/>
      </tp>
      <tp t="e">
        <v>#N/A</v>
        <stp/>
        <stp>BDH|6610478461431177646</stp>
        <tr r="S30" s="29"/>
        <tr r="S8" s="29"/>
      </tp>
      <tp t="e">
        <v>#N/A</v>
        <stp/>
        <stp>BDH|8000036085855222613</stp>
        <tr r="I10" s="23"/>
      </tp>
      <tp t="e">
        <v>#N/A</v>
        <stp/>
        <stp>BDH|6988143689405301920</stp>
        <tr r="L49" s="17"/>
        <tr r="L17" s="3"/>
      </tp>
      <tp t="e">
        <v>#N/A</v>
        <stp/>
        <stp>BDH|7208108138533825571</stp>
        <tr r="Q22" s="24"/>
      </tp>
      <tp t="e">
        <v>#N/A</v>
        <stp/>
        <stp>BDH|34915911386337069</stp>
        <tr r="N44" s="24"/>
      </tp>
      <tp t="e">
        <v>#N/A</v>
        <stp/>
        <stp>BDH|16861216004775325</stp>
        <tr r="Q67" s="24"/>
      </tp>
      <tp t="e">
        <v>#N/A</v>
        <stp/>
        <stp>BDH|29885487528428696</stp>
        <tr r="E8" s="10"/>
      </tp>
      <tp t="e">
        <v>#N/A</v>
        <stp/>
        <stp>BDH|11372145270008930</stp>
        <tr r="M34" s="34"/>
      </tp>
      <tp t="e">
        <v>#N/A</v>
        <stp/>
        <stp>BDH|73976408805271237</stp>
        <tr r="G24" s="22"/>
      </tp>
      <tp t="e">
        <v>#N/A</v>
        <stp/>
        <stp>BDH|99337863263785886</stp>
        <tr r="C20" s="12"/>
      </tp>
      <tp t="e">
        <v>#N/A</v>
        <stp/>
        <stp>BDH|766042335980810623</stp>
        <tr r="AA39" s="12"/>
      </tp>
      <tp t="e">
        <v>#N/A</v>
        <stp/>
        <stp>BDH|181781982543209959</stp>
        <tr r="F15" s="24"/>
      </tp>
      <tp t="e">
        <v>#N/A</v>
        <stp/>
        <stp>BDH|947550325822608028</stp>
        <tr r="T68" s="10"/>
        <tr r="T66" s="11"/>
      </tp>
      <tp t="e">
        <v>#N/A</v>
        <stp/>
        <stp>BDH|322494240630155557</stp>
        <tr r="I58" s="18"/>
      </tp>
      <tp t="e">
        <v>#N/A</v>
        <stp/>
        <stp>BDH|761846686062239791</stp>
        <tr r="X83" s="18"/>
      </tp>
      <tp t="e">
        <v>#N/A</v>
        <stp/>
        <stp>BDH|390061280109916441</stp>
        <tr r="F45" s="4"/>
        <tr r="F27" s="10"/>
        <tr r="F25" s="11"/>
        <tr r="H26" s="13"/>
      </tp>
      <tp t="e">
        <v>#N/A</v>
        <stp/>
        <stp>BDH|493259570593083394</stp>
        <tr r="D18" s="29"/>
        <tr r="D38" s="29"/>
      </tp>
      <tp t="e">
        <v>#N/A</v>
        <stp/>
        <stp>BDH|638381975270464178</stp>
        <tr r="L27" s="26"/>
      </tp>
      <tp t="e">
        <v>#N/A</v>
        <stp/>
        <stp>BDH|239763708743702132</stp>
        <tr r="G25" s="7"/>
      </tp>
      <tp t="e">
        <v>#N/A</v>
        <stp/>
        <stp>BDH|698194712200071547</stp>
        <tr r="P16" s="11"/>
      </tp>
      <tp t="e">
        <v>#N/A</v>
        <stp/>
        <stp>BDH|637787435134295501</stp>
        <tr r="I32" s="22"/>
      </tp>
      <tp t="e">
        <v>#N/A</v>
        <stp/>
        <stp>BDH|439652945212890558</stp>
        <tr r="J21" s="17"/>
        <tr r="J15" s="3"/>
      </tp>
      <tp t="e">
        <v>#N/A</v>
        <stp/>
        <stp>BDH|326091386575045850</stp>
        <tr r="U57" s="24"/>
      </tp>
      <tp t="e">
        <v>#N/A</v>
        <stp/>
        <stp>BDH|140375309816294079</stp>
        <tr r="U15" s="21"/>
      </tp>
      <tp t="e">
        <v>#N/A</v>
        <stp/>
        <stp>BDH|124973470748977354</stp>
        <tr r="V28" s="10"/>
        <tr r="V26" s="11"/>
      </tp>
      <tp t="e">
        <v>#N/A</v>
        <stp/>
        <stp>BDH|393264765743869237</stp>
        <tr r="Q45" s="18"/>
      </tp>
      <tp t="e">
        <v>#N/A</v>
        <stp/>
        <stp>BDH|610692354056490042</stp>
        <tr r="M118" s="18"/>
      </tp>
      <tp t="e">
        <v>#N/A</v>
        <stp/>
        <stp>BDH|881549661695265349</stp>
        <tr r="V9" s="2"/>
        <tr r="X8" s="25"/>
        <tr r="V10" s="5"/>
      </tp>
      <tp t="e">
        <v>#N/A</v>
        <stp/>
        <stp>BDH|757909281667862352</stp>
        <tr r="M35" s="12"/>
      </tp>
      <tp t="e">
        <v>#N/A</v>
        <stp/>
        <stp>BDH|446483715765077529</stp>
        <tr r="G37" s="18"/>
      </tp>
      <tp t="e">
        <v>#N/A</v>
        <stp/>
        <stp>BDH|603310799127165849</stp>
        <tr r="J66" s="10"/>
        <tr r="J64" s="11"/>
        <tr r="J20" s="7"/>
      </tp>
      <tp t="e">
        <v>#N/A</v>
        <stp/>
        <stp>BDH|893133619191566437</stp>
        <tr r="I55" s="18"/>
      </tp>
      <tp t="e">
        <v>#N/A</v>
        <stp/>
        <stp>BDH|419384819592199501</stp>
        <tr r="C39" s="17"/>
      </tp>
      <tp t="e">
        <v>#N/A</v>
        <stp/>
        <stp>BDH|173290496916849827</stp>
        <tr r="R8" s="11"/>
      </tp>
      <tp t="e">
        <v>#N/A</v>
        <stp/>
        <stp>BDH|647297234032631692</stp>
        <tr r="W67" s="17"/>
      </tp>
      <tp t="e">
        <v>#N/A</v>
        <stp/>
        <stp>BDH|326864434038417616</stp>
        <tr r="D11" s="7"/>
      </tp>
      <tp t="e">
        <v>#N/A</v>
        <stp/>
        <stp>BDH|797312036891276465</stp>
        <tr r="G24" s="10"/>
      </tp>
      <tp t="e">
        <v>#N/A</v>
        <stp/>
        <stp>BDH|233157950357017633</stp>
        <tr r="G125" s="18"/>
      </tp>
      <tp t="e">
        <v>#N/A</v>
        <stp/>
        <stp>BDH|305017954823066338</stp>
        <tr r="AA14" s="30"/>
      </tp>
      <tp t="e">
        <v>#N/A</v>
        <stp/>
        <stp>BDH|212364486418145644</stp>
        <tr r="N74" s="17"/>
        <tr r="N19" s="3"/>
      </tp>
      <tp t="e">
        <v>#N/A</v>
        <stp/>
        <stp>BDH|668053411907787356</stp>
        <tr r="X15" s="13"/>
      </tp>
      <tp t="e">
        <v>#N/A</v>
        <stp/>
        <stp>BDH|511155046743348357</stp>
        <tr r="S110" s="18"/>
      </tp>
      <tp t="e">
        <v>#N/A</v>
        <stp/>
        <stp>BDH|762242465131503033</stp>
        <tr r="U11" s="21"/>
      </tp>
      <tp t="e">
        <v>#N/A</v>
        <stp/>
        <stp>BDH|909615969563089602</stp>
        <tr r="O71" s="18"/>
      </tp>
      <tp t="e">
        <v>#N/A</v>
        <stp/>
        <stp>BDH|252352484036041825</stp>
        <tr r="M43" s="21"/>
      </tp>
      <tp t="e">
        <v>#N/A</v>
        <stp/>
        <stp>BDH|106482278486605060</stp>
        <tr r="M24" s="29"/>
      </tp>
      <tp t="e">
        <v>#N/A</v>
        <stp/>
        <stp>BDH|872321629790514476</stp>
        <tr r="L49" s="18"/>
      </tp>
      <tp t="e">
        <v>#N/A</v>
        <stp/>
        <stp>BDH|142373485398687648</stp>
        <tr r="S12" s="21"/>
      </tp>
      <tp t="e">
        <v>#N/A</v>
        <stp/>
        <stp>BDH|286410220122062117</stp>
        <tr r="Q14" s="14"/>
      </tp>
      <tp t="e">
        <v>#N/A</v>
        <stp/>
        <stp>BDH|169700553554346338</stp>
        <tr r="S9" s="21"/>
      </tp>
      <tp t="e">
        <v>#N/A</v>
        <stp/>
        <stp>BDH|132279024716794377</stp>
        <tr r="R59" s="12"/>
      </tp>
      <tp t="e">
        <v>#N/A</v>
        <stp/>
        <stp>BDH|504881081793972672</stp>
        <tr r="H33" s="18"/>
      </tp>
      <tp t="e">
        <v>#N/A</v>
        <stp/>
        <stp>BDH|659090119890287464</stp>
        <tr r="Q21" s="3"/>
      </tp>
      <tp t="e">
        <v>#N/A</v>
        <stp/>
        <stp>BDH|366668540617335051</stp>
        <tr r="X9" s="22"/>
      </tp>
      <tp t="e">
        <v>#N/A</v>
        <stp/>
        <stp>BDH|711213245212891184</stp>
        <tr r="U24" s="21"/>
      </tp>
      <tp t="e">
        <v>#N/A</v>
        <stp/>
        <stp>BDH|564194144964868439</stp>
        <tr r="I42" s="34"/>
      </tp>
      <tp t="e">
        <v>#N/A</v>
        <stp/>
        <stp>BDH|556432427925510786</stp>
        <tr r="M44" s="34"/>
      </tp>
      <tp t="e">
        <v>#N/A</v>
        <stp/>
        <stp>BDH|432872250681627897</stp>
        <tr r="L45" s="21"/>
      </tp>
      <tp t="e">
        <v>#N/A</v>
        <stp/>
        <stp>BDH|897439124157555562</stp>
        <tr r="O17" s="23"/>
      </tp>
      <tp t="e">
        <v>#N/A</v>
        <stp/>
        <stp>BDH|710600921246212684</stp>
        <tr r="R27" s="18"/>
      </tp>
      <tp t="e">
        <v>#N/A</v>
        <stp/>
        <stp>BDH|837352670932315233</stp>
        <tr r="Z30" s="22"/>
      </tp>
      <tp t="e">
        <v>#N/A</v>
        <stp/>
        <stp>BDH|830703804042132109</stp>
        <tr r="AA31" s="17"/>
      </tp>
      <tp t="e">
        <v>#N/A</v>
        <stp/>
        <stp>BDH|691717199302107820</stp>
        <tr r="L25" s="4"/>
        <tr r="L61" s="10"/>
      </tp>
      <tp t="e">
        <v>#N/A</v>
        <stp/>
        <stp>BDH|992262018585968238</stp>
        <tr r="E36" s="22"/>
      </tp>
      <tp t="e">
        <v>#N/A</v>
        <stp/>
        <stp>BDH|419090430120167716</stp>
        <tr r="F22" s="4"/>
      </tp>
      <tp t="e">
        <v>#N/A</v>
        <stp/>
        <stp>BDH|845767836950602009</stp>
        <tr r="M11" s="7"/>
      </tp>
      <tp t="e">
        <v>#N/A</v>
        <stp/>
        <stp>BDH|706739076794925058</stp>
        <tr r="D125" s="18"/>
      </tp>
      <tp t="e">
        <v>#N/A</v>
        <stp/>
        <stp>BDH|947417405281656150</stp>
        <tr r="P56" s="12"/>
      </tp>
      <tp t="e">
        <v>#N/A</v>
        <stp/>
        <stp>BDH|427240080286687890</stp>
        <tr r="V23" s="22"/>
      </tp>
      <tp t="e">
        <v>#N/A</v>
        <stp/>
        <stp>BDH|162592646476968380</stp>
        <tr r="C24" s="17"/>
      </tp>
      <tp t="e">
        <v>#N/A</v>
        <stp/>
        <stp>BDH|417971697264809034</stp>
        <tr r="C31" s="17"/>
      </tp>
      <tp t="e">
        <v>#N/A</v>
        <stp/>
        <stp>BDH|510068301125941136</stp>
        <tr r="T18" s="9"/>
      </tp>
      <tp t="e">
        <v>#N/A</v>
        <stp/>
        <stp>BDH|362309946471844257</stp>
        <tr r="Y62" s="11"/>
        <tr r="AA19" s="23"/>
      </tp>
      <tp t="e">
        <v>#N/A</v>
        <stp/>
        <stp>BDH|742784248772728583</stp>
        <tr r="P49" s="12"/>
      </tp>
      <tp t="e">
        <v>#N/A</v>
        <stp/>
        <stp>BDH|328838546728623093</stp>
        <tr r="P8" s="26"/>
        <tr r="N10" s="9"/>
      </tp>
      <tp t="e">
        <v>#N/A</v>
        <stp/>
        <stp>BDH|813022701207584378</stp>
        <tr r="W13" s="9"/>
      </tp>
      <tp t="e">
        <v>#N/A</v>
        <stp/>
        <stp>BDH|276000409846066213</stp>
        <tr r="G25" s="2"/>
        <tr r="I61" s="21"/>
      </tp>
      <tp t="e">
        <v>#N/A</v>
        <stp/>
        <stp>BDH|839841285166294213</stp>
        <tr r="V41" s="21"/>
      </tp>
      <tp t="e">
        <v>#N/A</v>
        <stp/>
        <stp>BDH|230538162452022593</stp>
        <tr r="X11" s="28"/>
      </tp>
      <tp t="e">
        <v>#N/A</v>
        <stp/>
        <stp>BDH|644050045579806945</stp>
        <tr r="L40" s="29"/>
      </tp>
      <tp t="e">
        <v>#N/A</v>
        <stp/>
        <stp>BDH|824591732980110295</stp>
        <tr r="N22" s="9"/>
      </tp>
      <tp t="e">
        <v>#N/A</v>
        <stp/>
        <stp>BDH|283090424906192057</stp>
        <tr r="G43" s="21"/>
      </tp>
      <tp t="e">
        <v>#N/A</v>
        <stp/>
        <stp>BDH|867670699192460993</stp>
        <tr r="AA10" s="13"/>
      </tp>
      <tp t="e">
        <v>#N/A</v>
        <stp/>
        <stp>BDH|980318452640321227</stp>
        <tr r="N42" s="4"/>
      </tp>
      <tp t="e">
        <v>#N/A</v>
        <stp/>
        <stp>BDH|728690636420917159</stp>
        <tr r="M18" s="30"/>
      </tp>
      <tp t="e">
        <v>#N/A</v>
        <stp/>
        <stp>BDH|873402740087486382</stp>
        <tr r="H52" s="12"/>
      </tp>
      <tp t="e">
        <v>#N/A</v>
        <stp/>
        <stp>BDH|974593081308069153</stp>
        <tr r="J7" s="2"/>
        <tr r="J7" s="5"/>
        <tr r="J7" s="9"/>
        <tr r="L14" s="3"/>
      </tp>
      <tp t="e">
        <v>#N/A</v>
        <stp/>
        <stp>BDH|164006944900195000</stp>
        <tr r="M24" s="12"/>
      </tp>
      <tp t="e">
        <v>#N/A</v>
        <stp/>
        <stp>BDH|875703049862286571</stp>
        <tr r="U18" s="22"/>
      </tp>
      <tp t="e">
        <v>#N/A</v>
        <stp/>
        <stp>BDH|607556165821310600</stp>
        <tr r="P63" s="24"/>
      </tp>
      <tp t="e">
        <v>#N/A</v>
        <stp/>
        <stp>BDH|634241002767603137</stp>
        <tr r="N15" s="22"/>
      </tp>
      <tp t="e">
        <v>#N/A</v>
        <stp/>
        <stp>BDH|692123528430163789</stp>
        <tr r="W18" s="2"/>
        <tr r="W53" s="4"/>
        <tr r="W42" s="10"/>
        <tr r="W40" s="11"/>
        <tr r="Y34" s="13"/>
      </tp>
      <tp t="e">
        <v>#N/A</v>
        <stp/>
        <stp>BDH|793994399587089326</stp>
        <tr r="Q85" s="18"/>
      </tp>
      <tp t="e">
        <v>#N/A</v>
        <stp/>
        <stp>BDH|836539865801956618</stp>
        <tr r="O97" s="18"/>
      </tp>
      <tp t="e">
        <v>#N/A</v>
        <stp/>
        <stp>BDH|102293733344949142</stp>
        <tr r="Y14" s="4"/>
      </tp>
      <tp t="e">
        <v>#N/A</v>
        <stp/>
        <stp>BDH|207569117460438019</stp>
        <tr r="S19" s="24"/>
      </tp>
      <tp t="e">
        <v>#N/A</v>
        <stp/>
        <stp>BDH|635864389982668680</stp>
        <tr r="O9" s="29"/>
      </tp>
      <tp t="e">
        <v>#N/A</v>
        <stp/>
        <stp>BDH|187503235643500164</stp>
        <tr r="T12" s="20"/>
      </tp>
      <tp t="e">
        <v>#N/A</v>
        <stp/>
        <stp>BDH|217568107285211465</stp>
        <tr r="N54" s="21"/>
      </tp>
      <tp t="e">
        <v>#N/A</v>
        <stp/>
        <stp>BDH|100902463833214876</stp>
        <tr r="J112" s="18"/>
      </tp>
      <tp t="e">
        <v>#N/A</v>
        <stp/>
        <stp>BDH|811316873637409793</stp>
        <tr r="T7" s="23"/>
      </tp>
      <tp t="e">
        <v>#N/A</v>
        <stp/>
        <stp>BDH|974960949311626875</stp>
        <tr r="H57" s="17"/>
      </tp>
      <tp t="e">
        <v>#N/A</v>
        <stp/>
        <stp>BDH|197887399310539528</stp>
        <tr r="Y26" s="12"/>
      </tp>
      <tp t="e">
        <v>#N/A</v>
        <stp/>
        <stp>BDH|456492239046321500</stp>
        <tr r="N49" s="17"/>
        <tr r="N17" s="3"/>
      </tp>
      <tp t="e">
        <v>#N/A</v>
        <stp/>
        <stp>BDH|971130074435042792</stp>
        <tr r="AA32" s="18"/>
      </tp>
      <tp t="e">
        <v>#N/A</v>
        <stp/>
        <stp>BDH|731644714892616104</stp>
        <tr r="H14" s="23"/>
      </tp>
      <tp t="e">
        <v>#N/A</v>
        <stp/>
        <stp>BDH|755413163211141759</stp>
        <tr r="H24" s="11"/>
      </tp>
      <tp t="e">
        <v>#N/A</v>
        <stp/>
        <stp>BDH|837859097505885035</stp>
        <tr r="AA16" s="21"/>
      </tp>
      <tp t="e">
        <v>#N/A</v>
        <stp/>
        <stp>BDH|129758705327829489</stp>
        <tr r="S54" s="24"/>
      </tp>
      <tp t="e">
        <v>#N/A</v>
        <stp/>
        <stp>BDH|290821792837346205</stp>
        <tr r="C50" s="4"/>
      </tp>
      <tp t="e">
        <v>#N/A</v>
        <stp/>
        <stp>BDH|881182949675141499</stp>
        <tr r="V28" s="12"/>
      </tp>
      <tp t="e">
        <v>#N/A</v>
        <stp/>
        <stp>BDH|697731826598274933</stp>
        <tr r="D47" s="21"/>
      </tp>
      <tp t="e">
        <v>#N/A</v>
        <stp/>
        <stp>BDH|976397302233847496</stp>
        <tr r="E42" s="21"/>
      </tp>
      <tp t="e">
        <v>#N/A</v>
        <stp/>
        <stp>BDH|109051164093033137</stp>
        <tr r="O11" s="12"/>
      </tp>
      <tp t="e">
        <v>#N/A</v>
        <stp/>
        <stp>BDH|790505555871620573</stp>
        <tr r="Q87" s="17"/>
        <tr r="Q27" s="25"/>
      </tp>
      <tp t="e">
        <v>#N/A</v>
        <stp/>
        <stp>BDH|130363201973649438</stp>
        <tr r="X47" s="24"/>
      </tp>
      <tp t="e">
        <v>#N/A</v>
        <stp/>
        <stp>BDH|406829023035147887</stp>
        <tr r="P39" s="22"/>
      </tp>
      <tp t="e">
        <v>#N/A</v>
        <stp/>
        <stp>BDH|216776859815250027</stp>
        <tr r="H28" s="22"/>
      </tp>
      <tp t="e">
        <v>#N/A</v>
        <stp/>
        <stp>BDH|507259742940654180</stp>
        <tr r="L8" s="21"/>
      </tp>
      <tp t="e">
        <v>#N/A</v>
        <stp/>
        <stp>BDH|769765939842704126</stp>
        <tr r="R32" s="25"/>
        <tr r="R7" s="3"/>
        <tr r="P19" s="11"/>
        <tr r="R22" s="13"/>
        <tr r="R7" s="13"/>
      </tp>
      <tp t="e">
        <v>#N/A</v>
        <stp/>
        <stp>BDH|453638095961821970</stp>
        <tr r="R49" s="12"/>
      </tp>
      <tp t="e">
        <v>#N/A</v>
        <stp/>
        <stp>BDH|921812545582773974</stp>
        <tr r="J6" s="27"/>
      </tp>
      <tp t="e">
        <v>#N/A</v>
        <stp/>
        <stp>BDH|737316455978590985</stp>
        <tr r="L35" s="24"/>
      </tp>
      <tp t="e">
        <v>#N/A</v>
        <stp/>
        <stp>BDH|335570730746366797</stp>
        <tr r="Y36" s="10"/>
        <tr r="Y34" s="11"/>
      </tp>
      <tp t="e">
        <v>#N/A</v>
        <stp/>
        <stp>BDH|977671736554298655</stp>
        <tr r="E8" s="17"/>
      </tp>
      <tp t="e">
        <v>#N/A</v>
        <stp/>
        <stp>BDH|640045227722803723</stp>
        <tr r="H31" s="17"/>
      </tp>
      <tp t="e">
        <v>#N/A</v>
        <stp/>
        <stp>BDH|531996284104290220</stp>
        <tr r="I36" s="10"/>
        <tr r="I34" s="11"/>
      </tp>
      <tp t="e">
        <v>#N/A</v>
        <stp/>
        <stp>BDH|452204419494528003</stp>
        <tr r="O50" s="4"/>
      </tp>
      <tp t="e">
        <v>#N/A</v>
        <stp/>
        <stp>BDH|873254097734096836</stp>
        <tr r="M10" s="21"/>
      </tp>
      <tp t="e">
        <v>#N/A</v>
        <stp/>
        <stp>BDH|840310028301108799</stp>
        <tr r="O121" s="18"/>
      </tp>
      <tp t="e">
        <v>#N/A</v>
        <stp/>
        <stp>BDH|597223458234049461</stp>
        <tr r="L8" s="4"/>
      </tp>
      <tp t="e">
        <v>#N/A</v>
        <stp/>
        <stp>BDH|842559225714610479</stp>
        <tr r="AA19" s="25"/>
        <tr r="AA12" s="27"/>
      </tp>
      <tp t="e">
        <v>#N/A</v>
        <stp/>
        <stp>BDH|113783900752478242</stp>
        <tr r="W13" s="6"/>
      </tp>
      <tp t="e">
        <v>#N/A</v>
        <stp/>
        <stp>BDH|692820848073161874</stp>
        <tr r="Z49" s="18"/>
      </tp>
      <tp t="e">
        <v>#N/A</v>
        <stp/>
        <stp>BDH|996493557977570188</stp>
        <tr r="F33" s="21"/>
      </tp>
      <tp t="e">
        <v>#N/A</v>
        <stp/>
        <stp>BDH|801818627975424804</stp>
        <tr r="Y50" s="18"/>
      </tp>
      <tp t="e">
        <v>#N/A</v>
        <stp/>
        <stp>BDH|919502658435325280</stp>
        <tr r="L27" s="18"/>
      </tp>
      <tp t="e">
        <v>#N/A</v>
        <stp/>
        <stp>BDH|569616550534682096</stp>
        <tr r="U49" s="24"/>
      </tp>
      <tp t="e">
        <v>#N/A</v>
        <stp/>
        <stp>BDH|139412723645373449</stp>
        <tr r="X10" s="23"/>
      </tp>
      <tp t="e">
        <v>#N/A</v>
        <stp/>
        <stp>BDH|926702870710955741</stp>
        <tr r="V11" s="3"/>
        <tr r="T46" s="10"/>
        <tr r="T44" s="11"/>
        <tr r="T8" s="7"/>
      </tp>
      <tp t="e">
        <v>#N/A</v>
        <stp/>
        <stp>BDH|604501754392584521</stp>
        <tr r="E13" s="10"/>
      </tp>
      <tp t="e">
        <v>#N/A</v>
        <stp/>
        <stp>BDH|715436360360006518</stp>
        <tr r="D32" s="21"/>
      </tp>
      <tp t="e">
        <v>#N/A</v>
        <stp/>
        <stp>BDH|527767774425191238</stp>
        <tr r="E25" s="17"/>
      </tp>
      <tp t="e">
        <v>#N/A</v>
        <stp/>
        <stp>BDH|745062928346439382</stp>
        <tr r="P105" s="18"/>
      </tp>
      <tp t="e">
        <v>#N/A</v>
        <stp/>
        <stp>BDH|556235796025375962</stp>
        <tr r="V89" s="17"/>
        <tr r="V7" s="27"/>
      </tp>
      <tp t="e">
        <v>#N/A</v>
        <stp/>
        <stp>BDH|207181040001587395</stp>
        <tr r="X8" s="12"/>
      </tp>
      <tp t="e">
        <v>#N/A</v>
        <stp/>
        <stp>BDH|544597520275239580</stp>
        <tr r="X14" s="8"/>
      </tp>
      <tp t="e">
        <v>#N/A</v>
        <stp/>
        <stp>BDH|773210975064752626</stp>
        <tr r="P122" s="18"/>
      </tp>
      <tp t="e">
        <v>#N/A</v>
        <stp/>
        <stp>BDH|293717936147248403</stp>
        <tr r="J7" s="11"/>
      </tp>
      <tp t="e">
        <v>#N/A</v>
        <stp/>
        <stp>BDH|886297187475646877</stp>
        <tr r="H22" s="4"/>
      </tp>
      <tp t="e">
        <v>#N/A</v>
        <stp/>
        <stp>BDH|871296536983805588</stp>
        <tr r="K21" s="2"/>
      </tp>
      <tp t="e">
        <v>#N/A</v>
        <stp/>
        <stp>BDH|840463978275840191</stp>
        <tr r="N16" s="22"/>
      </tp>
      <tp t="e">
        <v>#N/A</v>
        <stp/>
        <stp>BDH|247530024557160736</stp>
        <tr r="R46" s="17"/>
      </tp>
      <tp t="e">
        <v>#N/A</v>
        <stp/>
        <stp>BDH|541633802150719141</stp>
        <tr r="M37" s="22"/>
      </tp>
      <tp t="e">
        <v>#N/A</v>
        <stp/>
        <stp>BDH|277061073858932898</stp>
        <tr r="AA27" s="26"/>
      </tp>
      <tp t="e">
        <v>#N/A</v>
        <stp/>
        <stp>BDH|103743214210348150</stp>
        <tr r="U21" s="6"/>
      </tp>
      <tp t="e">
        <v>#N/A</v>
        <stp/>
        <stp>BDH|342002755845789719</stp>
        <tr r="X35" s="12"/>
      </tp>
      <tp t="e">
        <v>#N/A</v>
        <stp/>
        <stp>BDH|834786152744385118</stp>
        <tr r="K8" s="18"/>
      </tp>
      <tp t="e">
        <v>#N/A</v>
        <stp/>
        <stp>BDH|114856355652986889</stp>
        <tr r="AA8" s="28"/>
      </tp>
      <tp t="e">
        <v>#N/A</v>
        <stp/>
        <stp>BDH|210776841895188151</stp>
        <tr r="G61" s="18"/>
      </tp>
      <tp t="e">
        <v>#N/A</v>
        <stp/>
        <stp>BDH|503682059591465505</stp>
        <tr r="T11" s="28"/>
      </tp>
      <tp t="e">
        <v>#N/A</v>
        <stp/>
        <stp>BDH|338895146399963256</stp>
        <tr r="N9" s="18"/>
      </tp>
      <tp t="e">
        <v>#N/A</v>
        <stp/>
        <stp>BDH|313100853351633278</stp>
        <tr r="I57" s="24"/>
      </tp>
      <tp t="e">
        <v>#N/A</v>
        <stp/>
        <stp>BDH|324807581974423373</stp>
        <tr r="Y54" s="24"/>
      </tp>
      <tp t="e">
        <v>#N/A</v>
        <stp/>
        <stp>BDH|688425614534324610</stp>
        <tr r="Q37" s="10"/>
        <tr r="Q35" s="11"/>
      </tp>
      <tp t="e">
        <v>#N/A</v>
        <stp/>
        <stp>BDH|720634122680370379</stp>
        <tr r="F10" s="26"/>
      </tp>
      <tp t="e">
        <v>#N/A</v>
        <stp/>
        <stp>BDH|172040356442511044</stp>
        <tr r="H13" s="18"/>
      </tp>
      <tp t="e">
        <v>#N/A</v>
        <stp/>
        <stp>BDH|404367857165024468</stp>
        <tr r="AA15" s="24"/>
      </tp>
      <tp t="e">
        <v>#N/A</v>
        <stp/>
        <stp>BDH|720953880367379128</stp>
        <tr r="X102" s="18"/>
      </tp>
      <tp t="e">
        <v>#N/A</v>
        <stp/>
        <stp>BDH|478046464275544424</stp>
        <tr r="I37" s="17"/>
      </tp>
      <tp t="e">
        <v>#N/A</v>
        <stp/>
        <stp>BDH|682509681968093247</stp>
        <tr r="P20" s="30"/>
      </tp>
      <tp t="e">
        <v>#N/A</v>
        <stp/>
        <stp>BDH|384152035966333337</stp>
        <tr r="G41" s="21"/>
      </tp>
      <tp t="e">
        <v>#N/A</v>
        <stp/>
        <stp>BDH|341035508221684723</stp>
        <tr r="S95" s="18"/>
      </tp>
      <tp t="e">
        <v>#N/A</v>
        <stp/>
        <stp>BDH|943044621917551353</stp>
        <tr r="Y29" s="12"/>
      </tp>
      <tp t="e">
        <v>#N/A</v>
        <stp/>
        <stp>BDH|156768479071103727</stp>
        <tr r="Z107" s="18"/>
      </tp>
      <tp t="e">
        <v>#N/A</v>
        <stp/>
        <stp>BDH|316157668872233318</stp>
        <tr r="Z17" s="23"/>
      </tp>
      <tp t="e">
        <v>#N/A</v>
        <stp/>
        <stp>BDH|507869728779136541</stp>
        <tr r="M63" s="17"/>
      </tp>
      <tp t="e">
        <v>#N/A</v>
        <stp/>
        <stp>BDH|711175469277451628</stp>
        <tr r="U35" s="6"/>
        <tr r="W10" s="8"/>
      </tp>
      <tp t="e">
        <v>#N/A</v>
        <stp/>
        <stp>BDH|563757709956124773</stp>
        <tr r="I9" s="28"/>
      </tp>
      <tp t="e">
        <v>#N/A</v>
        <stp/>
        <stp>BDH|459779623697840470</stp>
        <tr r="H66" s="18"/>
      </tp>
      <tp t="e">
        <v>#N/A</v>
        <stp/>
        <stp>BDH|995064610561330637</stp>
        <tr r="AA49" s="12"/>
      </tp>
      <tp t="e">
        <v>#N/A</v>
        <stp/>
        <stp>BDH|532472343312811463</stp>
        <tr r="U44" s="18"/>
      </tp>
      <tp t="e">
        <v>#N/A</v>
        <stp/>
        <stp>BDH|509561675291954506</stp>
        <tr r="L17" s="9"/>
      </tp>
      <tp t="e">
        <v>#N/A</v>
        <stp/>
        <stp>BDH|961536561172464779</stp>
        <tr r="C49" s="10"/>
        <tr r="C47" s="11"/>
        <tr r="C16" s="7"/>
      </tp>
      <tp t="e">
        <v>#N/A</v>
        <stp/>
        <stp>BDH|969714168710016789</stp>
        <tr r="V73" s="18"/>
      </tp>
      <tp t="e">
        <v>#N/A</v>
        <stp/>
        <stp>BDH|596546994818485298</stp>
        <tr r="C85" s="18"/>
      </tp>
      <tp t="e">
        <v>#N/A</v>
        <stp/>
        <stp>BDH|944808424688055444</stp>
        <tr r="W23" s="22"/>
      </tp>
      <tp t="e">
        <v>#N/A</v>
        <stp/>
        <stp>BDH|884140657310664245</stp>
        <tr r="G42" s="12"/>
      </tp>
      <tp t="e">
        <v>#N/A</v>
        <stp/>
        <stp>BDH|597488724762014201</stp>
        <tr r="J13" s="12"/>
      </tp>
      <tp t="e">
        <v>#N/A</v>
        <stp/>
        <stp>BDH|754039022130854440</stp>
        <tr r="C20" s="2"/>
        <tr r="C18" s="4"/>
        <tr r="C54" s="10"/>
        <tr r="C52" s="11"/>
        <tr r="C19" s="7"/>
        <tr r="E41" s="13"/>
      </tp>
      <tp t="e">
        <v>#N/A</v>
        <stp/>
        <stp>BDH|563606049857519336</stp>
        <tr r="J17" s="23"/>
      </tp>
      <tp t="e">
        <v>#N/A</v>
        <stp/>
        <stp>BDH|494914625619384490</stp>
        <tr r="S94" s="18"/>
      </tp>
      <tp t="e">
        <v>#N/A</v>
        <stp/>
        <stp>BDH|566221310344582189</stp>
        <tr r="M23" s="10"/>
      </tp>
      <tp t="e">
        <v>#N/A</v>
        <stp/>
        <stp>BDH|357463790689652285</stp>
        <tr r="E67" s="10"/>
        <tr r="E65" s="11"/>
      </tp>
      <tp t="e">
        <v>#N/A</v>
        <stp/>
        <stp>BDH|438368907302886766</stp>
        <tr r="H14" s="18"/>
      </tp>
      <tp t="e">
        <v>#N/A</v>
        <stp/>
        <stp>BDH|383403597793711888</stp>
        <tr r="H83" s="17"/>
      </tp>
      <tp t="e">
        <v>#N/A</v>
        <stp/>
        <stp>BDH|228343142399231823</stp>
        <tr r="P131" s="18"/>
      </tp>
      <tp t="e">
        <v>#N/A</v>
        <stp/>
        <stp>BDH|164632996611857885</stp>
        <tr r="M16" s="26"/>
      </tp>
      <tp t="e">
        <v>#N/A</v>
        <stp/>
        <stp>BDH|496258090944091942</stp>
        <tr r="T126" s="18"/>
      </tp>
      <tp t="e">
        <v>#N/A</v>
        <stp/>
        <stp>BDH|415275431276348141</stp>
        <tr r="P20" s="26"/>
      </tp>
      <tp t="e">
        <v>#N/A</v>
        <stp/>
        <stp>BDH|434979111946712839</stp>
        <tr r="O24" s="4"/>
        <tr r="O59" s="11"/>
      </tp>
      <tp t="e">
        <v>#N/A</v>
        <stp/>
        <stp>BDH|999423933423929277</stp>
        <tr r="T36" s="18"/>
      </tp>
      <tp t="e">
        <v>#N/A</v>
        <stp/>
        <stp>BDH|471681469130278610</stp>
        <tr r="F72" s="18"/>
      </tp>
      <tp t="e">
        <v>#N/A</v>
        <stp/>
        <stp>BDH|957243648609658946</stp>
        <tr r="V112" s="18"/>
      </tp>
      <tp t="e">
        <v>#N/A</v>
        <stp/>
        <stp>BDH|188501324087618648</stp>
        <tr r="W16" s="24"/>
      </tp>
      <tp t="e">
        <v>#N/A</v>
        <stp/>
        <stp>BDH|805283857874661517</stp>
        <tr r="H126" s="18"/>
      </tp>
      <tp t="e">
        <v>#N/A</v>
        <stp/>
        <stp>BDH|446330466132916189</stp>
        <tr r="Q8" s="10"/>
      </tp>
      <tp t="e">
        <v>#N/A</v>
        <stp/>
        <stp>BDH|565385019871586511</stp>
        <tr r="Y72" s="17"/>
      </tp>
      <tp t="e">
        <v>#N/A</v>
        <stp/>
        <stp>BDH|543672415636662711</stp>
        <tr r="X28" s="25"/>
      </tp>
      <tp t="e">
        <v>#N/A</v>
        <stp/>
        <stp>BDH|652469465811114554</stp>
        <tr r="P11" s="21"/>
      </tp>
      <tp t="e">
        <v>#N/A</v>
        <stp/>
        <stp>BDH|835857086613192587</stp>
        <tr r="O16" s="14"/>
      </tp>
      <tp t="e">
        <v>#N/A</v>
        <stp/>
        <stp>BDH|930367223931894669</stp>
        <tr r="G39" s="4"/>
        <tr r="G62" s="10"/>
      </tp>
      <tp t="e">
        <v>#N/A</v>
        <stp/>
        <stp>BDH|231452660682039659</stp>
        <tr r="E48" s="12"/>
      </tp>
      <tp t="e">
        <v>#N/A</v>
        <stp/>
        <stp>BDH|851607424325772794</stp>
        <tr r="N30" s="12"/>
      </tp>
      <tp t="e">
        <v>#N/A</v>
        <stp/>
        <stp>BDH|848611965611852765</stp>
        <tr r="P63" s="17"/>
      </tp>
      <tp t="e">
        <v>#N/A</v>
        <stp/>
        <stp>BDH|113426406255526722</stp>
        <tr r="W27" s="26"/>
      </tp>
      <tp t="e">
        <v>#N/A</v>
        <stp/>
        <stp>BDH|837408219300411361</stp>
        <tr r="G16" s="11"/>
      </tp>
      <tp t="e">
        <v>#N/A</v>
        <stp/>
        <stp>BDH|275630405589092974</stp>
        <tr r="F20" s="30"/>
      </tp>
      <tp t="e">
        <v>#N/A</v>
        <stp/>
        <stp>BDH|914188368488986939</stp>
        <tr r="I8" s="2"/>
      </tp>
      <tp t="e">
        <v>#N/A</v>
        <stp/>
        <stp>BDH|450355423303552440</stp>
        <tr r="N94" s="18"/>
      </tp>
      <tp t="e">
        <v>#N/A</v>
        <stp/>
        <stp>BDH|554195798718905119</stp>
        <tr r="P29" s="10"/>
        <tr r="P27" s="11"/>
      </tp>
      <tp t="e">
        <v>#N/A</v>
        <stp/>
        <stp>BDH|659539352991234098</stp>
        <tr r="X20" s="11"/>
      </tp>
      <tp t="e">
        <v>#N/A</v>
        <stp/>
        <stp>BDH|830478675654480626</stp>
        <tr r="S111" s="18"/>
      </tp>
      <tp t="e">
        <v>#N/A</v>
        <stp/>
        <stp>BDH|944163630293848098</stp>
        <tr r="E9" s="21"/>
      </tp>
      <tp t="e">
        <v>#N/A</v>
        <stp/>
        <stp>BDH|990753982126789871</stp>
        <tr r="J23" s="10"/>
      </tp>
      <tp t="e">
        <v>#N/A</v>
        <stp/>
        <stp>BDH|251346160514820018</stp>
        <tr r="X54" s="17"/>
      </tp>
      <tp t="e">
        <v>#N/A</v>
        <stp/>
        <stp>BDH|166586211444746106</stp>
        <tr r="M22" s="18"/>
      </tp>
      <tp t="e">
        <v>#N/A</v>
        <stp/>
        <stp>BDH|557236627255999404</stp>
        <tr r="L97" s="18"/>
      </tp>
      <tp t="e">
        <v>#N/A</v>
        <stp/>
        <stp>BDH|900881495696974653</stp>
        <tr r="S10" s="11"/>
      </tp>
      <tp t="e">
        <v>#N/A</v>
        <stp/>
        <stp>BDH|211126111966019787</stp>
        <tr r="P56" s="18"/>
      </tp>
      <tp t="e">
        <v>#N/A</v>
        <stp/>
        <stp>BDH|850311641983162507</stp>
        <tr r="E23" s="10"/>
      </tp>
      <tp t="e">
        <v>#N/A</v>
        <stp/>
        <stp>BDH|376315011033216082</stp>
        <tr r="P65" s="18"/>
      </tp>
      <tp t="e">
        <v>#N/A</v>
        <stp/>
        <stp>BDH|721094476921932788</stp>
        <tr r="G46" s="12"/>
      </tp>
      <tp t="e">
        <v>#N/A</v>
        <stp/>
        <stp>BDH|928683808410467775</stp>
        <tr r="X42" s="12"/>
      </tp>
      <tp t="e">
        <v>#N/A</v>
        <stp/>
        <stp>BDH|826078060777444001</stp>
        <tr r="O21" s="22"/>
      </tp>
      <tp t="e">
        <v>#N/A</v>
        <stp/>
        <stp>BDH|386045332267644584</stp>
        <tr r="C14" s="21"/>
      </tp>
      <tp t="e">
        <v>#N/A</v>
        <stp/>
        <stp>BDH|127599013464408140</stp>
        <tr r="R46" s="24"/>
      </tp>
      <tp t="e">
        <v>#N/A</v>
        <stp/>
        <stp>BDH|436489018377965368</stp>
        <tr r="L8" s="14"/>
      </tp>
      <tp t="e">
        <v>#N/A</v>
        <stp/>
        <stp>BDH|362234197818180220</stp>
        <tr r="F6" s="27"/>
      </tp>
      <tp t="e">
        <v>#N/A</v>
        <stp/>
        <stp>BDH|937201129189647826</stp>
        <tr r="L131" s="18"/>
      </tp>
      <tp t="e">
        <v>#N/A</v>
        <stp/>
        <stp>BDH|294570207943161766</stp>
        <tr r="F10" s="34"/>
      </tp>
      <tp t="e">
        <v>#N/A</v>
        <stp/>
        <stp>BDH|571921286267327776</stp>
        <tr r="Y21" s="10"/>
      </tp>
      <tp t="e">
        <v>#N/A</v>
        <stp/>
        <stp>BDH|483230295322070843</stp>
        <tr r="D41" s="12"/>
      </tp>
      <tp t="e">
        <v>#N/A</v>
        <stp/>
        <stp>BDH|207659442143215014</stp>
        <tr r="D10" s="13"/>
      </tp>
      <tp t="e">
        <v>#N/A</v>
        <stp/>
        <stp>BDH|907004920727600496</stp>
        <tr r="I88" s="17"/>
      </tp>
      <tp t="e">
        <v>#N/A</v>
        <stp/>
        <stp>BDH|336819663456514930</stp>
        <tr r="Q16" s="6"/>
      </tp>
      <tp t="e">
        <v>#N/A</v>
        <stp/>
        <stp>BDH|991786407330348651</stp>
        <tr r="H19" s="34"/>
      </tp>
      <tp t="e">
        <v>#N/A</v>
        <stp/>
        <stp>BDH|858614612842808435</stp>
        <tr r="R90" s="18"/>
      </tp>
      <tp t="e">
        <v>#N/A</v>
        <stp/>
        <stp>BDH|867775607880876600</stp>
        <tr r="Y13" s="24"/>
      </tp>
      <tp t="e">
        <v>#N/A</v>
        <stp/>
        <stp>BDH|431511867060661248</stp>
        <tr r="K25" s="4"/>
        <tr r="K61" s="10"/>
      </tp>
      <tp t="e">
        <v>#N/A</v>
        <stp/>
        <stp>BDH|867085396149388159</stp>
        <tr r="W20" s="25"/>
        <tr r="W13" s="27"/>
      </tp>
      <tp t="e">
        <v>#N/A</v>
        <stp/>
        <stp>BDH|808983049289946501</stp>
        <tr r="U80" s="17"/>
      </tp>
      <tp t="e">
        <v>#N/A</v>
        <stp/>
        <stp>BDH|291331511072809190</stp>
        <tr r="AA25" s="3"/>
      </tp>
      <tp t="e">
        <v>#N/A</v>
        <stp/>
        <stp>BDH|843404937413789598</stp>
        <tr r="O28" s="21"/>
      </tp>
      <tp t="e">
        <v>#N/A</v>
        <stp/>
        <stp>BDH|478231618350927273</stp>
        <tr r="Z44" s="21"/>
      </tp>
      <tp t="e">
        <v>#N/A</v>
        <stp/>
        <stp>BDH|548844506399632005</stp>
        <tr r="E43" s="21"/>
      </tp>
      <tp t="e">
        <v>#N/A</v>
        <stp/>
        <stp>BDH|122820554954334865</stp>
        <tr r="Q13" s="9"/>
      </tp>
      <tp t="e">
        <v>#N/A</v>
        <stp/>
        <stp>BDH|393027137373703130</stp>
        <tr r="D34" s="22"/>
      </tp>
      <tp t="e">
        <v>#N/A</v>
        <stp/>
        <stp>BDH|341092120355849607</stp>
        <tr r="K26" s="18"/>
      </tp>
      <tp t="e">
        <v>#N/A</v>
        <stp/>
        <stp>BDH|835908133283997812</stp>
        <tr r="V120" s="18"/>
      </tp>
      <tp t="e">
        <v>#N/A</v>
        <stp/>
        <stp>BDH|169547311667218255</stp>
        <tr r="P94" s="18"/>
      </tp>
      <tp t="e">
        <v>#N/A</v>
        <stp/>
        <stp>BDH|204412844053172253</stp>
        <tr r="I8" s="22"/>
      </tp>
      <tp t="e">
        <v>#N/A</v>
        <stp/>
        <stp>BDH|778767652620350336</stp>
        <tr r="I78" s="18"/>
      </tp>
      <tp t="e">
        <v>#N/A</v>
        <stp/>
        <stp>BDH|433349403584736787</stp>
        <tr r="W12" s="11"/>
      </tp>
      <tp t="e">
        <v>#N/A</v>
        <stp/>
        <stp>BDH|171815389931462118</stp>
        <tr r="X17" s="10"/>
      </tp>
      <tp t="e">
        <v>#N/A</v>
        <stp/>
        <stp>BDH|413597862772719159</stp>
        <tr r="W46" s="21"/>
      </tp>
      <tp t="e">
        <v>#N/A</v>
        <stp/>
        <stp>BDH|506264229240337047</stp>
        <tr r="M18" s="9"/>
      </tp>
      <tp t="e">
        <v>#N/A</v>
        <stp/>
        <stp>BDH|553437977783409082</stp>
        <tr r="T69" s="18"/>
      </tp>
      <tp t="e">
        <v>#N/A</v>
        <stp/>
        <stp>BDH|590438138905864286</stp>
        <tr r="M22" s="12"/>
      </tp>
      <tp t="e">
        <v>#N/A</v>
        <stp/>
        <stp>BDH|137662468994562446</stp>
        <tr r="M62" s="21"/>
      </tp>
      <tp t="e">
        <v>#N/A</v>
        <stp/>
        <stp>BDH|150195527371940288</stp>
        <tr r="K19" s="22"/>
      </tp>
      <tp t="e">
        <v>#N/A</v>
        <stp/>
        <stp>BDH|924490635953330487</stp>
        <tr r="K33" s="6"/>
        <tr r="M6" s="8"/>
      </tp>
      <tp t="e">
        <v>#N/A</v>
        <stp/>
        <stp>BDH|280095256762621755</stp>
        <tr r="Z105" s="18"/>
      </tp>
      <tp t="e">
        <v>#N/A</v>
        <stp/>
        <stp>BDH|229315028164415516</stp>
        <tr r="D17" s="14"/>
      </tp>
      <tp t="e">
        <v>#N/A</v>
        <stp/>
        <stp>BDH|779704165796443787</stp>
        <tr r="L18" s="22"/>
      </tp>
      <tp t="e">
        <v>#N/A</v>
        <stp/>
        <stp>BDH|726981909640813901</stp>
        <tr r="F69" s="17"/>
      </tp>
      <tp t="e">
        <v>#N/A</v>
        <stp/>
        <stp>BDH|359764370825377597</stp>
        <tr r="H42" s="34"/>
      </tp>
      <tp t="e">
        <v>#N/A</v>
        <stp/>
        <stp>BDH|417860033078787394</stp>
        <tr r="J54" s="21"/>
      </tp>
      <tp t="e">
        <v>#N/A</v>
        <stp/>
        <stp>BDH|391589023145209253</stp>
        <tr r="L15" s="22"/>
      </tp>
      <tp t="e">
        <v>#N/A</v>
        <stp/>
        <stp>BDH|659451656070223182</stp>
        <tr r="T18" s="20"/>
      </tp>
      <tp t="e">
        <v>#N/A</v>
        <stp/>
        <stp>BDH|955657846412620030</stp>
        <tr r="S25" s="2"/>
        <tr r="U61" s="21"/>
      </tp>
      <tp t="e">
        <v>#N/A</v>
        <stp/>
        <stp>BDH|134188736477656515</stp>
        <tr r="C31" s="13"/>
      </tp>
      <tp t="e">
        <v>#N/A</v>
        <stp/>
        <stp>BDH|428698107663395519</stp>
        <tr r="AA125" s="18"/>
      </tp>
      <tp t="e">
        <v>#N/A</v>
        <stp/>
        <stp>BDH|613455479763260007</stp>
        <tr r="V16" s="10"/>
      </tp>
      <tp t="e">
        <v>#N/A</v>
        <stp/>
        <stp>BDH|924029005644343447</stp>
        <tr r="Y28" s="21"/>
      </tp>
      <tp t="e">
        <v>#N/A</v>
        <stp/>
        <stp>BDH|252421634057535087</stp>
        <tr r="R51" s="18"/>
      </tp>
      <tp t="e">
        <v>#N/A</v>
        <stp/>
        <stp>BDH|864167105138329915</stp>
        <tr r="U51" s="12"/>
      </tp>
      <tp t="e">
        <v>#N/A</v>
        <stp/>
        <stp>BDH|123892955929257468</stp>
        <tr r="H67" s="24"/>
      </tp>
      <tp t="e">
        <v>#N/A</v>
        <stp/>
        <stp>BDH|753540158172495250</stp>
        <tr r="H29" s="22"/>
      </tp>
      <tp t="e">
        <v>#N/A</v>
        <stp/>
        <stp>BDH|847179660006077140</stp>
        <tr r="Y56" s="18"/>
      </tp>
      <tp t="e">
        <v>#N/A</v>
        <stp/>
        <stp>BDH|885097120893662138</stp>
        <tr r="X40" s="12"/>
      </tp>
      <tp t="e">
        <v>#N/A</v>
        <stp/>
        <stp>BDH|440232037326168751</stp>
        <tr r="Y23" s="21"/>
      </tp>
      <tp t="e">
        <v>#N/A</v>
        <stp/>
        <stp>BDH|432555725591408643</stp>
        <tr r="V13" s="20"/>
      </tp>
      <tp t="e">
        <v>#N/A</v>
        <stp/>
        <stp>BDH|840402321760933644</stp>
        <tr r="H60" s="18"/>
      </tp>
      <tp t="e">
        <v>#N/A</v>
        <stp/>
        <stp>BDH|247633469265829542</stp>
        <tr r="E16" s="10"/>
      </tp>
      <tp t="e">
        <v>#N/A</v>
        <stp/>
        <stp>BDH|143645315772117543</stp>
        <tr r="P7" s="21"/>
      </tp>
      <tp t="e">
        <v>#N/A</v>
        <stp/>
        <stp>BDH|980671965206936640</stp>
        <tr r="E56" s="24"/>
      </tp>
      <tp t="e">
        <v>#N/A</v>
        <stp/>
        <stp>BDH|406303495749596322</stp>
        <tr r="J61" s="24"/>
      </tp>
      <tp t="e">
        <v>#N/A</v>
        <stp/>
        <stp>BDH|377279422214032410</stp>
        <tr r="H65" s="12"/>
      </tp>
      <tp t="e">
        <v>#N/A</v>
        <stp/>
        <stp>BDH|440005873151268629</stp>
        <tr r="C17" s="18"/>
      </tp>
      <tp t="e">
        <v>#N/A</v>
        <stp/>
        <stp>BDH|887960089089638869</stp>
        <tr r="F18" s="20"/>
      </tp>
      <tp t="e">
        <v>#N/A</v>
        <stp/>
        <stp>BDH|797647494718299722</stp>
        <tr r="M29" s="9"/>
      </tp>
      <tp t="e">
        <v>#N/A</v>
        <stp/>
        <stp>BDH|601932354719558537</stp>
        <tr r="I11" s="7"/>
      </tp>
      <tp t="e">
        <v>#N/A</v>
        <stp/>
        <stp>BDH|260396308064463702</stp>
        <tr r="I28" s="25"/>
      </tp>
      <tp t="e">
        <v>#N/A</v>
        <stp/>
        <stp>BDH|728595178570728218</stp>
        <tr r="L39" s="34"/>
      </tp>
      <tp t="e">
        <v>#N/A</v>
        <stp/>
        <stp>BDH|120541347959003824</stp>
        <tr r="Z64" s="17"/>
        <tr r="Z18" s="3"/>
      </tp>
      <tp t="e">
        <v>#N/A</v>
        <stp/>
        <stp>BDH|197201858622170585</stp>
        <tr r="G18" s="13"/>
      </tp>
      <tp t="e">
        <v>#N/A</v>
        <stp/>
        <stp>BDH|913533943104854517</stp>
        <tr r="L28" s="25"/>
      </tp>
      <tp t="e">
        <v>#N/A</v>
        <stp/>
        <stp>BDH|977871983401430197</stp>
        <tr r="O65" s="10"/>
      </tp>
      <tp t="e">
        <v>#N/A</v>
        <stp/>
        <stp>BDH|569661137434019145</stp>
        <tr r="Z40" s="12"/>
      </tp>
      <tp t="e">
        <v>#N/A</v>
        <stp/>
        <stp>BDH|611509885924173922</stp>
        <tr r="P48" s="21"/>
      </tp>
      <tp t="e">
        <v>#N/A</v>
        <stp/>
        <stp>BDH|704620778107467685</stp>
        <tr r="S18" s="6"/>
      </tp>
      <tp t="e">
        <v>#N/A</v>
        <stp/>
        <stp>BDH|372681979756277714</stp>
        <tr r="H13" s="6"/>
      </tp>
      <tp t="e">
        <v>#N/A</v>
        <stp/>
        <stp>BDH|140386596338824260</stp>
        <tr r="Q20" s="29"/>
      </tp>
      <tp t="e">
        <v>#N/A</v>
        <stp/>
        <stp>BDH|797138050377343360</stp>
        <tr r="P34" s="18"/>
      </tp>
      <tp t="e">
        <v>#N/A</v>
        <stp/>
        <stp>BDH|329716907153018441</stp>
        <tr r="P17" s="5"/>
        <tr r="O25" s="6"/>
      </tp>
      <tp t="e">
        <v>#N/A</v>
        <stp/>
        <stp>BDH|545704321702034769</stp>
        <tr r="Z7" s="17"/>
      </tp>
      <tp t="e">
        <v>#N/A</v>
        <stp/>
        <stp>BDH|373466844339351900</stp>
        <tr r="P30" s="29"/>
        <tr r="P8" s="29"/>
      </tp>
      <tp t="e">
        <v>#N/A</v>
        <stp/>
        <stp>BDH|739907820333475814</stp>
        <tr r="P57" s="12"/>
      </tp>
      <tp t="e">
        <v>#N/A</v>
        <stp/>
        <stp>BDH|296613360764297423</stp>
        <tr r="T10" s="2"/>
        <tr r="T11" s="5"/>
        <tr r="S37" s="6"/>
        <tr r="V31" s="29"/>
        <tr r="V39" s="29"/>
      </tp>
      <tp t="e">
        <v>#N/A</v>
        <stp/>
        <stp>BDH|255087693852462815</stp>
        <tr r="G88" s="18"/>
        <tr r="G8" s="20"/>
      </tp>
      <tp t="e">
        <v>#N/A</v>
        <stp/>
        <stp>BDH|341699622240401701</stp>
        <tr r="X69" s="18"/>
      </tp>
      <tp t="e">
        <v>#N/A</v>
        <stp/>
        <stp>BDH|736929809118895284</stp>
        <tr r="X13" s="8"/>
      </tp>
      <tp t="e">
        <v>#N/A</v>
        <stp/>
        <stp>BDH|823165480298245204</stp>
        <tr r="M39" s="18"/>
      </tp>
      <tp t="e">
        <v>#N/A</v>
        <stp/>
        <stp>BDH|795773930867881056</stp>
        <tr r="L73" s="17"/>
        <tr r="J9" s="5"/>
        <tr r="J9" s="9"/>
      </tp>
      <tp t="e">
        <v>#N/A</v>
        <stp/>
        <stp>BDH|385240978967783154</stp>
        <tr r="W12" s="13"/>
      </tp>
      <tp t="e">
        <v>#N/A</v>
        <stp/>
        <stp>BDH|348679849006080700</stp>
        <tr r="J60" s="12"/>
      </tp>
      <tp t="e">
        <v>#N/A</v>
        <stp/>
        <stp>BDH|419318301305255586</stp>
        <tr r="K14" s="11"/>
      </tp>
      <tp t="e">
        <v>#N/A</v>
        <stp/>
        <stp>BDH|628277324291389281</stp>
        <tr r="W85" s="18"/>
      </tp>
      <tp t="e">
        <v>#N/A</v>
        <stp/>
        <stp>BDH|915285537422073086</stp>
        <tr r="H23" s="26"/>
      </tp>
      <tp t="e">
        <v>#N/A</v>
        <stp/>
        <stp>BDH|113072728481790060</stp>
        <tr r="R14" s="22"/>
      </tp>
      <tp t="e">
        <v>#N/A</v>
        <stp/>
        <stp>BDH|254087037423120338</stp>
        <tr r="L17" s="24"/>
      </tp>
      <tp t="e">
        <v>#N/A</v>
        <stp/>
        <stp>BDH|486554683728577689</stp>
        <tr r="X25" s="18"/>
      </tp>
      <tp t="e">
        <v>#N/A</v>
        <stp/>
        <stp>BDH|134816459748357629</stp>
        <tr r="R29" s="4"/>
      </tp>
      <tp t="e">
        <v>#N/A</v>
        <stp/>
        <stp>BDH|357468433701629586</stp>
        <tr r="F48" s="10"/>
        <tr r="F46" s="11"/>
        <tr r="F15" s="7"/>
      </tp>
      <tp t="e">
        <v>#N/A</v>
        <stp/>
        <stp>BDH|133007961085829000</stp>
        <tr r="M6" s="19"/>
        <tr r="M34" s="17"/>
        <tr r="M16" s="3"/>
      </tp>
      <tp t="e">
        <v>#N/A</v>
        <stp/>
        <stp>BDH|616964595155931643</stp>
        <tr r="M76" s="18"/>
      </tp>
      <tp t="e">
        <v>#N/A</v>
        <stp/>
        <stp>BDH|298339528614133611</stp>
        <tr r="W8" s="14"/>
      </tp>
      <tp t="e">
        <v>#N/A</v>
        <stp/>
        <stp>BDH|829210823882294116</stp>
        <tr r="X27" s="17"/>
      </tp>
      <tp t="e">
        <v>#N/A</v>
        <stp/>
        <stp>BDH|296267118530151076</stp>
        <tr r="H17" s="5"/>
        <tr r="G25" s="6"/>
      </tp>
      <tp t="e">
        <v>#N/A</v>
        <stp/>
        <stp>BDH|869936838598857116</stp>
        <tr r="W115" s="18"/>
      </tp>
      <tp t="e">
        <v>#N/A</v>
        <stp/>
        <stp>BDH|608126599758084362</stp>
        <tr r="L13" s="6"/>
      </tp>
      <tp t="e">
        <v>#N/A</v>
        <stp/>
        <stp>BDH|498420128250657530</stp>
        <tr r="C13" s="12"/>
      </tp>
      <tp t="e">
        <v>#N/A</v>
        <stp/>
        <stp>BDH|357413468712588346</stp>
        <tr r="H12" s="10"/>
      </tp>
      <tp t="e">
        <v>#N/A</v>
        <stp/>
        <stp>BDH|489569865830958051</stp>
        <tr r="Y16" s="22"/>
      </tp>
      <tp t="e">
        <v>#N/A</v>
        <stp/>
        <stp>BDH|361372070015744283</stp>
        <tr r="H30" s="22"/>
      </tp>
      <tp t="e">
        <v>#N/A</v>
        <stp/>
        <stp>BDH|767445045207965446</stp>
        <tr r="L32" s="10"/>
        <tr r="L44" s="10"/>
        <tr r="L30" s="11"/>
        <tr r="L42" s="11"/>
      </tp>
      <tp t="e">
        <v>#N/A</v>
        <stp/>
        <stp>BDH|349948962889760597</stp>
        <tr r="P65" s="10"/>
      </tp>
      <tp t="e">
        <v>#N/A</v>
        <stp/>
        <stp>BDH|480513523103454766</stp>
        <tr r="W14" s="22"/>
      </tp>
      <tp t="e">
        <v>#N/A</v>
        <stp/>
        <stp>BDH|253878846916628915</stp>
        <tr r="J48" s="17"/>
      </tp>
      <tp t="e">
        <v>#N/A</v>
        <stp/>
        <stp>BDH|563892888140619367</stp>
        <tr r="O37" s="18"/>
      </tp>
      <tp t="e">
        <v>#N/A</v>
        <stp/>
        <stp>BDH|139010621880475119</stp>
        <tr r="K61" s="24"/>
      </tp>
      <tp t="e">
        <v>#N/A</v>
        <stp/>
        <stp>BDH|787123926172730225</stp>
        <tr r="R75" s="18"/>
      </tp>
      <tp t="e">
        <v>#N/A</v>
        <stp/>
        <stp>BDH|767798549670988084</stp>
        <tr r="L13" s="20"/>
      </tp>
      <tp t="e">
        <v>#N/A</v>
        <stp/>
        <stp>BDH|197567310372180513</stp>
        <tr r="X18" s="20"/>
      </tp>
      <tp t="e">
        <v>#N/A</v>
        <stp/>
        <stp>BDH|902613270554688698</stp>
        <tr r="P127" s="18"/>
      </tp>
      <tp t="e">
        <v>#N/A</v>
        <stp/>
        <stp>BDH|864830101563503886</stp>
        <tr r="G67" s="12"/>
      </tp>
      <tp t="e">
        <v>#N/A</v>
        <stp/>
        <stp>BDH|489325641150708406</stp>
        <tr r="D6" s="15"/>
        <tr r="D12" s="2"/>
        <tr r="D11" s="4"/>
        <tr r="D6" s="10"/>
      </tp>
      <tp t="e">
        <v>#N/A</v>
        <stp/>
        <stp>BDH|149193684943944956</stp>
        <tr r="AA10" s="26"/>
      </tp>
      <tp t="e">
        <v>#N/A</v>
        <stp/>
        <stp>BDH|694249503473911287</stp>
        <tr r="P20" s="12"/>
      </tp>
      <tp t="e">
        <v>#N/A</v>
        <stp/>
        <stp>BDH|654477987406322954</stp>
        <tr r="F37" s="18"/>
      </tp>
      <tp t="e">
        <v>#N/A</v>
        <stp/>
        <stp>BDH|607546566965067548</stp>
        <tr r="Z131" s="18"/>
      </tp>
      <tp t="e">
        <v>#N/A</v>
        <stp/>
        <stp>BDH|465726858415920469</stp>
        <tr r="D26" s="29"/>
      </tp>
      <tp t="e">
        <v>#N/A</v>
        <stp/>
        <stp>BDH|169813953588366619</stp>
        <tr r="O38" s="4"/>
        <tr r="O60" s="11"/>
        <tr r="Q13" s="23"/>
      </tp>
      <tp t="e">
        <v>#N/A</v>
        <stp/>
        <stp>BDH|162754555640179111</stp>
        <tr r="D10" s="12"/>
      </tp>
      <tp t="e">
        <v>#N/A</v>
        <stp/>
        <stp>BDH|333530308303976504</stp>
        <tr r="U66" s="17"/>
      </tp>
      <tp t="e">
        <v>#N/A</v>
        <stp/>
        <stp>BDH|430443224866408319</stp>
        <tr r="P35" s="6"/>
        <tr r="R10" s="8"/>
      </tp>
      <tp t="e">
        <v>#N/A</v>
        <stp/>
        <stp>BDH|138312515614355574</stp>
        <tr r="O55" s="24"/>
      </tp>
      <tp t="e">
        <v>#N/A</v>
        <stp/>
        <stp>BDH|828603164081888260</stp>
        <tr r="H122" s="18"/>
      </tp>
      <tp t="e">
        <v>#N/A</v>
        <stp/>
        <stp>BDH|289572898008619794</stp>
        <tr r="Y87" s="18"/>
        <tr r="Y7" s="20"/>
      </tp>
      <tp t="e">
        <v>#N/A</v>
        <stp/>
        <stp>BDH|796377086879679120</stp>
        <tr r="R18" s="11"/>
      </tp>
      <tp t="e">
        <v>#N/A</v>
        <stp/>
        <stp>BDH|936923418838715373</stp>
        <tr r="Z70" s="18"/>
      </tp>
      <tp t="e">
        <v>#N/A</v>
        <stp/>
        <stp>BDH|772407663020577129</stp>
        <tr r="J16" s="22"/>
      </tp>
      <tp t="e">
        <v>#N/A</v>
        <stp/>
        <stp>BDH|673557623055662158</stp>
        <tr r="U15" s="20"/>
      </tp>
      <tp t="e">
        <v>#N/A</v>
        <stp/>
        <stp>BDH|823163565493846706</stp>
        <tr r="E63" s="10"/>
      </tp>
      <tp t="e">
        <v>#N/A</v>
        <stp/>
        <stp>BDH|262655353027936618</stp>
        <tr r="Y9" s="10"/>
      </tp>
      <tp t="e">
        <v>#N/A</v>
        <stp/>
        <stp>BDH|998971501392523961</stp>
        <tr r="I44" s="18"/>
      </tp>
      <tp t="e">
        <v>#N/A</v>
        <stp/>
        <stp>BDH|224988997197820599</stp>
        <tr r="R87" s="18"/>
        <tr r="R7" s="20"/>
      </tp>
      <tp t="e">
        <v>#N/A</v>
        <stp/>
        <stp>BDH|237489706297615169</stp>
        <tr r="I17" s="11"/>
      </tp>
      <tp t="e">
        <v>#N/A</v>
        <stp/>
        <stp>BDH|686587434345574120</stp>
        <tr r="H22" s="10"/>
      </tp>
      <tp t="e">
        <v>#N/A</v>
        <stp/>
        <stp>BDH|662012068655170137</stp>
        <tr r="J96" s="18"/>
      </tp>
      <tp t="e">
        <v>#N/A</v>
        <stp/>
        <stp>BDH|939707336542485469</stp>
        <tr r="D18" s="18"/>
      </tp>
      <tp t="e">
        <v>#N/A</v>
        <stp/>
        <stp>BDH|226548498379394701</stp>
        <tr r="S10" s="18"/>
      </tp>
      <tp t="e">
        <v>#N/A</v>
        <stp/>
        <stp>BDH|548391910907490751</stp>
        <tr r="W49" s="21"/>
      </tp>
      <tp t="e">
        <v>#N/A</v>
        <stp/>
        <stp>BDH|836038624072216231</stp>
        <tr r="M27" s="7"/>
      </tp>
      <tp t="e">
        <v>#N/A</v>
        <stp/>
        <stp>BDH|791185903105542675</stp>
        <tr r="Q57" s="24"/>
      </tp>
      <tp t="e">
        <v>#N/A</v>
        <stp/>
        <stp>BDH|814462353357330400</stp>
        <tr r="Q11" s="9"/>
      </tp>
      <tp t="e">
        <v>#N/A</v>
        <stp/>
        <stp>BDH|262498663148387851</stp>
        <tr r="I30" s="26"/>
      </tp>
      <tp t="e">
        <v>#N/A</v>
        <stp/>
        <stp>BDH|318789241758524919</stp>
        <tr r="Y14" s="10"/>
      </tp>
      <tp t="e">
        <v>#N/A</v>
        <stp/>
        <stp>BDH|254665650850338181</stp>
        <tr r="E28" s="25"/>
      </tp>
      <tp t="e">
        <v>#N/A</v>
        <stp/>
        <stp>BDH|754419471458917917</stp>
        <tr r="O111" s="18"/>
      </tp>
      <tp t="e">
        <v>#N/A</v>
        <stp/>
        <stp>BDH|188809020421927975</stp>
        <tr r="S30" s="9"/>
      </tp>
      <tp t="e">
        <v>#N/A</v>
        <stp/>
        <stp>BDH|732227306974947458</stp>
        <tr r="P26" s="12"/>
      </tp>
      <tp t="e">
        <v>#N/A</v>
        <stp/>
        <stp>BDH|552481409026367084</stp>
        <tr r="C16" s="26"/>
      </tp>
      <tp t="e">
        <v>#N/A</v>
        <stp/>
        <stp>BDH|123833848349009739</stp>
        <tr r="U20" s="18"/>
      </tp>
      <tp t="e">
        <v>#N/A</v>
        <stp/>
        <stp>BDH|514394495748043004</stp>
        <tr r="F45" s="34"/>
      </tp>
      <tp t="e">
        <v>#N/A</v>
        <stp/>
        <stp>BDH|813468357445976699</stp>
        <tr r="U43" s="4"/>
      </tp>
      <tp t="e">
        <v>#N/A</v>
        <stp/>
        <stp>BDH|354512298156953899</stp>
        <tr r="T21" s="21"/>
      </tp>
      <tp t="e">
        <v>#N/A</v>
        <stp/>
        <stp>BDH|785690314155472040</stp>
        <tr r="H38" s="24"/>
      </tp>
      <tp t="e">
        <v>#N/A</v>
        <stp/>
        <stp>BDH|853843146509243736</stp>
        <tr r="O49" s="21"/>
      </tp>
      <tp t="e">
        <v>#N/A</v>
        <stp/>
        <stp>BDH|580580770893312355</stp>
        <tr r="M18" s="22"/>
      </tp>
      <tp t="e">
        <v>#N/A</v>
        <stp/>
        <stp>BDH|139692308233532719</stp>
        <tr r="V7" s="8"/>
      </tp>
      <tp t="e">
        <v>#N/A</v>
        <stp/>
        <stp>BDH|585907793305521764</stp>
        <tr r="R13" s="6"/>
      </tp>
      <tp t="e">
        <v>#N/A</v>
        <stp/>
        <stp>BDH|158612777054732754</stp>
        <tr r="S28" s="26"/>
      </tp>
      <tp t="e">
        <v>#N/A</v>
        <stp/>
        <stp>BDH|229106552617348163</stp>
        <tr r="T16" s="29"/>
        <tr r="T36" s="29"/>
      </tp>
      <tp t="e">
        <v>#N/A</v>
        <stp/>
        <stp>BDH|915095905550291203</stp>
        <tr r="Z66" s="17"/>
      </tp>
      <tp t="e">
        <v>#N/A</v>
        <stp/>
        <stp>BDH|426608326427228177</stp>
        <tr r="M37" s="18"/>
      </tp>
      <tp t="e">
        <v>#N/A</v>
        <stp/>
        <stp>BDH|387906815412857896</stp>
        <tr r="E63" s="21"/>
        <tr r="C23" s="7"/>
      </tp>
      <tp t="e">
        <v>#N/A</v>
        <stp/>
        <stp>BDH|750420723944240036</stp>
        <tr r="Q43" s="24"/>
      </tp>
      <tp t="e">
        <v>#N/A</v>
        <stp/>
        <stp>BDH|281139444455685240</stp>
        <tr r="M42" s="21"/>
      </tp>
      <tp t="e">
        <v>#N/A</v>
        <stp/>
        <stp>BDH|560156750307670116</stp>
        <tr r="M17" s="20"/>
      </tp>
      <tp t="e">
        <v>#N/A</v>
        <stp/>
        <stp>BDH|407130526080591139</stp>
        <tr r="I20" s="2"/>
        <tr r="I18" s="4"/>
        <tr r="I54" s="10"/>
        <tr r="I52" s="11"/>
        <tr r="I19" s="7"/>
        <tr r="K41" s="13"/>
      </tp>
      <tp t="e">
        <v>#N/A</v>
        <stp/>
        <stp>BDH|187763825982434515</stp>
        <tr r="L85" s="18"/>
      </tp>
      <tp t="e">
        <v>#N/A</v>
        <stp/>
        <stp>BDH|315629961351708375</stp>
        <tr r="S31" s="17"/>
      </tp>
      <tp t="e">
        <v>#N/A</v>
        <stp/>
        <stp>BDH|625135065601196416</stp>
        <tr r="E27" s="26"/>
      </tp>
      <tp t="e">
        <v>#N/A</v>
        <stp/>
        <stp>BDH|695146325824421533</stp>
        <tr r="S72" s="18"/>
      </tp>
      <tp t="e">
        <v>#N/A</v>
        <stp/>
        <stp>BDH|625636815431265421</stp>
        <tr r="S120" s="18"/>
      </tp>
      <tp t="e">
        <v>#N/A</v>
        <stp/>
        <stp>BDH|554397916939239994</stp>
        <tr r="C29" s="34"/>
      </tp>
      <tp t="e">
        <v>#N/A</v>
        <stp/>
        <stp>BDH|247063565935481145</stp>
        <tr r="K18" s="5"/>
        <tr r="J31" s="6"/>
      </tp>
      <tp t="e">
        <v>#N/A</v>
        <stp/>
        <stp>BDH|922081977051599410</stp>
        <tr r="J12" s="10"/>
      </tp>
      <tp t="e">
        <v>#N/A</v>
        <stp/>
        <stp>BDH|488424556324106736</stp>
        <tr r="S11" s="17"/>
      </tp>
      <tp t="e">
        <v>#N/A</v>
        <stp/>
        <stp>BDH|480689202203946758</stp>
        <tr r="T27" s="7"/>
      </tp>
      <tp t="e">
        <v>#N/A</v>
        <stp/>
        <stp>BDH|819756445742250384</stp>
        <tr r="U90" s="18"/>
      </tp>
      <tp t="e">
        <v>#N/A</v>
        <stp/>
        <stp>BDH|170653243206100642</stp>
        <tr r="C39" s="24"/>
      </tp>
      <tp t="e">
        <v>#N/A</v>
        <stp/>
        <stp>BDH|234314175587743123</stp>
        <tr r="T17" s="24"/>
      </tp>
      <tp t="e">
        <v>#N/A</v>
        <stp/>
        <stp>BDH|205135991972447781</stp>
        <tr r="F67" s="24"/>
      </tp>
      <tp t="e">
        <v>#N/A</v>
        <stp/>
        <stp>BDH|261086030818730619</stp>
        <tr r="K28" s="18"/>
      </tp>
      <tp t="e">
        <v>#N/A</v>
        <stp/>
        <stp>BDH|125875551752253297</stp>
        <tr r="M38" s="24"/>
      </tp>
      <tp t="e">
        <v>#N/A</v>
        <stp/>
        <stp>BDH|641387083421844783</stp>
        <tr r="C32" s="17"/>
      </tp>
      <tp t="e">
        <v>#N/A</v>
        <stp/>
        <stp>BDH|144088536718033612</stp>
        <tr r="C14" s="6"/>
      </tp>
      <tp t="e">
        <v>#N/A</v>
        <stp/>
        <stp>BDH|406067043818835174</stp>
        <tr r="L27" s="12"/>
      </tp>
      <tp t="e">
        <v>#N/A</v>
        <stp/>
        <stp>BDH|876078401919795472</stp>
        <tr r="O45" s="17"/>
      </tp>
      <tp t="e">
        <v>#N/A</v>
        <stp/>
        <stp>BDH|267606842007996862</stp>
        <tr r="I129" s="18"/>
      </tp>
      <tp t="e">
        <v>#N/A</v>
        <stp/>
        <stp>BDH|551486111969719148</stp>
        <tr r="Y64" s="12"/>
      </tp>
      <tp t="e">
        <v>#N/A</v>
        <stp/>
        <stp>BDH|795130179853225879</stp>
        <tr r="N19" s="26"/>
      </tp>
      <tp t="e">
        <v>#N/A</v>
        <stp/>
        <stp>BDH|342988692108264538</stp>
        <tr r="S12" s="24"/>
      </tp>
      <tp t="e">
        <v>#N/A</v>
        <stp/>
        <stp>BDH|279112745971661997</stp>
        <tr r="C26" s="21"/>
      </tp>
      <tp t="e">
        <v>#N/A</v>
        <stp/>
        <stp>BDH|334346877550934900</stp>
        <tr r="F37" s="21"/>
        <tr r="F24" s="3"/>
      </tp>
      <tp t="e">
        <v>#N/A</v>
        <stp/>
        <stp>BDH|527592852244494938</stp>
        <tr r="D67" s="17"/>
      </tp>
      <tp t="e">
        <v>#N/A</v>
        <stp/>
        <stp>BDH|192121198510456568</stp>
        <tr r="I49" s="18"/>
      </tp>
      <tp t="e">
        <v>#N/A</v>
        <stp/>
        <stp>BDH|741348399497451041</stp>
        <tr r="I14" s="2"/>
        <tr r="I11" s="10"/>
      </tp>
      <tp t="e">
        <v>#N/A</v>
        <stp/>
        <stp>BDH|999126271109381234</stp>
        <tr r="N27" s="5"/>
        <tr r="N28" s="9"/>
      </tp>
      <tp t="e">
        <v>#N/A</v>
        <stp/>
        <stp>BDH|479334995886083187</stp>
        <tr r="G17" s="24"/>
      </tp>
      <tp t="e">
        <v>#N/A</v>
        <stp/>
        <stp>BDH|410566660807942900</stp>
        <tr r="K35" s="22"/>
      </tp>
      <tp t="e">
        <v>#N/A</v>
        <stp/>
        <stp>BDH|754048693420176454</stp>
        <tr r="G35" s="34"/>
      </tp>
      <tp t="e">
        <v>#N/A</v>
        <stp/>
        <stp>BDH|552650826768033129</stp>
        <tr r="M83" s="18"/>
      </tp>
      <tp t="e">
        <v>#N/A</v>
        <stp/>
        <stp>BDH|881285256432612849</stp>
        <tr r="H11" s="13"/>
      </tp>
      <tp t="e">
        <v>#N/A</v>
        <stp/>
        <stp>BDH|551341057583068820</stp>
        <tr r="AA14" s="12"/>
      </tp>
      <tp t="e">
        <v>#N/A</v>
        <stp/>
        <stp>BDH|604931424555334360</stp>
        <tr r="E40" s="17"/>
        <tr r="E9" s="25"/>
      </tp>
      <tp t="e">
        <v>#N/A</v>
        <stp/>
        <stp>BDH|835011182462951764</stp>
        <tr r="V34" s="10"/>
        <tr r="V32" s="11"/>
        <tr r="X32" s="13"/>
      </tp>
      <tp t="e">
        <v>#N/A</v>
        <stp/>
        <stp>BDH|821198796731598463</stp>
        <tr r="S16" s="17"/>
        <tr r="S19" s="28"/>
      </tp>
      <tp t="e">
        <v>#N/A</v>
        <stp/>
        <stp>BDH|800880243100798113</stp>
        <tr r="L32" s="26"/>
      </tp>
      <tp t="e">
        <v>#N/A</v>
        <stp/>
        <stp>BDH|335674126230635915</stp>
        <tr r="X62" s="21"/>
      </tp>
      <tp t="e">
        <v>#N/A</v>
        <stp/>
        <stp>BDH|851606910828828258</stp>
        <tr r="M26" s="12"/>
      </tp>
      <tp t="e">
        <v>#N/A</v>
        <stp/>
        <stp>BDH|500512464397780917</stp>
        <tr r="C12" s="10"/>
      </tp>
      <tp t="e">
        <v>#N/A</v>
        <stp/>
        <stp>BDH|256446280071292027</stp>
        <tr r="D58" s="21"/>
        <tr r="D30" s="25"/>
      </tp>
      <tp t="e">
        <v>#N/A</v>
        <stp/>
        <stp>BDH|559181140299933128</stp>
        <tr r="T10" s="21"/>
      </tp>
      <tp t="e">
        <v>#N/A</v>
        <stp/>
        <stp>BDH|400998669846225404</stp>
        <tr r="P27" s="5"/>
        <tr r="P28" s="9"/>
      </tp>
      <tp t="e">
        <v>#N/A</v>
        <stp/>
        <stp>BDH|248245397082397458</stp>
        <tr r="F63" s="18"/>
      </tp>
      <tp t="e">
        <v>#N/A</v>
        <stp/>
        <stp>BDH|287170973009764212</stp>
        <tr r="X28" s="5"/>
      </tp>
      <tp t="e">
        <v>#N/A</v>
        <stp/>
        <stp>BDH|957658893950809272</stp>
        <tr r="AA34" s="22"/>
      </tp>
      <tp t="e">
        <v>#N/A</v>
        <stp/>
        <stp>BDH|494318483776066064</stp>
        <tr r="L69" s="24"/>
      </tp>
      <tp t="e">
        <v>#N/A</v>
        <stp/>
        <stp>BDH|191821060031712253</stp>
        <tr r="T58" s="17"/>
      </tp>
      <tp t="e">
        <v>#N/A</v>
        <stp/>
        <stp>BDH|446094183065732088</stp>
        <tr r="Q66" s="12"/>
      </tp>
      <tp t="e">
        <v>#N/A</v>
        <stp/>
        <stp>BDH|606362984724481215</stp>
        <tr r="X18" s="12"/>
      </tp>
      <tp t="e">
        <v>#N/A</v>
        <stp/>
        <stp>BDH|545571404720052875</stp>
        <tr r="I58" s="11"/>
      </tp>
      <tp t="e">
        <v>#N/A</v>
        <stp/>
        <stp>BDH|161666827391718862</stp>
        <tr r="W110" s="18"/>
      </tp>
      <tp t="e">
        <v>#N/A</v>
        <stp/>
        <stp>BDH|789155782303731754</stp>
        <tr r="O32" s="12"/>
      </tp>
      <tp t="e">
        <v>#N/A</v>
        <stp/>
        <stp>BDH|159249487822996590</stp>
        <tr r="AA49" s="18"/>
      </tp>
      <tp t="e">
        <v>#N/A</v>
        <stp/>
        <stp>BDH|205720778924873937</stp>
        <tr r="N56" s="18"/>
      </tp>
      <tp t="e">
        <v>#N/A</v>
        <stp/>
        <stp>BDH|475167775103507818</stp>
        <tr r="E23" s="24"/>
      </tp>
      <tp t="e">
        <v>#N/A</v>
        <stp/>
        <stp>BDH|957293971201302917</stp>
        <tr r="O67" s="12"/>
      </tp>
      <tp t="e">
        <v>#N/A</v>
        <stp/>
        <stp>BDH|350327234874107883</stp>
        <tr r="O19" s="20"/>
      </tp>
      <tp t="e">
        <v>#N/A</v>
        <stp/>
        <stp>BDH|768510548059229416</stp>
        <tr r="T71" s="18"/>
      </tp>
      <tp t="e">
        <v>#N/A</v>
        <stp/>
        <stp>BDH|218891105045611160</stp>
        <tr r="D8" s="26"/>
      </tp>
      <tp t="e">
        <v>#N/A</v>
        <stp/>
        <stp>BDH|222123914789820521</stp>
        <tr r="N10" s="21"/>
      </tp>
      <tp t="e">
        <v>#N/A</v>
        <stp/>
        <stp>BDH|648910554932367293</stp>
        <tr r="X103" s="18"/>
      </tp>
      <tp t="e">
        <v>#N/A</v>
        <stp/>
        <stp>BDH|841730413213882997</stp>
        <tr r="D62" s="24"/>
      </tp>
      <tp t="e">
        <v>#N/A</v>
        <stp/>
        <stp>BDH|636829593285861854</stp>
        <tr r="H13" s="12"/>
      </tp>
      <tp t="e">
        <v>#N/A</v>
        <stp/>
        <stp>BDH|469097947450542852</stp>
        <tr r="X82" s="17"/>
      </tp>
      <tp t="e">
        <v>#N/A</v>
        <stp/>
        <stp>BDH|983388918178106636</stp>
        <tr r="T26" s="17"/>
      </tp>
      <tp t="e">
        <v>#N/A</v>
        <stp/>
        <stp>BDH|849858917202296733</stp>
        <tr r="E79" s="17"/>
        <tr r="E20" s="3"/>
        <tr r="C6" s="7"/>
      </tp>
      <tp t="e">
        <v>#N/A</v>
        <stp/>
        <stp>BDH|486016752938582163</stp>
        <tr r="AA19" s="17"/>
      </tp>
      <tp t="e">
        <v>#N/A</v>
        <stp/>
        <stp>BDH|181334786136440152</stp>
        <tr r="K27" s="6"/>
      </tp>
      <tp t="e">
        <v>#N/A</v>
        <stp/>
        <stp>BDH|740917316094188042</stp>
        <tr r="R23" s="9"/>
      </tp>
      <tp t="e">
        <v>#N/A</v>
        <stp/>
        <stp>BDH|432674991863263054</stp>
        <tr r="Q73" s="17"/>
        <tr r="O9" s="5"/>
        <tr r="O9" s="9"/>
      </tp>
      <tp t="e">
        <v>#N/A</v>
        <stp/>
        <stp>BDH|553300680206195118</stp>
        <tr r="F20" s="17"/>
      </tp>
      <tp t="e">
        <v>#N/A</v>
        <stp/>
        <stp>BDH|362727131429060169</stp>
        <tr r="D25" s="18"/>
      </tp>
      <tp t="e">
        <v>#N/A</v>
        <stp/>
        <stp>BDH|417125735659304769</stp>
        <tr r="V80" s="18"/>
      </tp>
      <tp t="e">
        <v>#N/A</v>
        <stp/>
        <stp>BDH|306829328846895073</stp>
        <tr r="M28" s="26"/>
      </tp>
      <tp t="e">
        <v>#N/A</v>
        <stp/>
        <stp>BDH|963138817628302484</stp>
        <tr r="P39" s="12"/>
      </tp>
      <tp t="e">
        <v>#N/A</v>
        <stp/>
        <stp>BDH|484671002818054267</stp>
        <tr r="Q31" s="12"/>
      </tp>
      <tp t="e">
        <v>#N/A</v>
        <stp/>
        <stp>BDH|700051055561469844</stp>
        <tr r="F59" s="18"/>
      </tp>
      <tp t="e">
        <v>#N/A</v>
        <stp/>
        <stp>BDH|466829934086091153</stp>
        <tr r="W19" s="20"/>
      </tp>
      <tp t="e">
        <v>#N/A</v>
        <stp/>
        <stp>BDH|201928717681446535</stp>
        <tr r="M26" s="17"/>
      </tp>
      <tp t="e">
        <v>#N/A</v>
        <stp/>
        <stp>BDH|572049074213682832</stp>
        <tr r="H18" s="22"/>
      </tp>
      <tp t="e">
        <v>#N/A</v>
        <stp/>
        <stp>BDH|127272197113741461</stp>
        <tr r="U15" s="6"/>
      </tp>
      <tp t="e">
        <v>#N/A</v>
        <stp/>
        <stp>BDH|442478996090444101</stp>
        <tr r="V14" s="28"/>
      </tp>
      <tp t="e">
        <v>#N/A</v>
        <stp/>
        <stp>BDH|475343383503541479</stp>
        <tr r="G10" s="10"/>
      </tp>
      <tp t="e">
        <v>#N/A</v>
        <stp/>
        <stp>BDH|771813161433134170</stp>
        <tr r="Y18" s="11"/>
      </tp>
      <tp t="e">
        <v>#N/A</v>
        <stp/>
        <stp>BDH|136422847214141844</stp>
        <tr r="F90" s="18"/>
      </tp>
      <tp t="e">
        <v>#N/A</v>
        <stp/>
        <stp>BDH|922583694871205153</stp>
        <tr r="C44" s="18"/>
      </tp>
      <tp t="e">
        <v>#N/A</v>
        <stp/>
        <stp>BDH|254216501709865790</stp>
        <tr r="W20" s="26"/>
      </tp>
      <tp t="e">
        <v>#N/A</v>
        <stp/>
        <stp>BDH|570153402615105806</stp>
        <tr r="U9" s="6"/>
      </tp>
      <tp t="e">
        <v>#N/A</v>
        <stp/>
        <stp>BDH|974585737582360865</stp>
        <tr r="N10" s="22"/>
      </tp>
      <tp t="e">
        <v>#N/A</v>
        <stp/>
        <stp>BDH|285729096632355067</stp>
        <tr r="K7" s="28"/>
      </tp>
      <tp t="e">
        <v>#N/A</v>
        <stp/>
        <stp>BDH|548329383477970315</stp>
        <tr r="U7" s="30"/>
      </tp>
      <tp t="e">
        <v>#N/A</v>
        <stp/>
        <stp>BDH|257605721222799982</stp>
        <tr r="AA16" s="25"/>
        <tr r="Y22" s="11"/>
      </tp>
      <tp t="e">
        <v>#N/A</v>
        <stp/>
        <stp>BDH|227994032724391166</stp>
        <tr r="H19" s="9"/>
      </tp>
      <tp t="e">
        <v>#N/A</v>
        <stp/>
        <stp>BDH|804461271255113939</stp>
        <tr r="F25" s="17"/>
      </tp>
      <tp t="e">
        <v>#N/A</v>
        <stp/>
        <stp>BDH|140107288332640428</stp>
        <tr r="R49" s="18"/>
      </tp>
      <tp t="e">
        <v>#N/A</v>
        <stp/>
        <stp>BDH|532406692111841326</stp>
        <tr r="D26" s="7"/>
      </tp>
      <tp t="e">
        <v>#N/A</v>
        <stp/>
        <stp>BDH|957891799606665823</stp>
        <tr r="P9" s="29"/>
      </tp>
      <tp t="e">
        <v>#N/A</v>
        <stp/>
        <stp>BDH|859035086013836484</stp>
        <tr r="C43" s="34"/>
      </tp>
      <tp t="e">
        <v>#N/A</v>
        <stp/>
        <stp>BDH|426911199187951883</stp>
        <tr r="P40" s="17"/>
        <tr r="P9" s="25"/>
      </tp>
      <tp t="e">
        <v>#N/A</v>
        <stp/>
        <stp>BDH|847265604128262560</stp>
        <tr r="Z20" s="12"/>
      </tp>
      <tp t="e">
        <v>#N/A</v>
        <stp/>
        <stp>BDH|321920039394105177</stp>
        <tr r="L38" s="6"/>
      </tp>
      <tp t="e">
        <v>#N/A</v>
        <stp/>
        <stp>BDH|282245644470287980</stp>
        <tr r="D32" s="18"/>
      </tp>
      <tp t="e">
        <v>#N/A</v>
        <stp/>
        <stp>BDH|313243752048930046</stp>
        <tr r="R65" s="17"/>
        <tr r="P8" s="5"/>
        <tr r="P8" s="9"/>
      </tp>
      <tp t="e">
        <v>#N/A</v>
        <stp/>
        <stp>BDH|907945233234539129</stp>
        <tr r="W30" s="29"/>
        <tr r="W8" s="29"/>
      </tp>
      <tp t="e">
        <v>#N/A</v>
        <stp/>
        <stp>BDH|999180623068975428</stp>
        <tr r="G50" s="17"/>
        <tr r="G10" s="25"/>
      </tp>
      <tp t="e">
        <v>#N/A</v>
        <stp/>
        <stp>BDH|382770189794088443</stp>
        <tr r="V64" s="12"/>
      </tp>
      <tp t="e">
        <v>#N/A</v>
        <stp/>
        <stp>BDH|931736225138764223</stp>
        <tr r="M31" s="34"/>
      </tp>
      <tp t="e">
        <v>#N/A</v>
        <stp/>
        <stp>BDH|504937911797932052</stp>
        <tr r="H16" s="21"/>
      </tp>
      <tp t="e">
        <v>#N/A</v>
        <stp/>
        <stp>BDH|531011754893549914</stp>
        <tr r="Y43" s="12"/>
      </tp>
      <tp t="e">
        <v>#N/A</v>
        <stp/>
        <stp>BDH|282453403593538856</stp>
        <tr r="U10" s="12"/>
      </tp>
      <tp t="e">
        <v>#N/A</v>
        <stp/>
        <stp>BDH|226164382960472660</stp>
        <tr r="R81" s="17"/>
      </tp>
      <tp t="e">
        <v>#N/A</v>
        <stp/>
        <stp>BDH|352061503908205704</stp>
        <tr r="T18" s="11"/>
      </tp>
      <tp t="e">
        <v>#N/A</v>
        <stp/>
        <stp>BDH|234550042838977683</stp>
        <tr r="X18" s="18"/>
      </tp>
      <tp t="e">
        <v>#N/A</v>
        <stp/>
        <stp>BDH|363804516802666473</stp>
        <tr r="Q31" s="18"/>
      </tp>
      <tp t="e">
        <v>#N/A</v>
        <stp/>
        <stp>BDH|477180498691837683</stp>
        <tr r="AA63" s="12"/>
      </tp>
      <tp t="e">
        <v>#N/A</v>
        <stp/>
        <stp>BDH|787629758468178498</stp>
        <tr r="W15" s="4"/>
      </tp>
      <tp t="e">
        <v>#N/A</v>
        <stp/>
        <stp>BDH|701975472609766801</stp>
        <tr r="C7" s="2"/>
        <tr r="C7" s="5"/>
        <tr r="C7" s="9"/>
        <tr r="E14" s="3"/>
      </tp>
      <tp t="e">
        <v>#N/A</v>
        <stp/>
        <stp>BDH|302419606623198802</stp>
        <tr r="AA111" s="18"/>
      </tp>
      <tp t="e">
        <v>#N/A</v>
        <stp/>
        <stp>BDH|422791096664902546</stp>
        <tr r="T63" s="21"/>
        <tr r="R23" s="7"/>
      </tp>
      <tp t="e">
        <v>#N/A</v>
        <stp/>
        <stp>BDH|914340574073918863</stp>
        <tr r="F9" s="10"/>
      </tp>
      <tp t="e">
        <v>#N/A</v>
        <stp/>
        <stp>BDH|342111520409676526</stp>
        <tr r="C46" s="21"/>
      </tp>
      <tp t="e">
        <v>#N/A</v>
        <stp/>
        <stp>BDH|749314998226922311</stp>
        <tr r="F18" s="22"/>
      </tp>
      <tp t="e">
        <v>#N/A</v>
        <stp/>
        <stp>BDH|535416298005883728</stp>
        <tr r="U8" s="22"/>
      </tp>
      <tp t="e">
        <v>#N/A</v>
        <stp/>
        <stp>BDH|884266628887012802</stp>
        <tr r="F21" s="22"/>
      </tp>
      <tp t="e">
        <v>#N/A</v>
        <stp/>
        <stp>BDH|957823986379807626</stp>
        <tr r="K40" s="24"/>
      </tp>
      <tp t="e">
        <v>#N/A</v>
        <stp/>
        <stp>BDH|117914817992369540</stp>
        <tr r="Q24" s="29"/>
      </tp>
      <tp t="e">
        <v>#N/A</v>
        <stp/>
        <stp>BDH|158261932928294677</stp>
        <tr r="J69" s="17"/>
      </tp>
      <tp t="e">
        <v>#N/A</v>
        <stp/>
        <stp>BDH|190544394007618464</stp>
        <tr r="H19" s="18"/>
      </tp>
      <tp t="e">
        <v>#N/A</v>
        <stp/>
        <stp>BDH|987973898346426932</stp>
        <tr r="R13" s="2"/>
      </tp>
      <tp t="e">
        <v>#N/A</v>
        <stp/>
        <stp>BDH|107211575059027347</stp>
        <tr r="C45" s="34"/>
      </tp>
      <tp t="e">
        <v>#N/A</v>
        <stp/>
        <stp>BDH|334017602839243602</stp>
        <tr r="U20" s="25"/>
        <tr r="U13" s="27"/>
      </tp>
      <tp t="e">
        <v>#N/A</v>
        <stp/>
        <stp>BDH|692681120779999254</stp>
        <tr r="E102" s="18"/>
      </tp>
      <tp t="e">
        <v>#N/A</v>
        <stp/>
        <stp>BDH|934815732624169097</stp>
        <tr r="E24" s="11"/>
      </tp>
      <tp t="e">
        <v>#N/A</v>
        <stp/>
        <stp>BDH|695264196335324178</stp>
        <tr r="D36" s="22"/>
      </tp>
      <tp t="e">
        <v>#N/A</v>
        <stp/>
        <stp>BDH|109105877410641920</stp>
        <tr r="S15" s="18"/>
      </tp>
      <tp t="e">
        <v>#N/A</v>
        <stp/>
        <stp>BDH|917944023964928040</stp>
        <tr r="C117" s="18"/>
      </tp>
      <tp t="e">
        <v>#N/A</v>
        <stp/>
        <stp>BDH|721724471628384747</stp>
        <tr r="L119" s="18"/>
      </tp>
      <tp t="e">
        <v>#N/A</v>
        <stp/>
        <stp>BDH|394689178928059603</stp>
        <tr r="R32" s="17"/>
      </tp>
      <tp t="e">
        <v>#N/A</v>
        <stp/>
        <stp>BDH|555106087792717468</stp>
        <tr r="C85" s="17"/>
      </tp>
      <tp t="e">
        <v>#N/A</v>
        <stp/>
        <stp>BDH|533644640339137434</stp>
        <tr r="E52" s="4"/>
        <tr r="G8" s="3"/>
        <tr r="E40" s="10"/>
        <tr r="E38" s="11"/>
        <tr r="G30" s="13"/>
      </tp>
      <tp t="e">
        <v>#N/A</v>
        <stp/>
        <stp>BDH|923297983503257626</stp>
        <tr r="M33" s="10"/>
        <tr r="M31" s="11"/>
        <tr r="O31" s="13"/>
      </tp>
      <tp t="e">
        <v>#N/A</v>
        <stp/>
        <stp>BDH|277666091539560932</stp>
        <tr r="T46" s="18"/>
      </tp>
      <tp t="e">
        <v>#N/A</v>
        <stp/>
        <stp>BDH|673233292721982425</stp>
        <tr r="L96" s="18"/>
      </tp>
      <tp t="e">
        <v>#N/A</v>
        <stp/>
        <stp>BDH|648977962790816179</stp>
        <tr r="P25" s="24"/>
      </tp>
      <tp t="e">
        <v>#N/A</v>
        <stp/>
        <stp>BDH|533241992082848775</stp>
        <tr r="D33" s="10"/>
        <tr r="D31" s="11"/>
        <tr r="F31" s="13"/>
      </tp>
      <tp t="e">
        <v>#N/A</v>
        <stp/>
        <stp>BDH|362485477145682870</stp>
        <tr r="E29" s="17"/>
      </tp>
      <tp t="e">
        <v>#N/A</v>
        <stp/>
        <stp>BDH|899495999443736024</stp>
        <tr r="N15" s="10"/>
      </tp>
      <tp t="e">
        <v>#N/A</v>
        <stp/>
        <stp>BDH|918997471726931668</stp>
        <tr r="N11" s="7"/>
      </tp>
      <tp t="e">
        <v>#N/A</v>
        <stp/>
        <stp>BDH|278918617423292588</stp>
        <tr r="C46" s="17"/>
      </tp>
      <tp t="e">
        <v>#N/A</v>
        <stp/>
        <stp>BDH|294281184550073412</stp>
        <tr r="L23" s="22"/>
      </tp>
      <tp t="e">
        <v>#N/A</v>
        <stp/>
        <stp>BDH|922731294694092415</stp>
        <tr r="T14" s="17"/>
        <tr r="T17" s="28"/>
      </tp>
      <tp t="e">
        <v>#N/A</v>
        <stp/>
        <stp>BDH|371019231044529995</stp>
        <tr r="Z13" s="17"/>
        <tr r="Z16" s="28"/>
      </tp>
      <tp t="e">
        <v>#N/A</v>
        <stp/>
        <stp>BDH|947835281487763931</stp>
        <tr r="M14" s="6"/>
      </tp>
      <tp t="e">
        <v>#N/A</v>
        <stp/>
        <stp>BDH|927845605061775703</stp>
        <tr r="G11" s="3"/>
        <tr r="E46" s="10"/>
        <tr r="E44" s="11"/>
        <tr r="E8" s="7"/>
      </tp>
      <tp t="e">
        <v>#N/A</v>
        <stp/>
        <stp>BDH|429691020632536876</stp>
        <tr r="W26" s="21"/>
      </tp>
      <tp t="e">
        <v>#N/A</v>
        <stp/>
        <stp>BDH|839527681917361407</stp>
        <tr r="H48" s="10"/>
        <tr r="H46" s="11"/>
        <tr r="H15" s="7"/>
      </tp>
      <tp t="e">
        <v>#N/A</v>
        <stp/>
        <stp>BDH|997658352435335855</stp>
        <tr r="L28" s="18"/>
      </tp>
      <tp t="e">
        <v>#N/A</v>
        <stp/>
        <stp>BDH|797388453430306876</stp>
        <tr r="N120" s="18"/>
      </tp>
      <tp t="e">
        <v>#N/A</v>
        <stp/>
        <stp>BDH|984424797650093346</stp>
        <tr r="M122" s="18"/>
      </tp>
      <tp t="e">
        <v>#N/A</v>
        <stp/>
        <stp>BDH|816230252410342900</stp>
        <tr r="Q32" s="26"/>
      </tp>
      <tp t="e">
        <v>#N/A</v>
        <stp/>
        <stp>BDH|670279317639464496</stp>
        <tr r="H63" s="21"/>
        <tr r="F23" s="7"/>
      </tp>
      <tp t="e">
        <v>#N/A</v>
        <stp/>
        <stp>BDH|211850893609861677</stp>
        <tr r="S21" s="21"/>
      </tp>
      <tp t="e">
        <v>#N/A</v>
        <stp/>
        <stp>BDH|357909154212428076</stp>
        <tr r="Y57" s="18"/>
      </tp>
      <tp t="e">
        <v>#N/A</v>
        <stp/>
        <stp>BDH|520571164759152435</stp>
        <tr r="Y38" s="18"/>
      </tp>
      <tp t="e">
        <v>#N/A</v>
        <stp/>
        <stp>BDH|590449615628777368</stp>
        <tr r="L59" s="21"/>
        <tr r="J57" s="11"/>
      </tp>
      <tp t="e">
        <v>#N/A</v>
        <stp/>
        <stp>BDH|917181183073598424</stp>
        <tr r="Q79" s="18"/>
      </tp>
      <tp t="e">
        <v>#N/A</v>
        <stp/>
        <stp>BDH|282944210985980395</stp>
        <tr r="Z26" s="21"/>
      </tp>
      <tp t="e">
        <v>#N/A</v>
        <stp/>
        <stp>BDH|594460698927508487</stp>
        <tr r="Y54" s="21"/>
      </tp>
      <tp t="e">
        <v>#N/A</v>
        <stp/>
        <stp>BDH|333051696390151773</stp>
        <tr r="K17" s="11"/>
      </tp>
      <tp t="e">
        <v>#N/A</v>
        <stp/>
        <stp>BDH|174433077619104439</stp>
        <tr r="T19" s="25"/>
        <tr r="T12" s="27"/>
      </tp>
      <tp t="e">
        <v>#N/A</v>
        <stp/>
        <stp>BDH|914650165518836667</stp>
        <tr r="K15" s="9"/>
      </tp>
      <tp t="e">
        <v>#N/A</v>
        <stp/>
        <stp>BDH|774761431503307942</stp>
        <tr r="U25" s="12"/>
      </tp>
      <tp t="e">
        <v>#N/A</v>
        <stp/>
        <stp>BDH|103004644992617836</stp>
        <tr r="F31" s="25"/>
      </tp>
      <tp t="e">
        <v>#N/A</v>
        <stp/>
        <stp>BDH|237063418549581695</stp>
        <tr r="K63" s="12"/>
      </tp>
      <tp t="e">
        <v>#N/A</v>
        <stp/>
        <stp>BDH|286156594211590766</stp>
        <tr r="M11" s="22"/>
      </tp>
      <tp t="e">
        <v>#N/A</v>
        <stp/>
        <stp>BDH|642257113055438843</stp>
        <tr r="N55" s="18"/>
      </tp>
      <tp t="e">
        <v>#N/A</v>
        <stp/>
        <stp>BDH|262854367954469450</stp>
        <tr r="S28" s="22"/>
      </tp>
      <tp t="e">
        <v>#N/A</v>
        <stp/>
        <stp>BDH|108239532677644878</stp>
        <tr r="D38" s="17"/>
      </tp>
      <tp t="e">
        <v>#N/A</v>
        <stp/>
        <stp>BDH|345502203898963389</stp>
        <tr r="R42" s="17"/>
      </tp>
      <tp t="e">
        <v>#N/A</v>
        <stp/>
        <stp>BDH|728727180972759307</stp>
        <tr r="C30" s="26"/>
      </tp>
      <tp t="e">
        <v>#N/A</v>
        <stp/>
        <stp>BDH|463532761649367478</stp>
        <tr r="F12" s="22"/>
      </tp>
      <tp t="e">
        <v>#N/A</v>
        <stp/>
        <stp>BDH|930893924210754415</stp>
        <tr r="K42" s="4"/>
      </tp>
      <tp t="e">
        <v>#N/A</v>
        <stp/>
        <stp>BDH|330382181395074084</stp>
        <tr r="V45" s="17"/>
      </tp>
      <tp t="e">
        <v>#N/A</v>
        <stp/>
        <stp>BDH|506401023029521115</stp>
        <tr r="J29" s="10"/>
        <tr r="J27" s="11"/>
      </tp>
      <tp t="e">
        <v>#N/A</v>
        <stp/>
        <stp>BDH|428272431629994170</stp>
        <tr r="T22" s="4"/>
      </tp>
      <tp t="e">
        <v>#N/A</v>
        <stp/>
        <stp>BDH|122487245808697164</stp>
        <tr r="C21" s="10"/>
      </tp>
      <tp t="e">
        <v>#N/A</v>
        <stp/>
        <stp>BDH|279024733052832870</stp>
        <tr r="Q53" s="12"/>
      </tp>
      <tp t="e">
        <v>#N/A</v>
        <stp/>
        <stp>BDH|409529408275687944</stp>
        <tr r="U24" s="18"/>
      </tp>
      <tp t="e">
        <v>#N/A</v>
        <stp/>
        <stp>BDH|240708695437846013</stp>
        <tr r="H15" s="12"/>
      </tp>
      <tp t="e">
        <v>#N/A</v>
        <stp/>
        <stp>BDH|614692786896724105</stp>
        <tr r="P14" s="22"/>
      </tp>
      <tp t="e">
        <v>#N/A</v>
        <stp/>
        <stp>BDH|850924500795179551</stp>
        <tr r="I13" s="6"/>
      </tp>
      <tp t="e">
        <v>#N/A</v>
        <stp/>
        <stp>BDH|556123766489743794</stp>
        <tr r="R15" s="9"/>
      </tp>
      <tp t="e">
        <v>#N/A</v>
        <stp/>
        <stp>BDH|121512689277463359</stp>
        <tr r="C95" s="18"/>
      </tp>
      <tp t="e">
        <v>#N/A</v>
        <stp/>
        <stp>BDH|907153090532137358</stp>
        <tr r="D19" s="22"/>
      </tp>
      <tp t="e">
        <v>#N/A</v>
        <stp/>
        <stp>BDH|730829258482226660</stp>
        <tr r="E21" s="5"/>
      </tp>
      <tp t="e">
        <v>#N/A</v>
        <stp/>
        <stp>BDH|413548826237849972</stp>
        <tr r="D17" s="5"/>
        <tr r="C25" s="6"/>
      </tp>
      <tp t="e">
        <v>#N/A</v>
        <stp/>
        <stp>BDH|502327939639509020</stp>
        <tr r="N35" s="6"/>
        <tr r="P10" s="8"/>
      </tp>
      <tp t="e">
        <v>#N/A</v>
        <stp/>
        <stp>BDH|771031708028638131</stp>
        <tr r="I39" s="6"/>
      </tp>
      <tp t="e">
        <v>#N/A</v>
        <stp/>
        <stp>BDH|599534067562080885</stp>
        <tr r="X45" s="18"/>
      </tp>
      <tp t="e">
        <v>#N/A</v>
        <stp/>
        <stp>BDH|970784582317001198</stp>
        <tr r="M48" s="12"/>
      </tp>
      <tp t="e">
        <v>#N/A</v>
        <stp/>
        <stp>BDH|280495402544807951</stp>
        <tr r="AA36" s="18"/>
      </tp>
      <tp t="e">
        <v>#N/A</v>
        <stp/>
        <stp>BDH|377129377869428668</stp>
        <tr r="AA17" s="29"/>
        <tr r="AA37" s="29"/>
      </tp>
      <tp t="e">
        <v>#N/A</v>
        <stp/>
        <stp>BDH|640076887124026527</stp>
        <tr r="G12" s="3"/>
        <tr r="E51" s="10"/>
        <tr r="E49" s="11"/>
        <tr r="E7" s="7"/>
      </tp>
      <tp t="e">
        <v>#N/A</v>
        <stp/>
        <stp>BDH|143246061774631963</stp>
        <tr r="W30" s="26"/>
      </tp>
      <tp t="e">
        <v>#N/A</v>
        <stp/>
        <stp>BDH|101621371919105162</stp>
        <tr r="AA96" s="18"/>
      </tp>
      <tp t="e">
        <v>#N/A</v>
        <stp/>
        <stp>BDH|300620380195164255</stp>
        <tr r="O61" s="17"/>
      </tp>
      <tp t="e">
        <v>#N/A</v>
        <stp/>
        <stp>BDH|534984140556057287</stp>
        <tr r="P84" s="18"/>
      </tp>
      <tp t="e">
        <v>#N/A</v>
        <stp/>
        <stp>BDH|430592974928744383</stp>
        <tr r="J114" s="18"/>
      </tp>
      <tp t="e">
        <v>#N/A</v>
        <stp/>
        <stp>BDH|446959243810589411</stp>
        <tr r="R85" s="17"/>
      </tp>
      <tp t="e">
        <v>#N/A</v>
        <stp/>
        <stp>BDH|876871956017715385</stp>
        <tr r="V52" s="18"/>
      </tp>
      <tp t="e">
        <v>#N/A</v>
        <stp/>
        <stp>BDH|444229675908400413</stp>
        <tr r="I7" s="21"/>
      </tp>
      <tp t="e">
        <v>#N/A</v>
        <stp/>
        <stp>BDH|118820009464526588</stp>
        <tr r="O13" s="10"/>
      </tp>
      <tp t="e">
        <v>#N/A</v>
        <stp/>
        <stp>BDH|748597079009671267</stp>
        <tr r="O48" s="12"/>
      </tp>
      <tp t="e">
        <v>#N/A</v>
        <stp/>
        <stp>BDH|439697661468256193</stp>
        <tr r="Q17" s="11"/>
      </tp>
      <tp t="e">
        <v>#N/A</v>
        <stp/>
        <stp>BDH|844896406142609318</stp>
        <tr r="C24" s="24"/>
      </tp>
      <tp t="e">
        <v>#N/A</v>
        <stp/>
        <stp>BDH|342072895563284335</stp>
        <tr r="J13" s="21"/>
      </tp>
      <tp t="e">
        <v>#N/A</v>
        <stp/>
        <stp>BDH|819685473968459066</stp>
        <tr r="Z79" s="18"/>
      </tp>
      <tp t="e">
        <v>#N/A</v>
        <stp/>
        <stp>BDH|806372689027350540</stp>
        <tr r="Q21" s="25"/>
        <tr r="Q14" s="27"/>
      </tp>
      <tp t="e">
        <v>#N/A</v>
        <stp/>
        <stp>BDH|255068031743076974</stp>
        <tr r="D54" s="24"/>
      </tp>
      <tp t="e">
        <v>#N/A</v>
        <stp/>
        <stp>BDH|445629887754215315</stp>
        <tr r="Y41" s="17"/>
      </tp>
      <tp t="e">
        <v>#N/A</v>
        <stp/>
        <stp>BDH|303722276409186054</stp>
        <tr r="K29" s="17"/>
      </tp>
      <tp t="e">
        <v>#N/A</v>
        <stp/>
        <stp>BDH|804249454576337880</stp>
        <tr r="U16" s="6"/>
      </tp>
      <tp t="e">
        <v>#N/A</v>
        <stp/>
        <stp>BDH|754178498134878537</stp>
        <tr r="X40" s="29"/>
      </tp>
      <tp t="e">
        <v>#N/A</v>
        <stp/>
        <stp>BDH|537690772481865954</stp>
        <tr r="H43" s="17"/>
      </tp>
      <tp t="e">
        <v>#N/A</v>
        <stp/>
        <stp>BDH|861959252991063539</stp>
        <tr r="N43" s="12"/>
      </tp>
      <tp t="e">
        <v>#N/A</v>
        <stp/>
        <stp>BDH|200919069660379755</stp>
        <tr r="X24" s="17"/>
      </tp>
      <tp t="e">
        <v>#N/A</v>
        <stp/>
        <stp>BDH|954853224110192246</stp>
        <tr r="I58" s="21"/>
        <tr r="I30" s="25"/>
        <tr r="G31" s="4"/>
        <tr r="G56" s="11"/>
      </tp>
      <tp t="e">
        <v>#N/A</v>
        <stp/>
        <stp>BDH|921564786330116559</stp>
        <tr r="L38" s="34"/>
      </tp>
      <tp t="e">
        <v>#N/A</v>
        <stp/>
        <stp>BDH|114663375580618991</stp>
        <tr r="AA22" s="18"/>
      </tp>
      <tp t="e">
        <v>#N/A</v>
        <stp/>
        <stp>BDH|902798886982064584</stp>
        <tr r="D15" s="22"/>
      </tp>
      <tp t="e">
        <v>#N/A</v>
        <stp/>
        <stp>BDH|572923847456709391</stp>
        <tr r="N60" s="18"/>
      </tp>
      <tp t="e">
        <v>#N/A</v>
        <stp/>
        <stp>BDH|223191525393035807</stp>
        <tr r="G13" s="13"/>
      </tp>
      <tp t="e">
        <v>#N/A</v>
        <stp/>
        <stp>BDH|932912753016605234</stp>
        <tr r="G121" s="18"/>
      </tp>
      <tp t="e">
        <v>#N/A</v>
        <stp/>
        <stp>BDH|801417375049242215</stp>
        <tr r="M21" s="25"/>
        <tr r="M14" s="27"/>
      </tp>
      <tp t="e">
        <v>#N/A</v>
        <stp/>
        <stp>BDH|278597970838108220</stp>
        <tr r="G17" s="5"/>
        <tr r="F25" s="6"/>
      </tp>
      <tp t="e">
        <v>#N/A</v>
        <stp/>
        <stp>BDH|659881844137402363</stp>
        <tr r="Q38" s="13"/>
      </tp>
      <tp t="e">
        <v>#N/A</v>
        <stp/>
        <stp>BDH|364348443306994950</stp>
        <tr r="AA57" s="12"/>
      </tp>
      <tp t="e">
        <v>#N/A</v>
        <stp/>
        <stp>BDH|794062043335399985</stp>
        <tr r="K6" s="15"/>
        <tr r="K12" s="2"/>
        <tr r="K11" s="4"/>
        <tr r="K6" s="10"/>
      </tp>
      <tp t="e">
        <v>#N/A</v>
        <stp/>
        <stp>BDH|990823590670631975</stp>
        <tr r="Z50" s="21"/>
      </tp>
      <tp t="e">
        <v>#N/A</v>
        <stp/>
        <stp>BDH|598914858863594731</stp>
        <tr r="I24" s="12"/>
      </tp>
      <tp t="e">
        <v>#N/A</v>
        <stp/>
        <stp>BDH|742994838483425186</stp>
        <tr r="C23" s="21"/>
      </tp>
      <tp t="e">
        <v>#N/A</v>
        <stp/>
        <stp>BDH|627626945758247293</stp>
        <tr r="Y43" s="21"/>
      </tp>
      <tp t="e">
        <v>#N/A</v>
        <stp/>
        <stp>BDH|596388616632555859</stp>
        <tr r="P21" s="11"/>
      </tp>
      <tp t="e">
        <v>#N/A</v>
        <stp/>
        <stp>BDH|771496192583296656</stp>
        <tr r="F11" s="12"/>
      </tp>
      <tp t="e">
        <v>#N/A</v>
        <stp/>
        <stp>BDH|329158480685237408</stp>
        <tr r="G40" s="29"/>
      </tp>
      <tp t="e">
        <v>#N/A</v>
        <stp/>
        <stp>BDH|192247684961347370</stp>
        <tr r="R16" s="25"/>
        <tr r="P22" s="11"/>
      </tp>
      <tp t="e">
        <v>#N/A</v>
        <stp/>
        <stp>BDH|133051654439710418</stp>
        <tr r="I54" s="12"/>
      </tp>
      <tp t="e">
        <v>#N/A</v>
        <stp/>
        <stp>BDH|384050360356843883</stp>
        <tr r="C19" s="20"/>
      </tp>
      <tp t="e">
        <v>#N/A</v>
        <stp/>
        <stp>BDH|512242556358405750</stp>
        <tr r="C8" s="14"/>
      </tp>
      <tp t="e">
        <v>#N/A</v>
        <stp/>
        <stp>BDH|328937044257126235</stp>
        <tr r="P17" s="29"/>
        <tr r="P37" s="29"/>
      </tp>
      <tp t="e">
        <v>#N/A</v>
        <stp/>
        <stp>BDH|739540371578453203</stp>
        <tr r="AA19" s="14"/>
      </tp>
      <tp t="e">
        <v>#N/A</v>
        <stp/>
        <stp>BDH|598420324546789823</stp>
        <tr r="AA65" s="12"/>
      </tp>
      <tp t="e">
        <v>#N/A</v>
        <stp/>
        <stp>BDH|914673776081890879</stp>
        <tr r="H56" s="12"/>
      </tp>
      <tp t="e">
        <v>#N/A</v>
        <stp/>
        <stp>BDH|447551367753176806</stp>
        <tr r="Y7" s="14"/>
      </tp>
      <tp t="e">
        <v>#N/A</v>
        <stp/>
        <stp>BDH|702952491318641024</stp>
        <tr r="U81" s="18"/>
      </tp>
      <tp t="e">
        <v>#N/A</v>
        <stp/>
        <stp>BDH|201446374449774221</stp>
        <tr r="X132" s="18"/>
      </tp>
      <tp t="e">
        <v>#N/A</v>
        <stp/>
        <stp>BDH|321521407554515943</stp>
        <tr r="X17" s="20"/>
      </tp>
      <tp t="e">
        <v>#N/A</v>
        <stp/>
        <stp>BDH|565303680323277076</stp>
        <tr r="V37" s="17"/>
      </tp>
      <tp t="e">
        <v>#N/A</v>
        <stp/>
        <stp>BDH|857088663819135722</stp>
        <tr r="U45" s="21"/>
      </tp>
      <tp t="e">
        <v>#N/A</v>
        <stp/>
        <stp>BDH|298878222623773104</stp>
        <tr r="G45" s="24"/>
      </tp>
      <tp t="e">
        <v>#N/A</v>
        <stp/>
        <stp>BDH|820781836129248543</stp>
        <tr r="J9" s="26"/>
      </tp>
      <tp t="e">
        <v>#N/A</v>
        <stp/>
        <stp>BDH|165975022372075155</stp>
        <tr r="Q19" s="10"/>
        <tr r="S16" s="13"/>
        <tr r="S23" s="13"/>
      </tp>
      <tp t="e">
        <v>#N/A</v>
        <stp/>
        <stp>BDH|608531215975026918</stp>
        <tr r="G40" s="6"/>
      </tp>
      <tp t="e">
        <v>#N/A</v>
        <stp/>
        <stp>BDH|798136594683898390</stp>
        <tr r="G30" s="21"/>
      </tp>
      <tp t="e">
        <v>#N/A</v>
        <stp/>
        <stp>BDH|585948047955181060</stp>
        <tr r="I31" s="24"/>
      </tp>
      <tp t="e">
        <v>#N/A</v>
        <stp/>
        <stp>BDH|981758698921446722</stp>
        <tr r="P14" s="13"/>
      </tp>
      <tp t="e">
        <v>#N/A</v>
        <stp/>
        <stp>BDH|489078737482052961</stp>
        <tr r="Y20" s="11"/>
      </tp>
      <tp t="e">
        <v>#N/A</v>
        <stp/>
        <stp>BDH|359501498773872714</stp>
        <tr r="E26" s="18"/>
      </tp>
      <tp t="e">
        <v>#N/A</v>
        <stp/>
        <stp>BDH|371104326292360940</stp>
        <tr r="H11" s="21"/>
      </tp>
      <tp t="e">
        <v>#N/A</v>
        <stp/>
        <stp>BDH|726919705670181100</stp>
        <tr r="Q59" s="18"/>
      </tp>
      <tp t="e">
        <v>#N/A</v>
        <stp/>
        <stp>BDH|441186109790230947</stp>
        <tr r="H107" s="18"/>
      </tp>
      <tp t="e">
        <v>#N/A</v>
        <stp/>
        <stp>BDH|667465914278034575</stp>
        <tr r="L7" s="4"/>
      </tp>
      <tp t="e">
        <v>#N/A</v>
        <stp/>
        <stp>BDH|901818865275888098</stp>
        <tr r="Z48" s="12"/>
      </tp>
      <tp t="e">
        <v>#N/A</v>
        <stp/>
        <stp>BDH|841614203209311458</stp>
        <tr r="C30" s="21"/>
      </tp>
      <tp t="e">
        <v>#N/A</v>
        <stp/>
        <stp>BDH|116883950164202270</stp>
        <tr r="AA62" s="24"/>
      </tp>
      <tp t="e">
        <v>#N/A</v>
        <stp/>
        <stp>BDH|550078759027192965</stp>
        <tr r="M8" s="34"/>
      </tp>
      <tp t="e">
        <v>#N/A</v>
        <stp/>
        <stp>BDH|517275998759610905</stp>
        <tr r="W130" s="18"/>
      </tp>
      <tp t="e">
        <v>#N/A</v>
        <stp/>
        <stp>BDH|250865702727336486</stp>
        <tr r="J8" s="26"/>
        <tr r="H10" s="9"/>
      </tp>
      <tp t="e">
        <v>#N/A</v>
        <stp/>
        <stp>BDH|576320390205211487</stp>
        <tr r="S69" s="18"/>
      </tp>
      <tp t="e">
        <v>#N/A</v>
        <stp/>
        <stp>BDH|331049635038856045</stp>
        <tr r="U64" s="10"/>
      </tp>
      <tp t="e">
        <v>#N/A</v>
        <stp/>
        <stp>BDH|189906196609937200</stp>
        <tr r="K8" s="6"/>
      </tp>
      <tp t="e">
        <v>#N/A</v>
        <stp/>
        <stp>BDH|829710567952545857</stp>
        <tr r="Y89" s="18"/>
        <tr r="Y9" s="20"/>
      </tp>
      <tp t="e">
        <v>#N/A</v>
        <stp/>
        <stp>BDH|476272549304449919</stp>
        <tr r="N54" s="18"/>
      </tp>
      <tp t="e">
        <v>#N/A</v>
        <stp/>
        <stp>BDH|984562031064158973</stp>
        <tr r="I31" s="22"/>
      </tp>
      <tp t="e">
        <v>#N/A</v>
        <stp/>
        <stp>BDH|436367951349898424</stp>
        <tr r="W16" s="23"/>
      </tp>
      <tp t="e">
        <v>#N/A</v>
        <stp/>
        <stp>BDH|724822113921630393</stp>
        <tr r="L86" s="18"/>
        <tr r="L6" s="20"/>
      </tp>
      <tp t="e">
        <v>#N/A</v>
        <stp/>
        <stp>BDH|106393630898768355</stp>
        <tr r="J9" s="12"/>
      </tp>
      <tp t="e">
        <v>#N/A</v>
        <stp/>
        <stp>BDH|672539209878657600</stp>
        <tr r="Y75" s="17"/>
      </tp>
      <tp t="e">
        <v>#N/A</v>
        <stp/>
        <stp>BDH|956815288298275384</stp>
        <tr r="S6" s="19"/>
        <tr r="S34" s="17"/>
        <tr r="S16" s="3"/>
      </tp>
      <tp t="e">
        <v>#N/A</v>
        <stp/>
        <stp>BDH|368348728669334378</stp>
        <tr r="N75" s="18"/>
      </tp>
      <tp t="e">
        <v>#N/A</v>
        <stp/>
        <stp>BDH|266966863903037731</stp>
        <tr r="I13" s="18"/>
      </tp>
      <tp t="e">
        <v>#N/A</v>
        <stp/>
        <stp>BDH|144625895150375410</stp>
        <tr r="F29" s="21"/>
      </tp>
      <tp t="e">
        <v>#N/A</v>
        <stp/>
        <stp>BDH|413177349348958675</stp>
        <tr r="Q29" s="18"/>
      </tp>
      <tp t="e">
        <v>#N/A</v>
        <stp/>
        <stp>BDH|848249584962561380</stp>
        <tr r="S37" s="21"/>
        <tr r="S24" s="3"/>
      </tp>
      <tp t="e">
        <v>#N/A</v>
        <stp/>
        <stp>BDH|420679035137758977</stp>
        <tr r="R18" s="10"/>
      </tp>
      <tp t="e">
        <v>#N/A</v>
        <stp/>
        <stp>BDH|265935446776400059</stp>
        <tr r="AA126" s="18"/>
      </tp>
      <tp t="e">
        <v>#N/A</v>
        <stp/>
        <stp>BDH|913419898256094062</stp>
        <tr r="D96" s="18"/>
      </tp>
      <tp t="e">
        <v>#N/A</v>
        <stp/>
        <stp>BDH|585676244780700978</stp>
        <tr r="X9" s="27"/>
      </tp>
      <tp t="e">
        <v>#N/A</v>
        <stp/>
        <stp>BDH|326652106118262556</stp>
        <tr r="K35" s="34"/>
      </tp>
      <tp t="e">
        <v>#N/A</v>
        <stp/>
        <stp>BDH|258831241675918298</stp>
        <tr r="X28" s="22"/>
      </tp>
      <tp t="e">
        <v>#N/A</v>
        <stp/>
        <stp>BDH|498340567238764602</stp>
        <tr r="Z15" s="22"/>
      </tp>
      <tp t="e">
        <v>#N/A</v>
        <stp/>
        <stp>BDH|962851729928691937</stp>
        <tr r="P29" s="22"/>
      </tp>
      <tp t="e">
        <v>#N/A</v>
        <stp/>
        <stp>BDH|574953051922249523</stp>
        <tr r="G16" s="24"/>
      </tp>
      <tp t="e">
        <v>#N/A</v>
        <stp/>
        <stp>BDH|751387246488139491</stp>
        <tr r="T19" s="14"/>
      </tp>
      <tp t="e">
        <v>#N/A</v>
        <stp/>
        <stp>BDH|992266916001130999</stp>
        <tr r="Y44" s="12"/>
      </tp>
      <tp t="e">
        <v>#N/A</v>
        <stp/>
        <stp>BDH|392858802197662409</stp>
        <tr r="U11" s="24"/>
      </tp>
      <tp t="e">
        <v>#N/A</v>
        <stp/>
        <stp>BDH|745619194161814582</stp>
        <tr r="E9" s="26"/>
      </tp>
      <tp t="e">
        <v>#N/A</v>
        <stp/>
        <stp>BDH|636868258760288685</stp>
        <tr r="G54" s="18"/>
      </tp>
      <tp t="e">
        <v>#N/A</v>
        <stp/>
        <stp>BDH|480382487529942916</stp>
        <tr r="G28" s="26"/>
      </tp>
      <tp t="e">
        <v>#N/A</v>
        <stp/>
        <stp>BDH|268664031898181674</stp>
        <tr r="C60" s="10"/>
      </tp>
      <tp t="e">
        <v>#N/A</v>
        <stp/>
        <stp>BDH|531391684978660925</stp>
        <tr r="C13" s="18"/>
      </tp>
      <tp t="e">
        <v>#N/A</v>
        <stp/>
        <stp>BDH|228589245688073322</stp>
        <tr r="O12" s="22"/>
      </tp>
      <tp t="e">
        <v>#N/A</v>
        <stp/>
        <stp>BDH|821832901411767302</stp>
        <tr r="N89" s="17"/>
        <tr r="N7" s="27"/>
      </tp>
      <tp t="e">
        <v>#N/A</v>
        <stp/>
        <stp>BDH|452896763510353404</stp>
        <tr r="S58" s="17"/>
      </tp>
      <tp t="e">
        <v>#N/A</v>
        <stp/>
        <stp>BDH|717462358073596826</stp>
        <tr r="AA60" s="24"/>
      </tp>
      <tp t="e">
        <v>#N/A</v>
        <stp/>
        <stp>BDH|288704852821749991</stp>
        <tr r="H41" s="12"/>
      </tp>
      <tp t="e">
        <v>#N/A</v>
        <stp/>
        <stp>BDH|305486831854676932</stp>
        <tr r="S16" s="11"/>
      </tp>
      <tp t="e">
        <v>#N/A</v>
        <stp/>
        <stp>BDH|819647990815126024</stp>
        <tr r="G26" s="10"/>
      </tp>
      <tp t="e">
        <v>#N/A</v>
        <stp/>
        <stp>BDH|848391171036826876</stp>
        <tr r="S15" s="21"/>
      </tp>
      <tp t="e">
        <v>#N/A</v>
        <stp/>
        <stp>BDH|482003972368926576</stp>
        <tr r="Y24" s="24"/>
      </tp>
      <tp t="e">
        <v>#N/A</v>
        <stp/>
        <stp>BDH|747844093478288386</stp>
        <tr r="U34" s="12"/>
      </tp>
      <tp t="e">
        <v>#N/A</v>
        <stp/>
        <stp>BDH|427219319800299948</stp>
        <tr r="H49" s="18"/>
      </tp>
      <tp t="e">
        <v>#N/A</v>
        <stp/>
        <stp>BDH|949505217277054946</stp>
        <tr r="W22" s="18"/>
      </tp>
      <tp t="e">
        <v>#N/A</v>
        <stp/>
        <stp>BDH|588295019980879972</stp>
        <tr r="S30" s="24"/>
      </tp>
      <tp t="e">
        <v>#N/A</v>
        <stp/>
        <stp>BDH|124971451563864543</stp>
        <tr r="C21" s="21"/>
      </tp>
      <tp t="e">
        <v>#N/A</v>
        <stp/>
        <stp>BDH|254821813046922510</stp>
        <tr r="F22" s="12"/>
      </tp>
      <tp t="e">
        <v>#N/A</v>
        <stp/>
        <stp>BDH|506832538288454911</stp>
        <tr r="L49" s="12"/>
      </tp>
      <tp t="e">
        <v>#N/A</v>
        <stp/>
        <stp>BDH|316389780663616296</stp>
        <tr r="S33" s="22"/>
      </tp>
      <tp t="e">
        <v>#N/A</v>
        <stp/>
        <stp>BDH|594343480113247270</stp>
        <tr r="E22" s="5"/>
      </tp>
      <tp t="e">
        <v>#N/A</v>
        <stp/>
        <stp>BDH|178645126529290753</stp>
        <tr r="P18" s="24"/>
      </tp>
      <tp t="e">
        <v>#N/A</v>
        <stp/>
        <stp>BDH|618722143038231109</stp>
        <tr r="H68" s="17"/>
      </tp>
      <tp t="e">
        <v>#N/A</v>
        <stp/>
        <stp>BDH|890877762447162393</stp>
        <tr r="P16" s="25"/>
        <tr r="N22" s="11"/>
      </tp>
      <tp t="e">
        <v>#N/A</v>
        <stp/>
        <stp>BDH|582514191405036308</stp>
        <tr r="AA89" s="18"/>
        <tr r="AA9" s="20"/>
      </tp>
      <tp t="e">
        <v>#N/A</v>
        <stp/>
        <stp>BDH|395762290214340004</stp>
        <tr r="E18" s="29"/>
        <tr r="E38" s="29"/>
      </tp>
      <tp t="e">
        <v>#N/A</v>
        <stp/>
        <stp>BDH|719334356469359576</stp>
        <tr r="C27" s="7"/>
      </tp>
      <tp t="e">
        <v>#N/A</v>
        <stp/>
        <stp>BDH|683408724634109852</stp>
        <tr r="R67" s="24"/>
      </tp>
      <tp t="e">
        <v>#N/A</v>
        <stp/>
        <stp>BDH|146932753047369152</stp>
        <tr r="W18" s="29"/>
        <tr r="W38" s="29"/>
      </tp>
      <tp t="e">
        <v>#N/A</v>
        <stp/>
        <stp>BDH|984031027560967845</stp>
        <tr r="I19" s="20"/>
      </tp>
      <tp t="e">
        <v>#N/A</v>
        <stp/>
        <stp>BDH|127378147894836990</stp>
        <tr r="K70" s="10"/>
        <tr r="K68" s="11"/>
      </tp>
      <tp t="e">
        <v>#N/A</v>
        <stp/>
        <stp>BDH|579253913141306801</stp>
        <tr r="G20" s="22"/>
      </tp>
      <tp t="e">
        <v>#N/A</v>
        <stp/>
        <stp>BDH|290051992056359571</stp>
        <tr r="G55" s="12"/>
      </tp>
      <tp t="e">
        <v>#N/A</v>
        <stp/>
        <stp>BDH|369250555758669544</stp>
        <tr r="F11" s="24"/>
      </tp>
      <tp t="e">
        <v>#N/A</v>
        <stp/>
        <stp>BDH|796988607660883327</stp>
        <tr r="O15" s="22"/>
      </tp>
      <tp t="e">
        <v>#N/A</v>
        <stp/>
        <stp>BDH|835122798774358621</stp>
        <tr r="G74" s="17"/>
        <tr r="G19" s="3"/>
      </tp>
      <tp t="e">
        <v>#N/A</v>
        <stp/>
        <stp>BDH|361618431657925</stp>
        <tr r="F131" s="18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workbookViewId="0">
      <selection activeCell="A2" sqref="A2"/>
    </sheetView>
  </sheetViews>
  <sheetFormatPr defaultRowHeight="15" x14ac:dyDescent="0.25"/>
  <cols>
    <col min="1" max="1" width="23.57031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7</v>
      </c>
      <c r="B4" s="3"/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31</v>
      </c>
      <c r="AA4" s="4" t="s">
        <v>32</v>
      </c>
    </row>
    <row r="5" spans="1:27" x14ac:dyDescent="0.25">
      <c r="A5" s="9" t="s">
        <v>33</v>
      </c>
      <c r="B5" s="9"/>
      <c r="C5" s="5" t="s">
        <v>34</v>
      </c>
      <c r="D5" s="5" t="s">
        <v>35</v>
      </c>
      <c r="E5" s="5" t="s">
        <v>36</v>
      </c>
      <c r="F5" s="5" t="s">
        <v>37</v>
      </c>
      <c r="G5" s="5" t="s">
        <v>38</v>
      </c>
      <c r="H5" s="5" t="s">
        <v>39</v>
      </c>
      <c r="I5" s="5" t="s">
        <v>40</v>
      </c>
      <c r="J5" s="5" t="s">
        <v>41</v>
      </c>
      <c r="K5" s="5" t="s">
        <v>42</v>
      </c>
      <c r="L5" s="5" t="s">
        <v>43</v>
      </c>
      <c r="M5" s="5" t="s">
        <v>44</v>
      </c>
      <c r="N5" s="5" t="s">
        <v>45</v>
      </c>
      <c r="O5" s="5" t="s">
        <v>46</v>
      </c>
      <c r="P5" s="5" t="s">
        <v>47</v>
      </c>
      <c r="Q5" s="5" t="s">
        <v>48</v>
      </c>
      <c r="R5" s="5" t="s">
        <v>49</v>
      </c>
      <c r="S5" s="5" t="s">
        <v>50</v>
      </c>
      <c r="T5" s="5" t="s">
        <v>51</v>
      </c>
      <c r="U5" s="5" t="s">
        <v>52</v>
      </c>
      <c r="V5" s="5" t="s">
        <v>53</v>
      </c>
      <c r="W5" s="5" t="s">
        <v>54</v>
      </c>
      <c r="X5" s="5" t="s">
        <v>55</v>
      </c>
      <c r="Y5" s="5" t="s">
        <v>56</v>
      </c>
      <c r="Z5" s="5" t="s">
        <v>57</v>
      </c>
      <c r="AA5" s="5" t="s">
        <v>58</v>
      </c>
    </row>
    <row r="6" spans="1:27" x14ac:dyDescent="0.25">
      <c r="A6" s="6" t="s">
        <v>59</v>
      </c>
      <c r="B6" s="6" t="s">
        <v>60</v>
      </c>
      <c r="C6" s="19">
        <f>_xll.BDH("ITCI US Equity","HISTORICAL_MARKET_CAP","FQ2 2019","FQ2 2019","Currency=USD","Period=FQ","BEST_FPERIOD_OVERRIDE=FQ","FILING_STATUS=MR","SCALING_FORMAT=MLN","Sort=A","Dates=H","DateFormat=P","Fill=—","Direction=H","UseDPDF=Y")</f>
        <v>716.32399999999996</v>
      </c>
      <c r="D6" s="19">
        <f>_xll.BDH("ITCI US Equity","HISTORICAL_MARKET_CAP","FQ3 2019","FQ3 2019","Currency=USD","Period=FQ","BEST_FPERIOD_OVERRIDE=FQ","FILING_STATUS=MR","SCALING_FORMAT=MLN","Sort=A","Dates=H","DateFormat=P","Fill=—","Direction=H","UseDPDF=Y")</f>
        <v>412.69940000000003</v>
      </c>
      <c r="E6" s="19">
        <f>_xll.BDH("ITCI US Equity","HISTORICAL_MARKET_CAP","FQ4 2019","FQ4 2019","Currency=USD","Period=FQ","BEST_FPERIOD_OVERRIDE=FQ","FILING_STATUS=MR","SCALING_FORMAT=MLN","Sort=A","Dates=H","DateFormat=P","Fill=—","Direction=H","UseDPDF=Y")</f>
        <v>1904.4621999999999</v>
      </c>
      <c r="F6" s="19">
        <f>_xll.BDH("ITCI US Equity","HISTORICAL_MARKET_CAP","FQ1 2020","FQ1 2020","Currency=USD","Period=FQ","BEST_FPERIOD_OVERRIDE=FQ","FILING_STATUS=MR","SCALING_FORMAT=MLN","Sort=A","Dates=H","DateFormat=P","Fill=—","Direction=H","UseDPDF=Y")</f>
        <v>1017.5057</v>
      </c>
      <c r="G6" s="19">
        <f>_xll.BDH("ITCI US Equity","HISTORICAL_MARKET_CAP","FQ2 2020","FQ2 2020","Currency=USD","Period=FQ","BEST_FPERIOD_OVERRIDE=FQ","FILING_STATUS=MR","SCALING_FORMAT=MLN","Sort=A","Dates=H","DateFormat=P","Fill=—","Direction=H","UseDPDF=Y")</f>
        <v>1714.1845000000001</v>
      </c>
      <c r="H6" s="19">
        <f>_xll.BDH("ITCI US Equity","HISTORICAL_MARKET_CAP","FQ3 2020","FQ3 2020","Currency=USD","Period=FQ","BEST_FPERIOD_OVERRIDE=FQ","FILING_STATUS=MR","SCALING_FORMAT=MLN","Sort=A","Dates=H","DateFormat=P","Fill=—","Direction=H","UseDPDF=Y")</f>
        <v>2056.4641999999999</v>
      </c>
      <c r="I6" s="19">
        <f>_xll.BDH("ITCI US Equity","HISTORICAL_MARKET_CAP","FQ4 2020","FQ4 2020","Currency=USD","Period=FQ","BEST_FPERIOD_OVERRIDE=FQ","FILING_STATUS=MR","SCALING_FORMAT=MLN","Sort=A","Dates=H","DateFormat=P","Fill=—","Direction=H","UseDPDF=Y")</f>
        <v>2558.7262000000001</v>
      </c>
      <c r="J6" s="19">
        <f>_xll.BDH("ITCI US Equity","HISTORICAL_MARKET_CAP","FQ1 2021","FQ1 2021","Currency=USD","Period=FQ","BEST_FPERIOD_OVERRIDE=FQ","FILING_STATUS=MR","SCALING_FORMAT=MLN","Sort=A","Dates=H","DateFormat=P","Fill=—","Direction=H","UseDPDF=Y")</f>
        <v>2752.8715000000002</v>
      </c>
      <c r="K6" s="19">
        <f>_xll.BDH("ITCI US Equity","HISTORICAL_MARKET_CAP","FQ2 2021","FQ2 2021","Currency=USD","Period=FQ","BEST_FPERIOD_OVERRIDE=FQ","FILING_STATUS=MR","SCALING_FORMAT=MLN","Sort=A","Dates=H","DateFormat=P","Fill=—","Direction=H","UseDPDF=Y")</f>
        <v>3319.1509000000001</v>
      </c>
      <c r="L6" s="19">
        <f>_xll.BDH("ITCI US Equity","HISTORICAL_MARKET_CAP","FQ3 2021","FQ3 2021","Currency=USD","Period=FQ","BEST_FPERIOD_OVERRIDE=FQ","FILING_STATUS=MR","SCALING_FORMAT=MLN","Sort=A","Dates=H","DateFormat=P","Fill=—","Direction=H","UseDPDF=Y")</f>
        <v>3033.7496999999998</v>
      </c>
      <c r="M6" s="19">
        <f>_xll.BDH("ITCI US Equity","HISTORICAL_MARKET_CAP","FQ4 2021","FQ4 2021","Currency=USD","Period=FQ","BEST_FPERIOD_OVERRIDE=FQ","FILING_STATUS=MR","SCALING_FORMAT=MLN","Sort=A","Dates=H","DateFormat=P","Fill=—","Direction=H","UseDPDF=Y")</f>
        <v>4285.9637000000002</v>
      </c>
      <c r="N6" s="19">
        <f>_xll.BDH("ITCI US Equity","HISTORICAL_MARKET_CAP","FQ1 2022","FQ1 2022","Currency=USD","Period=FQ","BEST_FPERIOD_OVERRIDE=FQ","FILING_STATUS=MR","SCALING_FORMAT=MLN","Sort=A","Dates=H","DateFormat=P","Fill=—","Direction=H","UseDPDF=Y")</f>
        <v>5753.1098000000002</v>
      </c>
      <c r="O6" s="19">
        <f>_xll.BDH("ITCI US Equity","HISTORICAL_MARKET_CAP","FQ2 2022","FQ2 2022","Currency=USD","Period=FQ","BEST_FPERIOD_OVERRIDE=FQ","FILING_STATUS=MR","SCALING_FORMAT=MLN","Sort=A","Dates=H","DateFormat=P","Fill=—","Direction=H","UseDPDF=Y")</f>
        <v>5386.4817000000003</v>
      </c>
      <c r="P6" s="19">
        <f>_xll.BDH("ITCI US Equity","HISTORICAL_MARKET_CAP","FQ3 2022","FQ3 2022","Currency=USD","Period=FQ","BEST_FPERIOD_OVERRIDE=FQ","FILING_STATUS=MR","SCALING_FORMAT=MLN","Sort=A","Dates=H","DateFormat=P","Fill=—","Direction=H","UseDPDF=Y")</f>
        <v>4406.4683000000005</v>
      </c>
      <c r="Q6" s="19">
        <f>_xll.BDH("ITCI US Equity","HISTORICAL_MARKET_CAP","FQ4 2022","FQ4 2022","Currency=USD","Period=FQ","BEST_FPERIOD_OVERRIDE=FQ","FILING_STATUS=MR","SCALING_FORMAT=MLN","Sort=A","Dates=H","DateFormat=P","Fill=—","Direction=H","UseDPDF=Y")</f>
        <v>5018.3927000000003</v>
      </c>
      <c r="R6" s="19">
        <f>_xll.BDH("ITCI US Equity","HISTORICAL_MARKET_CAP","FQ1 2023","FQ1 2023","Currency=USD","Period=FQ","BEST_FPERIOD_OVERRIDE=FQ","FILING_STATUS=MR","SCALING_FORMAT=MLN","Sort=A","Dates=H","DateFormat=P","Fill=—","Direction=H","UseDPDF=Y")</f>
        <v>5181.0735999999997</v>
      </c>
      <c r="S6" s="19">
        <f>_xll.BDH("ITCI US Equity","HISTORICAL_MARKET_CAP","FQ2 2023","FQ2 2023","Currency=USD","Period=FQ","BEST_FPERIOD_OVERRIDE=FQ","FILING_STATUS=MR","SCALING_FORMAT=MLN","Sort=A","Dates=H","DateFormat=P","Fill=—","Direction=H","UseDPDF=Y")</f>
        <v>6084.0001000000002</v>
      </c>
      <c r="T6" s="19">
        <f>_xll.BDH("ITCI US Equity","HISTORICAL_MARKET_CAP","FQ3 2023","FQ3 2023","Currency=USD","Period=FQ","BEST_FPERIOD_OVERRIDE=FQ","FILING_STATUS=MR","SCALING_FORMAT=MLN","Sort=A","Dates=H","DateFormat=P","Fill=—","Direction=H","UseDPDF=Y")</f>
        <v>5012.3923999999997</v>
      </c>
      <c r="U6" s="19">
        <f>_xll.BDH("ITCI US Equity","HISTORICAL_MARKET_CAP","FQ4 2023","FQ4 2023","Currency=USD","Period=FQ","BEST_FPERIOD_OVERRIDE=FQ","FILING_STATUS=MR","SCALING_FORMAT=MLN","Sort=A","Dates=H","DateFormat=P","Fill=—","Direction=H","UseDPDF=Y")</f>
        <v>6902.7221</v>
      </c>
      <c r="V6" s="19">
        <f>_xll.BDH("ITCI US Equity","HISTORICAL_MARKET_CAP","FQ1 2024","FQ1 2024","Currency=USD","Period=FQ","BEST_FPERIOD_OVERRIDE=FQ","FILING_STATUS=MR","SCALING_FORMAT=MLN","Sort=A","Dates=H","DateFormat=P","Fill=—","Direction=H","UseDPDF=Y")</f>
        <v>6745.4650000000001</v>
      </c>
      <c r="W6" s="19">
        <f>_xll.BDH("ITCI US Equity","HISTORICAL_MARKET_CAP","FQ2 2024","FQ2 2024","Currency=USD","Period=FQ","BEST_FPERIOD_OVERRIDE=FQ","FILING_STATUS=MR","SCALING_FORMAT=MLN","Sort=A","Dates=H","DateFormat=P","Fill=—","Direction=H","UseDPDF=Y")</f>
        <v>7234.2494999999999</v>
      </c>
      <c r="X6" s="19">
        <f>_xll.BDH("ITCI US Equity","HISTORICAL_MARKET_CAP","FQ3 2024","FQ3 2024","Currency=USD","Period=FQ","BEST_FPERIOD_OVERRIDE=FQ","FILING_STATUS=MR","SCALING_FORMAT=MLN","Sort=A","Dates=H","DateFormat=P","Fill=—","Direction=H","UseDPDF=Y")</f>
        <v>7755.9312</v>
      </c>
      <c r="Y6" s="19">
        <f>_xll.BDH("ITCI US Equity","HISTORICAL_MARKET_CAP","FQ4 2024","FQ4 2024","Currency=USD","Period=FQ","BEST_FPERIOD_OVERRIDE=FQ","FILING_STATUS=MR","SCALING_FORMAT=MLN","Sort=A","Dates=H","DateFormat=P","Fill=—","Direction=H","UseDPDF=Y")</f>
        <v>8873.1656000000003</v>
      </c>
      <c r="Z6" s="19"/>
      <c r="AA6" s="19"/>
    </row>
    <row r="7" spans="1:27" x14ac:dyDescent="0.25">
      <c r="A7" s="10" t="s">
        <v>61</v>
      </c>
      <c r="B7" s="10" t="s">
        <v>62</v>
      </c>
      <c r="C7" s="13">
        <f>_xll.BDH("ITCI US Equity","CASH_AND_MARKETABLE_SECURITIES","FQ2 2019","FQ2 2019","Currency=USD","Period=FQ","BEST_FPERIOD_OVERRIDE=FQ","FILING_STATUS=MR","SCALING_FORMAT=MLN","Sort=A","Dates=H","DateFormat=P","Fill=—","Direction=H","UseDPDF=Y")</f>
        <v>285.30020000000002</v>
      </c>
      <c r="D7" s="13">
        <f>_xll.BDH("ITCI US Equity","CASH_AND_MARKETABLE_SECURITIES","FQ3 2019","FQ3 2019","Currency=USD","Period=FQ","BEST_FPERIOD_OVERRIDE=FQ","FILING_STATUS=MR","SCALING_FORMAT=MLN","Sort=A","Dates=H","DateFormat=P","Fill=—","Direction=H","UseDPDF=Y")</f>
        <v>255.43360000000001</v>
      </c>
      <c r="E7" s="13">
        <f>_xll.BDH("ITCI US Equity","CASH_AND_MARKETABLE_SECURITIES","FQ4 2019","FQ4 2019","Currency=USD","Period=FQ","BEST_FPERIOD_OVERRIDE=FQ","FILING_STATUS=MR","SCALING_FORMAT=MLN","Sort=A","Dates=H","DateFormat=P","Fill=—","Direction=H","UseDPDF=Y")</f>
        <v>224.0102</v>
      </c>
      <c r="F7" s="13">
        <f>_xll.BDH("ITCI US Equity","CASH_AND_MARKETABLE_SECURITIES","FQ1 2020","FQ1 2020","Currency=USD","Period=FQ","BEST_FPERIOD_OVERRIDE=FQ","FILING_STATUS=MR","SCALING_FORMAT=MLN","Sort=A","Dates=H","DateFormat=P","Fill=—","Direction=H","UseDPDF=Y")</f>
        <v>448.95400000000001</v>
      </c>
      <c r="G7" s="13">
        <f>_xll.BDH("ITCI US Equity","CASH_AND_MARKETABLE_SECURITIES","FQ2 2020","FQ2 2020","Currency=USD","Period=FQ","BEST_FPERIOD_OVERRIDE=FQ","FILING_STATUS=MR","SCALING_FORMAT=MLN","Sort=A","Dates=H","DateFormat=P","Fill=—","Direction=H","UseDPDF=Y")</f>
        <v>407.75889999999998</v>
      </c>
      <c r="H7" s="13">
        <f>_xll.BDH("ITCI US Equity","CASH_AND_MARKETABLE_SECURITIES","FQ3 2020","FQ3 2020","Currency=USD","Period=FQ","BEST_FPERIOD_OVERRIDE=FQ","FILING_STATUS=MR","SCALING_FORMAT=MLN","Sort=A","Dates=H","DateFormat=P","Fill=—","Direction=H","UseDPDF=Y")</f>
        <v>721.94749999999999</v>
      </c>
      <c r="I7" s="13">
        <f>_xll.BDH("ITCI US Equity","CASH_AND_MARKETABLE_SECURITIES","FQ4 2020","FQ4 2020","Currency=USD","Period=FQ","BEST_FPERIOD_OVERRIDE=FQ","FILING_STATUS=MR","SCALING_FORMAT=MLN","Sort=A","Dates=H","DateFormat=P","Fill=—","Direction=H","UseDPDF=Y")</f>
        <v>657.44809999999995</v>
      </c>
      <c r="J7" s="13">
        <f>_xll.BDH("ITCI US Equity","CASH_AND_MARKETABLE_SECURITIES","FQ1 2021","FQ1 2021","Currency=USD","Period=FQ","BEST_FPERIOD_OVERRIDE=FQ","FILING_STATUS=MR","SCALING_FORMAT=MLN","Sort=A","Dates=H","DateFormat=P","Fill=—","Direction=H","UseDPDF=Y")</f>
        <v>611.96469999999999</v>
      </c>
      <c r="K7" s="13">
        <f>_xll.BDH("ITCI US Equity","CASH_AND_MARKETABLE_SECURITIES","FQ2 2021","FQ2 2021","Currency=USD","Period=FQ","BEST_FPERIOD_OVERRIDE=FQ","FILING_STATUS=MR","SCALING_FORMAT=MLN","Sort=A","Dates=H","DateFormat=P","Fill=—","Direction=H","UseDPDF=Y")</f>
        <v>554.75739999999996</v>
      </c>
      <c r="L7" s="13">
        <f>_xll.BDH("ITCI US Equity","CASH_AND_MARKETABLE_SECURITIES","FQ3 2021","FQ3 2021","Currency=USD","Period=FQ","BEST_FPERIOD_OVERRIDE=FQ","FILING_STATUS=MR","SCALING_FORMAT=MLN","Sort=A","Dates=H","DateFormat=P","Fill=—","Direction=H","UseDPDF=Y")</f>
        <v>477.28390000000002</v>
      </c>
      <c r="M7" s="13">
        <f>_xll.BDH("ITCI US Equity","CASH_AND_MARKETABLE_SECURITIES","FQ4 2021","FQ4 2021","Currency=USD","Period=FQ","BEST_FPERIOD_OVERRIDE=FQ","FILING_STATUS=MR","SCALING_FORMAT=MLN","Sort=A","Dates=H","DateFormat=P","Fill=—","Direction=H","UseDPDF=Y")</f>
        <v>412.33330000000001</v>
      </c>
      <c r="N7" s="13">
        <f>_xll.BDH("ITCI US Equity","CASH_AND_MARKETABLE_SECURITIES","FQ1 2022","FQ1 2022","Currency=USD","Period=FQ","BEST_FPERIOD_OVERRIDE=FQ","FILING_STATUS=MR","SCALING_FORMAT=MLN","Sort=A","Dates=H","DateFormat=P","Fill=—","Direction=H","UseDPDF=Y")</f>
        <v>771.84799999999996</v>
      </c>
      <c r="O7" s="13">
        <f>_xll.BDH("ITCI US Equity","CASH_AND_MARKETABLE_SECURITIES","FQ2 2022","FQ2 2022","Currency=USD","Period=FQ","BEST_FPERIOD_OVERRIDE=FQ","FILING_STATUS=MR","SCALING_FORMAT=MLN","Sort=A","Dates=H","DateFormat=P","Fill=—","Direction=H","UseDPDF=Y")</f>
        <v>677.82899999999995</v>
      </c>
      <c r="P7" s="13">
        <f>_xll.BDH("ITCI US Equity","CASH_AND_MARKETABLE_SECURITIES","FQ3 2022","FQ3 2022","Currency=USD","Period=FQ","BEST_FPERIOD_OVERRIDE=FQ","FILING_STATUS=MR","SCALING_FORMAT=MLN","Sort=A","Dates=H","DateFormat=P","Fill=—","Direction=H","UseDPDF=Y")</f>
        <v>628.74099999999999</v>
      </c>
      <c r="Q7" s="13">
        <f>_xll.BDH("ITCI US Equity","CASH_AND_MARKETABLE_SECURITIES","FQ4 2022","FQ4 2022","Currency=USD","Period=FQ","BEST_FPERIOD_OVERRIDE=FQ","FILING_STATUS=MR","SCALING_FORMAT=MLN","Sort=A","Dates=H","DateFormat=P","Fill=—","Direction=H","UseDPDF=Y")</f>
        <v>591.90499999999997</v>
      </c>
      <c r="R7" s="13">
        <f>_xll.BDH("ITCI US Equity","CASH_AND_MARKETABLE_SECURITIES","FQ1 2023","FQ1 2023","Currency=USD","Period=FQ","BEST_FPERIOD_OVERRIDE=FQ","FILING_STATUS=MR","SCALING_FORMAT=MLN","Sort=A","Dates=H","DateFormat=P","Fill=—","Direction=H","UseDPDF=Y")</f>
        <v>538.70799999999997</v>
      </c>
      <c r="S7" s="13">
        <f>_xll.BDH("ITCI US Equity","CASH_AND_MARKETABLE_SECURITIES","FQ2 2023","FQ2 2023","Currency=USD","Period=FQ","BEST_FPERIOD_OVERRIDE=FQ","FILING_STATUS=MR","SCALING_FORMAT=MLN","Sort=A","Dates=H","DateFormat=P","Fill=—","Direction=H","UseDPDF=Y")</f>
        <v>512.85400000000004</v>
      </c>
      <c r="T7" s="13">
        <f>_xll.BDH("ITCI US Equity","CASH_AND_MARKETABLE_SECURITIES","FQ3 2023","FQ3 2023","Currency=USD","Period=FQ","BEST_FPERIOD_OVERRIDE=FQ","FILING_STATUS=MR","SCALING_FORMAT=MLN","Sort=A","Dates=H","DateFormat=P","Fill=—","Direction=H","UseDPDF=Y")</f>
        <v>493.02100000000002</v>
      </c>
      <c r="U7" s="13">
        <f>_xll.BDH("ITCI US Equity","CASH_AND_MARKETABLE_SECURITIES","FQ4 2023","FQ4 2023","Currency=USD","Period=FQ","BEST_FPERIOD_OVERRIDE=FQ","FILING_STATUS=MR","SCALING_FORMAT=MLN","Sort=A","Dates=H","DateFormat=P","Fill=—","Direction=H","UseDPDF=Y")</f>
        <v>497.94099999999997</v>
      </c>
      <c r="V7" s="13">
        <f>_xll.BDH("ITCI US Equity","CASH_AND_MARKETABLE_SECURITIES","FQ1 2024","FQ1 2024","Currency=USD","Period=FQ","BEST_FPERIOD_OVERRIDE=FQ","FILING_STATUS=MR","SCALING_FORMAT=MLN","Sort=A","Dates=H","DateFormat=P","Fill=—","Direction=H","UseDPDF=Y")</f>
        <v>475.62299999999999</v>
      </c>
      <c r="W7" s="13">
        <f>_xll.BDH("ITCI US Equity","CASH_AND_MARKETABLE_SECURITIES","FQ2 2024","FQ2 2024","Currency=USD","Period=FQ","BEST_FPERIOD_OVERRIDE=FQ","FILING_STATUS=MR","SCALING_FORMAT=MLN","Sort=A","Dates=H","DateFormat=P","Fill=—","Direction=H","UseDPDF=Y")</f>
        <v>1022.907</v>
      </c>
      <c r="X7" s="13">
        <f>_xll.BDH("ITCI US Equity","CASH_AND_MARKETABLE_SECURITIES","FQ3 2024","FQ3 2024","Currency=USD","Period=FQ","BEST_FPERIOD_OVERRIDE=FQ","FILING_STATUS=MR","SCALING_FORMAT=MLN","Sort=A","Dates=H","DateFormat=P","Fill=—","Direction=H","UseDPDF=Y")</f>
        <v>1006.562</v>
      </c>
      <c r="Y7" s="13">
        <f>_xll.BDH("ITCI US Equity","CASH_AND_MARKETABLE_SECURITIES","FQ4 2024","FQ4 2024","Currency=USD","Period=FQ","BEST_FPERIOD_OVERRIDE=FQ","FILING_STATUS=MR","SCALING_FORMAT=MLN","Sort=A","Dates=H","DateFormat=P","Fill=—","Direction=H","UseDPDF=Y")</f>
        <v>1001.066</v>
      </c>
      <c r="Z7" s="13"/>
      <c r="AA7" s="13"/>
    </row>
    <row r="8" spans="1:27" x14ac:dyDescent="0.25">
      <c r="A8" s="10" t="s">
        <v>63</v>
      </c>
      <c r="B8" s="10" t="s">
        <v>64</v>
      </c>
      <c r="C8" s="13">
        <f>_xll.BDH("ITCI US Equity","PFD_EQTY_MINORTY_INTEREST","FQ2 2019","FQ2 2019","Currency=USD","Period=FQ","BEST_FPERIOD_OVERRIDE=FQ","FILING_STATUS=MR","SCALING_FORMAT=MLN","Sort=A","Dates=H","DateFormat=P","Fill=—","Direction=H","UseDPDF=Y")</f>
        <v>0</v>
      </c>
      <c r="D8" s="13">
        <f>_xll.BDH("ITCI US Equity","PFD_EQTY_MINORTY_INTEREST","FQ3 2019","FQ3 2019","Currency=USD","Period=FQ","BEST_FPERIOD_OVERRIDE=FQ","FILING_STATUS=MR","SCALING_FORMAT=MLN","Sort=A","Dates=H","DateFormat=P","Fill=—","Direction=H","UseDPDF=Y")</f>
        <v>0</v>
      </c>
      <c r="E8" s="13">
        <f>_xll.BDH("ITCI US Equity","PFD_EQTY_MINORTY_INTEREST","FQ4 2019","FQ4 2019","Currency=USD","Period=FQ","BEST_FPERIOD_OVERRIDE=FQ","FILING_STATUS=MR","SCALING_FORMAT=MLN","Sort=A","Dates=H","DateFormat=P","Fill=—","Direction=H","UseDPDF=Y")</f>
        <v>0</v>
      </c>
      <c r="F8" s="13">
        <f>_xll.BDH("ITCI US Equity","PFD_EQTY_MINORTY_INTEREST","FQ1 2020","FQ1 2020","Currency=USD","Period=FQ","BEST_FPERIOD_OVERRIDE=FQ","FILING_STATUS=MR","SCALING_FORMAT=MLN","Sort=A","Dates=H","DateFormat=P","Fill=—","Direction=H","UseDPDF=Y")</f>
        <v>0</v>
      </c>
      <c r="G8" s="13">
        <f>_xll.BDH("ITCI US Equity","PFD_EQTY_MINORTY_INTEREST","FQ2 2020","FQ2 2020","Currency=USD","Period=FQ","BEST_FPERIOD_OVERRIDE=FQ","FILING_STATUS=MR","SCALING_FORMAT=MLN","Sort=A","Dates=H","DateFormat=P","Fill=—","Direction=H","UseDPDF=Y")</f>
        <v>0</v>
      </c>
      <c r="H8" s="13">
        <f>_xll.BDH("ITCI US Equity","PFD_EQTY_MINORTY_INTEREST","FQ3 2020","FQ3 2020","Currency=USD","Period=FQ","BEST_FPERIOD_OVERRIDE=FQ","FILING_STATUS=MR","SCALING_FORMAT=MLN","Sort=A","Dates=H","DateFormat=P","Fill=—","Direction=H","UseDPDF=Y")</f>
        <v>0</v>
      </c>
      <c r="I8" s="13">
        <f>_xll.BDH("ITCI US Equity","PFD_EQTY_MINORTY_INTEREST","FQ4 2020","FQ4 2020","Currency=USD","Period=FQ","BEST_FPERIOD_OVERRIDE=FQ","FILING_STATUS=MR","SCALING_FORMAT=MLN","Sort=A","Dates=H","DateFormat=P","Fill=—","Direction=H","UseDPDF=Y")</f>
        <v>0</v>
      </c>
      <c r="J8" s="13">
        <f>_xll.BDH("ITCI US Equity","PFD_EQTY_MINORTY_INTEREST","FQ1 2021","FQ1 2021","Currency=USD","Period=FQ","BEST_FPERIOD_OVERRIDE=FQ","FILING_STATUS=MR","SCALING_FORMAT=MLN","Sort=A","Dates=H","DateFormat=P","Fill=—","Direction=H","UseDPDF=Y")</f>
        <v>0</v>
      </c>
      <c r="K8" s="13">
        <f>_xll.BDH("ITCI US Equity","PFD_EQTY_MINORTY_INTEREST","FQ2 2021","FQ2 2021","Currency=USD","Period=FQ","BEST_FPERIOD_OVERRIDE=FQ","FILING_STATUS=MR","SCALING_FORMAT=MLN","Sort=A","Dates=H","DateFormat=P","Fill=—","Direction=H","UseDPDF=Y")</f>
        <v>0</v>
      </c>
      <c r="L8" s="13">
        <f>_xll.BDH("ITCI US Equity","PFD_EQTY_MINORTY_INTEREST","FQ3 2021","FQ3 2021","Currency=USD","Period=FQ","BEST_FPERIOD_OVERRIDE=FQ","FILING_STATUS=MR","SCALING_FORMAT=MLN","Sort=A","Dates=H","DateFormat=P","Fill=—","Direction=H","UseDPDF=Y")</f>
        <v>0</v>
      </c>
      <c r="M8" s="13">
        <f>_xll.BDH("ITCI US Equity","PFD_EQTY_MINORTY_INTEREST","FQ4 2021","FQ4 2021","Currency=USD","Period=FQ","BEST_FPERIOD_OVERRIDE=FQ","FILING_STATUS=MR","SCALING_FORMAT=MLN","Sort=A","Dates=H","DateFormat=P","Fill=—","Direction=H","UseDPDF=Y")</f>
        <v>0</v>
      </c>
      <c r="N8" s="13">
        <f>_xll.BDH("ITCI US Equity","PFD_EQTY_MINORTY_INTEREST","FQ1 2022","FQ1 2022","Currency=USD","Period=FQ","BEST_FPERIOD_OVERRIDE=FQ","FILING_STATUS=MR","SCALING_FORMAT=MLN","Sort=A","Dates=H","DateFormat=P","Fill=—","Direction=H","UseDPDF=Y")</f>
        <v>0</v>
      </c>
      <c r="O8" s="13">
        <f>_xll.BDH("ITCI US Equity","PFD_EQTY_MINORTY_INTEREST","FQ2 2022","FQ2 2022","Currency=USD","Period=FQ","BEST_FPERIOD_OVERRIDE=FQ","FILING_STATUS=MR","SCALING_FORMAT=MLN","Sort=A","Dates=H","DateFormat=P","Fill=—","Direction=H","UseDPDF=Y")</f>
        <v>0</v>
      </c>
      <c r="P8" s="13">
        <f>_xll.BDH("ITCI US Equity","PFD_EQTY_MINORTY_INTEREST","FQ3 2022","FQ3 2022","Currency=USD","Period=FQ","BEST_FPERIOD_OVERRIDE=FQ","FILING_STATUS=MR","SCALING_FORMAT=MLN","Sort=A","Dates=H","DateFormat=P","Fill=—","Direction=H","UseDPDF=Y")</f>
        <v>0</v>
      </c>
      <c r="Q8" s="13">
        <f>_xll.BDH("ITCI US Equity","PFD_EQTY_MINORTY_INTEREST","FQ4 2022","FQ4 2022","Currency=USD","Period=FQ","BEST_FPERIOD_OVERRIDE=FQ","FILING_STATUS=MR","SCALING_FORMAT=MLN","Sort=A","Dates=H","DateFormat=P","Fill=—","Direction=H","UseDPDF=Y")</f>
        <v>0</v>
      </c>
      <c r="R8" s="13">
        <f>_xll.BDH("ITCI US Equity","PFD_EQTY_MINORTY_INTEREST","FQ1 2023","FQ1 2023","Currency=USD","Period=FQ","BEST_FPERIOD_OVERRIDE=FQ","FILING_STATUS=MR","SCALING_FORMAT=MLN","Sort=A","Dates=H","DateFormat=P","Fill=—","Direction=H","UseDPDF=Y")</f>
        <v>0</v>
      </c>
      <c r="S8" s="13">
        <f>_xll.BDH("ITCI US Equity","PFD_EQTY_MINORTY_INTEREST","FQ2 2023","FQ2 2023","Currency=USD","Period=FQ","BEST_FPERIOD_OVERRIDE=FQ","FILING_STATUS=MR","SCALING_FORMAT=MLN","Sort=A","Dates=H","DateFormat=P","Fill=—","Direction=H","UseDPDF=Y")</f>
        <v>0</v>
      </c>
      <c r="T8" s="13">
        <f>_xll.BDH("ITCI US Equity","PFD_EQTY_MINORTY_INTEREST","FQ3 2023","FQ3 2023","Currency=USD","Period=FQ","BEST_FPERIOD_OVERRIDE=FQ","FILING_STATUS=MR","SCALING_FORMAT=MLN","Sort=A","Dates=H","DateFormat=P","Fill=—","Direction=H","UseDPDF=Y")</f>
        <v>0</v>
      </c>
      <c r="U8" s="13">
        <f>_xll.BDH("ITCI US Equity","PFD_EQTY_MINORTY_INTEREST","FQ4 2023","FQ4 2023","Currency=USD","Period=FQ","BEST_FPERIOD_OVERRIDE=FQ","FILING_STATUS=MR","SCALING_FORMAT=MLN","Sort=A","Dates=H","DateFormat=P","Fill=—","Direction=H","UseDPDF=Y")</f>
        <v>0</v>
      </c>
      <c r="V8" s="13">
        <f>_xll.BDH("ITCI US Equity","PFD_EQTY_MINORTY_INTEREST","FQ1 2024","FQ1 2024","Currency=USD","Period=FQ","BEST_FPERIOD_OVERRIDE=FQ","FILING_STATUS=MR","SCALING_FORMAT=MLN","Sort=A","Dates=H","DateFormat=P","Fill=—","Direction=H","UseDPDF=Y")</f>
        <v>0</v>
      </c>
      <c r="W8" s="13">
        <f>_xll.BDH("ITCI US Equity","PFD_EQTY_MINORTY_INTEREST","FQ2 2024","FQ2 2024","Currency=USD","Period=FQ","BEST_FPERIOD_OVERRIDE=FQ","FILING_STATUS=MR","SCALING_FORMAT=MLN","Sort=A","Dates=H","DateFormat=P","Fill=—","Direction=H","UseDPDF=Y")</f>
        <v>0</v>
      </c>
      <c r="X8" s="13">
        <f>_xll.BDH("ITCI US Equity","PFD_EQTY_MINORTY_INTEREST","FQ3 2024","FQ3 2024","Currency=USD","Period=FQ","BEST_FPERIOD_OVERRIDE=FQ","FILING_STATUS=MR","SCALING_FORMAT=MLN","Sort=A","Dates=H","DateFormat=P","Fill=—","Direction=H","UseDPDF=Y")</f>
        <v>0</v>
      </c>
      <c r="Y8" s="13">
        <f>_xll.BDH("ITCI US Equity","PFD_EQTY_MINORTY_INTEREST","FQ4 2024","FQ4 2024","Currency=USD","Period=FQ","BEST_FPERIOD_OVERRIDE=FQ","FILING_STATUS=MR","SCALING_FORMAT=MLN","Sort=A","Dates=H","DateFormat=P","Fill=—","Direction=H","UseDPDF=Y")</f>
        <v>0</v>
      </c>
      <c r="Z8" s="13"/>
      <c r="AA8" s="13"/>
    </row>
    <row r="9" spans="1:27" x14ac:dyDescent="0.25">
      <c r="A9" s="10" t="s">
        <v>65</v>
      </c>
      <c r="B9" s="10" t="s">
        <v>66</v>
      </c>
      <c r="C9" s="13">
        <f>_xll.BDH("ITCI US Equity","SHORT_AND_LONG_TERM_DEBT","FQ2 2019","FQ2 2019","Currency=USD","Period=FQ","BEST_FPERIOD_OVERRIDE=FQ","FILING_STATUS=MR","SCALING_FORMAT=MLN","Sort=A","Dates=H","DateFormat=P","Fill=—","Direction=H","UseDPDF=Y")</f>
        <v>22.8307</v>
      </c>
      <c r="D9" s="13">
        <f>_xll.BDH("ITCI US Equity","SHORT_AND_LONG_TERM_DEBT","FQ3 2019","FQ3 2019","Currency=USD","Period=FQ","BEST_FPERIOD_OVERRIDE=FQ","FILING_STATUS=MR","SCALING_FORMAT=MLN","Sort=A","Dates=H","DateFormat=P","Fill=—","Direction=H","UseDPDF=Y")</f>
        <v>22.5565</v>
      </c>
      <c r="E9" s="13">
        <f>_xll.BDH("ITCI US Equity","SHORT_AND_LONG_TERM_DEBT","FQ4 2019","FQ4 2019","Currency=USD","Period=FQ","BEST_FPERIOD_OVERRIDE=FQ","FILING_STATUS=MR","SCALING_FORMAT=MLN","Sort=A","Dates=H","DateFormat=P","Fill=—","Direction=H","UseDPDF=Y")</f>
        <v>23.142600000000002</v>
      </c>
      <c r="F9" s="13">
        <f>_xll.BDH("ITCI US Equity","SHORT_AND_LONG_TERM_DEBT","FQ1 2020","FQ1 2020","Currency=USD","Period=FQ","BEST_FPERIOD_OVERRIDE=FQ","FILING_STATUS=MR","SCALING_FORMAT=MLN","Sort=A","Dates=H","DateFormat=P","Fill=—","Direction=H","UseDPDF=Y")</f>
        <v>22.929300000000001</v>
      </c>
      <c r="G9" s="13">
        <f>_xll.BDH("ITCI US Equity","SHORT_AND_LONG_TERM_DEBT","FQ2 2020","FQ2 2020","Currency=USD","Period=FQ","BEST_FPERIOD_OVERRIDE=FQ","FILING_STATUS=MR","SCALING_FORMAT=MLN","Sort=A","Dates=H","DateFormat=P","Fill=—","Direction=H","UseDPDF=Y")</f>
        <v>25.132200000000001</v>
      </c>
      <c r="H9" s="13">
        <f>_xll.BDH("ITCI US Equity","SHORT_AND_LONG_TERM_DEBT","FQ3 2020","FQ3 2020","Currency=USD","Period=FQ","BEST_FPERIOD_OVERRIDE=FQ","FILING_STATUS=MR","SCALING_FORMAT=MLN","Sort=A","Dates=H","DateFormat=P","Fill=—","Direction=H","UseDPDF=Y")</f>
        <v>29.136800000000001</v>
      </c>
      <c r="I9" s="13">
        <f>_xll.BDH("ITCI US Equity","SHORT_AND_LONG_TERM_DEBT","FQ4 2020","FQ4 2020","Currency=USD","Period=FQ","BEST_FPERIOD_OVERRIDE=FQ","FILING_STATUS=MR","SCALING_FORMAT=MLN","Sort=A","Dates=H","DateFormat=P","Fill=—","Direction=H","UseDPDF=Y")</f>
        <v>29.142099999999999</v>
      </c>
      <c r="J9" s="13">
        <f>_xll.BDH("ITCI US Equity","SHORT_AND_LONG_TERM_DEBT","FQ1 2021","FQ1 2021","Currency=USD","Period=FQ","BEST_FPERIOD_OVERRIDE=FQ","FILING_STATUS=MR","SCALING_FORMAT=MLN","Sort=A","Dates=H","DateFormat=P","Fill=—","Direction=H","UseDPDF=Y")</f>
        <v>28.2103</v>
      </c>
      <c r="K9" s="13">
        <f>_xll.BDH("ITCI US Equity","SHORT_AND_LONG_TERM_DEBT","FQ2 2021","FQ2 2021","Currency=USD","Period=FQ","BEST_FPERIOD_OVERRIDE=FQ","FILING_STATUS=MR","SCALING_FORMAT=MLN","Sort=A","Dates=H","DateFormat=P","Fill=—","Direction=H","UseDPDF=Y")</f>
        <v>27.283899999999999</v>
      </c>
      <c r="L9" s="13">
        <f>_xll.BDH("ITCI US Equity","SHORT_AND_LONG_TERM_DEBT","FQ3 2021","FQ3 2021","Currency=USD","Period=FQ","BEST_FPERIOD_OVERRIDE=FQ","FILING_STATUS=MR","SCALING_FORMAT=MLN","Sort=A","Dates=H","DateFormat=P","Fill=—","Direction=H","UseDPDF=Y")</f>
        <v>26.405999999999999</v>
      </c>
      <c r="M9" s="13">
        <f>_xll.BDH("ITCI US Equity","SHORT_AND_LONG_TERM_DEBT","FQ4 2021","FQ4 2021","Currency=USD","Period=FQ","BEST_FPERIOD_OVERRIDE=FQ","FILING_STATUS=MR","SCALING_FORMAT=MLN","Sort=A","Dates=H","DateFormat=P","Fill=—","Direction=H","UseDPDF=Y")</f>
        <v>25.406700000000001</v>
      </c>
      <c r="N9" s="13">
        <f>_xll.BDH("ITCI US Equity","SHORT_AND_LONG_TERM_DEBT","FQ1 2022","FQ1 2022","Currency=USD","Period=FQ","BEST_FPERIOD_OVERRIDE=FQ","FILING_STATUS=MR","SCALING_FORMAT=MLN","Sort=A","Dates=H","DateFormat=P","Fill=—","Direction=H","UseDPDF=Y")</f>
        <v>24.391999999999999</v>
      </c>
      <c r="O9" s="13">
        <f>_xll.BDH("ITCI US Equity","SHORT_AND_LONG_TERM_DEBT","FQ2 2022","FQ2 2022","Currency=USD","Period=FQ","BEST_FPERIOD_OVERRIDE=FQ","FILING_STATUS=MR","SCALING_FORMAT=MLN","Sort=A","Dates=H","DateFormat=P","Fill=—","Direction=H","UseDPDF=Y")</f>
        <v>26.818000000000001</v>
      </c>
      <c r="P9" s="13">
        <f>_xll.BDH("ITCI US Equity","SHORT_AND_LONG_TERM_DEBT","FQ3 2022","FQ3 2022","Currency=USD","Period=FQ","BEST_FPERIOD_OVERRIDE=FQ","FILING_STATUS=MR","SCALING_FORMAT=MLN","Sort=A","Dates=H","DateFormat=P","Fill=—","Direction=H","UseDPDF=Y")</f>
        <v>26.411999999999999</v>
      </c>
      <c r="Q9" s="13">
        <f>_xll.BDH("ITCI US Equity","SHORT_AND_LONG_TERM_DEBT","FQ4 2022","FQ4 2022","Currency=USD","Period=FQ","BEST_FPERIOD_OVERRIDE=FQ","FILING_STATUS=MR","SCALING_FORMAT=MLN","Sort=A","Dates=H","DateFormat=P","Fill=—","Direction=H","UseDPDF=Y")</f>
        <v>20.041</v>
      </c>
      <c r="R9" s="13">
        <f>_xll.BDH("ITCI US Equity","SHORT_AND_LONG_TERM_DEBT","FQ1 2023","FQ1 2023","Currency=USD","Period=FQ","BEST_FPERIOD_OVERRIDE=FQ","FILING_STATUS=MR","SCALING_FORMAT=MLN","Sort=A","Dates=H","DateFormat=P","Fill=—","Direction=H","UseDPDF=Y")</f>
        <v>18.492000000000001</v>
      </c>
      <c r="S9" s="13">
        <f>_xll.BDH("ITCI US Equity","SHORT_AND_LONG_TERM_DEBT","FQ2 2023","FQ2 2023","Currency=USD","Period=FQ","BEST_FPERIOD_OVERRIDE=FQ","FILING_STATUS=MR","SCALING_FORMAT=MLN","Sort=A","Dates=H","DateFormat=P","Fill=—","Direction=H","UseDPDF=Y")</f>
        <v>17.989999999999998</v>
      </c>
      <c r="T9" s="13">
        <f>_xll.BDH("ITCI US Equity","SHORT_AND_LONG_TERM_DEBT","FQ3 2023","FQ3 2023","Currency=USD","Period=FQ","BEST_FPERIOD_OVERRIDE=FQ","FILING_STATUS=MR","SCALING_FORMAT=MLN","Sort=A","Dates=H","DateFormat=P","Fill=—","Direction=H","UseDPDF=Y")</f>
        <v>17.475000000000001</v>
      </c>
      <c r="U9" s="13">
        <f>_xll.BDH("ITCI US Equity","SHORT_AND_LONG_TERM_DEBT","FQ4 2023","FQ4 2023","Currency=USD","Period=FQ","BEST_FPERIOD_OVERRIDE=FQ","FILING_STATUS=MR","SCALING_FORMAT=MLN","Sort=A","Dates=H","DateFormat=P","Fill=—","Direction=H","UseDPDF=Y")</f>
        <v>16.937999999999999</v>
      </c>
      <c r="V9" s="13">
        <f>_xll.BDH("ITCI US Equity","SHORT_AND_LONG_TERM_DEBT","FQ1 2024","FQ1 2024","Currency=USD","Period=FQ","BEST_FPERIOD_OVERRIDE=FQ","FILING_STATUS=MR","SCALING_FORMAT=MLN","Sort=A","Dates=H","DateFormat=P","Fill=—","Direction=H","UseDPDF=Y")</f>
        <v>16.376000000000001</v>
      </c>
      <c r="W9" s="13">
        <f>_xll.BDH("ITCI US Equity","SHORT_AND_LONG_TERM_DEBT","FQ2 2024","FQ2 2024","Currency=USD","Period=FQ","BEST_FPERIOD_OVERRIDE=FQ","FILING_STATUS=MR","SCALING_FORMAT=MLN","Sort=A","Dates=H","DateFormat=P","Fill=—","Direction=H","UseDPDF=Y")</f>
        <v>18.288</v>
      </c>
      <c r="X9" s="13">
        <f>_xll.BDH("ITCI US Equity","SHORT_AND_LONG_TERM_DEBT","FQ3 2024","FQ3 2024","Currency=USD","Period=FQ","BEST_FPERIOD_OVERRIDE=FQ","FILING_STATUS=MR","SCALING_FORMAT=MLN","Sort=A","Dates=H","DateFormat=P","Fill=—","Direction=H","UseDPDF=Y")</f>
        <v>17.709</v>
      </c>
      <c r="Y9" s="13">
        <f>_xll.BDH("ITCI US Equity","SHORT_AND_LONG_TERM_DEBT","FQ4 2024","FQ4 2024","Currency=USD","Period=FQ","BEST_FPERIOD_OVERRIDE=FQ","FILING_STATUS=MR","SCALING_FORMAT=MLN","Sort=A","Dates=H","DateFormat=P","Fill=—","Direction=H","UseDPDF=Y")</f>
        <v>16.981000000000002</v>
      </c>
      <c r="Z9" s="13"/>
      <c r="AA9" s="13"/>
    </row>
    <row r="10" spans="1:27" x14ac:dyDescent="0.25">
      <c r="A10" s="6" t="s">
        <v>67</v>
      </c>
      <c r="B10" s="6" t="s">
        <v>68</v>
      </c>
      <c r="C10" s="19">
        <f>_xll.BDH("ITCI US Equity","ENTERPRISE_VALUE","FQ2 2019","FQ2 2019","Currency=USD","Period=FQ","BEST_FPERIOD_OVERRIDE=FQ","FILING_STATUS=MR","SCALING_FORMAT=MLN","Sort=A","Dates=H","DateFormat=P","Fill=—","Direction=H","UseDPDF=Y")</f>
        <v>453.85449999999997</v>
      </c>
      <c r="D10" s="19">
        <f>_xll.BDH("ITCI US Equity","ENTERPRISE_VALUE","FQ3 2019","FQ3 2019","Currency=USD","Period=FQ","BEST_FPERIOD_OVERRIDE=FQ","FILING_STATUS=MR","SCALING_FORMAT=MLN","Sort=A","Dates=H","DateFormat=P","Fill=—","Direction=H","UseDPDF=Y")</f>
        <v>179.82239999999999</v>
      </c>
      <c r="E10" s="19">
        <f>_xll.BDH("ITCI US Equity","ENTERPRISE_VALUE","FQ4 2019","FQ4 2019","Currency=USD","Period=FQ","BEST_FPERIOD_OVERRIDE=FQ","FILING_STATUS=MR","SCALING_FORMAT=MLN","Sort=A","Dates=H","DateFormat=P","Fill=—","Direction=H","UseDPDF=Y")</f>
        <v>1703.5947000000001</v>
      </c>
      <c r="F10" s="19">
        <f>_xll.BDH("ITCI US Equity","ENTERPRISE_VALUE","FQ1 2020","FQ1 2020","Currency=USD","Period=FQ","BEST_FPERIOD_OVERRIDE=FQ","FILING_STATUS=MR","SCALING_FORMAT=MLN","Sort=A","Dates=H","DateFormat=P","Fill=—","Direction=H","UseDPDF=Y")</f>
        <v>591.48099999999999</v>
      </c>
      <c r="G10" s="19">
        <f>_xll.BDH("ITCI US Equity","ENTERPRISE_VALUE","FQ2 2020","FQ2 2020","Currency=USD","Period=FQ","BEST_FPERIOD_OVERRIDE=FQ","FILING_STATUS=MR","SCALING_FORMAT=MLN","Sort=A","Dates=H","DateFormat=P","Fill=—","Direction=H","UseDPDF=Y")</f>
        <v>1331.5577000000001</v>
      </c>
      <c r="H10" s="19">
        <f>_xll.BDH("ITCI US Equity","ENTERPRISE_VALUE","FQ3 2020","FQ3 2020","Currency=USD","Period=FQ","BEST_FPERIOD_OVERRIDE=FQ","FILING_STATUS=MR","SCALING_FORMAT=MLN","Sort=A","Dates=H","DateFormat=P","Fill=—","Direction=H","UseDPDF=Y")</f>
        <v>1363.6534999999999</v>
      </c>
      <c r="I10" s="19">
        <f>_xll.BDH("ITCI US Equity","ENTERPRISE_VALUE","FQ4 2020","FQ4 2020","Currency=USD","Period=FQ","BEST_FPERIOD_OVERRIDE=FQ","FILING_STATUS=MR","SCALING_FORMAT=MLN","Sort=A","Dates=H","DateFormat=P","Fill=—","Direction=H","UseDPDF=Y")</f>
        <v>1930.4203</v>
      </c>
      <c r="J10" s="19">
        <f>_xll.BDH("ITCI US Equity","ENTERPRISE_VALUE","FQ1 2021","FQ1 2021","Currency=USD","Period=FQ","BEST_FPERIOD_OVERRIDE=FQ","FILING_STATUS=MR","SCALING_FORMAT=MLN","Sort=A","Dates=H","DateFormat=P","Fill=—","Direction=H","UseDPDF=Y")</f>
        <v>2169.1172000000001</v>
      </c>
      <c r="K10" s="19">
        <f>_xll.BDH("ITCI US Equity","ENTERPRISE_VALUE","FQ2 2021","FQ2 2021","Currency=USD","Period=FQ","BEST_FPERIOD_OVERRIDE=FQ","FILING_STATUS=MR","SCALING_FORMAT=MLN","Sort=A","Dates=H","DateFormat=P","Fill=—","Direction=H","UseDPDF=Y")</f>
        <v>2791.6774</v>
      </c>
      <c r="L10" s="19">
        <f>_xll.BDH("ITCI US Equity","ENTERPRISE_VALUE","FQ3 2021","FQ3 2021","Currency=USD","Period=FQ","BEST_FPERIOD_OVERRIDE=FQ","FILING_STATUS=MR","SCALING_FORMAT=MLN","Sort=A","Dates=H","DateFormat=P","Fill=—","Direction=H","UseDPDF=Y")</f>
        <v>2582.8717000000001</v>
      </c>
      <c r="M10" s="19">
        <f>_xll.BDH("ITCI US Equity","ENTERPRISE_VALUE","FQ4 2021","FQ4 2021","Currency=USD","Period=FQ","BEST_FPERIOD_OVERRIDE=FQ","FILING_STATUS=MR","SCALING_FORMAT=MLN","Sort=A","Dates=H","DateFormat=P","Fill=—","Direction=H","UseDPDF=Y")</f>
        <v>3899.0371</v>
      </c>
      <c r="N10" s="19">
        <f>_xll.BDH("ITCI US Equity","ENTERPRISE_VALUE","FQ1 2022","FQ1 2022","Currency=USD","Period=FQ","BEST_FPERIOD_OVERRIDE=FQ","FILING_STATUS=MR","SCALING_FORMAT=MLN","Sort=A","Dates=H","DateFormat=P","Fill=—","Direction=H","UseDPDF=Y")</f>
        <v>5005.6538</v>
      </c>
      <c r="O10" s="19">
        <f>_xll.BDH("ITCI US Equity","ENTERPRISE_VALUE","FQ2 2022","FQ2 2022","Currency=USD","Period=FQ","BEST_FPERIOD_OVERRIDE=FQ","FILING_STATUS=MR","SCALING_FORMAT=MLN","Sort=A","Dates=H","DateFormat=P","Fill=—","Direction=H","UseDPDF=Y")</f>
        <v>4735.4706999999999</v>
      </c>
      <c r="P10" s="19">
        <f>_xll.BDH("ITCI US Equity","ENTERPRISE_VALUE","FQ3 2022","FQ3 2022","Currency=USD","Period=FQ","BEST_FPERIOD_OVERRIDE=FQ","FILING_STATUS=MR","SCALING_FORMAT=MLN","Sort=A","Dates=H","DateFormat=P","Fill=—","Direction=H","UseDPDF=Y")</f>
        <v>3804.1392999999998</v>
      </c>
      <c r="Q10" s="19">
        <f>_xll.BDH("ITCI US Equity","ENTERPRISE_VALUE","FQ4 2022","FQ4 2022","Currency=USD","Period=FQ","BEST_FPERIOD_OVERRIDE=FQ","FILING_STATUS=MR","SCALING_FORMAT=MLN","Sort=A","Dates=H","DateFormat=P","Fill=—","Direction=H","UseDPDF=Y")</f>
        <v>4446.5286999999998</v>
      </c>
      <c r="R10" s="19">
        <f>_xll.BDH("ITCI US Equity","ENTERPRISE_VALUE","FQ1 2023","FQ1 2023","Currency=USD","Period=FQ","BEST_FPERIOD_OVERRIDE=FQ","FILING_STATUS=MR","SCALING_FORMAT=MLN","Sort=A","Dates=H","DateFormat=P","Fill=—","Direction=H","UseDPDF=Y")</f>
        <v>4660.8576000000003</v>
      </c>
      <c r="S10" s="19">
        <f>_xll.BDH("ITCI US Equity","ENTERPRISE_VALUE","FQ2 2023","FQ2 2023","Currency=USD","Period=FQ","BEST_FPERIOD_OVERRIDE=FQ","FILING_STATUS=MR","SCALING_FORMAT=MLN","Sort=A","Dates=H","DateFormat=P","Fill=—","Direction=H","UseDPDF=Y")</f>
        <v>5589.1360999999997</v>
      </c>
      <c r="T10" s="19">
        <f>_xll.BDH("ITCI US Equity","ENTERPRISE_VALUE","FQ3 2023","FQ3 2023","Currency=USD","Period=FQ","BEST_FPERIOD_OVERRIDE=FQ","FILING_STATUS=MR","SCALING_FORMAT=MLN","Sort=A","Dates=H","DateFormat=P","Fill=—","Direction=H","UseDPDF=Y")</f>
        <v>4536.8464000000004</v>
      </c>
      <c r="U10" s="19">
        <f>_xll.BDH("ITCI US Equity","ENTERPRISE_VALUE","FQ4 2023","FQ4 2023","Currency=USD","Period=FQ","BEST_FPERIOD_OVERRIDE=FQ","FILING_STATUS=MR","SCALING_FORMAT=MLN","Sort=A","Dates=H","DateFormat=P","Fill=—","Direction=H","UseDPDF=Y")</f>
        <v>6421.7191000000003</v>
      </c>
      <c r="V10" s="19">
        <f>_xll.BDH("ITCI US Equity","ENTERPRISE_VALUE","FQ1 2024","FQ1 2024","Currency=USD","Period=FQ","BEST_FPERIOD_OVERRIDE=FQ","FILING_STATUS=MR","SCALING_FORMAT=MLN","Sort=A","Dates=H","DateFormat=P","Fill=—","Direction=H","UseDPDF=Y")</f>
        <v>6286.2179999999998</v>
      </c>
      <c r="W10" s="19">
        <f>_xll.BDH("ITCI US Equity","ENTERPRISE_VALUE","FQ2 2024","FQ2 2024","Currency=USD","Period=FQ","BEST_FPERIOD_OVERRIDE=FQ","FILING_STATUS=MR","SCALING_FORMAT=MLN","Sort=A","Dates=H","DateFormat=P","Fill=—","Direction=H","UseDPDF=Y")</f>
        <v>6229.6305000000002</v>
      </c>
      <c r="X10" s="19">
        <f>_xll.BDH("ITCI US Equity","ENTERPRISE_VALUE","FQ3 2024","FQ3 2024","Currency=USD","Period=FQ","BEST_FPERIOD_OVERRIDE=FQ","FILING_STATUS=MR","SCALING_FORMAT=MLN","Sort=A","Dates=H","DateFormat=P","Fill=—","Direction=H","UseDPDF=Y")</f>
        <v>6767.0781999999999</v>
      </c>
      <c r="Y10" s="19">
        <f>_xll.BDH("ITCI US Equity","ENTERPRISE_VALUE","FQ4 2024","FQ4 2024","Currency=USD","Period=FQ","BEST_FPERIOD_OVERRIDE=FQ","FILING_STATUS=MR","SCALING_FORMAT=MLN","Sort=A","Dates=H","DateFormat=P","Fill=—","Direction=H","UseDPDF=Y")</f>
        <v>7889.0806000000002</v>
      </c>
      <c r="Z10" s="19"/>
      <c r="AA10" s="19"/>
    </row>
    <row r="11" spans="1:27" x14ac:dyDescent="0.25">
      <c r="A11" s="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x14ac:dyDescent="0.25">
      <c r="A12" s="6" t="s">
        <v>69</v>
      </c>
      <c r="B12" s="6" t="s">
        <v>70</v>
      </c>
      <c r="C12" s="19">
        <f>_xll.BDH("ITCI US Equity","SALES_REV_TURN","FQ2 2019","FQ2 2019","Currency=USD","Period=FQ","BEST_FPERIOD_OVERRIDE=FQ","FILING_STATUS=MR","SCALING_FORMAT=MLN","FA_ADJUSTED=Adjusted","Sort=A","Dates=H","DateFormat=P","Fill=—","Direction=H","UseDPDF=Y")</f>
        <v>0</v>
      </c>
      <c r="D12" s="19">
        <f>_xll.BDH("ITCI US Equity","SALES_REV_TURN","FQ3 2019","FQ3 2019","Currency=USD","Period=FQ","BEST_FPERIOD_OVERRIDE=FQ","FILING_STATUS=MR","SCALING_FORMAT=MLN","FA_ADJUSTED=Adjusted","Sort=A","Dates=H","DateFormat=P","Fill=—","Direction=H","UseDPDF=Y")</f>
        <v>0</v>
      </c>
      <c r="E12" s="19">
        <f>_xll.BDH("ITCI US Equity","SALES_REV_TURN","FQ4 2019","FQ4 2019","Currency=USD","Period=FQ","BEST_FPERIOD_OVERRIDE=FQ","FILING_STATUS=MR","SCALING_FORMAT=MLN","FA_ADJUSTED=Adjusted","Sort=A","Dates=H","DateFormat=P","Fill=—","Direction=H","UseDPDF=Y")</f>
        <v>6.0600000000000001E-2</v>
      </c>
      <c r="F12" s="19">
        <f>_xll.BDH("ITCI US Equity","SALES_REV_TURN","FQ1 2020","FQ1 2020","Currency=USD","Period=FQ","BEST_FPERIOD_OVERRIDE=FQ","FILING_STATUS=MR","SCALING_FORMAT=MLN","FA_ADJUSTED=Adjusted","Sort=A","Dates=H","DateFormat=P","Fill=—","Direction=H","UseDPDF=Y")</f>
        <v>1.0834999999999999</v>
      </c>
      <c r="G12" s="19">
        <f>_xll.BDH("ITCI US Equity","SALES_REV_TURN","FQ2 2020","FQ2 2020","Currency=USD","Period=FQ","BEST_FPERIOD_OVERRIDE=FQ","FILING_STATUS=MR","SCALING_FORMAT=MLN","FA_ADJUSTED=Adjusted","Sort=A","Dates=H","DateFormat=P","Fill=—","Direction=H","UseDPDF=Y")</f>
        <v>1.9066000000000001</v>
      </c>
      <c r="H12" s="19">
        <f>_xll.BDH("ITCI US Equity","SALES_REV_TURN","FQ3 2020","FQ3 2020","Currency=USD","Period=FQ","BEST_FPERIOD_OVERRIDE=FQ","FILING_STATUS=MR","SCALING_FORMAT=MLN","FA_ADJUSTED=Adjusted","Sort=A","Dates=H","DateFormat=P","Fill=—","Direction=H","UseDPDF=Y")</f>
        <v>7.3685999999999998</v>
      </c>
      <c r="I12" s="19">
        <f>_xll.BDH("ITCI US Equity","SALES_REV_TURN","FQ4 2020","FQ4 2020","Currency=USD","Period=FQ","BEST_FPERIOD_OVERRIDE=FQ","FILING_STATUS=MR","SCALING_FORMAT=MLN","FA_ADJUSTED=Adjusted","Sort=A","Dates=H","DateFormat=P","Fill=—","Direction=H","UseDPDF=Y")</f>
        <v>12.4543</v>
      </c>
      <c r="J12" s="19">
        <f>_xll.BDH("ITCI US Equity","SALES_REV_TURN","FQ1 2021","FQ1 2021","Currency=USD","Period=FQ","BEST_FPERIOD_OVERRIDE=FQ","FILING_STATUS=MR","SCALING_FORMAT=MLN","FA_ADJUSTED=Adjusted","Sort=A","Dates=H","DateFormat=P","Fill=—","Direction=H","UseDPDF=Y")</f>
        <v>15.878299999999999</v>
      </c>
      <c r="K12" s="19">
        <f>_xll.BDH("ITCI US Equity","SALES_REV_TURN","FQ2 2021","FQ2 2021","Currency=USD","Period=FQ","BEST_FPERIOD_OVERRIDE=FQ","FILING_STATUS=MR","SCALING_FORMAT=MLN","FA_ADJUSTED=Adjusted","Sort=A","Dates=H","DateFormat=P","Fill=—","Direction=H","UseDPDF=Y")</f>
        <v>20.046600000000002</v>
      </c>
      <c r="L12" s="19">
        <f>_xll.BDH("ITCI US Equity","SALES_REV_TURN","FQ3 2021","FQ3 2021","Currency=USD","Period=FQ","BEST_FPERIOD_OVERRIDE=FQ","FILING_STATUS=MR","SCALING_FORMAT=MLN","FA_ADJUSTED=Adjusted","Sort=A","Dates=H","DateFormat=P","Fill=—","Direction=H","UseDPDF=Y")</f>
        <v>22.2072</v>
      </c>
      <c r="M12" s="19">
        <f>_xll.BDH("ITCI US Equity","SALES_REV_TURN","FQ4 2021","FQ4 2021","Currency=USD","Period=FQ","BEST_FPERIOD_OVERRIDE=FQ","FILING_STATUS=MR","SCALING_FORMAT=MLN","FA_ADJUSTED=Adjusted","Sort=A","Dates=H","DateFormat=P","Fill=—","Direction=H","UseDPDF=Y")</f>
        <v>25.6709</v>
      </c>
      <c r="N12" s="19">
        <f>_xll.BDH("ITCI US Equity","SALES_REV_TURN","FQ1 2022","FQ1 2022","Currency=USD","Period=FQ","BEST_FPERIOD_OVERRIDE=FQ","FILING_STATUS=MR","SCALING_FORMAT=MLN","FA_ADJUSTED=Adjusted","Sort=A","Dates=H","DateFormat=P","Fill=—","Direction=H","UseDPDF=Y")</f>
        <v>34.996000000000002</v>
      </c>
      <c r="O12" s="19">
        <f>_xll.BDH("ITCI US Equity","SALES_REV_TURN","FQ2 2022","FQ2 2022","Currency=USD","Period=FQ","BEST_FPERIOD_OVERRIDE=FQ","FILING_STATUS=MR","SCALING_FORMAT=MLN","FA_ADJUSTED=Adjusted","Sort=A","Dates=H","DateFormat=P","Fill=—","Direction=H","UseDPDF=Y")</f>
        <v>55.579000000000001</v>
      </c>
      <c r="P12" s="19">
        <f>_xll.BDH("ITCI US Equity","SALES_REV_TURN","FQ3 2022","FQ3 2022","Currency=USD","Period=FQ","BEST_FPERIOD_OVERRIDE=FQ","FILING_STATUS=MR","SCALING_FORMAT=MLN","FA_ADJUSTED=Adjusted","Sort=A","Dates=H","DateFormat=P","Fill=—","Direction=H","UseDPDF=Y")</f>
        <v>71.87</v>
      </c>
      <c r="Q12" s="19">
        <f>_xll.BDH("ITCI US Equity","SALES_REV_TURN","FQ4 2022","FQ4 2022","Currency=USD","Period=FQ","BEST_FPERIOD_OVERRIDE=FQ","FILING_STATUS=MR","SCALING_FORMAT=MLN","FA_ADJUSTED=Adjusted","Sort=A","Dates=H","DateFormat=P","Fill=—","Direction=H","UseDPDF=Y")</f>
        <v>87.869</v>
      </c>
      <c r="R12" s="19">
        <f>_xll.BDH("ITCI US Equity","SALES_REV_TURN","FQ1 2023","FQ1 2023","Currency=USD","Period=FQ","BEST_FPERIOD_OVERRIDE=FQ","FILING_STATUS=MR","SCALING_FORMAT=MLN","FA_ADJUSTED=Adjusted","Sort=A","Dates=H","DateFormat=P","Fill=—","Direction=H","UseDPDF=Y")</f>
        <v>95.305999999999997</v>
      </c>
      <c r="S12" s="19">
        <f>_xll.BDH("ITCI US Equity","SALES_REV_TURN","FQ2 2023","FQ2 2023","Currency=USD","Period=FQ","BEST_FPERIOD_OVERRIDE=FQ","FILING_STATUS=MR","SCALING_FORMAT=MLN","FA_ADJUSTED=Adjusted","Sort=A","Dates=H","DateFormat=P","Fill=—","Direction=H","UseDPDF=Y")</f>
        <v>110.792</v>
      </c>
      <c r="T12" s="19">
        <f>_xll.BDH("ITCI US Equity","SALES_REV_TURN","FQ3 2023","FQ3 2023","Currency=USD","Period=FQ","BEST_FPERIOD_OVERRIDE=FQ","FILING_STATUS=MR","SCALING_FORMAT=MLN","FA_ADJUSTED=Adjusted","Sort=A","Dates=H","DateFormat=P","Fill=—","Direction=H","UseDPDF=Y")</f>
        <v>126.173</v>
      </c>
      <c r="U12" s="19">
        <f>_xll.BDH("ITCI US Equity","SALES_REV_TURN","FQ4 2023","FQ4 2023","Currency=USD","Period=FQ","BEST_FPERIOD_OVERRIDE=FQ","FILING_STATUS=MR","SCALING_FORMAT=MLN","FA_ADJUSTED=Adjusted","Sort=A","Dates=H","DateFormat=P","Fill=—","Direction=H","UseDPDF=Y")</f>
        <v>132.09899999999999</v>
      </c>
      <c r="V12" s="19">
        <f>_xll.BDH("ITCI US Equity","SALES_REV_TURN","FQ1 2024","FQ1 2024","Currency=USD","Period=FQ","BEST_FPERIOD_OVERRIDE=FQ","FILING_STATUS=MR","SCALING_FORMAT=MLN","FA_ADJUSTED=Adjusted","Sort=A","Dates=H","DateFormat=P","Fill=—","Direction=H","UseDPDF=Y")</f>
        <v>144.86600000000001</v>
      </c>
      <c r="W12" s="19">
        <f>_xll.BDH("ITCI US Equity","SALES_REV_TURN","FQ2 2024","FQ2 2024","Currency=USD","Period=FQ","BEST_FPERIOD_OVERRIDE=FQ","FILING_STATUS=MR","SCALING_FORMAT=MLN","FA_ADJUSTED=Adjusted","Sort=A","Dates=H","DateFormat=P","Fill=—","Direction=H","UseDPDF=Y")</f>
        <v>161.38800000000001</v>
      </c>
      <c r="X12" s="19">
        <f>_xll.BDH("ITCI US Equity","SALES_REV_TURN","FQ3 2024","FQ3 2024","Currency=USD","Period=FQ","BEST_FPERIOD_OVERRIDE=FQ","FILING_STATUS=MR","SCALING_FORMAT=MLN","FA_ADJUSTED=Adjusted","Sort=A","Dates=H","DateFormat=P","Fill=—","Direction=H","UseDPDF=Y")</f>
        <v>175.375</v>
      </c>
      <c r="Y12" s="19">
        <f>_xll.BDH("ITCI US Equity","SALES_REV_TURN","FQ4 2024","FQ4 2024","Currency=USD","Period=FQ","BEST_FPERIOD_OVERRIDE=FQ","FILING_STATUS=MR","SCALING_FORMAT=MLN","FA_ADJUSTED=Adjusted","Sort=A","Dates=H","DateFormat=P","Fill=—","Direction=H","UseDPDF=Y")</f>
        <v>199.22300000000001</v>
      </c>
      <c r="Z12" s="19">
        <v>203.875</v>
      </c>
      <c r="AA12" s="19">
        <v>219</v>
      </c>
    </row>
    <row r="13" spans="1:27" x14ac:dyDescent="0.25">
      <c r="A13" s="11" t="s">
        <v>71</v>
      </c>
      <c r="B13" s="11" t="s">
        <v>72</v>
      </c>
      <c r="C13" s="25" t="str">
        <f>_xll.BDH("ITCI US Equity","SALES_GROWTH","FQ2 2019","FQ2 2019","Currency=USD","Period=FQ","BEST_FPERIOD_OVERRIDE=FQ","FILING_STATUS=MR","FA_ADJUSTED=Adjusted","Sort=A","Dates=H","DateFormat=P","Fill=—","Direction=H","UseDPDF=Y")</f>
        <v>—</v>
      </c>
      <c r="D13" s="25" t="str">
        <f>_xll.BDH("ITCI US Equity","SALES_GROWTH","FQ3 2019","FQ3 2019","Currency=USD","Period=FQ","BEST_FPERIOD_OVERRIDE=FQ","FILING_STATUS=MR","FA_ADJUSTED=Adjusted","Sort=A","Dates=H","DateFormat=P","Fill=—","Direction=H","UseDPDF=Y")</f>
        <v>—</v>
      </c>
      <c r="E13" s="25" t="str">
        <f>_xll.BDH("ITCI US Equity","SALES_GROWTH","FQ4 2019","FQ4 2019","Currency=USD","Period=FQ","BEST_FPERIOD_OVERRIDE=FQ","FILING_STATUS=MR","FA_ADJUSTED=Adjusted","Sort=A","Dates=H","DateFormat=P","Fill=—","Direction=H","UseDPDF=Y")</f>
        <v>—</v>
      </c>
      <c r="F13" s="25" t="str">
        <f>_xll.BDH("ITCI US Equity","SALES_GROWTH","FQ1 2020","FQ1 2020","Currency=USD","Period=FQ","BEST_FPERIOD_OVERRIDE=FQ","FILING_STATUS=MR","FA_ADJUSTED=Adjusted","Sort=A","Dates=H","DateFormat=P","Fill=—","Direction=H","UseDPDF=Y")</f>
        <v>—</v>
      </c>
      <c r="G13" s="25" t="str">
        <f>_xll.BDH("ITCI US Equity","SALES_GROWTH","FQ2 2020","FQ2 2020","Currency=USD","Period=FQ","BEST_FPERIOD_OVERRIDE=FQ","FILING_STATUS=MR","FA_ADJUSTED=Adjusted","Sort=A","Dates=H","DateFormat=P","Fill=—","Direction=H","UseDPDF=Y")</f>
        <v>—</v>
      </c>
      <c r="H13" s="25" t="str">
        <f>_xll.BDH("ITCI US Equity","SALES_GROWTH","FQ3 2020","FQ3 2020","Currency=USD","Period=FQ","BEST_FPERIOD_OVERRIDE=FQ","FILING_STATUS=MR","FA_ADJUSTED=Adjusted","Sort=A","Dates=H","DateFormat=P","Fill=—","Direction=H","UseDPDF=Y")</f>
        <v>—</v>
      </c>
      <c r="I13" s="25">
        <f>_xll.BDH("ITCI US Equity","SALES_GROWTH","FQ4 2020","FQ4 2020","Currency=USD","Period=FQ","BEST_FPERIOD_OVERRIDE=FQ","FILING_STATUS=MR","FA_ADJUSTED=Adjusted","Sort=A","Dates=H","DateFormat=P","Fill=—","Direction=H","UseDPDF=Y")</f>
        <v>20447.192800000001</v>
      </c>
      <c r="J13" s="25">
        <f>_xll.BDH("ITCI US Equity","SALES_GROWTH","FQ1 2021","FQ1 2021","Currency=USD","Period=FQ","BEST_FPERIOD_OVERRIDE=FQ","FILING_STATUS=MR","FA_ADJUSTED=Adjusted","Sort=A","Dates=H","DateFormat=P","Fill=—","Direction=H","UseDPDF=Y")</f>
        <v>1365.4948999999999</v>
      </c>
      <c r="K13" s="25">
        <f>_xll.BDH("ITCI US Equity","SALES_GROWTH","FQ2 2021","FQ2 2021","Currency=USD","Period=FQ","BEST_FPERIOD_OVERRIDE=FQ","FILING_STATUS=MR","FA_ADJUSTED=Adjusted","Sort=A","Dates=H","DateFormat=P","Fill=—","Direction=H","UseDPDF=Y")</f>
        <v>951.41</v>
      </c>
      <c r="L13" s="25">
        <f>_xll.BDH("ITCI US Equity","SALES_GROWTH","FQ3 2021","FQ3 2021","Currency=USD","Period=FQ","BEST_FPERIOD_OVERRIDE=FQ","FILING_STATUS=MR","FA_ADJUSTED=Adjusted","Sort=A","Dates=H","DateFormat=P","Fill=—","Direction=H","UseDPDF=Y")</f>
        <v>201.37639999999999</v>
      </c>
      <c r="M13" s="25">
        <f>_xll.BDH("ITCI US Equity","SALES_GROWTH","FQ4 2021","FQ4 2021","Currency=USD","Period=FQ","BEST_FPERIOD_OVERRIDE=FQ","FILING_STATUS=MR","FA_ADJUSTED=Adjusted","Sort=A","Dates=H","DateFormat=P","Fill=—","Direction=H","UseDPDF=Y")</f>
        <v>106.1215</v>
      </c>
      <c r="N13" s="25">
        <f>_xll.BDH("ITCI US Equity","SALES_GROWTH","FQ1 2022","FQ1 2022","Currency=USD","Period=FQ","BEST_FPERIOD_OVERRIDE=FQ","FILING_STATUS=MR","FA_ADJUSTED=Adjusted","Sort=A","Dates=H","DateFormat=P","Fill=—","Direction=H","UseDPDF=Y")</f>
        <v>120.401</v>
      </c>
      <c r="O13" s="25">
        <f>_xll.BDH("ITCI US Equity","SALES_GROWTH","FQ2 2022","FQ2 2022","Currency=USD","Period=FQ","BEST_FPERIOD_OVERRIDE=FQ","FILING_STATUS=MR","FA_ADJUSTED=Adjusted","Sort=A","Dates=H","DateFormat=P","Fill=—","Direction=H","UseDPDF=Y")</f>
        <v>177.24950000000001</v>
      </c>
      <c r="P13" s="25">
        <f>_xll.BDH("ITCI US Equity","SALES_GROWTH","FQ3 2022","FQ3 2022","Currency=USD","Period=FQ","BEST_FPERIOD_OVERRIDE=FQ","FILING_STATUS=MR","FA_ADJUSTED=Adjusted","Sort=A","Dates=H","DateFormat=P","Fill=—","Direction=H","UseDPDF=Y")</f>
        <v>223.63380000000001</v>
      </c>
      <c r="Q13" s="25">
        <f>_xll.BDH("ITCI US Equity","SALES_GROWTH","FQ4 2022","FQ4 2022","Currency=USD","Period=FQ","BEST_FPERIOD_OVERRIDE=FQ","FILING_STATUS=MR","FA_ADJUSTED=Adjusted","Sort=A","Dates=H","DateFormat=P","Fill=—","Direction=H","UseDPDF=Y")</f>
        <v>242.29</v>
      </c>
      <c r="R13" s="25">
        <f>_xll.BDH("ITCI US Equity","SALES_GROWTH","FQ1 2023","FQ1 2023","Currency=USD","Period=FQ","BEST_FPERIOD_OVERRIDE=FQ","FILING_STATUS=MR","FA_ADJUSTED=Adjusted","Sort=A","Dates=H","DateFormat=P","Fill=—","Direction=H","UseDPDF=Y")</f>
        <v>172.334</v>
      </c>
      <c r="S13" s="25">
        <f>_xll.BDH("ITCI US Equity","SALES_GROWTH","FQ2 2023","FQ2 2023","Currency=USD","Period=FQ","BEST_FPERIOD_OVERRIDE=FQ","FILING_STATUS=MR","FA_ADJUSTED=Adjusted","Sort=A","Dates=H","DateFormat=P","Fill=—","Direction=H","UseDPDF=Y")</f>
        <v>99.341499999999996</v>
      </c>
      <c r="T13" s="25">
        <f>_xll.BDH("ITCI US Equity","SALES_GROWTH","FQ3 2023","FQ3 2023","Currency=USD","Period=FQ","BEST_FPERIOD_OVERRIDE=FQ","FILING_STATUS=MR","FA_ADJUSTED=Adjusted","Sort=A","Dates=H","DateFormat=P","Fill=—","Direction=H","UseDPDF=Y")</f>
        <v>75.557299999999998</v>
      </c>
      <c r="U13" s="25">
        <f>_xll.BDH("ITCI US Equity","SALES_GROWTH","FQ4 2023","FQ4 2023","Currency=USD","Period=FQ","BEST_FPERIOD_OVERRIDE=FQ","FILING_STATUS=MR","FA_ADJUSTED=Adjusted","Sort=A","Dates=H","DateFormat=P","Fill=—","Direction=H","UseDPDF=Y")</f>
        <v>50.336300000000001</v>
      </c>
      <c r="V13" s="25">
        <f>_xll.BDH("ITCI US Equity","SALES_GROWTH","FQ1 2024","FQ1 2024","Currency=USD","Period=FQ","BEST_FPERIOD_OVERRIDE=FQ","FILING_STATUS=MR","FA_ADJUSTED=Adjusted","Sort=A","Dates=H","DateFormat=P","Fill=—","Direction=H","UseDPDF=Y")</f>
        <v>52.000900000000001</v>
      </c>
      <c r="W13" s="25">
        <f>_xll.BDH("ITCI US Equity","SALES_GROWTH","FQ2 2024","FQ2 2024","Currency=USD","Period=FQ","BEST_FPERIOD_OVERRIDE=FQ","FILING_STATUS=MR","FA_ADJUSTED=Adjusted","Sort=A","Dates=H","DateFormat=P","Fill=—","Direction=H","UseDPDF=Y")</f>
        <v>45.6676</v>
      </c>
      <c r="X13" s="25">
        <f>_xll.BDH("ITCI US Equity","SALES_GROWTH","FQ3 2024","FQ3 2024","Currency=USD","Period=FQ","BEST_FPERIOD_OVERRIDE=FQ","FILING_STATUS=MR","FA_ADJUSTED=Adjusted","Sort=A","Dates=H","DateFormat=P","Fill=—","Direction=H","UseDPDF=Y")</f>
        <v>38.995699999999999</v>
      </c>
      <c r="Y13" s="25">
        <f>_xll.BDH("ITCI US Equity","SALES_GROWTH","FQ4 2024","FQ4 2024","Currency=USD","Period=FQ","BEST_FPERIOD_OVERRIDE=FQ","FILING_STATUS=MR","FA_ADJUSTED=Adjusted","Sort=A","Dates=H","DateFormat=P","Fill=—","Direction=H","UseDPDF=Y")</f>
        <v>50.813400000000001</v>
      </c>
      <c r="Z13" s="25">
        <v>40.733505446412501</v>
      </c>
      <c r="AA13" s="25">
        <v>35.6978213993605</v>
      </c>
    </row>
    <row r="14" spans="1:27" x14ac:dyDescent="0.25">
      <c r="A14" s="6" t="s">
        <v>73</v>
      </c>
      <c r="B14" s="6" t="s">
        <v>74</v>
      </c>
      <c r="C14" s="19">
        <f>_xll.BDH("ITCI US Equity","GROSS_PROFIT","FQ2 2019","FQ2 2019","Currency=USD","Period=FQ","BEST_FPERIOD_OVERRIDE=FQ","FILING_STATUS=MR","SCALING_FORMAT=MLN","FA_ADJUSTED=Adjusted","Sort=A","Dates=H","DateFormat=P","Fill=—","Direction=H","UseDPDF=Y")</f>
        <v>0</v>
      </c>
      <c r="D14" s="19" t="str">
        <f>_xll.BDH("ITCI US Equity","GROSS_PROFIT","FQ3 2019","FQ3 2019","Currency=USD","Period=FQ","BEST_FPERIOD_OVERRIDE=FQ","FILING_STATUS=MR","SCALING_FORMAT=MLN","FA_ADJUSTED=Adjusted","Sort=A","Dates=H","DateFormat=P","Fill=—","Direction=H","UseDPDF=Y")</f>
        <v>—</v>
      </c>
      <c r="E14" s="19" t="str">
        <f>_xll.BDH("ITCI US Equity","GROSS_PROFIT","FQ4 2019","FQ4 2019","Currency=USD","Period=FQ","BEST_FPERIOD_OVERRIDE=FQ","FILING_STATUS=MR","SCALING_FORMAT=MLN","FA_ADJUSTED=Adjusted","Sort=A","Dates=H","DateFormat=P","Fill=—","Direction=H","UseDPDF=Y")</f>
        <v>—</v>
      </c>
      <c r="F14" s="19">
        <f>_xll.BDH("ITCI US Equity","GROSS_PROFIT","FQ1 2020","FQ1 2020","Currency=USD","Period=FQ","BEST_FPERIOD_OVERRIDE=FQ","FILING_STATUS=MR","SCALING_FORMAT=MLN","FA_ADJUSTED=Adjusted","Sort=A","Dates=H","DateFormat=P","Fill=—","Direction=H","UseDPDF=Y")</f>
        <v>1.0142</v>
      </c>
      <c r="G14" s="19">
        <f>_xll.BDH("ITCI US Equity","GROSS_PROFIT","FQ2 2020","FQ2 2020","Currency=USD","Period=FQ","BEST_FPERIOD_OVERRIDE=FQ","FILING_STATUS=MR","SCALING_FORMAT=MLN","FA_ADJUSTED=Adjusted","Sort=A","Dates=H","DateFormat=P","Fill=—","Direction=H","UseDPDF=Y")</f>
        <v>1.7781</v>
      </c>
      <c r="H14" s="19">
        <f>_xll.BDH("ITCI US Equity","GROSS_PROFIT","FQ3 2020","FQ3 2020","Currency=USD","Period=FQ","BEST_FPERIOD_OVERRIDE=FQ","FILING_STATUS=MR","SCALING_FORMAT=MLN","FA_ADJUSTED=Adjusted","Sort=A","Dates=H","DateFormat=P","Fill=—","Direction=H","UseDPDF=Y")</f>
        <v>6.8125</v>
      </c>
      <c r="I14" s="19">
        <f>_xll.BDH("ITCI US Equity","GROSS_PROFIT","FQ4 2020","FQ4 2020","Currency=USD","Period=FQ","BEST_FPERIOD_OVERRIDE=FQ","FILING_STATUS=MR","SCALING_FORMAT=MLN","FA_ADJUSTED=Adjusted","Sort=A","Dates=H","DateFormat=P","Fill=—","Direction=H","UseDPDF=Y")</f>
        <v>11.3132</v>
      </c>
      <c r="J14" s="19">
        <f>_xll.BDH("ITCI US Equity","GROSS_PROFIT","FQ1 2021","FQ1 2021","Currency=USD","Period=FQ","BEST_FPERIOD_OVERRIDE=FQ","FILING_STATUS=MR","SCALING_FORMAT=MLN","FA_ADJUSTED=Adjusted","Sort=A","Dates=H","DateFormat=P","Fill=—","Direction=H","UseDPDF=Y")</f>
        <v>14.4231</v>
      </c>
      <c r="K14" s="19">
        <f>_xll.BDH("ITCI US Equity","GROSS_PROFIT","FQ2 2021","FQ2 2021","Currency=USD","Period=FQ","BEST_FPERIOD_OVERRIDE=FQ","FILING_STATUS=MR","SCALING_FORMAT=MLN","FA_ADJUSTED=Adjusted","Sort=A","Dates=H","DateFormat=P","Fill=—","Direction=H","UseDPDF=Y")</f>
        <v>18.006499999999999</v>
      </c>
      <c r="L14" s="19">
        <f>_xll.BDH("ITCI US Equity","GROSS_PROFIT","FQ3 2021","FQ3 2021","Currency=USD","Period=FQ","BEST_FPERIOD_OVERRIDE=FQ","FILING_STATUS=MR","SCALING_FORMAT=MLN","FA_ADJUSTED=Adjusted","Sort=A","Dates=H","DateFormat=P","Fill=—","Direction=H","UseDPDF=Y")</f>
        <v>20.2059</v>
      </c>
      <c r="M14" s="19">
        <f>_xll.BDH("ITCI US Equity","GROSS_PROFIT","FQ4 2021","FQ4 2021","Currency=USD","Period=FQ","BEST_FPERIOD_OVERRIDE=FQ","FILING_STATUS=MR","SCALING_FORMAT=MLN","FA_ADJUSTED=Adjusted","Sort=A","Dates=H","DateFormat=P","Fill=—","Direction=H","UseDPDF=Y")</f>
        <v>23.132899999999999</v>
      </c>
      <c r="N14" s="19">
        <f>_xll.BDH("ITCI US Equity","GROSS_PROFIT","FQ1 2022","FQ1 2022","Currency=USD","Period=FQ","BEST_FPERIOD_OVERRIDE=FQ","FILING_STATUS=MR","SCALING_FORMAT=MLN","FA_ADJUSTED=Adjusted","Sort=A","Dates=H","DateFormat=P","Fill=—","Direction=H","UseDPDF=Y")</f>
        <v>31.841000000000001</v>
      </c>
      <c r="O14" s="19">
        <f>_xll.BDH("ITCI US Equity","GROSS_PROFIT","FQ2 2022","FQ2 2022","Currency=USD","Period=FQ","BEST_FPERIOD_OVERRIDE=FQ","FILING_STATUS=MR","SCALING_FORMAT=MLN","FA_ADJUSTED=Adjusted","Sort=A","Dates=H","DateFormat=P","Fill=—","Direction=H","UseDPDF=Y")</f>
        <v>50.929000000000002</v>
      </c>
      <c r="P14" s="19">
        <f>_xll.BDH("ITCI US Equity","GROSS_PROFIT","FQ3 2022","FQ3 2022","Currency=USD","Period=FQ","BEST_FPERIOD_OVERRIDE=FQ","FILING_STATUS=MR","SCALING_FORMAT=MLN","FA_ADJUSTED=Adjusted","Sort=A","Dates=H","DateFormat=P","Fill=—","Direction=H","UseDPDF=Y")</f>
        <v>66.02</v>
      </c>
      <c r="Q14" s="19">
        <f>_xll.BDH("ITCI US Equity","GROSS_PROFIT","FQ4 2022","FQ4 2022","Currency=USD","Period=FQ","BEST_FPERIOD_OVERRIDE=FQ","FILING_STATUS=MR","SCALING_FORMAT=MLN","FA_ADJUSTED=Adjusted","Sort=A","Dates=H","DateFormat=P","Fill=—","Direction=H","UseDPDF=Y")</f>
        <v>81.081000000000003</v>
      </c>
      <c r="R14" s="19">
        <f>_xll.BDH("ITCI US Equity","GROSS_PROFIT","FQ1 2023","FQ1 2023","Currency=USD","Period=FQ","BEST_FPERIOD_OVERRIDE=FQ","FILING_STATUS=MR","SCALING_FORMAT=MLN","FA_ADJUSTED=Adjusted","Sort=A","Dates=H","DateFormat=P","Fill=—","Direction=H","UseDPDF=Y")</f>
        <v>88.555000000000007</v>
      </c>
      <c r="S14" s="19">
        <f>_xll.BDH("ITCI US Equity","GROSS_PROFIT","FQ2 2023","FQ2 2023","Currency=USD","Period=FQ","BEST_FPERIOD_OVERRIDE=FQ","FILING_STATUS=MR","SCALING_FORMAT=MLN","FA_ADJUSTED=Adjusted","Sort=A","Dates=H","DateFormat=P","Fill=—","Direction=H","UseDPDF=Y")</f>
        <v>103.629</v>
      </c>
      <c r="T14" s="19">
        <f>_xll.BDH("ITCI US Equity","GROSS_PROFIT","FQ3 2023","FQ3 2023","Currency=USD","Period=FQ","BEST_FPERIOD_OVERRIDE=FQ","FILING_STATUS=MR","SCALING_FORMAT=MLN","FA_ADJUSTED=Adjusted","Sort=A","Dates=H","DateFormat=P","Fill=—","Direction=H","UseDPDF=Y")</f>
        <v>117.044</v>
      </c>
      <c r="U14" s="19">
        <f>_xll.BDH("ITCI US Equity","GROSS_PROFIT","FQ4 2023","FQ4 2023","Currency=USD","Period=FQ","BEST_FPERIOD_OVERRIDE=FQ","FILING_STATUS=MR","SCALING_FORMAT=MLN","FA_ADJUSTED=Adjusted","Sort=A","Dates=H","DateFormat=P","Fill=—","Direction=H","UseDPDF=Y")</f>
        <v>121.39700000000001</v>
      </c>
      <c r="V14" s="19">
        <f>_xll.BDH("ITCI US Equity","GROSS_PROFIT","FQ1 2024","FQ1 2024","Currency=USD","Period=FQ","BEST_FPERIOD_OVERRIDE=FQ","FILING_STATUS=MR","SCALING_FORMAT=MLN","FA_ADJUSTED=Adjusted","Sort=A","Dates=H","DateFormat=P","Fill=—","Direction=H","UseDPDF=Y")</f>
        <v>134.96600000000001</v>
      </c>
      <c r="W14" s="19">
        <f>_xll.BDH("ITCI US Equity","GROSS_PROFIT","FQ2 2024","FQ2 2024","Currency=USD","Period=FQ","BEST_FPERIOD_OVERRIDE=FQ","FILING_STATUS=MR","SCALING_FORMAT=MLN","FA_ADJUSTED=Adjusted","Sort=A","Dates=H","DateFormat=P","Fill=—","Direction=H","UseDPDF=Y")</f>
        <v>150.03399999999999</v>
      </c>
      <c r="X14" s="19">
        <f>_xll.BDH("ITCI US Equity","GROSS_PROFIT","FQ3 2024","FQ3 2024","Currency=USD","Period=FQ","BEST_FPERIOD_OVERRIDE=FQ","FILING_STATUS=MR","SCALING_FORMAT=MLN","FA_ADJUSTED=Adjusted","Sort=A","Dates=H","DateFormat=P","Fill=—","Direction=H","UseDPDF=Y")</f>
        <v>160.071</v>
      </c>
      <c r="Y14" s="19">
        <f>_xll.BDH("ITCI US Equity","GROSS_PROFIT","FQ4 2024","FQ4 2024","Currency=USD","Period=FQ","BEST_FPERIOD_OVERRIDE=FQ","FILING_STATUS=MR","SCALING_FORMAT=MLN","FA_ADJUSTED=Adjusted","Sort=A","Dates=H","DateFormat=P","Fill=—","Direction=H","UseDPDF=Y")</f>
        <v>178.81800000000001</v>
      </c>
      <c r="Z14" s="19">
        <v>188.58437499999999</v>
      </c>
      <c r="AA14" s="19">
        <v>202.46549999999999</v>
      </c>
    </row>
    <row r="15" spans="1:27" x14ac:dyDescent="0.25">
      <c r="A15" s="11" t="s">
        <v>75</v>
      </c>
      <c r="B15" s="11" t="s">
        <v>74</v>
      </c>
      <c r="C15" s="25" t="s">
        <v>76</v>
      </c>
      <c r="D15" s="25" t="s">
        <v>76</v>
      </c>
      <c r="E15" s="25" t="s">
        <v>76</v>
      </c>
      <c r="F15" s="25">
        <v>93.6029216994515</v>
      </c>
      <c r="G15" s="25">
        <v>93.258335623579995</v>
      </c>
      <c r="H15" s="25">
        <v>92.453010710048602</v>
      </c>
      <c r="I15" s="25">
        <v>90.837905393090097</v>
      </c>
      <c r="J15" s="25">
        <v>90.835213201590705</v>
      </c>
      <c r="K15" s="25">
        <v>89.823536316278904</v>
      </c>
      <c r="L15" s="25">
        <v>90.987990787312597</v>
      </c>
      <c r="M15" s="25">
        <v>90.113219912674793</v>
      </c>
      <c r="N15" s="25">
        <v>90.984683963881594</v>
      </c>
      <c r="O15" s="25">
        <v>91.633530650065694</v>
      </c>
      <c r="P15" s="25">
        <v>91.860303325448697</v>
      </c>
      <c r="Q15" s="25">
        <v>92.274863717579606</v>
      </c>
      <c r="R15" s="25">
        <v>92.916500535118502</v>
      </c>
      <c r="S15" s="25">
        <v>93.534731749584793</v>
      </c>
      <c r="T15" s="25">
        <v>92.764696091873901</v>
      </c>
      <c r="U15" s="25">
        <v>91.898500367148898</v>
      </c>
      <c r="V15" s="25">
        <v>93.166098325348898</v>
      </c>
      <c r="W15" s="25">
        <v>92.964780528911703</v>
      </c>
      <c r="X15" s="25">
        <v>91.273556664290794</v>
      </c>
      <c r="Y15" s="25">
        <v>89.757708698292902</v>
      </c>
      <c r="Z15" s="25">
        <v>92.5</v>
      </c>
      <c r="AA15" s="25">
        <v>92.45</v>
      </c>
    </row>
    <row r="16" spans="1:27" x14ac:dyDescent="0.25">
      <c r="A16" s="6" t="s">
        <v>77</v>
      </c>
      <c r="B16" s="6" t="s">
        <v>78</v>
      </c>
      <c r="C16" s="19">
        <f>_xll.BDH("ITCI US Equity","EBITDA","FQ2 2019","FQ2 2019","Currency=USD","Period=FQ","BEST_FPERIOD_OVERRIDE=FQ","FILING_STATUS=MR","SCALING_FORMAT=MLN","FA_ADJUSTED=Adjusted","Sort=A","Dates=H","DateFormat=P","Fill=—","Direction=H","UseDPDF=Y")</f>
        <v>-38.110100000000003</v>
      </c>
      <c r="D16" s="19">
        <f>_xll.BDH("ITCI US Equity","EBITDA","FQ3 2019","FQ3 2019","Currency=USD","Period=FQ","BEST_FPERIOD_OVERRIDE=FQ","FILING_STATUS=MR","SCALING_FORMAT=MLN","FA_ADJUSTED=Adjusted","Sort=A","Dates=H","DateFormat=P","Fill=—","Direction=H","UseDPDF=Y")</f>
        <v>-35.429200000000002</v>
      </c>
      <c r="E16" s="19">
        <f>_xll.BDH("ITCI US Equity","EBITDA","FQ4 2019","FQ4 2019","Currency=USD","Period=FQ","BEST_FPERIOD_OVERRIDE=FQ","FILING_STATUS=MR","SCALING_FORMAT=MLN","FA_ADJUSTED=Adjusted","Sort=A","Dates=H","DateFormat=P","Fill=—","Direction=H","UseDPDF=Y")</f>
        <v>-40.826999999999998</v>
      </c>
      <c r="F16" s="19">
        <f>_xll.BDH("ITCI US Equity","EBITDA","FQ1 2020","FQ1 2020","Currency=USD","Period=FQ","BEST_FPERIOD_OVERRIDE=FQ","FILING_STATUS=MR","SCALING_FORMAT=MLN","FA_ADJUSTED=Adjusted","Sort=A","Dates=H","DateFormat=P","Fill=—","Direction=H","UseDPDF=Y")</f>
        <v>-48.118699999999997</v>
      </c>
      <c r="G16" s="19">
        <f>_xll.BDH("ITCI US Equity","EBITDA","FQ2 2020","FQ2 2020","Currency=USD","Period=FQ","BEST_FPERIOD_OVERRIDE=FQ","FILING_STATUS=MR","SCALING_FORMAT=MLN","FA_ADJUSTED=Adjusted","Sort=A","Dates=H","DateFormat=P","Fill=—","Direction=H","UseDPDF=Y")</f>
        <v>-63.94</v>
      </c>
      <c r="H16" s="19">
        <f>_xll.BDH("ITCI US Equity","EBITDA","FQ3 2020","FQ3 2020","Currency=USD","Period=FQ","BEST_FPERIOD_OVERRIDE=FQ","FILING_STATUS=MR","SCALING_FORMAT=MLN","FA_ADJUSTED=Adjusted","Sort=A","Dates=H","DateFormat=P","Fill=—","Direction=H","UseDPDF=Y")</f>
        <v>-55.0154</v>
      </c>
      <c r="I16" s="19">
        <f>_xll.BDH("ITCI US Equity","EBITDA","FQ4 2020","FQ4 2020","Currency=USD","Period=FQ","BEST_FPERIOD_OVERRIDE=FQ","FILING_STATUS=MR","SCALING_FORMAT=MLN","FA_ADJUSTED=Adjusted","Sort=A","Dates=H","DateFormat=P","Fill=—","Direction=H","UseDPDF=Y")</f>
        <v>-60.824300000000001</v>
      </c>
      <c r="J16" s="19">
        <f>_xll.BDH("ITCI US Equity","EBITDA","FQ1 2021","FQ1 2021","Currency=USD","Period=FQ","BEST_FPERIOD_OVERRIDE=FQ","FILING_STATUS=MR","SCALING_FORMAT=MLN","FA_ADJUSTED=Adjusted","Sort=A","Dates=H","DateFormat=P","Fill=—","Direction=H","UseDPDF=Y")</f>
        <v>-52.291699999999999</v>
      </c>
      <c r="K16" s="19">
        <f>_xll.BDH("ITCI US Equity","EBITDA","FQ2 2021","FQ2 2021","Currency=USD","Period=FQ","BEST_FPERIOD_OVERRIDE=FQ","FILING_STATUS=MR","SCALING_FORMAT=MLN","FA_ADJUSTED=Adjusted","Sort=A","Dates=H","DateFormat=P","Fill=—","Direction=H","UseDPDF=Y")</f>
        <v>-68.215500000000006</v>
      </c>
      <c r="L16" s="19">
        <f>_xll.BDH("ITCI US Equity","EBITDA","FQ3 2021","FQ3 2021","Currency=USD","Period=FQ","BEST_FPERIOD_OVERRIDE=FQ","FILING_STATUS=MR","SCALING_FORMAT=MLN","FA_ADJUSTED=Adjusted","Sort=A","Dates=H","DateFormat=P","Fill=—","Direction=H","UseDPDF=Y")</f>
        <v>-76.389899999999997</v>
      </c>
      <c r="M16" s="19">
        <f>_xll.BDH("ITCI US Equity","EBITDA","FQ4 2021","FQ4 2021","Currency=USD","Period=FQ","BEST_FPERIOD_OVERRIDE=FQ","FILING_STATUS=MR","SCALING_FORMAT=MLN","FA_ADJUSTED=Adjusted","Sort=A","Dates=H","DateFormat=P","Fill=—","Direction=H","UseDPDF=Y")</f>
        <v>-84.908799999999999</v>
      </c>
      <c r="N16" s="19">
        <f>_xll.BDH("ITCI US Equity","EBITDA","FQ1 2022","FQ1 2022","Currency=USD","Period=FQ","BEST_FPERIOD_OVERRIDE=FQ","FILING_STATUS=MR","SCALING_FORMAT=MLN","FA_ADJUSTED=Adjusted","Sort=A","Dates=H","DateFormat=P","Fill=—","Direction=H","UseDPDF=Y")</f>
        <v>-72.491</v>
      </c>
      <c r="O16" s="19">
        <f>_xll.BDH("ITCI US Equity","EBITDA","FQ2 2022","FQ2 2022","Currency=USD","Period=FQ","BEST_FPERIOD_OVERRIDE=FQ","FILING_STATUS=MR","SCALING_FORMAT=MLN","FA_ADJUSTED=Adjusted","Sort=A","Dates=H","DateFormat=P","Fill=—","Direction=H","UseDPDF=Y")</f>
        <v>-87.751000000000005</v>
      </c>
      <c r="P16" s="19">
        <f>_xll.BDH("ITCI US Equity","EBITDA","FQ3 2022","FQ3 2022","Currency=USD","Period=FQ","BEST_FPERIOD_OVERRIDE=FQ","FILING_STATUS=MR","SCALING_FORMAT=MLN","FA_ADJUSTED=Adjusted","Sort=A","Dates=H","DateFormat=P","Fill=—","Direction=H","UseDPDF=Y")</f>
        <v>-55.459000000000003</v>
      </c>
      <c r="Q16" s="19">
        <f>_xll.BDH("ITCI US Equity","EBITDA","FQ4 2022","FQ4 2022","Currency=USD","Period=FQ","BEST_FPERIOD_OVERRIDE=FQ","FILING_STATUS=MR","SCALING_FORMAT=MLN","FA_ADJUSTED=Adjusted","Sort=A","Dates=H","DateFormat=P","Fill=—","Direction=H","UseDPDF=Y")</f>
        <v>-40.064999999999998</v>
      </c>
      <c r="R16" s="19">
        <f>_xll.BDH("ITCI US Equity","EBITDA","FQ1 2023","FQ1 2023","Currency=USD","Period=FQ","BEST_FPERIOD_OVERRIDE=FQ","FILING_STATUS=MR","SCALING_FORMAT=MLN","FA_ADJUSTED=Adjusted","Sort=A","Dates=H","DateFormat=P","Fill=—","Direction=H","UseDPDF=Y")</f>
        <v>-47.173000000000002</v>
      </c>
      <c r="S16" s="19">
        <f>_xll.BDH("ITCI US Equity","EBITDA","FQ2 2023","FQ2 2023","Currency=USD","Period=FQ","BEST_FPERIOD_OVERRIDE=FQ","FILING_STATUS=MR","SCALING_FORMAT=MLN","FA_ADJUSTED=Adjusted","Sort=A","Dates=H","DateFormat=P","Fill=—","Direction=H","UseDPDF=Y")</f>
        <v>-47.055999999999997</v>
      </c>
      <c r="T16" s="19">
        <f>_xll.BDH("ITCI US Equity","EBITDA","FQ3 2023","FQ3 2023","Currency=USD","Period=FQ","BEST_FPERIOD_OVERRIDE=FQ","FILING_STATUS=MR","SCALING_FORMAT=MLN","FA_ADJUSTED=Adjusted","Sort=A","Dates=H","DateFormat=P","Fill=—","Direction=H","UseDPDF=Y")</f>
        <v>-28.66</v>
      </c>
      <c r="U16" s="19">
        <f>_xll.BDH("ITCI US Equity","EBITDA","FQ4 2023","FQ4 2023","Currency=USD","Period=FQ","BEST_FPERIOD_OVERRIDE=FQ","FILING_STATUS=MR","SCALING_FORMAT=MLN","FA_ADJUSTED=Adjusted","Sort=A","Dates=H","DateFormat=P","Fill=—","Direction=H","UseDPDF=Y")</f>
        <v>-26.276</v>
      </c>
      <c r="V16" s="19">
        <f>_xll.BDH("ITCI US Equity","EBITDA","FQ1 2024","FQ1 2024","Currency=USD","Period=FQ","BEST_FPERIOD_OVERRIDE=FQ","FILING_STATUS=MR","SCALING_FORMAT=MLN","FA_ADJUSTED=Adjusted","Sort=A","Dates=H","DateFormat=P","Fill=—","Direction=H","UseDPDF=Y")</f>
        <v>-19.879000000000001</v>
      </c>
      <c r="W16" s="19">
        <f>_xll.BDH("ITCI US Equity","EBITDA","FQ2 2024","FQ2 2024","Currency=USD","Period=FQ","BEST_FPERIOD_OVERRIDE=FQ","FILING_STATUS=MR","SCALING_FORMAT=MLN","FA_ADJUSTED=Adjusted","Sort=A","Dates=H","DateFormat=P","Fill=—","Direction=H","UseDPDF=Y")</f>
        <v>-26.561</v>
      </c>
      <c r="X16" s="19">
        <f>_xll.BDH("ITCI US Equity","EBITDA","FQ3 2024","FQ3 2024","Currency=USD","Period=FQ","BEST_FPERIOD_OVERRIDE=FQ","FILING_STATUS=MR","SCALING_FORMAT=MLN","FA_ADJUSTED=Adjusted","Sort=A","Dates=H","DateFormat=P","Fill=—","Direction=H","UseDPDF=Y")</f>
        <v>-37.658000000000001</v>
      </c>
      <c r="Y16" s="19">
        <f>_xll.BDH("ITCI US Equity","EBITDA","FQ4 2024","FQ4 2024","Currency=USD","Period=FQ","BEST_FPERIOD_OVERRIDE=FQ","FILING_STATUS=MR","SCALING_FORMAT=MLN","FA_ADJUSTED=Adjusted","Sort=A","Dates=H","DateFormat=P","Fill=—","Direction=H","UseDPDF=Y")</f>
        <v>-26.981999999999999</v>
      </c>
      <c r="Z16" s="19">
        <v>-12.73</v>
      </c>
      <c r="AA16" s="19">
        <v>-4.4800000000000004</v>
      </c>
    </row>
    <row r="17" spans="1:27" x14ac:dyDescent="0.25">
      <c r="A17" s="11" t="s">
        <v>75</v>
      </c>
      <c r="B17" s="11" t="s">
        <v>78</v>
      </c>
      <c r="C17" s="25" t="s">
        <v>76</v>
      </c>
      <c r="D17" s="25" t="s">
        <v>76</v>
      </c>
      <c r="E17" s="25">
        <v>-67356.835992278895</v>
      </c>
      <c r="F17" s="25">
        <v>-4441.1310233054801</v>
      </c>
      <c r="G17" s="25">
        <v>-3353.5513333431199</v>
      </c>
      <c r="H17" s="25">
        <v>-746.62018290056403</v>
      </c>
      <c r="I17" s="25">
        <v>-488.38102915706799</v>
      </c>
      <c r="J17" s="25">
        <v>-329.32738073382899</v>
      </c>
      <c r="K17" s="25">
        <v>-340.28516412366201</v>
      </c>
      <c r="L17" s="25">
        <v>-343.98697521583199</v>
      </c>
      <c r="M17" s="25">
        <v>-330.75879304081201</v>
      </c>
      <c r="N17" s="25">
        <v>-207.140816093268</v>
      </c>
      <c r="O17" s="25">
        <v>-157.88517245722301</v>
      </c>
      <c r="P17" s="25">
        <v>-77.165715875887003</v>
      </c>
      <c r="Q17" s="25">
        <v>-45.596285379371601</v>
      </c>
      <c r="R17" s="25">
        <v>-49.4963590959646</v>
      </c>
      <c r="S17" s="25">
        <v>-42.472380677305203</v>
      </c>
      <c r="T17" s="25">
        <v>-22.714843904797402</v>
      </c>
      <c r="U17" s="25">
        <v>-19.891142249373601</v>
      </c>
      <c r="V17" s="25">
        <v>-13.7223365040796</v>
      </c>
      <c r="W17" s="25">
        <v>-16.457853124147999</v>
      </c>
      <c r="X17" s="25">
        <v>-21.472843905915902</v>
      </c>
      <c r="Y17" s="25">
        <v>-13.543616951858001</v>
      </c>
      <c r="Z17" s="25">
        <v>-6.2440220723482502</v>
      </c>
      <c r="AA17" s="25">
        <v>-2.04566210045662</v>
      </c>
    </row>
    <row r="18" spans="1:27" x14ac:dyDescent="0.25">
      <c r="A18" s="6" t="s">
        <v>79</v>
      </c>
      <c r="B18" s="6" t="s">
        <v>80</v>
      </c>
      <c r="C18" s="19">
        <f>_xll.BDH("ITCI US Equity","EARN_FOR_COMMON","FQ2 2019","FQ2 2019","Currency=USD","Period=FQ","BEST_FPERIOD_OVERRIDE=FQ","FILING_STATUS=MR","SCALING_FORMAT=MLN","FA_ADJUSTED=Adjusted","Sort=A","Dates=H","DateFormat=P","Fill=—","Direction=H","UseDPDF=Y")</f>
        <v>-37.441200000000002</v>
      </c>
      <c r="D18" s="19">
        <f>_xll.BDH("ITCI US Equity","EARN_FOR_COMMON","FQ3 2019","FQ3 2019","Currency=USD","Period=FQ","BEST_FPERIOD_OVERRIDE=FQ","FILING_STATUS=MR","SCALING_FORMAT=MLN","FA_ADJUSTED=Adjusted","Sort=A","Dates=H","DateFormat=P","Fill=—","Direction=H","UseDPDF=Y")</f>
        <v>-34.862400000000001</v>
      </c>
      <c r="E18" s="19">
        <f>_xll.BDH("ITCI US Equity","EARN_FOR_COMMON","FQ4 2019","FQ4 2019","Currency=USD","Period=FQ","BEST_FPERIOD_OVERRIDE=FQ","FILING_STATUS=MR","SCALING_FORMAT=MLN","FA_ADJUSTED=Adjusted","Sort=A","Dates=H","DateFormat=P","Fill=—","Direction=H","UseDPDF=Y")</f>
        <v>-40.582900000000002</v>
      </c>
      <c r="F18" s="19">
        <f>_xll.BDH("ITCI US Equity","EARN_FOR_COMMON","FQ1 2020","FQ1 2020","Currency=USD","Period=FQ","BEST_FPERIOD_OVERRIDE=FQ","FILING_STATUS=MR","SCALING_FORMAT=MLN","FA_ADJUSTED=Adjusted","Sort=A","Dates=H","DateFormat=P","Fill=—","Direction=H","UseDPDF=Y")</f>
        <v>-47.410600000000002</v>
      </c>
      <c r="G18" s="19">
        <f>_xll.BDH("ITCI US Equity","EARN_FOR_COMMON","FQ2 2020","FQ2 2020","Currency=USD","Period=FQ","BEST_FPERIOD_OVERRIDE=FQ","FILING_STATUS=MR","SCALING_FORMAT=MLN","FA_ADJUSTED=Adjusted","Sort=A","Dates=H","DateFormat=P","Fill=—","Direction=H","UseDPDF=Y")</f>
        <v>-63.712299999999999</v>
      </c>
      <c r="H18" s="19">
        <f>_xll.BDH("ITCI US Equity","EARN_FOR_COMMON","FQ3 2020","FQ3 2020","Currency=USD","Period=FQ","BEST_FPERIOD_OVERRIDE=FQ","FILING_STATUS=MR","SCALING_FORMAT=MLN","FA_ADJUSTED=Adjusted","Sort=A","Dates=H","DateFormat=P","Fill=—","Direction=H","UseDPDF=Y")</f>
        <v>-55.183599999999998</v>
      </c>
      <c r="I18" s="19">
        <f>_xll.BDH("ITCI US Equity","EARN_FOR_COMMON","FQ4 2020","FQ4 2020","Currency=USD","Period=FQ","BEST_FPERIOD_OVERRIDE=FQ","FILING_STATUS=MR","SCALING_FORMAT=MLN","FA_ADJUSTED=Adjusted","Sort=A","Dates=H","DateFormat=P","Fill=—","Direction=H","UseDPDF=Y")</f>
        <v>-60.699199999999998</v>
      </c>
      <c r="J18" s="19">
        <f>_xll.BDH("ITCI US Equity","EARN_FOR_COMMON","FQ1 2021","FQ1 2021","Currency=USD","Period=FQ","BEST_FPERIOD_OVERRIDE=FQ","FILING_STATUS=MR","SCALING_FORMAT=MLN","FA_ADJUSTED=Adjusted","Sort=A","Dates=H","DateFormat=P","Fill=—","Direction=H","UseDPDF=Y")</f>
        <v>-52.739899999999999</v>
      </c>
      <c r="K18" s="19">
        <f>_xll.BDH("ITCI US Equity","EARN_FOR_COMMON","FQ2 2021","FQ2 2021","Currency=USD","Period=FQ","BEST_FPERIOD_OVERRIDE=FQ","FILING_STATUS=MR","SCALING_FORMAT=MLN","FA_ADJUSTED=Adjusted","Sort=A","Dates=H","DateFormat=P","Fill=—","Direction=H","UseDPDF=Y")</f>
        <v>-68.743799999999993</v>
      </c>
      <c r="L18" s="19">
        <f>_xll.BDH("ITCI US Equity","EARN_FOR_COMMON","FQ3 2021","FQ3 2021","Currency=USD","Period=FQ","BEST_FPERIOD_OVERRIDE=FQ","FILING_STATUS=MR","SCALING_FORMAT=MLN","FA_ADJUSTED=Adjusted","Sort=A","Dates=H","DateFormat=P","Fill=—","Direction=H","UseDPDF=Y")</f>
        <v>-76.908000000000001</v>
      </c>
      <c r="M18" s="19">
        <f>_xll.BDH("ITCI US Equity","EARN_FOR_COMMON","FQ4 2021","FQ4 2021","Currency=USD","Period=FQ","BEST_FPERIOD_OVERRIDE=FQ","FILING_STATUS=MR","SCALING_FORMAT=MLN","FA_ADJUSTED=Adjusted","Sort=A","Dates=H","DateFormat=P","Fill=—","Direction=H","UseDPDF=Y")</f>
        <v>-85.733900000000006</v>
      </c>
      <c r="N18" s="19">
        <f>_xll.BDH("ITCI US Equity","EARN_FOR_COMMON","FQ1 2022","FQ1 2022","Currency=USD","Period=FQ","BEST_FPERIOD_OVERRIDE=FQ","FILING_STATUS=MR","SCALING_FORMAT=MLN","FA_ADJUSTED=Adjusted","Sort=A","Dates=H","DateFormat=P","Fill=—","Direction=H","UseDPDF=Y")</f>
        <v>-72.119</v>
      </c>
      <c r="O18" s="19">
        <f>_xll.BDH("ITCI US Equity","EARN_FOR_COMMON","FQ2 2022","FQ2 2022","Currency=USD","Period=FQ","BEST_FPERIOD_OVERRIDE=FQ","FILING_STATUS=MR","SCALING_FORMAT=MLN","FA_ADJUSTED=Adjusted","Sort=A","Dates=H","DateFormat=P","Fill=—","Direction=H","UseDPDF=Y")</f>
        <v>-86.602999999999994</v>
      </c>
      <c r="P18" s="19">
        <f>_xll.BDH("ITCI US Equity","EARN_FOR_COMMON","FQ3 2022","FQ3 2022","Currency=USD","Period=FQ","BEST_FPERIOD_OVERRIDE=FQ","FILING_STATUS=MR","SCALING_FORMAT=MLN","FA_ADJUSTED=Adjusted","Sort=A","Dates=H","DateFormat=P","Fill=—","Direction=H","UseDPDF=Y")</f>
        <v>-53.508000000000003</v>
      </c>
      <c r="Q18" s="19">
        <f>_xll.BDH("ITCI US Equity","EARN_FOR_COMMON","FQ4 2022","FQ4 2022","Currency=USD","Period=FQ","BEST_FPERIOD_OVERRIDE=FQ","FILING_STATUS=MR","SCALING_FORMAT=MLN","FA_ADJUSTED=Adjusted","Sort=A","Dates=H","DateFormat=P","Fill=—","Direction=H","UseDPDF=Y")</f>
        <v>-44.026000000000003</v>
      </c>
      <c r="R18" s="19">
        <f>_xll.BDH("ITCI US Equity","EARN_FOR_COMMON","FQ1 2023","FQ1 2023","Currency=USD","Period=FQ","BEST_FPERIOD_OVERRIDE=FQ","FILING_STATUS=MR","SCALING_FORMAT=MLN","FA_ADJUSTED=Adjusted","Sort=A","Dates=H","DateFormat=P","Fill=—","Direction=H","UseDPDF=Y")</f>
        <v>-44.052999999999997</v>
      </c>
      <c r="S18" s="19">
        <f>_xll.BDH("ITCI US Equity","EARN_FOR_COMMON","FQ2 2023","FQ2 2023","Currency=USD","Period=FQ","BEST_FPERIOD_OVERRIDE=FQ","FILING_STATUS=MR","SCALING_FORMAT=MLN","FA_ADJUSTED=Adjusted","Sort=A","Dates=H","DateFormat=P","Fill=—","Direction=H","UseDPDF=Y")</f>
        <v>-42.783999999999999</v>
      </c>
      <c r="T18" s="19">
        <f>_xll.BDH("ITCI US Equity","EARN_FOR_COMMON","FQ3 2023","FQ3 2023","Currency=USD","Period=FQ","BEST_FPERIOD_OVERRIDE=FQ","FILING_STATUS=MR","SCALING_FORMAT=MLN","FA_ADJUSTED=Adjusted","Sort=A","Dates=H","DateFormat=P","Fill=—","Direction=H","UseDPDF=Y")</f>
        <v>-24.257999999999999</v>
      </c>
      <c r="U18" s="19">
        <f>_xll.BDH("ITCI US Equity","EARN_FOR_COMMON","FQ4 2023","FQ4 2023","Currency=USD","Period=FQ","BEST_FPERIOD_OVERRIDE=FQ","FILING_STATUS=MR","SCALING_FORMAT=MLN","FA_ADJUSTED=Adjusted","Sort=A","Dates=H","DateFormat=P","Fill=—","Direction=H","UseDPDF=Y")</f>
        <v>-28.579000000000001</v>
      </c>
      <c r="V18" s="19">
        <f>_xll.BDH("ITCI US Equity","EARN_FOR_COMMON","FQ1 2024","FQ1 2024","Currency=USD","Period=FQ","BEST_FPERIOD_OVERRIDE=FQ","FILING_STATUS=MR","SCALING_FORMAT=MLN","FA_ADJUSTED=Adjusted","Sort=A","Dates=H","DateFormat=P","Fill=—","Direction=H","UseDPDF=Y")</f>
        <v>-15.247</v>
      </c>
      <c r="W18" s="19">
        <f>_xll.BDH("ITCI US Equity","EARN_FOR_COMMON","FQ2 2024","FQ2 2024","Currency=USD","Period=FQ","BEST_FPERIOD_OVERRIDE=FQ","FILING_STATUS=MR","SCALING_FORMAT=MLN","FA_ADJUSTED=Adjusted","Sort=A","Dates=H","DateFormat=P","Fill=—","Direction=H","UseDPDF=Y")</f>
        <v>-16.22</v>
      </c>
      <c r="X18" s="19">
        <f>_xll.BDH("ITCI US Equity","EARN_FOR_COMMON","FQ3 2024","FQ3 2024","Currency=USD","Period=FQ","BEST_FPERIOD_OVERRIDE=FQ","FILING_STATUS=MR","SCALING_FORMAT=MLN","FA_ADJUSTED=Adjusted","Sort=A","Dates=H","DateFormat=P","Fill=—","Direction=H","UseDPDF=Y")</f>
        <v>-26.324000000000002</v>
      </c>
      <c r="Y18" s="19">
        <f>_xll.BDH("ITCI US Equity","EARN_FOR_COMMON","FQ4 2024","FQ4 2024","Currency=USD","Period=FQ","BEST_FPERIOD_OVERRIDE=FQ","FILING_STATUS=MR","SCALING_FORMAT=MLN","FA_ADJUSTED=Adjusted","Sort=A","Dates=H","DateFormat=P","Fill=—","Direction=H","UseDPDF=Y")</f>
        <v>-16.885000000000002</v>
      </c>
      <c r="Z18" s="19">
        <v>-11.425000000000001</v>
      </c>
      <c r="AA18" s="19">
        <v>-3.2170000000000001</v>
      </c>
    </row>
    <row r="19" spans="1:27" x14ac:dyDescent="0.25">
      <c r="A19" s="11" t="s">
        <v>75</v>
      </c>
      <c r="B19" s="11" t="s">
        <v>80</v>
      </c>
      <c r="C19" s="25" t="s">
        <v>76</v>
      </c>
      <c r="D19" s="25" t="s">
        <v>76</v>
      </c>
      <c r="E19" s="25">
        <v>-66954.037912658998</v>
      </c>
      <c r="F19" s="25">
        <v>-4375.7748881150401</v>
      </c>
      <c r="G19" s="25">
        <v>-3341.6057391132899</v>
      </c>
      <c r="H19" s="25">
        <v>-748.90304717562105</v>
      </c>
      <c r="I19" s="25">
        <v>-487.37644197532302</v>
      </c>
      <c r="J19" s="25">
        <v>-332.15046117258299</v>
      </c>
      <c r="K19" s="25">
        <v>-342.92057375826198</v>
      </c>
      <c r="L19" s="25">
        <v>-346.32011481320899</v>
      </c>
      <c r="M19" s="25">
        <v>-333.97290382123299</v>
      </c>
      <c r="N19" s="25">
        <v>-206.07783746713901</v>
      </c>
      <c r="O19" s="25">
        <v>-155.81964411018501</v>
      </c>
      <c r="P19" s="25">
        <v>-74.451092249895694</v>
      </c>
      <c r="Q19" s="25">
        <v>-50.104132287837601</v>
      </c>
      <c r="R19" s="25">
        <v>-46.222693219734303</v>
      </c>
      <c r="S19" s="25">
        <v>-38.6165066069752</v>
      </c>
      <c r="T19" s="25">
        <v>-19.225983372036801</v>
      </c>
      <c r="U19" s="25">
        <v>-21.634531676999799</v>
      </c>
      <c r="V19" s="25">
        <v>-10.524898872061099</v>
      </c>
      <c r="W19" s="25">
        <v>-10.0503135301262</v>
      </c>
      <c r="X19" s="25">
        <v>-15.0101211689237</v>
      </c>
      <c r="Y19" s="25">
        <v>-8.4754270340272004</v>
      </c>
      <c r="Z19" s="25">
        <v>-5.60392397302269</v>
      </c>
      <c r="AA19" s="25">
        <v>-1.4689497716894999</v>
      </c>
    </row>
    <row r="20" spans="1:27" x14ac:dyDescent="0.25">
      <c r="A20" s="6" t="s">
        <v>81</v>
      </c>
      <c r="B20" s="6" t="s">
        <v>82</v>
      </c>
      <c r="C20" s="20">
        <f>_xll.BDH("ITCI US Equity","IS_DIL_EPS_CONT_OPS","FQ2 2019","FQ2 2019","Currency=USD","Period=FQ","BEST_FPERIOD_OVERRIDE=FQ","FILING_STATUS=MR","Sort=A","Dates=H","DateFormat=P","Fill=—","Direction=H","UseDPDF=Y")</f>
        <v>-0.68</v>
      </c>
      <c r="D20" s="20">
        <f>_xll.BDH("ITCI US Equity","IS_DIL_EPS_CONT_OPS","FQ3 2019","FQ3 2019","Currency=USD","Period=FQ","BEST_FPERIOD_OVERRIDE=FQ","FILING_STATUS=MR","Sort=A","Dates=H","DateFormat=P","Fill=—","Direction=H","UseDPDF=Y")</f>
        <v>-0.63</v>
      </c>
      <c r="E20" s="20">
        <f>_xll.BDH("ITCI US Equity","IS_DIL_EPS_CONT_OPS","FQ4 2019","FQ4 2019","Currency=USD","Period=FQ","BEST_FPERIOD_OVERRIDE=FQ","FILING_STATUS=MR","Sort=A","Dates=H","DateFormat=P","Fill=—","Direction=H","UseDPDF=Y")</f>
        <v>-0.74</v>
      </c>
      <c r="F20" s="20">
        <f>_xll.BDH("ITCI US Equity","IS_DIL_EPS_CONT_OPS","FQ1 2020","FQ1 2020","Currency=USD","Period=FQ","BEST_FPERIOD_OVERRIDE=FQ","FILING_STATUS=MR","Sort=A","Dates=H","DateFormat=P","Fill=—","Direction=H","UseDPDF=Y")</f>
        <v>-0.73</v>
      </c>
      <c r="G20" s="20">
        <f>_xll.BDH("ITCI US Equity","IS_DIL_EPS_CONT_OPS","FQ2 2020","FQ2 2020","Currency=USD","Period=FQ","BEST_FPERIOD_OVERRIDE=FQ","FILING_STATUS=MR","Sort=A","Dates=H","DateFormat=P","Fill=—","Direction=H","UseDPDF=Y")</f>
        <v>-0.96</v>
      </c>
      <c r="H20" s="20">
        <f>_xll.BDH("ITCI US Equity","IS_DIL_EPS_CONT_OPS","FQ3 2020","FQ3 2020","Currency=USD","Period=FQ","BEST_FPERIOD_OVERRIDE=FQ","FILING_STATUS=MR","Sort=A","Dates=H","DateFormat=P","Fill=—","Direction=H","UseDPDF=Y")</f>
        <v>-0.79</v>
      </c>
      <c r="I20" s="20">
        <f>_xll.BDH("ITCI US Equity","IS_DIL_EPS_CONT_OPS","FQ4 2020","FQ4 2020","Currency=USD","Period=FQ","BEST_FPERIOD_OVERRIDE=FQ","FILING_STATUS=MR","Sort=A","Dates=H","DateFormat=P","Fill=—","Direction=H","UseDPDF=Y")</f>
        <v>-0.76</v>
      </c>
      <c r="J20" s="20">
        <f>_xll.BDH("ITCI US Equity","IS_DIL_EPS_CONT_OPS","FQ1 2021","FQ1 2021","Currency=USD","Period=FQ","BEST_FPERIOD_OVERRIDE=FQ","FILING_STATUS=MR","Sort=A","Dates=H","DateFormat=P","Fill=—","Direction=H","UseDPDF=Y")</f>
        <v>-0.65</v>
      </c>
      <c r="K20" s="20">
        <f>_xll.BDH("ITCI US Equity","IS_DIL_EPS_CONT_OPS","FQ2 2021","FQ2 2021","Currency=USD","Period=FQ","BEST_FPERIOD_OVERRIDE=FQ","FILING_STATUS=MR","Sort=A","Dates=H","DateFormat=P","Fill=—","Direction=H","UseDPDF=Y")</f>
        <v>-0.85</v>
      </c>
      <c r="L20" s="20">
        <f>_xll.BDH("ITCI US Equity","IS_DIL_EPS_CONT_OPS","FQ3 2021","FQ3 2021","Currency=USD","Period=FQ","BEST_FPERIOD_OVERRIDE=FQ","FILING_STATUS=MR","Sort=A","Dates=H","DateFormat=P","Fill=—","Direction=H","UseDPDF=Y")</f>
        <v>-0.95</v>
      </c>
      <c r="M20" s="20">
        <f>_xll.BDH("ITCI US Equity","IS_DIL_EPS_CONT_OPS","FQ4 2021","FQ4 2021","Currency=USD","Period=FQ","BEST_FPERIOD_OVERRIDE=FQ","FILING_STATUS=MR","Sort=A","Dates=H","DateFormat=P","Fill=—","Direction=H","UseDPDF=Y")</f>
        <v>-1.05</v>
      </c>
      <c r="N20" s="20">
        <f>_xll.BDH("ITCI US Equity","IS_DIL_EPS_CONT_OPS","FQ1 2022","FQ1 2022","Currency=USD","Period=FQ","BEST_FPERIOD_OVERRIDE=FQ","FILING_STATUS=MR","Sort=A","Dates=H","DateFormat=P","Fill=—","Direction=H","UseDPDF=Y")</f>
        <v>-0.78</v>
      </c>
      <c r="O20" s="20">
        <f>_xll.BDH("ITCI US Equity","IS_DIL_EPS_CONT_OPS","FQ2 2022","FQ2 2022","Currency=USD","Period=FQ","BEST_FPERIOD_OVERRIDE=FQ","FILING_STATUS=MR","Sort=A","Dates=H","DateFormat=P","Fill=—","Direction=H","UseDPDF=Y")</f>
        <v>-0.92</v>
      </c>
      <c r="P20" s="20">
        <f>_xll.BDH("ITCI US Equity","IS_DIL_EPS_CONT_OPS","FQ3 2022","FQ3 2022","Currency=USD","Period=FQ","BEST_FPERIOD_OVERRIDE=FQ","FILING_STATUS=MR","Sort=A","Dates=H","DateFormat=P","Fill=—","Direction=H","UseDPDF=Y")</f>
        <v>-0.56999999999999995</v>
      </c>
      <c r="Q20" s="20">
        <f>_xll.BDH("ITCI US Equity","IS_DIL_EPS_CONT_OPS","FQ4 2022","FQ4 2022","Currency=USD","Period=FQ","BEST_FPERIOD_OVERRIDE=FQ","FILING_STATUS=MR","Sort=A","Dates=H","DateFormat=P","Fill=—","Direction=H","UseDPDF=Y")</f>
        <v>-0.45</v>
      </c>
      <c r="R20" s="20">
        <f>_xll.BDH("ITCI US Equity","IS_DIL_EPS_CONT_OPS","FQ1 2023","FQ1 2023","Currency=USD","Period=FQ","BEST_FPERIOD_OVERRIDE=FQ","FILING_STATUS=MR","Sort=A","Dates=H","DateFormat=P","Fill=—","Direction=H","UseDPDF=Y")</f>
        <v>-0.46</v>
      </c>
      <c r="S20" s="20">
        <f>_xll.BDH("ITCI US Equity","IS_DIL_EPS_CONT_OPS","FQ2 2023","FQ2 2023","Currency=USD","Period=FQ","BEST_FPERIOD_OVERRIDE=FQ","FILING_STATUS=MR","Sort=A","Dates=H","DateFormat=P","Fill=—","Direction=H","UseDPDF=Y")</f>
        <v>-0.45</v>
      </c>
      <c r="T20" s="20">
        <f>_xll.BDH("ITCI US Equity","IS_DIL_EPS_CONT_OPS","FQ3 2023","FQ3 2023","Currency=USD","Period=FQ","BEST_FPERIOD_OVERRIDE=FQ","FILING_STATUS=MR","Sort=A","Dates=H","DateFormat=P","Fill=—","Direction=H","UseDPDF=Y")</f>
        <v>-0.25</v>
      </c>
      <c r="U20" s="20">
        <f>_xll.BDH("ITCI US Equity","IS_DIL_EPS_CONT_OPS","FQ4 2023","FQ4 2023","Currency=USD","Period=FQ","BEST_FPERIOD_OVERRIDE=FQ","FILING_STATUS=MR","Sort=A","Dates=H","DateFormat=P","Fill=—","Direction=H","UseDPDF=Y")</f>
        <v>-0.3</v>
      </c>
      <c r="V20" s="20">
        <f>_xll.BDH("ITCI US Equity","IS_DIL_EPS_CONT_OPS","FQ1 2024","FQ1 2024","Currency=USD","Period=FQ","BEST_FPERIOD_OVERRIDE=FQ","FILING_STATUS=MR","Sort=A","Dates=H","DateFormat=P","Fill=—","Direction=H","UseDPDF=Y")</f>
        <v>-0.16</v>
      </c>
      <c r="W20" s="20">
        <f>_xll.BDH("ITCI US Equity","IS_DIL_EPS_CONT_OPS","FQ2 2024","FQ2 2024","Currency=USD","Period=FQ","BEST_FPERIOD_OVERRIDE=FQ","FILING_STATUS=MR","Sort=A","Dates=H","DateFormat=P","Fill=—","Direction=H","UseDPDF=Y")</f>
        <v>-0.16</v>
      </c>
      <c r="X20" s="20">
        <f>_xll.BDH("ITCI US Equity","IS_DIL_EPS_CONT_OPS","FQ3 2024","FQ3 2024","Currency=USD","Period=FQ","BEST_FPERIOD_OVERRIDE=FQ","FILING_STATUS=MR","Sort=A","Dates=H","DateFormat=P","Fill=—","Direction=H","UseDPDF=Y")</f>
        <v>-0.25</v>
      </c>
      <c r="Y20" s="20">
        <f>_xll.BDH("ITCI US Equity","IS_DIL_EPS_CONT_OPS","FQ4 2024","FQ4 2024","Currency=USD","Period=FQ","BEST_FPERIOD_OVERRIDE=FQ","FILING_STATUS=MR","Sort=A","Dates=H","DateFormat=P","Fill=—","Direction=H","UseDPDF=Y")</f>
        <v>-0.16</v>
      </c>
      <c r="Z20" s="20">
        <v>-0.10100000000000001</v>
      </c>
      <c r="AA20" s="20">
        <v>-0.02</v>
      </c>
    </row>
    <row r="21" spans="1:27" x14ac:dyDescent="0.25">
      <c r="A21" s="11" t="s">
        <v>71</v>
      </c>
      <c r="B21" s="11" t="s">
        <v>83</v>
      </c>
      <c r="C21" s="26">
        <f>_xll.BDH("ITCI US Equity","DILUTED_EPS_AFT_XO_ITEMS_GROWTH","FQ2 2019","FQ2 2019","Currency=USD","Period=FQ","BEST_FPERIOD_OVERRIDE=FQ","FILING_STATUS=MR","FA_ADJUSTED=Adjusted","Sort=A","Dates=H","DateFormat=P","Fill=—","Direction=H","UseDPDF=Y")</f>
        <v>0</v>
      </c>
      <c r="D21" s="26">
        <f>_xll.BDH("ITCI US Equity","DILUTED_EPS_AFT_XO_ITEMS_GROWTH","FQ3 2019","FQ3 2019","Currency=USD","Period=FQ","BEST_FPERIOD_OVERRIDE=FQ","FILING_STATUS=MR","FA_ADJUSTED=Adjusted","Sort=A","Dates=H","DateFormat=P","Fill=—","Direction=H","UseDPDF=Y")</f>
        <v>17.1053</v>
      </c>
      <c r="E21" s="26">
        <f>_xll.BDH("ITCI US Equity","DILUTED_EPS_AFT_XO_ITEMS_GROWTH","FQ4 2019","FQ4 2019","Currency=USD","Period=FQ","BEST_FPERIOD_OVERRIDE=FQ","FILING_STATUS=MR","FA_ADJUSTED=Adjusted","Sort=A","Dates=H","DateFormat=P","Fill=—","Direction=H","UseDPDF=Y")</f>
        <v>1.3332999999999999</v>
      </c>
      <c r="F21" s="26">
        <f>_xll.BDH("ITCI US Equity","DILUTED_EPS_AFT_XO_ITEMS_GROWTH","FQ1 2020","FQ1 2020","Currency=USD","Period=FQ","BEST_FPERIOD_OVERRIDE=FQ","FILING_STATUS=MR","FA_ADJUSTED=Adjusted","Sort=A","Dates=H","DateFormat=P","Fill=—","Direction=H","UseDPDF=Y")</f>
        <v>-15.872999999999999</v>
      </c>
      <c r="G21" s="26">
        <f>_xll.BDH("ITCI US Equity","DILUTED_EPS_AFT_XO_ITEMS_GROWTH","FQ2 2020","FQ2 2020","Currency=USD","Period=FQ","BEST_FPERIOD_OVERRIDE=FQ","FILING_STATUS=MR","FA_ADJUSTED=Adjusted","Sort=A","Dates=H","DateFormat=P","Fill=—","Direction=H","UseDPDF=Y")</f>
        <v>-41.176499999999997</v>
      </c>
      <c r="H21" s="26">
        <f>_xll.BDH("ITCI US Equity","DILUTED_EPS_AFT_XO_ITEMS_GROWTH","FQ3 2020","FQ3 2020","Currency=USD","Period=FQ","BEST_FPERIOD_OVERRIDE=FQ","FILING_STATUS=MR","FA_ADJUSTED=Adjusted","Sort=A","Dates=H","DateFormat=P","Fill=—","Direction=H","UseDPDF=Y")</f>
        <v>-25.396799999999999</v>
      </c>
      <c r="I21" s="26">
        <f>_xll.BDH("ITCI US Equity","DILUTED_EPS_AFT_XO_ITEMS_GROWTH","FQ4 2020","FQ4 2020","Currency=USD","Period=FQ","BEST_FPERIOD_OVERRIDE=FQ","FILING_STATUS=MR","FA_ADJUSTED=Adjusted","Sort=A","Dates=H","DateFormat=P","Fill=—","Direction=H","UseDPDF=Y")</f>
        <v>-2.7027000000000001</v>
      </c>
      <c r="J21" s="26">
        <f>_xll.BDH("ITCI US Equity","DILUTED_EPS_AFT_XO_ITEMS_GROWTH","FQ1 2021","FQ1 2021","Currency=USD","Period=FQ","BEST_FPERIOD_OVERRIDE=FQ","FILING_STATUS=MR","FA_ADJUSTED=Adjusted","Sort=A","Dates=H","DateFormat=P","Fill=—","Direction=H","UseDPDF=Y")</f>
        <v>10.9589</v>
      </c>
      <c r="K21" s="26">
        <f>_xll.BDH("ITCI US Equity","DILUTED_EPS_AFT_XO_ITEMS_GROWTH","FQ2 2021","FQ2 2021","Currency=USD","Period=FQ","BEST_FPERIOD_OVERRIDE=FQ","FILING_STATUS=MR","FA_ADJUSTED=Adjusted","Sort=A","Dates=H","DateFormat=P","Fill=—","Direction=H","UseDPDF=Y")</f>
        <v>11.458299999999999</v>
      </c>
      <c r="L21" s="26">
        <f>_xll.BDH("ITCI US Equity","DILUTED_EPS_AFT_XO_ITEMS_GROWTH","FQ3 2021","FQ3 2021","Currency=USD","Period=FQ","BEST_FPERIOD_OVERRIDE=FQ","FILING_STATUS=MR","FA_ADJUSTED=Adjusted","Sort=A","Dates=H","DateFormat=P","Fill=—","Direction=H","UseDPDF=Y")</f>
        <v>-20.2532</v>
      </c>
      <c r="M21" s="26">
        <f>_xll.BDH("ITCI US Equity","DILUTED_EPS_AFT_XO_ITEMS_GROWTH","FQ4 2021","FQ4 2021","Currency=USD","Period=FQ","BEST_FPERIOD_OVERRIDE=FQ","FILING_STATUS=MR","FA_ADJUSTED=Adjusted","Sort=A","Dates=H","DateFormat=P","Fill=—","Direction=H","UseDPDF=Y")</f>
        <v>-38.157899999999998</v>
      </c>
      <c r="N21" s="26">
        <f>_xll.BDH("ITCI US Equity","DILUTED_EPS_AFT_XO_ITEMS_GROWTH","FQ1 2022","FQ1 2022","Currency=USD","Period=FQ","BEST_FPERIOD_OVERRIDE=FQ","FILING_STATUS=MR","FA_ADJUSTED=Adjusted","Sort=A","Dates=H","DateFormat=P","Fill=—","Direction=H","UseDPDF=Y")</f>
        <v>-20</v>
      </c>
      <c r="O21" s="26">
        <f>_xll.BDH("ITCI US Equity","DILUTED_EPS_AFT_XO_ITEMS_GROWTH","FQ2 2022","FQ2 2022","Currency=USD","Period=FQ","BEST_FPERIOD_OVERRIDE=FQ","FILING_STATUS=MR","FA_ADJUSTED=Adjusted","Sort=A","Dates=H","DateFormat=P","Fill=—","Direction=H","UseDPDF=Y")</f>
        <v>-8.2353000000000005</v>
      </c>
      <c r="P21" s="26">
        <f>_xll.BDH("ITCI US Equity","DILUTED_EPS_AFT_XO_ITEMS_GROWTH","FQ3 2022","FQ3 2022","Currency=USD","Period=FQ","BEST_FPERIOD_OVERRIDE=FQ","FILING_STATUS=MR","FA_ADJUSTED=Adjusted","Sort=A","Dates=H","DateFormat=P","Fill=—","Direction=H","UseDPDF=Y")</f>
        <v>40</v>
      </c>
      <c r="Q21" s="26">
        <f>_xll.BDH("ITCI US Equity","DILUTED_EPS_AFT_XO_ITEMS_GROWTH","FQ4 2022","FQ4 2022","Currency=USD","Period=FQ","BEST_FPERIOD_OVERRIDE=FQ","FILING_STATUS=MR","FA_ADJUSTED=Adjusted","Sort=A","Dates=H","DateFormat=P","Fill=—","Direction=H","UseDPDF=Y")</f>
        <v>57.142899999999997</v>
      </c>
      <c r="R21" s="26">
        <f>_xll.BDH("ITCI US Equity","DILUTED_EPS_AFT_XO_ITEMS_GROWTH","FQ1 2023","FQ1 2023","Currency=USD","Period=FQ","BEST_FPERIOD_OVERRIDE=FQ","FILING_STATUS=MR","FA_ADJUSTED=Adjusted","Sort=A","Dates=H","DateFormat=P","Fill=—","Direction=H","UseDPDF=Y")</f>
        <v>41.025599999999997</v>
      </c>
      <c r="S21" s="26">
        <f>_xll.BDH("ITCI US Equity","DILUTED_EPS_AFT_XO_ITEMS_GROWTH","FQ2 2023","FQ2 2023","Currency=USD","Period=FQ","BEST_FPERIOD_OVERRIDE=FQ","FILING_STATUS=MR","FA_ADJUSTED=Adjusted","Sort=A","Dates=H","DateFormat=P","Fill=—","Direction=H","UseDPDF=Y")</f>
        <v>51.087000000000003</v>
      </c>
      <c r="T21" s="26">
        <f>_xll.BDH("ITCI US Equity","DILUTED_EPS_AFT_XO_ITEMS_GROWTH","FQ3 2023","FQ3 2023","Currency=USD","Period=FQ","BEST_FPERIOD_OVERRIDE=FQ","FILING_STATUS=MR","FA_ADJUSTED=Adjusted","Sort=A","Dates=H","DateFormat=P","Fill=—","Direction=H","UseDPDF=Y")</f>
        <v>56.1404</v>
      </c>
      <c r="U21" s="26">
        <f>_xll.BDH("ITCI US Equity","DILUTED_EPS_AFT_XO_ITEMS_GROWTH","FQ4 2023","FQ4 2023","Currency=USD","Period=FQ","BEST_FPERIOD_OVERRIDE=FQ","FILING_STATUS=MR","FA_ADJUSTED=Adjusted","Sort=A","Dates=H","DateFormat=P","Fill=—","Direction=H","UseDPDF=Y")</f>
        <v>33.333300000000001</v>
      </c>
      <c r="V21" s="26">
        <f>_xll.BDH("ITCI US Equity","DILUTED_EPS_AFT_XO_ITEMS_GROWTH","FQ1 2024","FQ1 2024","Currency=USD","Period=FQ","BEST_FPERIOD_OVERRIDE=FQ","FILING_STATUS=MR","FA_ADJUSTED=Adjusted","Sort=A","Dates=H","DateFormat=P","Fill=—","Direction=H","UseDPDF=Y")</f>
        <v>65.217399999999998</v>
      </c>
      <c r="W21" s="26">
        <f>_xll.BDH("ITCI US Equity","DILUTED_EPS_AFT_XO_ITEMS_GROWTH","FQ2 2024","FQ2 2024","Currency=USD","Period=FQ","BEST_FPERIOD_OVERRIDE=FQ","FILING_STATUS=MR","FA_ADJUSTED=Adjusted","Sort=A","Dates=H","DateFormat=P","Fill=—","Direction=H","UseDPDF=Y")</f>
        <v>64.444400000000002</v>
      </c>
      <c r="X21" s="26">
        <f>_xll.BDH("ITCI US Equity","DILUTED_EPS_AFT_XO_ITEMS_GROWTH","FQ3 2024","FQ3 2024","Currency=USD","Period=FQ","BEST_FPERIOD_OVERRIDE=FQ","FILING_STATUS=MR","FA_ADJUSTED=Adjusted","Sort=A","Dates=H","DateFormat=P","Fill=—","Direction=H","UseDPDF=Y")</f>
        <v>0</v>
      </c>
      <c r="Y21" s="26">
        <f>_xll.BDH("ITCI US Equity","DILUTED_EPS_AFT_XO_ITEMS_GROWTH","FQ4 2024","FQ4 2024","Currency=USD","Period=FQ","BEST_FPERIOD_OVERRIDE=FQ","FILING_STATUS=MR","FA_ADJUSTED=Adjusted","Sort=A","Dates=H","DateFormat=P","Fill=—","Direction=H","UseDPDF=Y")</f>
        <v>46.666699999999999</v>
      </c>
      <c r="Z21" s="26">
        <v>36.875</v>
      </c>
      <c r="AA21" s="26">
        <v>87.5</v>
      </c>
    </row>
    <row r="22" spans="1:27" x14ac:dyDescent="0.25">
      <c r="A22" s="6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x14ac:dyDescent="0.25">
      <c r="A23" s="6" t="s">
        <v>84</v>
      </c>
      <c r="B23" s="6" t="s">
        <v>85</v>
      </c>
      <c r="C23" s="19">
        <f>_xll.BDH("ITCI US Equity","CF_CASH_FROM_OPER","FQ2 2019","FQ2 2019","Currency=USD","Period=FQ","BEST_FPERIOD_OVERRIDE=FQ","FILING_STATUS=MR","SCALING_FORMAT=MLN","Sort=A","Dates=H","DateFormat=P","Fill=—","Direction=H","UseDPDF=Y")</f>
        <v>-27.308700000000002</v>
      </c>
      <c r="D23" s="19">
        <f>_xll.BDH("ITCI US Equity","CF_CASH_FROM_OPER","FQ3 2019","FQ3 2019","Currency=USD","Period=FQ","BEST_FPERIOD_OVERRIDE=FQ","FILING_STATUS=MR","SCALING_FORMAT=MLN","Sort=A","Dates=H","DateFormat=P","Fill=—","Direction=H","UseDPDF=Y")</f>
        <v>-29.9893</v>
      </c>
      <c r="E23" s="19">
        <f>_xll.BDH("ITCI US Equity","CF_CASH_FROM_OPER","FQ4 2019","FQ4 2019","Currency=USD","Period=FQ","BEST_FPERIOD_OVERRIDE=FQ","FILING_STATUS=MR","SCALING_FORMAT=MLN","Sort=A","Dates=H","DateFormat=P","Fill=—","Direction=H","UseDPDF=Y")</f>
        <v>-35.055900000000001</v>
      </c>
      <c r="F23" s="19">
        <f>_xll.BDH("ITCI US Equity","CF_CASH_FROM_OPER","FQ1 2020","FQ1 2020","Currency=USD","Period=FQ","BEST_FPERIOD_OVERRIDE=FQ","FILING_STATUS=MR","SCALING_FORMAT=MLN","Sort=A","Dates=H","DateFormat=P","Fill=—","Direction=H","UseDPDF=Y")</f>
        <v>-51.226199999999999</v>
      </c>
      <c r="G23" s="19">
        <f>_xll.BDH("ITCI US Equity","CF_CASH_FROM_OPER","FQ2 2020","FQ2 2020","Currency=USD","Period=FQ","BEST_FPERIOD_OVERRIDE=FQ","FILING_STATUS=MR","SCALING_FORMAT=MLN","Sort=A","Dates=H","DateFormat=P","Fill=—","Direction=H","UseDPDF=Y")</f>
        <v>-47.024799999999999</v>
      </c>
      <c r="H23" s="19">
        <f>_xll.BDH("ITCI US Equity","CF_CASH_FROM_OPER","FQ3 2020","FQ3 2020","Currency=USD","Period=FQ","BEST_FPERIOD_OVERRIDE=FQ","FILING_STATUS=MR","SCALING_FORMAT=MLN","Sort=A","Dates=H","DateFormat=P","Fill=—","Direction=H","UseDPDF=Y")</f>
        <v>-63.579099999999997</v>
      </c>
      <c r="I23" s="19">
        <f>_xll.BDH("ITCI US Equity","CF_CASH_FROM_OPER","FQ4 2020","FQ4 2020","Currency=USD","Period=FQ","BEST_FPERIOD_OVERRIDE=FQ","FILING_STATUS=MR","SCALING_FORMAT=MLN","Sort=A","Dates=H","DateFormat=P","Fill=—","Direction=H","UseDPDF=Y")</f>
        <v>-68.242699999999999</v>
      </c>
      <c r="J23" s="19">
        <f>_xll.BDH("ITCI US Equity","CF_CASH_FROM_OPER","FQ1 2021","FQ1 2021","Currency=USD","Period=FQ","BEST_FPERIOD_OVERRIDE=FQ","FILING_STATUS=MR","SCALING_FORMAT=MLN","Sort=A","Dates=H","DateFormat=P","Fill=—","Direction=H","UseDPDF=Y")</f>
        <v>-47.767000000000003</v>
      </c>
      <c r="K23" s="19">
        <f>_xll.BDH("ITCI US Equity","CF_CASH_FROM_OPER","FQ2 2021","FQ2 2021","Currency=USD","Period=FQ","BEST_FPERIOD_OVERRIDE=FQ","FILING_STATUS=MR","SCALING_FORMAT=MLN","Sort=A","Dates=H","DateFormat=P","Fill=—","Direction=H","UseDPDF=Y")</f>
        <v>-59.325200000000002</v>
      </c>
      <c r="L23" s="19">
        <f>_xll.BDH("ITCI US Equity","CF_CASH_FROM_OPER","FQ3 2021","FQ3 2021","Currency=USD","Period=FQ","BEST_FPERIOD_OVERRIDE=FQ","FILING_STATUS=MR","SCALING_FORMAT=MLN","Sort=A","Dates=H","DateFormat=P","Fill=—","Direction=H","UseDPDF=Y")</f>
        <v>-79.266800000000003</v>
      </c>
      <c r="M23" s="19">
        <f>_xll.BDH("ITCI US Equity","CF_CASH_FROM_OPER","FQ4 2021","FQ4 2021","Currency=USD","Period=FQ","BEST_FPERIOD_OVERRIDE=FQ","FILING_STATUS=MR","SCALING_FORMAT=MLN","Sort=A","Dates=H","DateFormat=P","Fill=—","Direction=H","UseDPDF=Y")</f>
        <v>-73.1845</v>
      </c>
      <c r="N23" s="19">
        <f>_xll.BDH("ITCI US Equity","CF_CASH_FROM_OPER","FQ1 2022","FQ1 2022","Currency=USD","Period=FQ","BEST_FPERIOD_OVERRIDE=FQ","FILING_STATUS=MR","SCALING_FORMAT=MLN","Sort=A","Dates=H","DateFormat=P","Fill=—","Direction=H","UseDPDF=Y")</f>
        <v>-82.849000000000004</v>
      </c>
      <c r="O23" s="19">
        <f>_xll.BDH("ITCI US Equity","CF_CASH_FROM_OPER","FQ2 2022","FQ2 2022","Currency=USD","Period=FQ","BEST_FPERIOD_OVERRIDE=FQ","FILING_STATUS=MR","SCALING_FORMAT=MLN","Sort=A","Dates=H","DateFormat=P","Fill=—","Direction=H","UseDPDF=Y")</f>
        <v>-94.793000000000006</v>
      </c>
      <c r="P23" s="19">
        <f>_xll.BDH("ITCI US Equity","CF_CASH_FROM_OPER","FQ3 2022","FQ3 2022","Currency=USD","Period=FQ","BEST_FPERIOD_OVERRIDE=FQ","FILING_STATUS=MR","SCALING_FORMAT=MLN","Sort=A","Dates=H","DateFormat=P","Fill=—","Direction=H","UseDPDF=Y")</f>
        <v>-53.350999999999999</v>
      </c>
      <c r="Q23" s="19">
        <f>_xll.BDH("ITCI US Equity","CF_CASH_FROM_OPER","FQ4 2022","FQ4 2022","Currency=USD","Period=FQ","BEST_FPERIOD_OVERRIDE=FQ","FILING_STATUS=MR","SCALING_FORMAT=MLN","Sort=A","Dates=H","DateFormat=P","Fill=—","Direction=H","UseDPDF=Y")</f>
        <v>-39.192999999999998</v>
      </c>
      <c r="R23" s="19">
        <f>_xll.BDH("ITCI US Equity","CF_CASH_FROM_OPER","FQ1 2023","FQ1 2023","Currency=USD","Period=FQ","BEST_FPERIOD_OVERRIDE=FQ","FILING_STATUS=MR","SCALING_FORMAT=MLN","Sort=A","Dates=H","DateFormat=P","Fill=—","Direction=H","UseDPDF=Y")</f>
        <v>-60.066000000000003</v>
      </c>
      <c r="S23" s="19">
        <f>_xll.BDH("ITCI US Equity","CF_CASH_FROM_OPER","FQ2 2023","FQ2 2023","Currency=USD","Period=FQ","BEST_FPERIOD_OVERRIDE=FQ","FILING_STATUS=MR","SCALING_FORMAT=MLN","Sort=A","Dates=H","DateFormat=P","Fill=—","Direction=H","UseDPDF=Y")</f>
        <v>-36.802</v>
      </c>
      <c r="T23" s="19">
        <f>_xll.BDH("ITCI US Equity","CF_CASH_FROM_OPER","FQ3 2023","FQ3 2023","Currency=USD","Period=FQ","BEST_FPERIOD_OVERRIDE=FQ","FILING_STATUS=MR","SCALING_FORMAT=MLN","Sort=A","Dates=H","DateFormat=P","Fill=—","Direction=H","UseDPDF=Y")</f>
        <v>-25.27</v>
      </c>
      <c r="U23" s="19">
        <f>_xll.BDH("ITCI US Equity","CF_CASH_FROM_OPER","FQ4 2023","FQ4 2023","Currency=USD","Period=FQ","BEST_FPERIOD_OVERRIDE=FQ","FILING_STATUS=MR","SCALING_FORMAT=MLN","Sort=A","Dates=H","DateFormat=P","Fill=—","Direction=H","UseDPDF=Y")</f>
        <v>-2.0609999999999999</v>
      </c>
      <c r="V23" s="19">
        <f>_xll.BDH("ITCI US Equity","CF_CASH_FROM_OPER","FQ1 2024","FQ1 2024","Currency=USD","Period=FQ","BEST_FPERIOD_OVERRIDE=FQ","FILING_STATUS=MR","SCALING_FORMAT=MLN","Sort=A","Dates=H","DateFormat=P","Fill=—","Direction=H","UseDPDF=Y")</f>
        <v>-34.116</v>
      </c>
      <c r="W23" s="19">
        <f>_xll.BDH("ITCI US Equity","CF_CASH_FROM_OPER","FQ2 2024","FQ2 2024","Currency=USD","Period=FQ","BEST_FPERIOD_OVERRIDE=FQ","FILING_STATUS=MR","SCALING_FORMAT=MLN","Sort=A","Dates=H","DateFormat=P","Fill=—","Direction=H","UseDPDF=Y")</f>
        <v>0.54200000000000004</v>
      </c>
      <c r="X23" s="19">
        <f>_xll.BDH("ITCI US Equity","CF_CASH_FROM_OPER","FQ3 2024","FQ3 2024","Currency=USD","Period=FQ","BEST_FPERIOD_OVERRIDE=FQ","FILING_STATUS=MR","SCALING_FORMAT=MLN","Sort=A","Dates=H","DateFormat=P","Fill=—","Direction=H","UseDPDF=Y")</f>
        <v>-26.524999999999999</v>
      </c>
      <c r="Y23" s="19">
        <f>_xll.BDH("ITCI US Equity","CF_CASH_FROM_OPER","FQ4 2024","FQ4 2024","Currency=USD","Period=FQ","BEST_FPERIOD_OVERRIDE=FQ","FILING_STATUS=MR","SCALING_FORMAT=MLN","Sort=A","Dates=H","DateFormat=P","Fill=—","Direction=H","UseDPDF=Y")</f>
        <v>-13.077999999999999</v>
      </c>
      <c r="Z23" s="19"/>
      <c r="AA23" s="19"/>
    </row>
    <row r="24" spans="1:27" x14ac:dyDescent="0.25">
      <c r="A24" s="6" t="s">
        <v>86</v>
      </c>
      <c r="B24" s="6" t="s">
        <v>87</v>
      </c>
      <c r="C24" s="19">
        <f>_xll.BDH("ITCI US Equity","CAPITAL_EXPEND","FQ2 2019","FQ2 2019","Currency=USD","Period=FQ","BEST_FPERIOD_OVERRIDE=FQ","FILING_STATUS=MR","SCALING_FORMAT=MLN","Sort=A","Dates=H","DateFormat=P","Fill=—","Direction=H","UseDPDF=Y")</f>
        <v>-1.0624</v>
      </c>
      <c r="D24" s="19">
        <f>_xll.BDH("ITCI US Equity","CAPITAL_EXPEND","FQ3 2019","FQ3 2019","Currency=USD","Period=FQ","BEST_FPERIOD_OVERRIDE=FQ","FILING_STATUS=MR","SCALING_FORMAT=MLN","Sort=A","Dates=H","DateFormat=P","Fill=—","Direction=H","UseDPDF=Y")</f>
        <v>-0.22109999999999999</v>
      </c>
      <c r="E24" s="19" t="str">
        <f>_xll.BDH("ITCI US Equity","CAPITAL_EXPEND","FQ4 2019","FQ4 2019","Currency=USD","Period=FQ","BEST_FPERIOD_OVERRIDE=FQ","FILING_STATUS=MR","SCALING_FORMAT=MLN","Sort=A","Dates=H","DateFormat=P","Fill=—","Direction=H","UseDPDF=Y")</f>
        <v>—</v>
      </c>
      <c r="F24" s="19">
        <f>_xll.BDH("ITCI US Equity","CAPITAL_EXPEND","FQ1 2020","FQ1 2020","Currency=USD","Period=FQ","BEST_FPERIOD_OVERRIDE=FQ","FILING_STATUS=MR","SCALING_FORMAT=MLN","Sort=A","Dates=H","DateFormat=P","Fill=—","Direction=H","UseDPDF=Y")</f>
        <v>-2.1999999999999999E-2</v>
      </c>
      <c r="G24" s="19">
        <f>_xll.BDH("ITCI US Equity","CAPITAL_EXPEND","FQ2 2020","FQ2 2020","Currency=USD","Period=FQ","BEST_FPERIOD_OVERRIDE=FQ","FILING_STATUS=MR","SCALING_FORMAT=MLN","Sort=A","Dates=H","DateFormat=P","Fill=—","Direction=H","UseDPDF=Y")</f>
        <v>0</v>
      </c>
      <c r="H24" s="19">
        <f>_xll.BDH("ITCI US Equity","CAPITAL_EXPEND","FQ3 2020","FQ3 2020","Currency=USD","Period=FQ","BEST_FPERIOD_OVERRIDE=FQ","FILING_STATUS=MR","SCALING_FORMAT=MLN","Sort=A","Dates=H","DateFormat=P","Fill=—","Direction=H","UseDPDF=Y")</f>
        <v>-0.1699</v>
      </c>
      <c r="I24" s="19">
        <f>_xll.BDH("ITCI US Equity","CAPITAL_EXPEND","FQ4 2020","FQ4 2020","Currency=USD","Period=FQ","BEST_FPERIOD_OVERRIDE=FQ","FILING_STATUS=MR","SCALING_FORMAT=MLN","Sort=A","Dates=H","DateFormat=P","Fill=—","Direction=H","UseDPDF=Y")</f>
        <v>-7.4800000000000005E-2</v>
      </c>
      <c r="J24" s="19">
        <f>_xll.BDH("ITCI US Equity","CAPITAL_EXPEND","FQ1 2021","FQ1 2021","Currency=USD","Period=FQ","BEST_FPERIOD_OVERRIDE=FQ","FILING_STATUS=MR","SCALING_FORMAT=MLN","Sort=A","Dates=H","DateFormat=P","Fill=—","Direction=H","UseDPDF=Y")</f>
        <v>0</v>
      </c>
      <c r="K24" s="19">
        <f>_xll.BDH("ITCI US Equity","CAPITAL_EXPEND","FQ2 2021","FQ2 2021","Currency=USD","Period=FQ","BEST_FPERIOD_OVERRIDE=FQ","FILING_STATUS=MR","SCALING_FORMAT=MLN","Sort=A","Dates=H","DateFormat=P","Fill=—","Direction=H","UseDPDF=Y")</f>
        <v>-1.52E-2</v>
      </c>
      <c r="L24" s="19">
        <f>_xll.BDH("ITCI US Equity","CAPITAL_EXPEND","FQ3 2021","FQ3 2021","Currency=USD","Period=FQ","BEST_FPERIOD_OVERRIDE=FQ","FILING_STATUS=MR","SCALING_FORMAT=MLN","Sort=A","Dates=H","DateFormat=P","Fill=—","Direction=H","UseDPDF=Y")</f>
        <v>-0.30930000000000002</v>
      </c>
      <c r="M24" s="19">
        <f>_xll.BDH("ITCI US Equity","CAPITAL_EXPEND","FQ4 2021","FQ4 2021","Currency=USD","Period=FQ","BEST_FPERIOD_OVERRIDE=FQ","FILING_STATUS=MR","SCALING_FORMAT=MLN","Sort=A","Dates=H","DateFormat=P","Fill=—","Direction=H","UseDPDF=Y")</f>
        <v>-1.1999999999999999E-3</v>
      </c>
      <c r="N24" s="19">
        <f>_xll.BDH("ITCI US Equity","CAPITAL_EXPEND","FQ1 2022","FQ1 2022","Currency=USD","Period=FQ","BEST_FPERIOD_OVERRIDE=FQ","FILING_STATUS=MR","SCALING_FORMAT=MLN","Sort=A","Dates=H","DateFormat=P","Fill=—","Direction=H","UseDPDF=Y")</f>
        <v>-0.56599999999999995</v>
      </c>
      <c r="O24" s="19">
        <f>_xll.BDH("ITCI US Equity","CAPITAL_EXPEND","FQ2 2022","FQ2 2022","Currency=USD","Period=FQ","BEST_FPERIOD_OVERRIDE=FQ","FILING_STATUS=MR","SCALING_FORMAT=MLN","Sort=A","Dates=H","DateFormat=P","Fill=—","Direction=H","UseDPDF=Y")</f>
        <v>-0.123</v>
      </c>
      <c r="P24" s="19">
        <f>_xll.BDH("ITCI US Equity","CAPITAL_EXPEND","FQ3 2022","FQ3 2022","Currency=USD","Period=FQ","BEST_FPERIOD_OVERRIDE=FQ","FILING_STATUS=MR","SCALING_FORMAT=MLN","Sort=A","Dates=H","DateFormat=P","Fill=—","Direction=H","UseDPDF=Y")</f>
        <v>-0.11700000000000001</v>
      </c>
      <c r="Q24" s="19">
        <f>_xll.BDH("ITCI US Equity","CAPITAL_EXPEND","FQ4 2022","FQ4 2022","Currency=USD","Period=FQ","BEST_FPERIOD_OVERRIDE=FQ","FILING_STATUS=MR","SCALING_FORMAT=MLN","Sort=A","Dates=H","DateFormat=P","Fill=—","Direction=H","UseDPDF=Y")</f>
        <v>0</v>
      </c>
      <c r="R24" s="19">
        <f>_xll.BDH("ITCI US Equity","CAPITAL_EXPEND","FQ1 2023","FQ1 2023","Currency=USD","Period=FQ","BEST_FPERIOD_OVERRIDE=FQ","FILING_STATUS=MR","SCALING_FORMAT=MLN","Sort=A","Dates=H","DateFormat=P","Fill=—","Direction=H","UseDPDF=Y")</f>
        <v>0</v>
      </c>
      <c r="S24" s="19">
        <f>_xll.BDH("ITCI US Equity","CAPITAL_EXPEND","FQ2 2023","FQ2 2023","Currency=USD","Period=FQ","BEST_FPERIOD_OVERRIDE=FQ","FILING_STATUS=MR","SCALING_FORMAT=MLN","Sort=A","Dates=H","DateFormat=P","Fill=—","Direction=H","UseDPDF=Y")</f>
        <v>0</v>
      </c>
      <c r="T24" s="19">
        <f>_xll.BDH("ITCI US Equity","CAPITAL_EXPEND","FQ3 2023","FQ3 2023","Currency=USD","Period=FQ","BEST_FPERIOD_OVERRIDE=FQ","FILING_STATUS=MR","SCALING_FORMAT=MLN","Sort=A","Dates=H","DateFormat=P","Fill=—","Direction=H","UseDPDF=Y")</f>
        <v>-0.26800000000000002</v>
      </c>
      <c r="U24" s="19">
        <f>_xll.BDH("ITCI US Equity","CAPITAL_EXPEND","FQ4 2023","FQ4 2023","Currency=USD","Period=FQ","BEST_FPERIOD_OVERRIDE=FQ","FILING_STATUS=MR","SCALING_FORMAT=MLN","Sort=A","Dates=H","DateFormat=P","Fill=—","Direction=H","UseDPDF=Y")</f>
        <v>-1E-3</v>
      </c>
      <c r="V24" s="19">
        <f>_xll.BDH("ITCI US Equity","CAPITAL_EXPEND","FQ1 2024","FQ1 2024","Currency=USD","Period=FQ","BEST_FPERIOD_OVERRIDE=FQ","FILING_STATUS=MR","SCALING_FORMAT=MLN","Sort=A","Dates=H","DateFormat=P","Fill=—","Direction=H","UseDPDF=Y")</f>
        <v>0</v>
      </c>
      <c r="W24" s="19">
        <f>_xll.BDH("ITCI US Equity","CAPITAL_EXPEND","FQ2 2024","FQ2 2024","Currency=USD","Period=FQ","BEST_FPERIOD_OVERRIDE=FQ","FILING_STATUS=MR","SCALING_FORMAT=MLN","Sort=A","Dates=H","DateFormat=P","Fill=—","Direction=H","UseDPDF=Y")</f>
        <v>-5.2999999999999999E-2</v>
      </c>
      <c r="X24" s="19">
        <f>_xll.BDH("ITCI US Equity","CAPITAL_EXPEND","FQ3 2024","FQ3 2024","Currency=USD","Period=FQ","BEST_FPERIOD_OVERRIDE=FQ","FILING_STATUS=MR","SCALING_FORMAT=MLN","Sort=A","Dates=H","DateFormat=P","Fill=—","Direction=H","UseDPDF=Y")</f>
        <v>-0.69599999999999995</v>
      </c>
      <c r="Y24" s="19" t="str">
        <f>_xll.BDH("ITCI US Equity","CAPITAL_EXPEND","FQ4 2024","FQ4 2024","Currency=USD","Period=FQ","BEST_FPERIOD_OVERRIDE=FQ","FILING_STATUS=MR","SCALING_FORMAT=MLN","Sort=A","Dates=H","DateFormat=P","Fill=—","Direction=H","UseDPDF=Y")</f>
        <v>—</v>
      </c>
      <c r="Z24" s="19">
        <v>-0.19800000000000001</v>
      </c>
      <c r="AA24" s="19">
        <v>-0.20100000000000001</v>
      </c>
    </row>
    <row r="25" spans="1:27" x14ac:dyDescent="0.25">
      <c r="A25" s="6" t="s">
        <v>88</v>
      </c>
      <c r="B25" s="6" t="s">
        <v>89</v>
      </c>
      <c r="C25" s="19">
        <f>_xll.BDH("ITCI US Equity","CF_FREE_CASH_FLOW","FQ2 2019","FQ2 2019","Currency=USD","Period=FQ","BEST_FPERIOD_OVERRIDE=FQ","FILING_STATUS=MR","SCALING_FORMAT=MLN","Sort=A","Dates=H","DateFormat=P","Fill=—","Direction=H","UseDPDF=Y")</f>
        <v>-28.371099999999998</v>
      </c>
      <c r="D25" s="19">
        <f>_xll.BDH("ITCI US Equity","CF_FREE_CASH_FLOW","FQ3 2019","FQ3 2019","Currency=USD","Period=FQ","BEST_FPERIOD_OVERRIDE=FQ","FILING_STATUS=MR","SCALING_FORMAT=MLN","Sort=A","Dates=H","DateFormat=P","Fill=—","Direction=H","UseDPDF=Y")</f>
        <v>-30.2104</v>
      </c>
      <c r="E25" s="19" t="str">
        <f>_xll.BDH("ITCI US Equity","CF_FREE_CASH_FLOW","FQ4 2019","FQ4 2019","Currency=USD","Period=FQ","BEST_FPERIOD_OVERRIDE=FQ","FILING_STATUS=MR","SCALING_FORMAT=MLN","Sort=A","Dates=H","DateFormat=P","Fill=—","Direction=H","UseDPDF=Y")</f>
        <v>—</v>
      </c>
      <c r="F25" s="19">
        <f>_xll.BDH("ITCI US Equity","CF_FREE_CASH_FLOW","FQ1 2020","FQ1 2020","Currency=USD","Period=FQ","BEST_FPERIOD_OVERRIDE=FQ","FILING_STATUS=MR","SCALING_FORMAT=MLN","Sort=A","Dates=H","DateFormat=P","Fill=—","Direction=H","UseDPDF=Y")</f>
        <v>-51.2483</v>
      </c>
      <c r="G25" s="19">
        <f>_xll.BDH("ITCI US Equity","CF_FREE_CASH_FLOW","FQ2 2020","FQ2 2020","Currency=USD","Period=FQ","BEST_FPERIOD_OVERRIDE=FQ","FILING_STATUS=MR","SCALING_FORMAT=MLN","Sort=A","Dates=H","DateFormat=P","Fill=—","Direction=H","UseDPDF=Y")</f>
        <v>-47.024799999999999</v>
      </c>
      <c r="H25" s="19">
        <f>_xll.BDH("ITCI US Equity","CF_FREE_CASH_FLOW","FQ3 2020","FQ3 2020","Currency=USD","Period=FQ","BEST_FPERIOD_OVERRIDE=FQ","FILING_STATUS=MR","SCALING_FORMAT=MLN","Sort=A","Dates=H","DateFormat=P","Fill=—","Direction=H","UseDPDF=Y")</f>
        <v>-63.749000000000002</v>
      </c>
      <c r="I25" s="19">
        <f>_xll.BDH("ITCI US Equity","CF_FREE_CASH_FLOW","FQ4 2020","FQ4 2020","Currency=USD","Period=FQ","BEST_FPERIOD_OVERRIDE=FQ","FILING_STATUS=MR","SCALING_FORMAT=MLN","Sort=A","Dates=H","DateFormat=P","Fill=—","Direction=H","UseDPDF=Y")</f>
        <v>-68.317499999999995</v>
      </c>
      <c r="J25" s="19">
        <f>_xll.BDH("ITCI US Equity","CF_FREE_CASH_FLOW","FQ1 2021","FQ1 2021","Currency=USD","Period=FQ","BEST_FPERIOD_OVERRIDE=FQ","FILING_STATUS=MR","SCALING_FORMAT=MLN","Sort=A","Dates=H","DateFormat=P","Fill=—","Direction=H","UseDPDF=Y")</f>
        <v>-47.767000000000003</v>
      </c>
      <c r="K25" s="19">
        <f>_xll.BDH("ITCI US Equity","CF_FREE_CASH_FLOW","FQ2 2021","FQ2 2021","Currency=USD","Period=FQ","BEST_FPERIOD_OVERRIDE=FQ","FILING_STATUS=MR","SCALING_FORMAT=MLN","Sort=A","Dates=H","DateFormat=P","Fill=—","Direction=H","UseDPDF=Y")</f>
        <v>-59.340499999999999</v>
      </c>
      <c r="L25" s="19">
        <f>_xll.BDH("ITCI US Equity","CF_FREE_CASH_FLOW","FQ3 2021","FQ3 2021","Currency=USD","Period=FQ","BEST_FPERIOD_OVERRIDE=FQ","FILING_STATUS=MR","SCALING_FORMAT=MLN","Sort=A","Dates=H","DateFormat=P","Fill=—","Direction=H","UseDPDF=Y")</f>
        <v>-79.575999999999993</v>
      </c>
      <c r="M25" s="19">
        <f>_xll.BDH("ITCI US Equity","CF_FREE_CASH_FLOW","FQ4 2021","FQ4 2021","Currency=USD","Period=FQ","BEST_FPERIOD_OVERRIDE=FQ","FILING_STATUS=MR","SCALING_FORMAT=MLN","Sort=A","Dates=H","DateFormat=P","Fill=—","Direction=H","UseDPDF=Y")</f>
        <v>-73.1858</v>
      </c>
      <c r="N25" s="19">
        <f>_xll.BDH("ITCI US Equity","CF_FREE_CASH_FLOW","FQ1 2022","FQ1 2022","Currency=USD","Period=FQ","BEST_FPERIOD_OVERRIDE=FQ","FILING_STATUS=MR","SCALING_FORMAT=MLN","Sort=A","Dates=H","DateFormat=P","Fill=—","Direction=H","UseDPDF=Y")</f>
        <v>-83.415000000000006</v>
      </c>
      <c r="O25" s="19">
        <f>_xll.BDH("ITCI US Equity","CF_FREE_CASH_FLOW","FQ2 2022","FQ2 2022","Currency=USD","Period=FQ","BEST_FPERIOD_OVERRIDE=FQ","FILING_STATUS=MR","SCALING_FORMAT=MLN","Sort=A","Dates=H","DateFormat=P","Fill=—","Direction=H","UseDPDF=Y")</f>
        <v>-94.915999999999997</v>
      </c>
      <c r="P25" s="19">
        <f>_xll.BDH("ITCI US Equity","CF_FREE_CASH_FLOW","FQ3 2022","FQ3 2022","Currency=USD","Period=FQ","BEST_FPERIOD_OVERRIDE=FQ","FILING_STATUS=MR","SCALING_FORMAT=MLN","Sort=A","Dates=H","DateFormat=P","Fill=—","Direction=H","UseDPDF=Y")</f>
        <v>-53.468000000000004</v>
      </c>
      <c r="Q25" s="19">
        <f>_xll.BDH("ITCI US Equity","CF_FREE_CASH_FLOW","FQ4 2022","FQ4 2022","Currency=USD","Period=FQ","BEST_FPERIOD_OVERRIDE=FQ","FILING_STATUS=MR","SCALING_FORMAT=MLN","Sort=A","Dates=H","DateFormat=P","Fill=—","Direction=H","UseDPDF=Y")</f>
        <v>-39.192999999999998</v>
      </c>
      <c r="R25" s="19">
        <f>_xll.BDH("ITCI US Equity","CF_FREE_CASH_FLOW","FQ1 2023","FQ1 2023","Currency=USD","Period=FQ","BEST_FPERIOD_OVERRIDE=FQ","FILING_STATUS=MR","SCALING_FORMAT=MLN","Sort=A","Dates=H","DateFormat=P","Fill=—","Direction=H","UseDPDF=Y")</f>
        <v>-60.066000000000003</v>
      </c>
      <c r="S25" s="19">
        <f>_xll.BDH("ITCI US Equity","CF_FREE_CASH_FLOW","FQ2 2023","FQ2 2023","Currency=USD","Period=FQ","BEST_FPERIOD_OVERRIDE=FQ","FILING_STATUS=MR","SCALING_FORMAT=MLN","Sort=A","Dates=H","DateFormat=P","Fill=—","Direction=H","UseDPDF=Y")</f>
        <v>-36.802</v>
      </c>
      <c r="T25" s="19">
        <f>_xll.BDH("ITCI US Equity","CF_FREE_CASH_FLOW","FQ3 2023","FQ3 2023","Currency=USD","Period=FQ","BEST_FPERIOD_OVERRIDE=FQ","FILING_STATUS=MR","SCALING_FORMAT=MLN","Sort=A","Dates=H","DateFormat=P","Fill=—","Direction=H","UseDPDF=Y")</f>
        <v>-25.538</v>
      </c>
      <c r="U25" s="19">
        <f>_xll.BDH("ITCI US Equity","CF_FREE_CASH_FLOW","FQ4 2023","FQ4 2023","Currency=USD","Period=FQ","BEST_FPERIOD_OVERRIDE=FQ","FILING_STATUS=MR","SCALING_FORMAT=MLN","Sort=A","Dates=H","DateFormat=P","Fill=—","Direction=H","UseDPDF=Y")</f>
        <v>-2.0619999999999998</v>
      </c>
      <c r="V25" s="19">
        <f>_xll.BDH("ITCI US Equity","CF_FREE_CASH_FLOW","FQ1 2024","FQ1 2024","Currency=USD","Period=FQ","BEST_FPERIOD_OVERRIDE=FQ","FILING_STATUS=MR","SCALING_FORMAT=MLN","Sort=A","Dates=H","DateFormat=P","Fill=—","Direction=H","UseDPDF=Y")</f>
        <v>-34.116</v>
      </c>
      <c r="W25" s="19">
        <f>_xll.BDH("ITCI US Equity","CF_FREE_CASH_FLOW","FQ2 2024","FQ2 2024","Currency=USD","Period=FQ","BEST_FPERIOD_OVERRIDE=FQ","FILING_STATUS=MR","SCALING_FORMAT=MLN","Sort=A","Dates=H","DateFormat=P","Fill=—","Direction=H","UseDPDF=Y")</f>
        <v>0.48899999999999999</v>
      </c>
      <c r="X25" s="19">
        <f>_xll.BDH("ITCI US Equity","CF_FREE_CASH_FLOW","FQ3 2024","FQ3 2024","Currency=USD","Period=FQ","BEST_FPERIOD_OVERRIDE=FQ","FILING_STATUS=MR","SCALING_FORMAT=MLN","Sort=A","Dates=H","DateFormat=P","Fill=—","Direction=H","UseDPDF=Y")</f>
        <v>-27.221</v>
      </c>
      <c r="Y25" s="19" t="str">
        <f>_xll.BDH("ITCI US Equity","CF_FREE_CASH_FLOW","FQ4 2024","FQ4 2024","Currency=USD","Period=FQ","BEST_FPERIOD_OVERRIDE=FQ","FILING_STATUS=MR","SCALING_FORMAT=MLN","Sort=A","Dates=H","DateFormat=P","Fill=—","Direction=H","UseDPDF=Y")</f>
        <v>—</v>
      </c>
      <c r="Z25" s="19">
        <v>5.6</v>
      </c>
      <c r="AA25" s="19">
        <v>-6.4</v>
      </c>
    </row>
    <row r="26" spans="1:27" x14ac:dyDescent="0.25">
      <c r="A26" s="7" t="s">
        <v>90</v>
      </c>
      <c r="B26" s="7"/>
      <c r="C26" s="7" t="s">
        <v>5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69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372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31</v>
      </c>
      <c r="AA4" s="4" t="s">
        <v>32</v>
      </c>
    </row>
    <row r="5" spans="1:27" x14ac:dyDescent="0.25">
      <c r="A5" s="9" t="s">
        <v>33</v>
      </c>
      <c r="B5" s="9"/>
      <c r="C5" s="5" t="s">
        <v>34</v>
      </c>
      <c r="D5" s="5" t="s">
        <v>35</v>
      </c>
      <c r="E5" s="5" t="s">
        <v>36</v>
      </c>
      <c r="F5" s="5" t="s">
        <v>37</v>
      </c>
      <c r="G5" s="5" t="s">
        <v>38</v>
      </c>
      <c r="H5" s="5" t="s">
        <v>39</v>
      </c>
      <c r="I5" s="5" t="s">
        <v>40</v>
      </c>
      <c r="J5" s="5" t="s">
        <v>41</v>
      </c>
      <c r="K5" s="5" t="s">
        <v>42</v>
      </c>
      <c r="L5" s="5" t="s">
        <v>43</v>
      </c>
      <c r="M5" s="5" t="s">
        <v>44</v>
      </c>
      <c r="N5" s="5" t="s">
        <v>45</v>
      </c>
      <c r="O5" s="5" t="s">
        <v>46</v>
      </c>
      <c r="P5" s="5" t="s">
        <v>47</v>
      </c>
      <c r="Q5" s="5" t="s">
        <v>48</v>
      </c>
      <c r="R5" s="5" t="s">
        <v>49</v>
      </c>
      <c r="S5" s="5" t="s">
        <v>50</v>
      </c>
      <c r="T5" s="5" t="s">
        <v>51</v>
      </c>
      <c r="U5" s="5" t="s">
        <v>52</v>
      </c>
      <c r="V5" s="5" t="s">
        <v>53</v>
      </c>
      <c r="W5" s="5" t="s">
        <v>54</v>
      </c>
      <c r="X5" s="5" t="s">
        <v>55</v>
      </c>
      <c r="Y5" s="5" t="s">
        <v>56</v>
      </c>
      <c r="Z5" s="5" t="s">
        <v>57</v>
      </c>
      <c r="AA5" s="5" t="s">
        <v>58</v>
      </c>
    </row>
    <row r="6" spans="1:27" x14ac:dyDescent="0.25">
      <c r="A6" s="6" t="s">
        <v>0</v>
      </c>
      <c r="B6" s="6" t="s">
        <v>70</v>
      </c>
      <c r="C6" s="19">
        <f>_xll.BDH("ITCI US Equity","SALES_REV_TURN","FQ2 2019","FQ2 2019","Currency=USD","Period=FQ","BEST_FPERIOD_OVERRIDE=FQ","FILING_STATUS=MR","SCALING_FORMAT=MLN","FA_ADJUSTED=GAAP","Sort=A","Dates=H","DateFormat=P","Fill=—","Direction=H","UseDPDF=Y")</f>
        <v>0</v>
      </c>
      <c r="D6" s="19">
        <f>_xll.BDH("ITCI US Equity","SALES_REV_TURN","FQ3 2019","FQ3 2019","Currency=USD","Period=FQ","BEST_FPERIOD_OVERRIDE=FQ","FILING_STATUS=MR","SCALING_FORMAT=MLN","FA_ADJUSTED=GAAP","Sort=A","Dates=H","DateFormat=P","Fill=—","Direction=H","UseDPDF=Y")</f>
        <v>0</v>
      </c>
      <c r="E6" s="19">
        <f>_xll.BDH("ITCI US Equity","SALES_REV_TURN","FQ4 2019","FQ4 2019","Currency=USD","Period=FQ","BEST_FPERIOD_OVERRIDE=FQ","FILING_STATUS=MR","SCALING_FORMAT=MLN","FA_ADJUSTED=GAAP","Sort=A","Dates=H","DateFormat=P","Fill=—","Direction=H","UseDPDF=Y")</f>
        <v>6.0600000000000001E-2</v>
      </c>
      <c r="F6" s="19">
        <f>_xll.BDH("ITCI US Equity","SALES_REV_TURN","FQ1 2020","FQ1 2020","Currency=USD","Period=FQ","BEST_FPERIOD_OVERRIDE=FQ","FILING_STATUS=MR","SCALING_FORMAT=MLN","FA_ADJUSTED=GAAP","Sort=A","Dates=H","DateFormat=P","Fill=—","Direction=H","UseDPDF=Y")</f>
        <v>1.0834999999999999</v>
      </c>
      <c r="G6" s="19">
        <f>_xll.BDH("ITCI US Equity","SALES_REV_TURN","FQ2 2020","FQ2 2020","Currency=USD","Period=FQ","BEST_FPERIOD_OVERRIDE=FQ","FILING_STATUS=MR","SCALING_FORMAT=MLN","FA_ADJUSTED=GAAP","Sort=A","Dates=H","DateFormat=P","Fill=—","Direction=H","UseDPDF=Y")</f>
        <v>1.9066000000000001</v>
      </c>
      <c r="H6" s="19">
        <f>_xll.BDH("ITCI US Equity","SALES_REV_TURN","FQ3 2020","FQ3 2020","Currency=USD","Period=FQ","BEST_FPERIOD_OVERRIDE=FQ","FILING_STATUS=MR","SCALING_FORMAT=MLN","FA_ADJUSTED=GAAP","Sort=A","Dates=H","DateFormat=P","Fill=—","Direction=H","UseDPDF=Y")</f>
        <v>7.3685999999999998</v>
      </c>
      <c r="I6" s="19">
        <f>_xll.BDH("ITCI US Equity","SALES_REV_TURN","FQ4 2020","FQ4 2020","Currency=USD","Period=FQ","BEST_FPERIOD_OVERRIDE=FQ","FILING_STATUS=MR","SCALING_FORMAT=MLN","FA_ADJUSTED=GAAP","Sort=A","Dates=H","DateFormat=P","Fill=—","Direction=H","UseDPDF=Y")</f>
        <v>12.4543</v>
      </c>
      <c r="J6" s="19">
        <f>_xll.BDH("ITCI US Equity","SALES_REV_TURN","FQ1 2021","FQ1 2021","Currency=USD","Period=FQ","BEST_FPERIOD_OVERRIDE=FQ","FILING_STATUS=MR","SCALING_FORMAT=MLN","FA_ADJUSTED=GAAP","Sort=A","Dates=H","DateFormat=P","Fill=—","Direction=H","UseDPDF=Y")</f>
        <v>15.878299999999999</v>
      </c>
      <c r="K6" s="19">
        <f>_xll.BDH("ITCI US Equity","SALES_REV_TURN","FQ2 2021","FQ2 2021","Currency=USD","Period=FQ","BEST_FPERIOD_OVERRIDE=FQ","FILING_STATUS=MR","SCALING_FORMAT=MLN","FA_ADJUSTED=GAAP","Sort=A","Dates=H","DateFormat=P","Fill=—","Direction=H","UseDPDF=Y")</f>
        <v>20.046600000000002</v>
      </c>
      <c r="L6" s="19">
        <f>_xll.BDH("ITCI US Equity","SALES_REV_TURN","FQ3 2021","FQ3 2021","Currency=USD","Period=FQ","BEST_FPERIOD_OVERRIDE=FQ","FILING_STATUS=MR","SCALING_FORMAT=MLN","FA_ADJUSTED=GAAP","Sort=A","Dates=H","DateFormat=P","Fill=—","Direction=H","UseDPDF=Y")</f>
        <v>22.2072</v>
      </c>
      <c r="M6" s="19">
        <f>_xll.BDH("ITCI US Equity","SALES_REV_TURN","FQ4 2021","FQ4 2021","Currency=USD","Period=FQ","BEST_FPERIOD_OVERRIDE=FQ","FILING_STATUS=MR","SCALING_FORMAT=MLN","FA_ADJUSTED=GAAP","Sort=A","Dates=H","DateFormat=P","Fill=—","Direction=H","UseDPDF=Y")</f>
        <v>25.6709</v>
      </c>
      <c r="N6" s="19">
        <f>_xll.BDH("ITCI US Equity","SALES_REV_TURN","FQ1 2022","FQ1 2022","Currency=USD","Period=FQ","BEST_FPERIOD_OVERRIDE=FQ","FILING_STATUS=MR","SCALING_FORMAT=MLN","FA_ADJUSTED=GAAP","Sort=A","Dates=H","DateFormat=P","Fill=—","Direction=H","UseDPDF=Y")</f>
        <v>34.996000000000002</v>
      </c>
      <c r="O6" s="19">
        <f>_xll.BDH("ITCI US Equity","SALES_REV_TURN","FQ2 2022","FQ2 2022","Currency=USD","Period=FQ","BEST_FPERIOD_OVERRIDE=FQ","FILING_STATUS=MR","SCALING_FORMAT=MLN","FA_ADJUSTED=GAAP","Sort=A","Dates=H","DateFormat=P","Fill=—","Direction=H","UseDPDF=Y")</f>
        <v>55.579000000000001</v>
      </c>
      <c r="P6" s="19">
        <f>_xll.BDH("ITCI US Equity","SALES_REV_TURN","FQ3 2022","FQ3 2022","Currency=USD","Period=FQ","BEST_FPERIOD_OVERRIDE=FQ","FILING_STATUS=MR","SCALING_FORMAT=MLN","FA_ADJUSTED=GAAP","Sort=A","Dates=H","DateFormat=P","Fill=—","Direction=H","UseDPDF=Y")</f>
        <v>71.87</v>
      </c>
      <c r="Q6" s="19">
        <f>_xll.BDH("ITCI US Equity","SALES_REV_TURN","FQ4 2022","FQ4 2022","Currency=USD","Period=FQ","BEST_FPERIOD_OVERRIDE=FQ","FILING_STATUS=MR","SCALING_FORMAT=MLN","FA_ADJUSTED=GAAP","Sort=A","Dates=H","DateFormat=P","Fill=—","Direction=H","UseDPDF=Y")</f>
        <v>87.869</v>
      </c>
      <c r="R6" s="19">
        <f>_xll.BDH("ITCI US Equity","SALES_REV_TURN","FQ1 2023","FQ1 2023","Currency=USD","Period=FQ","BEST_FPERIOD_OVERRIDE=FQ","FILING_STATUS=MR","SCALING_FORMAT=MLN","FA_ADJUSTED=GAAP","Sort=A","Dates=H","DateFormat=P","Fill=—","Direction=H","UseDPDF=Y")</f>
        <v>95.305999999999997</v>
      </c>
      <c r="S6" s="19">
        <f>_xll.BDH("ITCI US Equity","SALES_REV_TURN","FQ2 2023","FQ2 2023","Currency=USD","Period=FQ","BEST_FPERIOD_OVERRIDE=FQ","FILING_STATUS=MR","SCALING_FORMAT=MLN","FA_ADJUSTED=GAAP","Sort=A","Dates=H","DateFormat=P","Fill=—","Direction=H","UseDPDF=Y")</f>
        <v>110.792</v>
      </c>
      <c r="T6" s="19">
        <f>_xll.BDH("ITCI US Equity","SALES_REV_TURN","FQ3 2023","FQ3 2023","Currency=USD","Period=FQ","BEST_FPERIOD_OVERRIDE=FQ","FILING_STATUS=MR","SCALING_FORMAT=MLN","FA_ADJUSTED=GAAP","Sort=A","Dates=H","DateFormat=P","Fill=—","Direction=H","UseDPDF=Y")</f>
        <v>126.173</v>
      </c>
      <c r="U6" s="19">
        <f>_xll.BDH("ITCI US Equity","SALES_REV_TURN","FQ4 2023","FQ4 2023","Currency=USD","Period=FQ","BEST_FPERIOD_OVERRIDE=FQ","FILING_STATUS=MR","SCALING_FORMAT=MLN","FA_ADJUSTED=GAAP","Sort=A","Dates=H","DateFormat=P","Fill=—","Direction=H","UseDPDF=Y")</f>
        <v>132.09899999999999</v>
      </c>
      <c r="V6" s="19">
        <f>_xll.BDH("ITCI US Equity","SALES_REV_TURN","FQ1 2024","FQ1 2024","Currency=USD","Period=FQ","BEST_FPERIOD_OVERRIDE=FQ","FILING_STATUS=MR","SCALING_FORMAT=MLN","FA_ADJUSTED=GAAP","Sort=A","Dates=H","DateFormat=P","Fill=—","Direction=H","UseDPDF=Y")</f>
        <v>144.86600000000001</v>
      </c>
      <c r="W6" s="19">
        <f>_xll.BDH("ITCI US Equity","SALES_REV_TURN","FQ2 2024","FQ2 2024","Currency=USD","Period=FQ","BEST_FPERIOD_OVERRIDE=FQ","FILING_STATUS=MR","SCALING_FORMAT=MLN","FA_ADJUSTED=GAAP","Sort=A","Dates=H","DateFormat=P","Fill=—","Direction=H","UseDPDF=Y")</f>
        <v>161.38800000000001</v>
      </c>
      <c r="X6" s="19">
        <f>_xll.BDH("ITCI US Equity","SALES_REV_TURN","FQ3 2024","FQ3 2024","Currency=USD","Period=FQ","BEST_FPERIOD_OVERRIDE=FQ","FILING_STATUS=MR","SCALING_FORMAT=MLN","FA_ADJUSTED=GAAP","Sort=A","Dates=H","DateFormat=P","Fill=—","Direction=H","UseDPDF=Y")</f>
        <v>175.375</v>
      </c>
      <c r="Y6" s="19">
        <f>_xll.BDH("ITCI US Equity","SALES_REV_TURN","FQ4 2024","FQ4 2024","Currency=USD","Period=FQ","BEST_FPERIOD_OVERRIDE=FQ","FILING_STATUS=MR","SCALING_FORMAT=MLN","FA_ADJUSTED=GAAP","Sort=A","Dates=H","DateFormat=P","Fill=—","Direction=H","UseDPDF=Y")</f>
        <v>199.22300000000001</v>
      </c>
      <c r="Z6" s="19">
        <v>203.875</v>
      </c>
      <c r="AA6" s="19">
        <v>219</v>
      </c>
    </row>
    <row r="7" spans="1:27" x14ac:dyDescent="0.25">
      <c r="A7" s="10" t="s">
        <v>280</v>
      </c>
      <c r="B7" s="10" t="s">
        <v>281</v>
      </c>
      <c r="C7" s="13">
        <f>_xll.BDH("ITCI US Equity","IS_SALES_AND_SERVICES_REVENUES","FQ2 2019","FQ2 2019","Currency=USD","Period=FQ","BEST_FPERIOD_OVERRIDE=FQ","FILING_STATUS=MR","SCALING_FORMAT=MLN","FA_ADJUSTED=GAAP","Sort=A","Dates=H","DateFormat=P","Fill=—","Direction=H","UseDPDF=Y")</f>
        <v>0</v>
      </c>
      <c r="D7" s="13">
        <f>_xll.BDH("ITCI US Equity","IS_SALES_AND_SERVICES_REVENUES","FQ3 2019","FQ3 2019","Currency=USD","Period=FQ","BEST_FPERIOD_OVERRIDE=FQ","FILING_STATUS=MR","SCALING_FORMAT=MLN","FA_ADJUSTED=GAAP","Sort=A","Dates=H","DateFormat=P","Fill=—","Direction=H","UseDPDF=Y")</f>
        <v>0</v>
      </c>
      <c r="E7" s="13">
        <f>_xll.BDH("ITCI US Equity","IS_SALES_AND_SERVICES_REVENUES","FQ4 2019","FQ4 2019","Currency=USD","Period=FQ","BEST_FPERIOD_OVERRIDE=FQ","FILING_STATUS=MR","SCALING_FORMAT=MLN","FA_ADJUSTED=GAAP","Sort=A","Dates=H","DateFormat=P","Fill=—","Direction=H","UseDPDF=Y")</f>
        <v>6.0600000000000001E-2</v>
      </c>
      <c r="F7" s="13">
        <f>_xll.BDH("ITCI US Equity","IS_SALES_AND_SERVICES_REVENUES","FQ1 2020","FQ1 2020","Currency=USD","Period=FQ","BEST_FPERIOD_OVERRIDE=FQ","FILING_STATUS=MR","SCALING_FORMAT=MLN","FA_ADJUSTED=GAAP","Sort=A","Dates=H","DateFormat=P","Fill=—","Direction=H","UseDPDF=Y")</f>
        <v>0.88249999999999995</v>
      </c>
      <c r="G7" s="13">
        <f>_xll.BDH("ITCI US Equity","IS_SALES_AND_SERVICES_REVENUES","FQ2 2020","FQ2 2020","Currency=USD","Period=FQ","BEST_FPERIOD_OVERRIDE=FQ","FILING_STATUS=MR","SCALING_FORMAT=MLN","FA_ADJUSTED=GAAP","Sort=A","Dates=H","DateFormat=P","Fill=—","Direction=H","UseDPDF=Y")</f>
        <v>1.8758999999999999</v>
      </c>
      <c r="H7" s="13">
        <f>_xll.BDH("ITCI US Equity","IS_SALES_AND_SERVICES_REVENUES","FQ3 2020","FQ3 2020","Currency=USD","Period=FQ","BEST_FPERIOD_OVERRIDE=FQ","FILING_STATUS=MR","SCALING_FORMAT=MLN","FA_ADJUSTED=GAAP","Sort=A","Dates=H","DateFormat=P","Fill=—","Direction=H","UseDPDF=Y")</f>
        <v>7.3685999999999998</v>
      </c>
      <c r="I7" s="13">
        <f>_xll.BDH("ITCI US Equity","IS_SALES_AND_SERVICES_REVENUES","FQ4 2020","FQ4 2020","Currency=USD","Period=FQ","BEST_FPERIOD_OVERRIDE=FQ","FILING_STATUS=MR","SCALING_FORMAT=MLN","FA_ADJUSTED=GAAP","Sort=A","Dates=H","DateFormat=P","Fill=—","Direction=H","UseDPDF=Y")</f>
        <v>12.4038</v>
      </c>
      <c r="J7" s="13">
        <f>_xll.BDH("ITCI US Equity","IS_SALES_AND_SERVICES_REVENUES","FQ1 2021","FQ1 2021","Currency=USD","Period=FQ","BEST_FPERIOD_OVERRIDE=FQ","FILING_STATUS=MR","SCALING_FORMAT=MLN","FA_ADJUSTED=GAAP","Sort=A","Dates=H","DateFormat=P","Fill=—","Direction=H","UseDPDF=Y")</f>
        <v>15.578900000000001</v>
      </c>
      <c r="K7" s="13">
        <f>_xll.BDH("ITCI US Equity","IS_SALES_AND_SERVICES_REVENUES","FQ2 2021","FQ2 2021","Currency=USD","Period=FQ","BEST_FPERIOD_OVERRIDE=FQ","FILING_STATUS=MR","SCALING_FORMAT=MLN","FA_ADJUSTED=GAAP","Sort=A","Dates=H","DateFormat=P","Fill=—","Direction=H","UseDPDF=Y")</f>
        <v>19.006799999999998</v>
      </c>
      <c r="L7" s="13">
        <f>_xll.BDH("ITCI US Equity","IS_SALES_AND_SERVICES_REVENUES","FQ3 2021","FQ3 2021","Currency=USD","Period=FQ","BEST_FPERIOD_OVERRIDE=FQ","FILING_STATUS=MR","SCALING_FORMAT=MLN","FA_ADJUSTED=GAAP","Sort=A","Dates=H","DateFormat=P","Fill=—","Direction=H","UseDPDF=Y")</f>
        <v>21.606200000000001</v>
      </c>
      <c r="M7" s="13">
        <f>_xll.BDH("ITCI US Equity","IS_SALES_AND_SERVICES_REVENUES","FQ4 2021","FQ4 2021","Currency=USD","Period=FQ","BEST_FPERIOD_OVERRIDE=FQ","FILING_STATUS=MR","SCALING_FORMAT=MLN","FA_ADJUSTED=GAAP","Sort=A","Dates=H","DateFormat=P","Fill=—","Direction=H","UseDPDF=Y")</f>
        <v>25.515999999999998</v>
      </c>
      <c r="N7" s="13">
        <f>_xll.BDH("ITCI US Equity","IS_SALES_AND_SERVICES_REVENUES","FQ1 2022","FQ1 2022","Currency=USD","Period=FQ","BEST_FPERIOD_OVERRIDE=FQ","FILING_STATUS=MR","SCALING_FORMAT=MLN","FA_ADJUSTED=GAAP","Sort=A","Dates=H","DateFormat=P","Fill=—","Direction=H","UseDPDF=Y")</f>
        <v>34.755000000000003</v>
      </c>
      <c r="O7" s="13">
        <f>_xll.BDH("ITCI US Equity","IS_SALES_AND_SERVICES_REVENUES","FQ2 2022","FQ2 2022","Currency=USD","Period=FQ","BEST_FPERIOD_OVERRIDE=FQ","FILING_STATUS=MR","SCALING_FORMAT=MLN","FA_ADJUSTED=GAAP","Sort=A","Dates=H","DateFormat=P","Fill=—","Direction=H","UseDPDF=Y")</f>
        <v>55.073999999999998</v>
      </c>
      <c r="P7" s="13">
        <f>_xll.BDH("ITCI US Equity","IS_SALES_AND_SERVICES_REVENUES","FQ3 2022","FQ3 2022","Currency=USD","Period=FQ","BEST_FPERIOD_OVERRIDE=FQ","FILING_STATUS=MR","SCALING_FORMAT=MLN","FA_ADJUSTED=GAAP","Sort=A","Dates=H","DateFormat=P","Fill=—","Direction=H","UseDPDF=Y")</f>
        <v>71.87</v>
      </c>
      <c r="Q7" s="13">
        <f>_xll.BDH("ITCI US Equity","IS_SALES_AND_SERVICES_REVENUES","FQ4 2022","FQ4 2022","Currency=USD","Period=FQ","BEST_FPERIOD_OVERRIDE=FQ","FILING_STATUS=MR","SCALING_FORMAT=MLN","FA_ADJUSTED=GAAP","Sort=A","Dates=H","DateFormat=P","Fill=—","Direction=H","UseDPDF=Y")</f>
        <v>87.433000000000007</v>
      </c>
      <c r="R7" s="13">
        <f>_xll.BDH("ITCI US Equity","IS_SALES_AND_SERVICES_REVENUES","FQ1 2023","FQ1 2023","Currency=USD","Period=FQ","BEST_FPERIOD_OVERRIDE=FQ","FILING_STATUS=MR","SCALING_FORMAT=MLN","FA_ADJUSTED=GAAP","Sort=A","Dates=H","DateFormat=P","Fill=—","Direction=H","UseDPDF=Y")</f>
        <v>94.730999999999995</v>
      </c>
      <c r="S7" s="13">
        <f>_xll.BDH("ITCI US Equity","IS_SALES_AND_SERVICES_REVENUES","FQ2 2023","FQ2 2023","Currency=USD","Period=FQ","BEST_FPERIOD_OVERRIDE=FQ","FILING_STATUS=MR","SCALING_FORMAT=MLN","FA_ADJUSTED=GAAP","Sort=A","Dates=H","DateFormat=P","Fill=—","Direction=H","UseDPDF=Y")</f>
        <v>110.128</v>
      </c>
      <c r="T7" s="13">
        <f>_xll.BDH("ITCI US Equity","IS_SALES_AND_SERVICES_REVENUES","FQ3 2023","FQ3 2023","Currency=USD","Period=FQ","BEST_FPERIOD_OVERRIDE=FQ","FILING_STATUS=MR","SCALING_FORMAT=MLN","FA_ADJUSTED=GAAP","Sort=A","Dates=H","DateFormat=P","Fill=—","Direction=H","UseDPDF=Y")</f>
        <v>125.81</v>
      </c>
      <c r="U7" s="13">
        <f>_xll.BDH("ITCI US Equity","IS_SALES_AND_SERVICES_REVENUES","FQ4 2023","FQ4 2023","Currency=USD","Period=FQ","BEST_FPERIOD_OVERRIDE=FQ","FILING_STATUS=MR","SCALING_FORMAT=MLN","FA_ADJUSTED=GAAP","Sort=A","Dates=H","DateFormat=P","Fill=—","Direction=H","UseDPDF=Y")</f>
        <v>131.506</v>
      </c>
      <c r="V7" s="13">
        <f>_xll.BDH("ITCI US Equity","IS_SALES_AND_SERVICES_REVENUES","FQ1 2024","FQ1 2024","Currency=USD","Period=FQ","BEST_FPERIOD_OVERRIDE=FQ","FILING_STATUS=MR","SCALING_FORMAT=MLN","FA_ADJUSTED=GAAP","Sort=A","Dates=H","DateFormat=P","Fill=—","Direction=H","UseDPDF=Y")</f>
        <v>144.84299999999999</v>
      </c>
      <c r="W7" s="13">
        <f>_xll.BDH("ITCI US Equity","IS_SALES_AND_SERVICES_REVENUES","FQ2 2024","FQ2 2024","Currency=USD","Period=FQ","BEST_FPERIOD_OVERRIDE=FQ","FILING_STATUS=MR","SCALING_FORMAT=MLN","FA_ADJUSTED=GAAP","Sort=A","Dates=H","DateFormat=P","Fill=—","Direction=H","UseDPDF=Y")</f>
        <v>161.27600000000001</v>
      </c>
      <c r="X7" s="13">
        <f>_xll.BDH("ITCI US Equity","IS_SALES_AND_SERVICES_REVENUES","FQ3 2024","FQ3 2024","Currency=USD","Period=FQ","BEST_FPERIOD_OVERRIDE=FQ","FILING_STATUS=MR","SCALING_FORMAT=MLN","FA_ADJUSTED=GAAP","Sort=A","Dates=H","DateFormat=P","Fill=—","Direction=H","UseDPDF=Y")</f>
        <v>175.15899999999999</v>
      </c>
      <c r="Y7" s="13">
        <f>_xll.BDH("ITCI US Equity","IS_SALES_AND_SERVICES_REVENUES","FQ4 2024","FQ4 2024","Currency=USD","Period=FQ","BEST_FPERIOD_OVERRIDE=FQ","FILING_STATUS=MR","SCALING_FORMAT=MLN","FA_ADJUSTED=GAAP","Sort=A","Dates=H","DateFormat=P","Fill=—","Direction=H","UseDPDF=Y")</f>
        <v>199.22300000000001</v>
      </c>
      <c r="Z7" s="13"/>
      <c r="AA7" s="13"/>
    </row>
    <row r="8" spans="1:27" x14ac:dyDescent="0.25">
      <c r="A8" s="10" t="s">
        <v>282</v>
      </c>
      <c r="B8" s="10" t="s">
        <v>283</v>
      </c>
      <c r="C8" s="13" t="str">
        <f>_xll.BDH("ITCI US Equity","IS_OTHER_REVENUE","FQ2 2019","FQ2 2019","Currency=USD","Period=FQ","BEST_FPERIOD_OVERRIDE=FQ","FILING_STATUS=MR","SCALING_FORMAT=MLN","FA_ADJUSTED=GAAP","Sort=A","Dates=H","DateFormat=P","Fill=—","Direction=H","UseDPDF=Y")</f>
        <v>—</v>
      </c>
      <c r="D8" s="13" t="str">
        <f>_xll.BDH("ITCI US Equity","IS_OTHER_REVENUE","FQ3 2019","FQ3 2019","Currency=USD","Period=FQ","BEST_FPERIOD_OVERRIDE=FQ","FILING_STATUS=MR","SCALING_FORMAT=MLN","FA_ADJUSTED=GAAP","Sort=A","Dates=H","DateFormat=P","Fill=—","Direction=H","UseDPDF=Y")</f>
        <v>—</v>
      </c>
      <c r="E8" s="13" t="str">
        <f>_xll.BDH("ITCI US Equity","IS_OTHER_REVENUE","FQ4 2019","FQ4 2019","Currency=USD","Period=FQ","BEST_FPERIOD_OVERRIDE=FQ","FILING_STATUS=MR","SCALING_FORMAT=MLN","FA_ADJUSTED=GAAP","Sort=A","Dates=H","DateFormat=P","Fill=—","Direction=H","UseDPDF=Y")</f>
        <v>—</v>
      </c>
      <c r="F8" s="13">
        <f>_xll.BDH("ITCI US Equity","IS_OTHER_REVENUE","FQ1 2020","FQ1 2020","Currency=USD","Period=FQ","BEST_FPERIOD_OVERRIDE=FQ","FILING_STATUS=MR","SCALING_FORMAT=MLN","FA_ADJUSTED=GAAP","Sort=A","Dates=H","DateFormat=P","Fill=—","Direction=H","UseDPDF=Y")</f>
        <v>0.20100000000000001</v>
      </c>
      <c r="G8" s="13">
        <f>_xll.BDH("ITCI US Equity","IS_OTHER_REVENUE","FQ2 2020","FQ2 2020","Currency=USD","Period=FQ","BEST_FPERIOD_OVERRIDE=FQ","FILING_STATUS=MR","SCALING_FORMAT=MLN","FA_ADJUSTED=GAAP","Sort=A","Dates=H","DateFormat=P","Fill=—","Direction=H","UseDPDF=Y")</f>
        <v>3.0700000000000002E-2</v>
      </c>
      <c r="H8" s="13" t="str">
        <f>_xll.BDH("ITCI US Equity","IS_OTHER_REVENUE","FQ3 2020","FQ3 2020","Currency=USD","Period=FQ","BEST_FPERIOD_OVERRIDE=FQ","FILING_STATUS=MR","SCALING_FORMAT=MLN","FA_ADJUSTED=GAAP","Sort=A","Dates=H","DateFormat=P","Fill=—","Direction=H","UseDPDF=Y")</f>
        <v>—</v>
      </c>
      <c r="I8" s="13">
        <f>_xll.BDH("ITCI US Equity","IS_OTHER_REVENUE","FQ4 2020","FQ4 2020","Currency=USD","Period=FQ","BEST_FPERIOD_OVERRIDE=FQ","FILING_STATUS=MR","SCALING_FORMAT=MLN","FA_ADJUSTED=GAAP","Sort=A","Dates=H","DateFormat=P","Fill=—","Direction=H","UseDPDF=Y")</f>
        <v>5.0500000000000003E-2</v>
      </c>
      <c r="J8" s="13">
        <f>_xll.BDH("ITCI US Equity","IS_OTHER_REVENUE","FQ1 2021","FQ1 2021","Currency=USD","Period=FQ","BEST_FPERIOD_OVERRIDE=FQ","FILING_STATUS=MR","SCALING_FORMAT=MLN","FA_ADJUSTED=GAAP","Sort=A","Dates=H","DateFormat=P","Fill=—","Direction=H","UseDPDF=Y")</f>
        <v>0.2994</v>
      </c>
      <c r="K8" s="13">
        <f>_xll.BDH("ITCI US Equity","IS_OTHER_REVENUE","FQ2 2021","FQ2 2021","Currency=USD","Period=FQ","BEST_FPERIOD_OVERRIDE=FQ","FILING_STATUS=MR","SCALING_FORMAT=MLN","FA_ADJUSTED=GAAP","Sort=A","Dates=H","DateFormat=P","Fill=—","Direction=H","UseDPDF=Y")</f>
        <v>1.0398000000000001</v>
      </c>
      <c r="L8" s="13">
        <f>_xll.BDH("ITCI US Equity","IS_OTHER_REVENUE","FQ3 2021","FQ3 2021","Currency=USD","Period=FQ","BEST_FPERIOD_OVERRIDE=FQ","FILING_STATUS=MR","SCALING_FORMAT=MLN","FA_ADJUSTED=GAAP","Sort=A","Dates=H","DateFormat=P","Fill=—","Direction=H","UseDPDF=Y")</f>
        <v>0.60099999999999998</v>
      </c>
      <c r="M8" s="13">
        <f>_xll.BDH("ITCI US Equity","IS_OTHER_REVENUE","FQ4 2021","FQ4 2021","Currency=USD","Period=FQ","BEST_FPERIOD_OVERRIDE=FQ","FILING_STATUS=MR","SCALING_FORMAT=MLN","FA_ADJUSTED=GAAP","Sort=A","Dates=H","DateFormat=P","Fill=—","Direction=H","UseDPDF=Y")</f>
        <v>0.15490000000000001</v>
      </c>
      <c r="N8" s="13">
        <f>_xll.BDH("ITCI US Equity","IS_OTHER_REVENUE","FQ1 2022","FQ1 2022","Currency=USD","Period=FQ","BEST_FPERIOD_OVERRIDE=FQ","FILING_STATUS=MR","SCALING_FORMAT=MLN","FA_ADJUSTED=GAAP","Sort=A","Dates=H","DateFormat=P","Fill=—","Direction=H","UseDPDF=Y")</f>
        <v>0.24099999999999999</v>
      </c>
      <c r="O8" s="13">
        <f>_xll.BDH("ITCI US Equity","IS_OTHER_REVENUE","FQ2 2022","FQ2 2022","Currency=USD","Period=FQ","BEST_FPERIOD_OVERRIDE=FQ","FILING_STATUS=MR","SCALING_FORMAT=MLN","FA_ADJUSTED=GAAP","Sort=A","Dates=H","DateFormat=P","Fill=—","Direction=H","UseDPDF=Y")</f>
        <v>0.505</v>
      </c>
      <c r="P8" s="13" t="str">
        <f>_xll.BDH("ITCI US Equity","IS_OTHER_REVENUE","FQ3 2022","FQ3 2022","Currency=USD","Period=FQ","BEST_FPERIOD_OVERRIDE=FQ","FILING_STATUS=MR","SCALING_FORMAT=MLN","FA_ADJUSTED=GAAP","Sort=A","Dates=H","DateFormat=P","Fill=—","Direction=H","UseDPDF=Y")</f>
        <v>—</v>
      </c>
      <c r="Q8" s="13">
        <f>_xll.BDH("ITCI US Equity","IS_OTHER_REVENUE","FQ4 2022","FQ4 2022","Currency=USD","Period=FQ","BEST_FPERIOD_OVERRIDE=FQ","FILING_STATUS=MR","SCALING_FORMAT=MLN","FA_ADJUSTED=GAAP","Sort=A","Dates=H","DateFormat=P","Fill=—","Direction=H","UseDPDF=Y")</f>
        <v>0.436</v>
      </c>
      <c r="R8" s="13">
        <f>_xll.BDH("ITCI US Equity","IS_OTHER_REVENUE","FQ1 2023","FQ1 2023","Currency=USD","Period=FQ","BEST_FPERIOD_OVERRIDE=FQ","FILING_STATUS=MR","SCALING_FORMAT=MLN","FA_ADJUSTED=GAAP","Sort=A","Dates=H","DateFormat=P","Fill=—","Direction=H","UseDPDF=Y")</f>
        <v>0.57499999999999996</v>
      </c>
      <c r="S8" s="13">
        <f>_xll.BDH("ITCI US Equity","IS_OTHER_REVENUE","FQ2 2023","FQ2 2023","Currency=USD","Period=FQ","BEST_FPERIOD_OVERRIDE=FQ","FILING_STATUS=MR","SCALING_FORMAT=MLN","FA_ADJUSTED=GAAP","Sort=A","Dates=H","DateFormat=P","Fill=—","Direction=H","UseDPDF=Y")</f>
        <v>0.66400000000000003</v>
      </c>
      <c r="T8" s="13">
        <f>_xll.BDH("ITCI US Equity","IS_OTHER_REVENUE","FQ3 2023","FQ3 2023","Currency=USD","Period=FQ","BEST_FPERIOD_OVERRIDE=FQ","FILING_STATUS=MR","SCALING_FORMAT=MLN","FA_ADJUSTED=GAAP","Sort=A","Dates=H","DateFormat=P","Fill=—","Direction=H","UseDPDF=Y")</f>
        <v>0.36299999999999999</v>
      </c>
      <c r="U8" s="13">
        <f>_xll.BDH("ITCI US Equity","IS_OTHER_REVENUE","FQ4 2023","FQ4 2023","Currency=USD","Period=FQ","BEST_FPERIOD_OVERRIDE=FQ","FILING_STATUS=MR","SCALING_FORMAT=MLN","FA_ADJUSTED=GAAP","Sort=A","Dates=H","DateFormat=P","Fill=—","Direction=H","UseDPDF=Y")</f>
        <v>0.59299999999999997</v>
      </c>
      <c r="V8" s="13">
        <f>_xll.BDH("ITCI US Equity","IS_OTHER_REVENUE","FQ1 2024","FQ1 2024","Currency=USD","Period=FQ","BEST_FPERIOD_OVERRIDE=FQ","FILING_STATUS=MR","SCALING_FORMAT=MLN","FA_ADJUSTED=GAAP","Sort=A","Dates=H","DateFormat=P","Fill=—","Direction=H","UseDPDF=Y")</f>
        <v>2.3E-2</v>
      </c>
      <c r="W8" s="13">
        <f>_xll.BDH("ITCI US Equity","IS_OTHER_REVENUE","FQ2 2024","FQ2 2024","Currency=USD","Period=FQ","BEST_FPERIOD_OVERRIDE=FQ","FILING_STATUS=MR","SCALING_FORMAT=MLN","FA_ADJUSTED=GAAP","Sort=A","Dates=H","DateFormat=P","Fill=—","Direction=H","UseDPDF=Y")</f>
        <v>0.112</v>
      </c>
      <c r="X8" s="13">
        <f>_xll.BDH("ITCI US Equity","IS_OTHER_REVENUE","FQ3 2024","FQ3 2024","Currency=USD","Period=FQ","BEST_FPERIOD_OVERRIDE=FQ","FILING_STATUS=MR","SCALING_FORMAT=MLN","FA_ADJUSTED=GAAP","Sort=A","Dates=H","DateFormat=P","Fill=—","Direction=H","UseDPDF=Y")</f>
        <v>0.216</v>
      </c>
      <c r="Y8" s="13" t="str">
        <f>_xll.BDH("ITCI US Equity","IS_OTHER_REVENUE","FQ4 2024","FQ4 2024","Currency=USD","Period=FQ","BEST_FPERIOD_OVERRIDE=FQ","FILING_STATUS=MR","SCALING_FORMAT=MLN","FA_ADJUSTED=GAAP","Sort=A","Dates=H","DateFormat=P","Fill=—","Direction=H","UseDPDF=Y")</f>
        <v>—</v>
      </c>
      <c r="Z8" s="13"/>
      <c r="AA8" s="13"/>
    </row>
    <row r="9" spans="1:27" x14ac:dyDescent="0.25">
      <c r="A9" s="10" t="s">
        <v>284</v>
      </c>
      <c r="B9" s="10" t="s">
        <v>285</v>
      </c>
      <c r="C9" s="13">
        <f>_xll.BDH("ITCI US Equity","IS_COGS_TO_FE_AND_PP_AND_G","FQ2 2019","FQ2 2019","Currency=USD","Period=FQ","BEST_FPERIOD_OVERRIDE=FQ","FILING_STATUS=MR","SCALING_FORMAT=MLN","FA_ADJUSTED=GAAP","Sort=A","Dates=H","DateFormat=P","Fill=—","Direction=H","UseDPDF=Y")</f>
        <v>0</v>
      </c>
      <c r="D9" s="13" t="str">
        <f>_xll.BDH("ITCI US Equity","IS_COGS_TO_FE_AND_PP_AND_G","FQ3 2019","FQ3 2019","Currency=USD","Period=FQ","BEST_FPERIOD_OVERRIDE=FQ","FILING_STATUS=MR","SCALING_FORMAT=MLN","FA_ADJUSTED=GAAP","Sort=A","Dates=H","DateFormat=P","Fill=—","Direction=H","UseDPDF=Y")</f>
        <v>—</v>
      </c>
      <c r="E9" s="13" t="str">
        <f>_xll.BDH("ITCI US Equity","IS_COGS_TO_FE_AND_PP_AND_G","FQ4 2019","FQ4 2019","Currency=USD","Period=FQ","BEST_FPERIOD_OVERRIDE=FQ","FILING_STATUS=MR","SCALING_FORMAT=MLN","FA_ADJUSTED=GAAP","Sort=A","Dates=H","DateFormat=P","Fill=—","Direction=H","UseDPDF=Y")</f>
        <v>—</v>
      </c>
      <c r="F9" s="13">
        <f>_xll.BDH("ITCI US Equity","IS_COGS_TO_FE_AND_PP_AND_G","FQ1 2020","FQ1 2020","Currency=USD","Period=FQ","BEST_FPERIOD_OVERRIDE=FQ","FILING_STATUS=MR","SCALING_FORMAT=MLN","FA_ADJUSTED=GAAP","Sort=A","Dates=H","DateFormat=P","Fill=—","Direction=H","UseDPDF=Y")</f>
        <v>6.93E-2</v>
      </c>
      <c r="G9" s="13">
        <f>_xll.BDH("ITCI US Equity","IS_COGS_TO_FE_AND_PP_AND_G","FQ2 2020","FQ2 2020","Currency=USD","Period=FQ","BEST_FPERIOD_OVERRIDE=FQ","FILING_STATUS=MR","SCALING_FORMAT=MLN","FA_ADJUSTED=GAAP","Sort=A","Dates=H","DateFormat=P","Fill=—","Direction=H","UseDPDF=Y")</f>
        <v>0.1285</v>
      </c>
      <c r="H9" s="13">
        <f>_xll.BDH("ITCI US Equity","IS_COGS_TO_FE_AND_PP_AND_G","FQ3 2020","FQ3 2020","Currency=USD","Period=FQ","BEST_FPERIOD_OVERRIDE=FQ","FILING_STATUS=MR","SCALING_FORMAT=MLN","FA_ADJUSTED=GAAP","Sort=A","Dates=H","DateFormat=P","Fill=—","Direction=H","UseDPDF=Y")</f>
        <v>0.55610000000000004</v>
      </c>
      <c r="I9" s="13">
        <f>_xll.BDH("ITCI US Equity","IS_COGS_TO_FE_AND_PP_AND_G","FQ4 2020","FQ4 2020","Currency=USD","Period=FQ","BEST_FPERIOD_OVERRIDE=FQ","FILING_STATUS=MR","SCALING_FORMAT=MLN","FA_ADJUSTED=GAAP","Sort=A","Dates=H","DateFormat=P","Fill=—","Direction=H","UseDPDF=Y")</f>
        <v>1.1411</v>
      </c>
      <c r="J9" s="13">
        <f>_xll.BDH("ITCI US Equity","IS_COGS_TO_FE_AND_PP_AND_G","FQ1 2021","FQ1 2021","Currency=USD","Period=FQ","BEST_FPERIOD_OVERRIDE=FQ","FILING_STATUS=MR","SCALING_FORMAT=MLN","FA_ADJUSTED=GAAP","Sort=A","Dates=H","DateFormat=P","Fill=—","Direction=H","UseDPDF=Y")</f>
        <v>1.4552</v>
      </c>
      <c r="K9" s="13">
        <f>_xll.BDH("ITCI US Equity","IS_COGS_TO_FE_AND_PP_AND_G","FQ2 2021","FQ2 2021","Currency=USD","Period=FQ","BEST_FPERIOD_OVERRIDE=FQ","FILING_STATUS=MR","SCALING_FORMAT=MLN","FA_ADJUSTED=GAAP","Sort=A","Dates=H","DateFormat=P","Fill=—","Direction=H","UseDPDF=Y")</f>
        <v>2.04</v>
      </c>
      <c r="L9" s="13">
        <f>_xll.BDH("ITCI US Equity","IS_COGS_TO_FE_AND_PP_AND_G","FQ3 2021","FQ3 2021","Currency=USD","Period=FQ","BEST_FPERIOD_OVERRIDE=FQ","FILING_STATUS=MR","SCALING_FORMAT=MLN","FA_ADJUSTED=GAAP","Sort=A","Dates=H","DateFormat=P","Fill=—","Direction=H","UseDPDF=Y")</f>
        <v>2.0013000000000001</v>
      </c>
      <c r="M9" s="13">
        <f>_xll.BDH("ITCI US Equity","IS_COGS_TO_FE_AND_PP_AND_G","FQ4 2021","FQ4 2021","Currency=USD","Period=FQ","BEST_FPERIOD_OVERRIDE=FQ","FILING_STATUS=MR","SCALING_FORMAT=MLN","FA_ADJUSTED=GAAP","Sort=A","Dates=H","DateFormat=P","Fill=—","Direction=H","UseDPDF=Y")</f>
        <v>2.5379999999999998</v>
      </c>
      <c r="N9" s="13">
        <f>_xll.BDH("ITCI US Equity","IS_COGS_TO_FE_AND_PP_AND_G","FQ1 2022","FQ1 2022","Currency=USD","Period=FQ","BEST_FPERIOD_OVERRIDE=FQ","FILING_STATUS=MR","SCALING_FORMAT=MLN","FA_ADJUSTED=GAAP","Sort=A","Dates=H","DateFormat=P","Fill=—","Direction=H","UseDPDF=Y")</f>
        <v>3.1549999999999998</v>
      </c>
      <c r="O9" s="13">
        <f>_xll.BDH("ITCI US Equity","IS_COGS_TO_FE_AND_PP_AND_G","FQ2 2022","FQ2 2022","Currency=USD","Period=FQ","BEST_FPERIOD_OVERRIDE=FQ","FILING_STATUS=MR","SCALING_FORMAT=MLN","FA_ADJUSTED=GAAP","Sort=A","Dates=H","DateFormat=P","Fill=—","Direction=H","UseDPDF=Y")</f>
        <v>4.6500000000000004</v>
      </c>
      <c r="P9" s="13">
        <f>_xll.BDH("ITCI US Equity","IS_COGS_TO_FE_AND_PP_AND_G","FQ3 2022","FQ3 2022","Currency=USD","Period=FQ","BEST_FPERIOD_OVERRIDE=FQ","FILING_STATUS=MR","SCALING_FORMAT=MLN","FA_ADJUSTED=GAAP","Sort=A","Dates=H","DateFormat=P","Fill=—","Direction=H","UseDPDF=Y")</f>
        <v>5.85</v>
      </c>
      <c r="Q9" s="13">
        <f>_xll.BDH("ITCI US Equity","IS_COGS_TO_FE_AND_PP_AND_G","FQ4 2022","FQ4 2022","Currency=USD","Period=FQ","BEST_FPERIOD_OVERRIDE=FQ","FILING_STATUS=MR","SCALING_FORMAT=MLN","FA_ADJUSTED=GAAP","Sort=A","Dates=H","DateFormat=P","Fill=—","Direction=H","UseDPDF=Y")</f>
        <v>6.7880000000000003</v>
      </c>
      <c r="R9" s="13">
        <f>_xll.BDH("ITCI US Equity","IS_COGS_TO_FE_AND_PP_AND_G","FQ1 2023","FQ1 2023","Currency=USD","Period=FQ","BEST_FPERIOD_OVERRIDE=FQ","FILING_STATUS=MR","SCALING_FORMAT=MLN","FA_ADJUSTED=GAAP","Sort=A","Dates=H","DateFormat=P","Fill=—","Direction=H","UseDPDF=Y")</f>
        <v>6.7510000000000003</v>
      </c>
      <c r="S9" s="13">
        <f>_xll.BDH("ITCI US Equity","IS_COGS_TO_FE_AND_PP_AND_G","FQ2 2023","FQ2 2023","Currency=USD","Period=FQ","BEST_FPERIOD_OVERRIDE=FQ","FILING_STATUS=MR","SCALING_FORMAT=MLN","FA_ADJUSTED=GAAP","Sort=A","Dates=H","DateFormat=P","Fill=—","Direction=H","UseDPDF=Y")</f>
        <v>7.1630000000000003</v>
      </c>
      <c r="T9" s="13">
        <f>_xll.BDH("ITCI US Equity","IS_COGS_TO_FE_AND_PP_AND_G","FQ3 2023","FQ3 2023","Currency=USD","Period=FQ","BEST_FPERIOD_OVERRIDE=FQ","FILING_STATUS=MR","SCALING_FORMAT=MLN","FA_ADJUSTED=GAAP","Sort=A","Dates=H","DateFormat=P","Fill=—","Direction=H","UseDPDF=Y")</f>
        <v>9.1289999999999996</v>
      </c>
      <c r="U9" s="13">
        <f>_xll.BDH("ITCI US Equity","IS_COGS_TO_FE_AND_PP_AND_G","FQ4 2023","FQ4 2023","Currency=USD","Period=FQ","BEST_FPERIOD_OVERRIDE=FQ","FILING_STATUS=MR","SCALING_FORMAT=MLN","FA_ADJUSTED=GAAP","Sort=A","Dates=H","DateFormat=P","Fill=—","Direction=H","UseDPDF=Y")</f>
        <v>10.702</v>
      </c>
      <c r="V9" s="13">
        <f>_xll.BDH("ITCI US Equity","IS_COGS_TO_FE_AND_PP_AND_G","FQ1 2024","FQ1 2024","Currency=USD","Period=FQ","BEST_FPERIOD_OVERRIDE=FQ","FILING_STATUS=MR","SCALING_FORMAT=MLN","FA_ADJUSTED=GAAP","Sort=A","Dates=H","DateFormat=P","Fill=—","Direction=H","UseDPDF=Y")</f>
        <v>9.9</v>
      </c>
      <c r="W9" s="13">
        <f>_xll.BDH("ITCI US Equity","IS_COGS_TO_FE_AND_PP_AND_G","FQ2 2024","FQ2 2024","Currency=USD","Period=FQ","BEST_FPERIOD_OVERRIDE=FQ","FILING_STATUS=MR","SCALING_FORMAT=MLN","FA_ADJUSTED=GAAP","Sort=A","Dates=H","DateFormat=P","Fill=—","Direction=H","UseDPDF=Y")</f>
        <v>11.353999999999999</v>
      </c>
      <c r="X9" s="13">
        <f>_xll.BDH("ITCI US Equity","IS_COGS_TO_FE_AND_PP_AND_G","FQ3 2024","FQ3 2024","Currency=USD","Period=FQ","BEST_FPERIOD_OVERRIDE=FQ","FILING_STATUS=MR","SCALING_FORMAT=MLN","FA_ADJUSTED=GAAP","Sort=A","Dates=H","DateFormat=P","Fill=—","Direction=H","UseDPDF=Y")</f>
        <v>15.304</v>
      </c>
      <c r="Y9" s="13">
        <f>_xll.BDH("ITCI US Equity","IS_COGS_TO_FE_AND_PP_AND_G","FQ4 2024","FQ4 2024","Currency=USD","Period=FQ","BEST_FPERIOD_OVERRIDE=FQ","FILING_STATUS=MR","SCALING_FORMAT=MLN","FA_ADJUSTED=GAAP","Sort=A","Dates=H","DateFormat=P","Fill=—","Direction=H","UseDPDF=Y")</f>
        <v>20.405000000000001</v>
      </c>
      <c r="Z9" s="13"/>
      <c r="AA9" s="13"/>
    </row>
    <row r="10" spans="1:27" x14ac:dyDescent="0.25">
      <c r="A10" s="10" t="s">
        <v>286</v>
      </c>
      <c r="B10" s="10" t="s">
        <v>287</v>
      </c>
      <c r="C10" s="13" t="str">
        <f>_xll.BDH("ITCI US Equity","IS_COG_AND_SERVICES_SOLD","FQ2 2019","FQ2 2019","Currency=USD","Period=FQ","BEST_FPERIOD_OVERRIDE=FQ","FILING_STATUS=MR","SCALING_FORMAT=MLN","FA_ADJUSTED=GAAP","Sort=A","Dates=H","DateFormat=P","Fill=—","Direction=H","UseDPDF=Y")</f>
        <v>—</v>
      </c>
      <c r="D10" s="13" t="str">
        <f>_xll.BDH("ITCI US Equity","IS_COG_AND_SERVICES_SOLD","FQ3 2019","FQ3 2019","Currency=USD","Period=FQ","BEST_FPERIOD_OVERRIDE=FQ","FILING_STATUS=MR","SCALING_FORMAT=MLN","FA_ADJUSTED=GAAP","Sort=A","Dates=H","DateFormat=P","Fill=—","Direction=H","UseDPDF=Y")</f>
        <v>—</v>
      </c>
      <c r="E10" s="13" t="str">
        <f>_xll.BDH("ITCI US Equity","IS_COG_AND_SERVICES_SOLD","FQ4 2019","FQ4 2019","Currency=USD","Period=FQ","BEST_FPERIOD_OVERRIDE=FQ","FILING_STATUS=MR","SCALING_FORMAT=MLN","FA_ADJUSTED=GAAP","Sort=A","Dates=H","DateFormat=P","Fill=—","Direction=H","UseDPDF=Y")</f>
        <v>—</v>
      </c>
      <c r="F10" s="13">
        <f>_xll.BDH("ITCI US Equity","IS_COG_AND_SERVICES_SOLD","FQ1 2020","FQ1 2020","Currency=USD","Period=FQ","BEST_FPERIOD_OVERRIDE=FQ","FILING_STATUS=MR","SCALING_FORMAT=MLN","FA_ADJUSTED=GAAP","Sort=A","Dates=H","DateFormat=P","Fill=—","Direction=H","UseDPDF=Y")</f>
        <v>6.93E-2</v>
      </c>
      <c r="G10" s="13">
        <f>_xll.BDH("ITCI US Equity","IS_COG_AND_SERVICES_SOLD","FQ2 2020","FQ2 2020","Currency=USD","Period=FQ","BEST_FPERIOD_OVERRIDE=FQ","FILING_STATUS=MR","SCALING_FORMAT=MLN","FA_ADJUSTED=GAAP","Sort=A","Dates=H","DateFormat=P","Fill=—","Direction=H","UseDPDF=Y")</f>
        <v>0.1285</v>
      </c>
      <c r="H10" s="13">
        <f>_xll.BDH("ITCI US Equity","IS_COG_AND_SERVICES_SOLD","FQ3 2020","FQ3 2020","Currency=USD","Period=FQ","BEST_FPERIOD_OVERRIDE=FQ","FILING_STATUS=MR","SCALING_FORMAT=MLN","FA_ADJUSTED=GAAP","Sort=A","Dates=H","DateFormat=P","Fill=—","Direction=H","UseDPDF=Y")</f>
        <v>0.55610000000000004</v>
      </c>
      <c r="I10" s="13">
        <f>_xll.BDH("ITCI US Equity","IS_COG_AND_SERVICES_SOLD","FQ4 2020","FQ4 2020","Currency=USD","Period=FQ","BEST_FPERIOD_OVERRIDE=FQ","FILING_STATUS=MR","SCALING_FORMAT=MLN","FA_ADJUSTED=GAAP","Sort=A","Dates=H","DateFormat=P","Fill=—","Direction=H","UseDPDF=Y")</f>
        <v>1.1411</v>
      </c>
      <c r="J10" s="13">
        <f>_xll.BDH("ITCI US Equity","IS_COG_AND_SERVICES_SOLD","FQ1 2021","FQ1 2021","Currency=USD","Period=FQ","BEST_FPERIOD_OVERRIDE=FQ","FILING_STATUS=MR","SCALING_FORMAT=MLN","FA_ADJUSTED=GAAP","Sort=A","Dates=H","DateFormat=P","Fill=—","Direction=H","UseDPDF=Y")</f>
        <v>1.4552</v>
      </c>
      <c r="K10" s="13">
        <f>_xll.BDH("ITCI US Equity","IS_COG_AND_SERVICES_SOLD","FQ2 2021","FQ2 2021","Currency=USD","Period=FQ","BEST_FPERIOD_OVERRIDE=FQ","FILING_STATUS=MR","SCALING_FORMAT=MLN","FA_ADJUSTED=GAAP","Sort=A","Dates=H","DateFormat=P","Fill=—","Direction=H","UseDPDF=Y")</f>
        <v>2.04</v>
      </c>
      <c r="L10" s="13">
        <f>_xll.BDH("ITCI US Equity","IS_COG_AND_SERVICES_SOLD","FQ3 2021","FQ3 2021","Currency=USD","Period=FQ","BEST_FPERIOD_OVERRIDE=FQ","FILING_STATUS=MR","SCALING_FORMAT=MLN","FA_ADJUSTED=GAAP","Sort=A","Dates=H","DateFormat=P","Fill=—","Direction=H","UseDPDF=Y")</f>
        <v>2.0013000000000001</v>
      </c>
      <c r="M10" s="13">
        <f>_xll.BDH("ITCI US Equity","IS_COG_AND_SERVICES_SOLD","FQ4 2021","FQ4 2021","Currency=USD","Period=FQ","BEST_FPERIOD_OVERRIDE=FQ","FILING_STATUS=MR","SCALING_FORMAT=MLN","FA_ADJUSTED=GAAP","Sort=A","Dates=H","DateFormat=P","Fill=—","Direction=H","UseDPDF=Y")</f>
        <v>2.5379999999999998</v>
      </c>
      <c r="N10" s="13">
        <f>_xll.BDH("ITCI US Equity","IS_COG_AND_SERVICES_SOLD","FQ1 2022","FQ1 2022","Currency=USD","Period=FQ","BEST_FPERIOD_OVERRIDE=FQ","FILING_STATUS=MR","SCALING_FORMAT=MLN","FA_ADJUSTED=GAAP","Sort=A","Dates=H","DateFormat=P","Fill=—","Direction=H","UseDPDF=Y")</f>
        <v>3.1549999999999998</v>
      </c>
      <c r="O10" s="13">
        <f>_xll.BDH("ITCI US Equity","IS_COG_AND_SERVICES_SOLD","FQ2 2022","FQ2 2022","Currency=USD","Period=FQ","BEST_FPERIOD_OVERRIDE=FQ","FILING_STATUS=MR","SCALING_FORMAT=MLN","FA_ADJUSTED=GAAP","Sort=A","Dates=H","DateFormat=P","Fill=—","Direction=H","UseDPDF=Y")</f>
        <v>4.6500000000000004</v>
      </c>
      <c r="P10" s="13">
        <f>_xll.BDH("ITCI US Equity","IS_COG_AND_SERVICES_SOLD","FQ3 2022","FQ3 2022","Currency=USD","Period=FQ","BEST_FPERIOD_OVERRIDE=FQ","FILING_STATUS=MR","SCALING_FORMAT=MLN","FA_ADJUSTED=GAAP","Sort=A","Dates=H","DateFormat=P","Fill=—","Direction=H","UseDPDF=Y")</f>
        <v>5.85</v>
      </c>
      <c r="Q10" s="13">
        <f>_xll.BDH("ITCI US Equity","IS_COG_AND_SERVICES_SOLD","FQ4 2022","FQ4 2022","Currency=USD","Period=FQ","BEST_FPERIOD_OVERRIDE=FQ","FILING_STATUS=MR","SCALING_FORMAT=MLN","FA_ADJUSTED=GAAP","Sort=A","Dates=H","DateFormat=P","Fill=—","Direction=H","UseDPDF=Y")</f>
        <v>6.7880000000000003</v>
      </c>
      <c r="R10" s="13">
        <f>_xll.BDH("ITCI US Equity","IS_COG_AND_SERVICES_SOLD","FQ1 2023","FQ1 2023","Currency=USD","Period=FQ","BEST_FPERIOD_OVERRIDE=FQ","FILING_STATUS=MR","SCALING_FORMAT=MLN","FA_ADJUSTED=GAAP","Sort=A","Dates=H","DateFormat=P","Fill=—","Direction=H","UseDPDF=Y")</f>
        <v>6.7510000000000003</v>
      </c>
      <c r="S10" s="13">
        <f>_xll.BDH("ITCI US Equity","IS_COG_AND_SERVICES_SOLD","FQ2 2023","FQ2 2023","Currency=USD","Period=FQ","BEST_FPERIOD_OVERRIDE=FQ","FILING_STATUS=MR","SCALING_FORMAT=MLN","FA_ADJUSTED=GAAP","Sort=A","Dates=H","DateFormat=P","Fill=—","Direction=H","UseDPDF=Y")</f>
        <v>7.1630000000000003</v>
      </c>
      <c r="T10" s="13">
        <f>_xll.BDH("ITCI US Equity","IS_COG_AND_SERVICES_SOLD","FQ3 2023","FQ3 2023","Currency=USD","Period=FQ","BEST_FPERIOD_OVERRIDE=FQ","FILING_STATUS=MR","SCALING_FORMAT=MLN","FA_ADJUSTED=GAAP","Sort=A","Dates=H","DateFormat=P","Fill=—","Direction=H","UseDPDF=Y")</f>
        <v>9.1289999999999996</v>
      </c>
      <c r="U10" s="13">
        <f>_xll.BDH("ITCI US Equity","IS_COG_AND_SERVICES_SOLD","FQ4 2023","FQ4 2023","Currency=USD","Period=FQ","BEST_FPERIOD_OVERRIDE=FQ","FILING_STATUS=MR","SCALING_FORMAT=MLN","FA_ADJUSTED=GAAP","Sort=A","Dates=H","DateFormat=P","Fill=—","Direction=H","UseDPDF=Y")</f>
        <v>10.702</v>
      </c>
      <c r="V10" s="13">
        <f>_xll.BDH("ITCI US Equity","IS_COG_AND_SERVICES_SOLD","FQ1 2024","FQ1 2024","Currency=USD","Period=FQ","BEST_FPERIOD_OVERRIDE=FQ","FILING_STATUS=MR","SCALING_FORMAT=MLN","FA_ADJUSTED=GAAP","Sort=A","Dates=H","DateFormat=P","Fill=—","Direction=H","UseDPDF=Y")</f>
        <v>9.9</v>
      </c>
      <c r="W10" s="13">
        <f>_xll.BDH("ITCI US Equity","IS_COG_AND_SERVICES_SOLD","FQ2 2024","FQ2 2024","Currency=USD","Period=FQ","BEST_FPERIOD_OVERRIDE=FQ","FILING_STATUS=MR","SCALING_FORMAT=MLN","FA_ADJUSTED=GAAP","Sort=A","Dates=H","DateFormat=P","Fill=—","Direction=H","UseDPDF=Y")</f>
        <v>11.353999999999999</v>
      </c>
      <c r="X10" s="13">
        <f>_xll.BDH("ITCI US Equity","IS_COG_AND_SERVICES_SOLD","FQ3 2024","FQ3 2024","Currency=USD","Period=FQ","BEST_FPERIOD_OVERRIDE=FQ","FILING_STATUS=MR","SCALING_FORMAT=MLN","FA_ADJUSTED=GAAP","Sort=A","Dates=H","DateFormat=P","Fill=—","Direction=H","UseDPDF=Y")</f>
        <v>15.304</v>
      </c>
      <c r="Y10" s="13">
        <f>_xll.BDH("ITCI US Equity","IS_COG_AND_SERVICES_SOLD","FQ4 2024","FQ4 2024","Currency=USD","Period=FQ","BEST_FPERIOD_OVERRIDE=FQ","FILING_STATUS=MR","SCALING_FORMAT=MLN","FA_ADJUSTED=GAAP","Sort=A","Dates=H","DateFormat=P","Fill=—","Direction=H","UseDPDF=Y")</f>
        <v>20.405000000000001</v>
      </c>
      <c r="Z10" s="13"/>
      <c r="AA10" s="13"/>
    </row>
    <row r="11" spans="1:27" x14ac:dyDescent="0.25">
      <c r="A11" s="6" t="s">
        <v>2</v>
      </c>
      <c r="B11" s="6" t="s">
        <v>74</v>
      </c>
      <c r="C11" s="19">
        <f>_xll.BDH("ITCI US Equity","GROSS_PROFIT","FQ2 2019","FQ2 2019","Currency=USD","Period=FQ","BEST_FPERIOD_OVERRIDE=FQ","FILING_STATUS=MR","SCALING_FORMAT=MLN","FA_ADJUSTED=GAAP","Sort=A","Dates=H","DateFormat=P","Fill=—","Direction=H","UseDPDF=Y")</f>
        <v>0</v>
      </c>
      <c r="D11" s="19" t="str">
        <f>_xll.BDH("ITCI US Equity","GROSS_PROFIT","FQ3 2019","FQ3 2019","Currency=USD","Period=FQ","BEST_FPERIOD_OVERRIDE=FQ","FILING_STATUS=MR","SCALING_FORMAT=MLN","FA_ADJUSTED=GAAP","Sort=A","Dates=H","DateFormat=P","Fill=—","Direction=H","UseDPDF=Y")</f>
        <v>—</v>
      </c>
      <c r="E11" s="19" t="str">
        <f>_xll.BDH("ITCI US Equity","GROSS_PROFIT","FQ4 2019","FQ4 2019","Currency=USD","Period=FQ","BEST_FPERIOD_OVERRIDE=FQ","FILING_STATUS=MR","SCALING_FORMAT=MLN","FA_ADJUSTED=GAAP","Sort=A","Dates=H","DateFormat=P","Fill=—","Direction=H","UseDPDF=Y")</f>
        <v>—</v>
      </c>
      <c r="F11" s="19">
        <f>_xll.BDH("ITCI US Equity","GROSS_PROFIT","FQ1 2020","FQ1 2020","Currency=USD","Period=FQ","BEST_FPERIOD_OVERRIDE=FQ","FILING_STATUS=MR","SCALING_FORMAT=MLN","FA_ADJUSTED=GAAP","Sort=A","Dates=H","DateFormat=P","Fill=—","Direction=H","UseDPDF=Y")</f>
        <v>1.0142</v>
      </c>
      <c r="G11" s="19">
        <f>_xll.BDH("ITCI US Equity","GROSS_PROFIT","FQ2 2020","FQ2 2020","Currency=USD","Period=FQ","BEST_FPERIOD_OVERRIDE=FQ","FILING_STATUS=MR","SCALING_FORMAT=MLN","FA_ADJUSTED=GAAP","Sort=A","Dates=H","DateFormat=P","Fill=—","Direction=H","UseDPDF=Y")</f>
        <v>1.7781</v>
      </c>
      <c r="H11" s="19">
        <f>_xll.BDH("ITCI US Equity","GROSS_PROFIT","FQ3 2020","FQ3 2020","Currency=USD","Period=FQ","BEST_FPERIOD_OVERRIDE=FQ","FILING_STATUS=MR","SCALING_FORMAT=MLN","FA_ADJUSTED=GAAP","Sort=A","Dates=H","DateFormat=P","Fill=—","Direction=H","UseDPDF=Y")</f>
        <v>6.8125</v>
      </c>
      <c r="I11" s="19">
        <f>_xll.BDH("ITCI US Equity","GROSS_PROFIT","FQ4 2020","FQ4 2020","Currency=USD","Period=FQ","BEST_FPERIOD_OVERRIDE=FQ","FILING_STATUS=MR","SCALING_FORMAT=MLN","FA_ADJUSTED=GAAP","Sort=A","Dates=H","DateFormat=P","Fill=—","Direction=H","UseDPDF=Y")</f>
        <v>11.3132</v>
      </c>
      <c r="J11" s="19">
        <f>_xll.BDH("ITCI US Equity","GROSS_PROFIT","FQ1 2021","FQ1 2021","Currency=USD","Period=FQ","BEST_FPERIOD_OVERRIDE=FQ","FILING_STATUS=MR","SCALING_FORMAT=MLN","FA_ADJUSTED=GAAP","Sort=A","Dates=H","DateFormat=P","Fill=—","Direction=H","UseDPDF=Y")</f>
        <v>14.4231</v>
      </c>
      <c r="K11" s="19">
        <f>_xll.BDH("ITCI US Equity","GROSS_PROFIT","FQ2 2021","FQ2 2021","Currency=USD","Period=FQ","BEST_FPERIOD_OVERRIDE=FQ","FILING_STATUS=MR","SCALING_FORMAT=MLN","FA_ADJUSTED=GAAP","Sort=A","Dates=H","DateFormat=P","Fill=—","Direction=H","UseDPDF=Y")</f>
        <v>18.006499999999999</v>
      </c>
      <c r="L11" s="19">
        <f>_xll.BDH("ITCI US Equity","GROSS_PROFIT","FQ3 2021","FQ3 2021","Currency=USD","Period=FQ","BEST_FPERIOD_OVERRIDE=FQ","FILING_STATUS=MR","SCALING_FORMAT=MLN","FA_ADJUSTED=GAAP","Sort=A","Dates=H","DateFormat=P","Fill=—","Direction=H","UseDPDF=Y")</f>
        <v>20.2059</v>
      </c>
      <c r="M11" s="19">
        <f>_xll.BDH("ITCI US Equity","GROSS_PROFIT","FQ4 2021","FQ4 2021","Currency=USD","Period=FQ","BEST_FPERIOD_OVERRIDE=FQ","FILING_STATUS=MR","SCALING_FORMAT=MLN","FA_ADJUSTED=GAAP","Sort=A","Dates=H","DateFormat=P","Fill=—","Direction=H","UseDPDF=Y")</f>
        <v>23.132899999999999</v>
      </c>
      <c r="N11" s="19">
        <f>_xll.BDH("ITCI US Equity","GROSS_PROFIT","FQ1 2022","FQ1 2022","Currency=USD","Period=FQ","BEST_FPERIOD_OVERRIDE=FQ","FILING_STATUS=MR","SCALING_FORMAT=MLN","FA_ADJUSTED=GAAP","Sort=A","Dates=H","DateFormat=P","Fill=—","Direction=H","UseDPDF=Y")</f>
        <v>31.841000000000001</v>
      </c>
      <c r="O11" s="19">
        <f>_xll.BDH("ITCI US Equity","GROSS_PROFIT","FQ2 2022","FQ2 2022","Currency=USD","Period=FQ","BEST_FPERIOD_OVERRIDE=FQ","FILING_STATUS=MR","SCALING_FORMAT=MLN","FA_ADJUSTED=GAAP","Sort=A","Dates=H","DateFormat=P","Fill=—","Direction=H","UseDPDF=Y")</f>
        <v>50.929000000000002</v>
      </c>
      <c r="P11" s="19">
        <f>_xll.BDH("ITCI US Equity","GROSS_PROFIT","FQ3 2022","FQ3 2022","Currency=USD","Period=FQ","BEST_FPERIOD_OVERRIDE=FQ","FILING_STATUS=MR","SCALING_FORMAT=MLN","FA_ADJUSTED=GAAP","Sort=A","Dates=H","DateFormat=P","Fill=—","Direction=H","UseDPDF=Y")</f>
        <v>66.02</v>
      </c>
      <c r="Q11" s="19">
        <f>_xll.BDH("ITCI US Equity","GROSS_PROFIT","FQ4 2022","FQ4 2022","Currency=USD","Period=FQ","BEST_FPERIOD_OVERRIDE=FQ","FILING_STATUS=MR","SCALING_FORMAT=MLN","FA_ADJUSTED=GAAP","Sort=A","Dates=H","DateFormat=P","Fill=—","Direction=H","UseDPDF=Y")</f>
        <v>81.081000000000003</v>
      </c>
      <c r="R11" s="19">
        <f>_xll.BDH("ITCI US Equity","GROSS_PROFIT","FQ1 2023","FQ1 2023","Currency=USD","Period=FQ","BEST_FPERIOD_OVERRIDE=FQ","FILING_STATUS=MR","SCALING_FORMAT=MLN","FA_ADJUSTED=GAAP","Sort=A","Dates=H","DateFormat=P","Fill=—","Direction=H","UseDPDF=Y")</f>
        <v>88.555000000000007</v>
      </c>
      <c r="S11" s="19">
        <f>_xll.BDH("ITCI US Equity","GROSS_PROFIT","FQ2 2023","FQ2 2023","Currency=USD","Period=FQ","BEST_FPERIOD_OVERRIDE=FQ","FILING_STATUS=MR","SCALING_FORMAT=MLN","FA_ADJUSTED=GAAP","Sort=A","Dates=H","DateFormat=P","Fill=—","Direction=H","UseDPDF=Y")</f>
        <v>103.629</v>
      </c>
      <c r="T11" s="19">
        <f>_xll.BDH("ITCI US Equity","GROSS_PROFIT","FQ3 2023","FQ3 2023","Currency=USD","Period=FQ","BEST_FPERIOD_OVERRIDE=FQ","FILING_STATUS=MR","SCALING_FORMAT=MLN","FA_ADJUSTED=GAAP","Sort=A","Dates=H","DateFormat=P","Fill=—","Direction=H","UseDPDF=Y")</f>
        <v>117.044</v>
      </c>
      <c r="U11" s="19">
        <f>_xll.BDH("ITCI US Equity","GROSS_PROFIT","FQ4 2023","FQ4 2023","Currency=USD","Period=FQ","BEST_FPERIOD_OVERRIDE=FQ","FILING_STATUS=MR","SCALING_FORMAT=MLN","FA_ADJUSTED=GAAP","Sort=A","Dates=H","DateFormat=P","Fill=—","Direction=H","UseDPDF=Y")</f>
        <v>121.39700000000001</v>
      </c>
      <c r="V11" s="19">
        <f>_xll.BDH("ITCI US Equity","GROSS_PROFIT","FQ1 2024","FQ1 2024","Currency=USD","Period=FQ","BEST_FPERIOD_OVERRIDE=FQ","FILING_STATUS=MR","SCALING_FORMAT=MLN","FA_ADJUSTED=GAAP","Sort=A","Dates=H","DateFormat=P","Fill=—","Direction=H","UseDPDF=Y")</f>
        <v>134.96600000000001</v>
      </c>
      <c r="W11" s="19">
        <f>_xll.BDH("ITCI US Equity","GROSS_PROFIT","FQ2 2024","FQ2 2024","Currency=USD","Period=FQ","BEST_FPERIOD_OVERRIDE=FQ","FILING_STATUS=MR","SCALING_FORMAT=MLN","FA_ADJUSTED=GAAP","Sort=A","Dates=H","DateFormat=P","Fill=—","Direction=H","UseDPDF=Y")</f>
        <v>150.03399999999999</v>
      </c>
      <c r="X11" s="19">
        <f>_xll.BDH("ITCI US Equity","GROSS_PROFIT","FQ3 2024","FQ3 2024","Currency=USD","Period=FQ","BEST_FPERIOD_OVERRIDE=FQ","FILING_STATUS=MR","SCALING_FORMAT=MLN","FA_ADJUSTED=GAAP","Sort=A","Dates=H","DateFormat=P","Fill=—","Direction=H","UseDPDF=Y")</f>
        <v>160.071</v>
      </c>
      <c r="Y11" s="19">
        <f>_xll.BDH("ITCI US Equity","GROSS_PROFIT","FQ4 2024","FQ4 2024","Currency=USD","Period=FQ","BEST_FPERIOD_OVERRIDE=FQ","FILING_STATUS=MR","SCALING_FORMAT=MLN","FA_ADJUSTED=GAAP","Sort=A","Dates=H","DateFormat=P","Fill=—","Direction=H","UseDPDF=Y")</f>
        <v>178.81800000000001</v>
      </c>
      <c r="Z11" s="19">
        <v>188.58437499999999</v>
      </c>
      <c r="AA11" s="19">
        <v>202.46549999999999</v>
      </c>
    </row>
    <row r="12" spans="1:27" x14ac:dyDescent="0.25">
      <c r="A12" s="10" t="s">
        <v>288</v>
      </c>
      <c r="B12" s="10" t="s">
        <v>289</v>
      </c>
      <c r="C12" s="13">
        <f>_xll.BDH("ITCI US Equity","IS_OTHER_OPER_INC","FQ2 2019","FQ2 2019","Currency=USD","Period=FQ","BEST_FPERIOD_OVERRIDE=FQ","FILING_STATUS=MR","SCALING_FORMAT=MLN","FA_ADJUSTED=GAAP","Sort=A","Dates=H","DateFormat=P","Fill=—","Direction=H","UseDPDF=Y")</f>
        <v>0</v>
      </c>
      <c r="D12" s="13">
        <f>_xll.BDH("ITCI US Equity","IS_OTHER_OPER_INC","FQ3 2019","FQ3 2019","Currency=USD","Period=FQ","BEST_FPERIOD_OVERRIDE=FQ","FILING_STATUS=MR","SCALING_FORMAT=MLN","FA_ADJUSTED=GAAP","Sort=A","Dates=H","DateFormat=P","Fill=—","Direction=H","UseDPDF=Y")</f>
        <v>0</v>
      </c>
      <c r="E12" s="13">
        <f>_xll.BDH("ITCI US Equity","IS_OTHER_OPER_INC","FQ4 2019","FQ4 2019","Currency=USD","Period=FQ","BEST_FPERIOD_OVERRIDE=FQ","FILING_STATUS=MR","SCALING_FORMAT=MLN","FA_ADJUSTED=GAAP","Sort=A","Dates=H","DateFormat=P","Fill=—","Direction=H","UseDPDF=Y")</f>
        <v>0</v>
      </c>
      <c r="F12" s="13">
        <f>_xll.BDH("ITCI US Equity","IS_OTHER_OPER_INC","FQ1 2020","FQ1 2020","Currency=USD","Period=FQ","BEST_FPERIOD_OVERRIDE=FQ","FILING_STATUS=MR","SCALING_FORMAT=MLN","FA_ADJUSTED=GAAP","Sort=A","Dates=H","DateFormat=P","Fill=—","Direction=H","UseDPDF=Y")</f>
        <v>0</v>
      </c>
      <c r="G12" s="13">
        <f>_xll.BDH("ITCI US Equity","IS_OTHER_OPER_INC","FQ2 2020","FQ2 2020","Currency=USD","Period=FQ","BEST_FPERIOD_OVERRIDE=FQ","FILING_STATUS=MR","SCALING_FORMAT=MLN","FA_ADJUSTED=GAAP","Sort=A","Dates=H","DateFormat=P","Fill=—","Direction=H","UseDPDF=Y")</f>
        <v>0</v>
      </c>
      <c r="H12" s="13">
        <f>_xll.BDH("ITCI US Equity","IS_OTHER_OPER_INC","FQ3 2020","FQ3 2020","Currency=USD","Period=FQ","BEST_FPERIOD_OVERRIDE=FQ","FILING_STATUS=MR","SCALING_FORMAT=MLN","FA_ADJUSTED=GAAP","Sort=A","Dates=H","DateFormat=P","Fill=—","Direction=H","UseDPDF=Y")</f>
        <v>0</v>
      </c>
      <c r="I12" s="13">
        <f>_xll.BDH("ITCI US Equity","IS_OTHER_OPER_INC","FQ4 2020","FQ4 2020","Currency=USD","Period=FQ","BEST_FPERIOD_OVERRIDE=FQ","FILING_STATUS=MR","SCALING_FORMAT=MLN","FA_ADJUSTED=GAAP","Sort=A","Dates=H","DateFormat=P","Fill=—","Direction=H","UseDPDF=Y")</f>
        <v>0</v>
      </c>
      <c r="J12" s="13">
        <f>_xll.BDH("ITCI US Equity","IS_OTHER_OPER_INC","FQ1 2021","FQ1 2021","Currency=USD","Period=FQ","BEST_FPERIOD_OVERRIDE=FQ","FILING_STATUS=MR","SCALING_FORMAT=MLN","FA_ADJUSTED=GAAP","Sort=A","Dates=H","DateFormat=P","Fill=—","Direction=H","UseDPDF=Y")</f>
        <v>0</v>
      </c>
      <c r="K12" s="13">
        <f>_xll.BDH("ITCI US Equity","IS_OTHER_OPER_INC","FQ2 2021","FQ2 2021","Currency=USD","Period=FQ","BEST_FPERIOD_OVERRIDE=FQ","FILING_STATUS=MR","SCALING_FORMAT=MLN","FA_ADJUSTED=GAAP","Sort=A","Dates=H","DateFormat=P","Fill=—","Direction=H","UseDPDF=Y")</f>
        <v>0</v>
      </c>
      <c r="L12" s="13">
        <f>_xll.BDH("ITCI US Equity","IS_OTHER_OPER_INC","FQ3 2021","FQ3 2021","Currency=USD","Period=FQ","BEST_FPERIOD_OVERRIDE=FQ","FILING_STATUS=MR","SCALING_FORMAT=MLN","FA_ADJUSTED=GAAP","Sort=A","Dates=H","DateFormat=P","Fill=—","Direction=H","UseDPDF=Y")</f>
        <v>0</v>
      </c>
      <c r="M12" s="13">
        <f>_xll.BDH("ITCI US Equity","IS_OTHER_OPER_INC","FQ4 2021","FQ4 2021","Currency=USD","Period=FQ","BEST_FPERIOD_OVERRIDE=FQ","FILING_STATUS=MR","SCALING_FORMAT=MLN","FA_ADJUSTED=GAAP","Sort=A","Dates=H","DateFormat=P","Fill=—","Direction=H","UseDPDF=Y")</f>
        <v>0</v>
      </c>
      <c r="N12" s="13">
        <f>_xll.BDH("ITCI US Equity","IS_OTHER_OPER_INC","FQ1 2022","FQ1 2022","Currency=USD","Period=FQ","BEST_FPERIOD_OVERRIDE=FQ","FILING_STATUS=MR","SCALING_FORMAT=MLN","FA_ADJUSTED=GAAP","Sort=A","Dates=H","DateFormat=P","Fill=—","Direction=H","UseDPDF=Y")</f>
        <v>0</v>
      </c>
      <c r="O12" s="13">
        <f>_xll.BDH("ITCI US Equity","IS_OTHER_OPER_INC","FQ2 2022","FQ2 2022","Currency=USD","Period=FQ","BEST_FPERIOD_OVERRIDE=FQ","FILING_STATUS=MR","SCALING_FORMAT=MLN","FA_ADJUSTED=GAAP","Sort=A","Dates=H","DateFormat=P","Fill=—","Direction=H","UseDPDF=Y")</f>
        <v>0</v>
      </c>
      <c r="P12" s="13">
        <f>_xll.BDH("ITCI US Equity","IS_OTHER_OPER_INC","FQ3 2022","FQ3 2022","Currency=USD","Period=FQ","BEST_FPERIOD_OVERRIDE=FQ","FILING_STATUS=MR","SCALING_FORMAT=MLN","FA_ADJUSTED=GAAP","Sort=A","Dates=H","DateFormat=P","Fill=—","Direction=H","UseDPDF=Y")</f>
        <v>0</v>
      </c>
      <c r="Q12" s="13">
        <f>_xll.BDH("ITCI US Equity","IS_OTHER_OPER_INC","FQ4 2022","FQ4 2022","Currency=USD","Period=FQ","BEST_FPERIOD_OVERRIDE=FQ","FILING_STATUS=MR","SCALING_FORMAT=MLN","FA_ADJUSTED=GAAP","Sort=A","Dates=H","DateFormat=P","Fill=—","Direction=H","UseDPDF=Y")</f>
        <v>0</v>
      </c>
      <c r="R12" s="13">
        <f>_xll.BDH("ITCI US Equity","IS_OTHER_OPER_INC","FQ1 2023","FQ1 2023","Currency=USD","Period=FQ","BEST_FPERIOD_OVERRIDE=FQ","FILING_STATUS=MR","SCALING_FORMAT=MLN","FA_ADJUSTED=GAAP","Sort=A","Dates=H","DateFormat=P","Fill=—","Direction=H","UseDPDF=Y")</f>
        <v>0</v>
      </c>
      <c r="S12" s="13">
        <f>_xll.BDH("ITCI US Equity","IS_OTHER_OPER_INC","FQ2 2023","FQ2 2023","Currency=USD","Period=FQ","BEST_FPERIOD_OVERRIDE=FQ","FILING_STATUS=MR","SCALING_FORMAT=MLN","FA_ADJUSTED=GAAP","Sort=A","Dates=H","DateFormat=P","Fill=—","Direction=H","UseDPDF=Y")</f>
        <v>0</v>
      </c>
      <c r="T12" s="13">
        <f>_xll.BDH("ITCI US Equity","IS_OTHER_OPER_INC","FQ3 2023","FQ3 2023","Currency=USD","Period=FQ","BEST_FPERIOD_OVERRIDE=FQ","FILING_STATUS=MR","SCALING_FORMAT=MLN","FA_ADJUSTED=GAAP","Sort=A","Dates=H","DateFormat=P","Fill=—","Direction=H","UseDPDF=Y")</f>
        <v>0</v>
      </c>
      <c r="U12" s="13">
        <f>_xll.BDH("ITCI US Equity","IS_OTHER_OPER_INC","FQ4 2023","FQ4 2023","Currency=USD","Period=FQ","BEST_FPERIOD_OVERRIDE=FQ","FILING_STATUS=MR","SCALING_FORMAT=MLN","FA_ADJUSTED=GAAP","Sort=A","Dates=H","DateFormat=P","Fill=—","Direction=H","UseDPDF=Y")</f>
        <v>0</v>
      </c>
      <c r="V12" s="13">
        <f>_xll.BDH("ITCI US Equity","IS_OTHER_OPER_INC","FQ1 2024","FQ1 2024","Currency=USD","Period=FQ","BEST_FPERIOD_OVERRIDE=FQ","FILING_STATUS=MR","SCALING_FORMAT=MLN","FA_ADJUSTED=GAAP","Sort=A","Dates=H","DateFormat=P","Fill=—","Direction=H","UseDPDF=Y")</f>
        <v>0</v>
      </c>
      <c r="W12" s="13">
        <f>_xll.BDH("ITCI US Equity","IS_OTHER_OPER_INC","FQ2 2024","FQ2 2024","Currency=USD","Period=FQ","BEST_FPERIOD_OVERRIDE=FQ","FILING_STATUS=MR","SCALING_FORMAT=MLN","FA_ADJUSTED=GAAP","Sort=A","Dates=H","DateFormat=P","Fill=—","Direction=H","UseDPDF=Y")</f>
        <v>0</v>
      </c>
      <c r="X12" s="13">
        <f>_xll.BDH("ITCI US Equity","IS_OTHER_OPER_INC","FQ3 2024","FQ3 2024","Currency=USD","Period=FQ","BEST_FPERIOD_OVERRIDE=FQ","FILING_STATUS=MR","SCALING_FORMAT=MLN","FA_ADJUSTED=GAAP","Sort=A","Dates=H","DateFormat=P","Fill=—","Direction=H","UseDPDF=Y")</f>
        <v>0</v>
      </c>
      <c r="Y12" s="13">
        <f>_xll.BDH("ITCI US Equity","IS_OTHER_OPER_INC","FQ4 2024","FQ4 2024","Currency=USD","Period=FQ","BEST_FPERIOD_OVERRIDE=FQ","FILING_STATUS=MR","SCALING_FORMAT=MLN","FA_ADJUSTED=GAAP","Sort=A","Dates=H","DateFormat=P","Fill=—","Direction=H","UseDPDF=Y")</f>
        <v>0</v>
      </c>
      <c r="Z12" s="13"/>
      <c r="AA12" s="13"/>
    </row>
    <row r="13" spans="1:27" x14ac:dyDescent="0.25">
      <c r="A13" s="10" t="s">
        <v>290</v>
      </c>
      <c r="B13" s="10" t="s">
        <v>291</v>
      </c>
      <c r="C13" s="13">
        <f>_xll.BDH("ITCI US Equity","IS_OPERATING_EXPN","FQ2 2019","FQ2 2019","Currency=USD","Period=FQ","BEST_FPERIOD_OVERRIDE=FQ","FILING_STATUS=MR","SCALING_FORMAT=MLN","FA_ADJUSTED=GAAP","Sort=A","Dates=H","DateFormat=P","Fill=—","Direction=H","UseDPDF=Y")</f>
        <v>39.171100000000003</v>
      </c>
      <c r="D13" s="13">
        <f>_xll.BDH("ITCI US Equity","IS_OPERATING_EXPN","FQ3 2019","FQ3 2019","Currency=USD","Period=FQ","BEST_FPERIOD_OVERRIDE=FQ","FILING_STATUS=MR","SCALING_FORMAT=MLN","FA_ADJUSTED=GAAP","Sort=A","Dates=H","DateFormat=P","Fill=—","Direction=H","UseDPDF=Y")</f>
        <v>36.376199999999997</v>
      </c>
      <c r="E13" s="13">
        <f>_xll.BDH("ITCI US Equity","IS_OPERATING_EXPN","FQ4 2019","FQ4 2019","Currency=USD","Period=FQ","BEST_FPERIOD_OVERRIDE=FQ","FILING_STATUS=MR","SCALING_FORMAT=MLN","FA_ADJUSTED=GAAP","Sort=A","Dates=H","DateFormat=P","Fill=—","Direction=H","UseDPDF=Y")</f>
        <v>41.829300000000003</v>
      </c>
      <c r="F13" s="13">
        <f>_xll.BDH("ITCI US Equity","IS_OPERATING_EXPN","FQ1 2020","FQ1 2020","Currency=USD","Period=FQ","BEST_FPERIOD_OVERRIDE=FQ","FILING_STATUS=MR","SCALING_FORMAT=MLN","FA_ADJUSTED=GAAP","Sort=A","Dates=H","DateFormat=P","Fill=—","Direction=H","UseDPDF=Y")</f>
        <v>50.099699999999999</v>
      </c>
      <c r="G13" s="13">
        <f>_xll.BDH("ITCI US Equity","IS_OPERATING_EXPN","FQ2 2020","FQ2 2020","Currency=USD","Period=FQ","BEST_FPERIOD_OVERRIDE=FQ","FILING_STATUS=MR","SCALING_FORMAT=MLN","FA_ADJUSTED=GAAP","Sort=A","Dates=H","DateFormat=P","Fill=—","Direction=H","UseDPDF=Y")</f>
        <v>66.650400000000005</v>
      </c>
      <c r="H13" s="13">
        <f>_xll.BDH("ITCI US Equity","IS_OPERATING_EXPN","FQ3 2020","FQ3 2020","Currency=USD","Period=FQ","BEST_FPERIOD_OVERRIDE=FQ","FILING_STATUS=MR","SCALING_FORMAT=MLN","FA_ADJUSTED=GAAP","Sort=A","Dates=H","DateFormat=P","Fill=—","Direction=H","UseDPDF=Y")</f>
        <v>62.748899999999999</v>
      </c>
      <c r="I13" s="13">
        <f>_xll.BDH("ITCI US Equity","IS_OPERATING_EXPN","FQ4 2020","FQ4 2020","Currency=USD","Period=FQ","BEST_FPERIOD_OVERRIDE=FQ","FILING_STATUS=MR","SCALING_FORMAT=MLN","FA_ADJUSTED=GAAP","Sort=A","Dates=H","DateFormat=P","Fill=—","Direction=H","UseDPDF=Y")</f>
        <v>72.646500000000003</v>
      </c>
      <c r="J13" s="13">
        <f>_xll.BDH("ITCI US Equity","IS_OPERATING_EXPN","FQ1 2021","FQ1 2021","Currency=USD","Period=FQ","BEST_FPERIOD_OVERRIDE=FQ","FILING_STATUS=MR","SCALING_FORMAT=MLN","FA_ADJUSTED=GAAP","Sort=A","Dates=H","DateFormat=P","Fill=—","Direction=H","UseDPDF=Y")</f>
        <v>67.641800000000003</v>
      </c>
      <c r="K13" s="13">
        <f>_xll.BDH("ITCI US Equity","IS_OPERATING_EXPN","FQ2 2021","FQ2 2021","Currency=USD","Period=FQ","BEST_FPERIOD_OVERRIDE=FQ","FILING_STATUS=MR","SCALING_FORMAT=MLN","FA_ADJUSTED=GAAP","Sort=A","Dates=H","DateFormat=P","Fill=—","Direction=H","UseDPDF=Y")</f>
        <v>87.147599999999997</v>
      </c>
      <c r="L13" s="13">
        <f>_xll.BDH("ITCI US Equity","IS_OPERATING_EXPN","FQ3 2021","FQ3 2021","Currency=USD","Period=FQ","BEST_FPERIOD_OVERRIDE=FQ","FILING_STATUS=MR","SCALING_FORMAT=MLN","FA_ADJUSTED=GAAP","Sort=A","Dates=H","DateFormat=P","Fill=—","Direction=H","UseDPDF=Y")</f>
        <v>97.529700000000005</v>
      </c>
      <c r="M13" s="13">
        <f>_xll.BDH("ITCI US Equity","IS_OPERATING_EXPN","FQ4 2021","FQ4 2021","Currency=USD","Period=FQ","BEST_FPERIOD_OVERRIDE=FQ","FILING_STATUS=MR","SCALING_FORMAT=MLN","FA_ADJUSTED=GAAP","Sort=A","Dates=H","DateFormat=P","Fill=—","Direction=H","UseDPDF=Y")</f>
        <v>109.1375</v>
      </c>
      <c r="N13" s="13">
        <f>_xll.BDH("ITCI US Equity","IS_OPERATING_EXPN","FQ1 2022","FQ1 2022","Currency=USD","Period=FQ","BEST_FPERIOD_OVERRIDE=FQ","FILING_STATUS=MR","SCALING_FORMAT=MLN","FA_ADJUSTED=GAAP","Sort=A","Dates=H","DateFormat=P","Fill=—","Direction=H","UseDPDF=Y")</f>
        <v>104.503</v>
      </c>
      <c r="O13" s="13">
        <f>_xll.BDH("ITCI US Equity","IS_OPERATING_EXPN","FQ2 2022","FQ2 2022","Currency=USD","Period=FQ","BEST_FPERIOD_OVERRIDE=FQ","FILING_STATUS=MR","SCALING_FORMAT=MLN","FA_ADJUSTED=GAAP","Sort=A","Dates=H","DateFormat=P","Fill=—","Direction=H","UseDPDF=Y")</f>
        <v>138.852</v>
      </c>
      <c r="P13" s="13">
        <f>_xll.BDH("ITCI US Equity","IS_OPERATING_EXPN","FQ3 2022","FQ3 2022","Currency=USD","Period=FQ","BEST_FPERIOD_OVERRIDE=FQ","FILING_STATUS=MR","SCALING_FORMAT=MLN","FA_ADJUSTED=GAAP","Sort=A","Dates=H","DateFormat=P","Fill=—","Direction=H","UseDPDF=Y")</f>
        <v>121.649</v>
      </c>
      <c r="Q13" s="13">
        <f>_xll.BDH("ITCI US Equity","IS_OPERATING_EXPN","FQ4 2022","FQ4 2022","Currency=USD","Period=FQ","BEST_FPERIOD_OVERRIDE=FQ","FILING_STATUS=MR","SCALING_FORMAT=MLN","FA_ADJUSTED=GAAP","Sort=A","Dates=H","DateFormat=P","Fill=—","Direction=H","UseDPDF=Y")</f>
        <v>128.49299999999999</v>
      </c>
      <c r="R13" s="13">
        <f>_xll.BDH("ITCI US Equity","IS_OPERATING_EXPN","FQ1 2023","FQ1 2023","Currency=USD","Period=FQ","BEST_FPERIOD_OVERRIDE=FQ","FILING_STATUS=MR","SCALING_FORMAT=MLN","FA_ADJUSTED=GAAP","Sort=A","Dates=H","DateFormat=P","Fill=—","Direction=H","UseDPDF=Y")</f>
        <v>136.947</v>
      </c>
      <c r="S13" s="13">
        <f>_xll.BDH("ITCI US Equity","IS_OPERATING_EXPN","FQ2 2023","FQ2 2023","Currency=USD","Period=FQ","BEST_FPERIOD_OVERRIDE=FQ","FILING_STATUS=MR","SCALING_FORMAT=MLN","FA_ADJUSTED=GAAP","Sort=A","Dates=H","DateFormat=P","Fill=—","Direction=H","UseDPDF=Y")</f>
        <v>150.80799999999999</v>
      </c>
      <c r="T13" s="13">
        <f>_xll.BDH("ITCI US Equity","IS_OPERATING_EXPN","FQ3 2023","FQ3 2023","Currency=USD","Period=FQ","BEST_FPERIOD_OVERRIDE=FQ","FILING_STATUS=MR","SCALING_FORMAT=MLN","FA_ADJUSTED=GAAP","Sort=A","Dates=H","DateFormat=P","Fill=—","Direction=H","UseDPDF=Y")</f>
        <v>146.75700000000001</v>
      </c>
      <c r="U13" s="13">
        <f>_xll.BDH("ITCI US Equity","IS_OPERATING_EXPN","FQ4 2023","FQ4 2023","Currency=USD","Period=FQ","BEST_FPERIOD_OVERRIDE=FQ","FILING_STATUS=MR","SCALING_FORMAT=MLN","FA_ADJUSTED=GAAP","Sort=A","Dates=H","DateFormat=P","Fill=—","Direction=H","UseDPDF=Y")</f>
        <v>155.494</v>
      </c>
      <c r="V13" s="13">
        <f>_xll.BDH("ITCI US Equity","IS_OPERATING_EXPN","FQ1 2024","FQ1 2024","Currency=USD","Period=FQ","BEST_FPERIOD_OVERRIDE=FQ","FILING_STATUS=MR","SCALING_FORMAT=MLN","FA_ADJUSTED=GAAP","Sort=A","Dates=H","DateFormat=P","Fill=—","Direction=H","UseDPDF=Y")</f>
        <v>155.91800000000001</v>
      </c>
      <c r="W13" s="13">
        <f>_xll.BDH("ITCI US Equity","IS_OPERATING_EXPN","FQ2 2024","FQ2 2024","Currency=USD","Period=FQ","BEST_FPERIOD_OVERRIDE=FQ","FILING_STATUS=MR","SCALING_FORMAT=MLN","FA_ADJUSTED=GAAP","Sort=A","Dates=H","DateFormat=P","Fill=—","Direction=H","UseDPDF=Y")</f>
        <v>177.75700000000001</v>
      </c>
      <c r="X13" s="13">
        <f>_xll.BDH("ITCI US Equity","IS_OPERATING_EXPN","FQ3 2024","FQ3 2024","Currency=USD","Period=FQ","BEST_FPERIOD_OVERRIDE=FQ","FILING_STATUS=MR","SCALING_FORMAT=MLN","FA_ADJUSTED=GAAP","Sort=A","Dates=H","DateFormat=P","Fill=—","Direction=H","UseDPDF=Y")</f>
        <v>198.92</v>
      </c>
      <c r="Y13" s="13">
        <f>_xll.BDH("ITCI US Equity","IS_OPERATING_EXPN","FQ4 2024","FQ4 2024","Currency=USD","Period=FQ","BEST_FPERIOD_OVERRIDE=FQ","FILING_STATUS=MR","SCALING_FORMAT=MLN","FA_ADJUSTED=GAAP","Sort=A","Dates=H","DateFormat=P","Fill=—","Direction=H","UseDPDF=Y")</f>
        <v>208.01499999999999</v>
      </c>
      <c r="Z13" s="13"/>
      <c r="AA13" s="13"/>
    </row>
    <row r="14" spans="1:27" x14ac:dyDescent="0.25">
      <c r="A14" s="10" t="s">
        <v>292</v>
      </c>
      <c r="B14" s="10" t="s">
        <v>293</v>
      </c>
      <c r="C14" s="13">
        <f>_xll.BDH("ITCI US Equity","IS_SGA_EXPENSE","FQ2 2019","FQ2 2019","Currency=USD","Period=FQ","BEST_FPERIOD_OVERRIDE=FQ","FILING_STATUS=MR","SCALING_FORMAT=MLN","FA_ADJUSTED=GAAP","Sort=A","Dates=H","DateFormat=P","Fill=—","Direction=H","UseDPDF=Y")</f>
        <v>15.4427</v>
      </c>
      <c r="D14" s="13">
        <f>_xll.BDH("ITCI US Equity","IS_SGA_EXPENSE","FQ3 2019","FQ3 2019","Currency=USD","Period=FQ","BEST_FPERIOD_OVERRIDE=FQ","FILING_STATUS=MR","SCALING_FORMAT=MLN","FA_ADJUSTED=GAAP","Sort=A","Dates=H","DateFormat=P","Fill=—","Direction=H","UseDPDF=Y")</f>
        <v>15.0364</v>
      </c>
      <c r="E14" s="13">
        <f>_xll.BDH("ITCI US Equity","IS_SGA_EXPENSE","FQ4 2019","FQ4 2019","Currency=USD","Period=FQ","BEST_FPERIOD_OVERRIDE=FQ","FILING_STATUS=MR","SCALING_FORMAT=MLN","FA_ADJUSTED=GAAP","Sort=A","Dates=H","DateFormat=P","Fill=—","Direction=H","UseDPDF=Y")</f>
        <v>22.763500000000001</v>
      </c>
      <c r="F14" s="13">
        <f>_xll.BDH("ITCI US Equity","IS_SGA_EXPENSE","FQ1 2020","FQ1 2020","Currency=USD","Period=FQ","BEST_FPERIOD_OVERRIDE=FQ","FILING_STATUS=MR","SCALING_FORMAT=MLN","FA_ADJUSTED=GAAP","Sort=A","Dates=H","DateFormat=P","Fill=—","Direction=H","UseDPDF=Y")</f>
        <v>34.096400000000003</v>
      </c>
      <c r="G14" s="13">
        <f>_xll.BDH("ITCI US Equity","IS_SGA_EXPENSE","FQ2 2020","FQ2 2020","Currency=USD","Period=FQ","BEST_FPERIOD_OVERRIDE=FQ","FILING_STATUS=MR","SCALING_FORMAT=MLN","FA_ADJUSTED=GAAP","Sort=A","Dates=H","DateFormat=P","Fill=—","Direction=H","UseDPDF=Y")</f>
        <v>41.445599999999999</v>
      </c>
      <c r="H14" s="13">
        <f>_xll.BDH("ITCI US Equity","IS_SGA_EXPENSE","FQ3 2020","FQ3 2020","Currency=USD","Period=FQ","BEST_FPERIOD_OVERRIDE=FQ","FILING_STATUS=MR","SCALING_FORMAT=MLN","FA_ADJUSTED=GAAP","Sort=A","Dates=H","DateFormat=P","Fill=—","Direction=H","UseDPDF=Y")</f>
        <v>52.473599999999998</v>
      </c>
      <c r="I14" s="13">
        <f>_xll.BDH("ITCI US Equity","IS_SGA_EXPENSE","FQ4 2020","FQ4 2020","Currency=USD","Period=FQ","BEST_FPERIOD_OVERRIDE=FQ","FILING_STATUS=MR","SCALING_FORMAT=MLN","FA_ADJUSTED=GAAP","Sort=A","Dates=H","DateFormat=P","Fill=—","Direction=H","UseDPDF=Y")</f>
        <v>58.347900000000003</v>
      </c>
      <c r="J14" s="13">
        <f>_xll.BDH("ITCI US Equity","IS_SGA_EXPENSE","FQ1 2021","FQ1 2021","Currency=USD","Period=FQ","BEST_FPERIOD_OVERRIDE=FQ","FILING_STATUS=MR","SCALING_FORMAT=MLN","FA_ADJUSTED=GAAP","Sort=A","Dates=H","DateFormat=P","Fill=—","Direction=H","UseDPDF=Y")</f>
        <v>52.583599999999997</v>
      </c>
      <c r="K14" s="13">
        <f>_xll.BDH("ITCI US Equity","IS_SGA_EXPENSE","FQ2 2021","FQ2 2021","Currency=USD","Period=FQ","BEST_FPERIOD_OVERRIDE=FQ","FILING_STATUS=MR","SCALING_FORMAT=MLN","FA_ADJUSTED=GAAP","Sort=A","Dates=H","DateFormat=P","Fill=—","Direction=H","UseDPDF=Y")</f>
        <v>69.851200000000006</v>
      </c>
      <c r="L14" s="13">
        <f>_xll.BDH("ITCI US Equity","IS_SGA_EXPENSE","FQ3 2021","FQ3 2021","Currency=USD","Period=FQ","BEST_FPERIOD_OVERRIDE=FQ","FILING_STATUS=MR","SCALING_FORMAT=MLN","FA_ADJUSTED=GAAP","Sort=A","Dates=H","DateFormat=P","Fill=—","Direction=H","UseDPDF=Y")</f>
        <v>70.497900000000001</v>
      </c>
      <c r="M14" s="13">
        <f>_xll.BDH("ITCI US Equity","IS_SGA_EXPENSE","FQ4 2021","FQ4 2021","Currency=USD","Period=FQ","BEST_FPERIOD_OVERRIDE=FQ","FILING_STATUS=MR","SCALING_FORMAT=MLN","FA_ADJUSTED=GAAP","Sort=A","Dates=H","DateFormat=P","Fill=—","Direction=H","UseDPDF=Y")</f>
        <v>79.678399999999996</v>
      </c>
      <c r="N14" s="13">
        <f>_xll.BDH("ITCI US Equity","IS_SGA_EXPENSE","FQ1 2022","FQ1 2022","Currency=USD","Period=FQ","BEST_FPERIOD_OVERRIDE=FQ","FILING_STATUS=MR","SCALING_FORMAT=MLN","FA_ADJUSTED=GAAP","Sort=A","Dates=H","DateFormat=P","Fill=—","Direction=H","UseDPDF=Y")</f>
        <v>75.459999999999994</v>
      </c>
      <c r="O14" s="13">
        <f>_xll.BDH("ITCI US Equity","IS_SGA_EXPENSE","FQ2 2022","FQ2 2022","Currency=USD","Period=FQ","BEST_FPERIOD_OVERRIDE=FQ","FILING_STATUS=MR","SCALING_FORMAT=MLN","FA_ADJUSTED=GAAP","Sort=A","Dates=H","DateFormat=P","Fill=—","Direction=H","UseDPDF=Y")</f>
        <v>100.316</v>
      </c>
      <c r="P14" s="13">
        <f>_xll.BDH("ITCI US Equity","IS_SGA_EXPENSE","FQ3 2022","FQ3 2022","Currency=USD","Period=FQ","BEST_FPERIOD_OVERRIDE=FQ","FILING_STATUS=MR","SCALING_FORMAT=MLN","FA_ADJUSTED=GAAP","Sort=A","Dates=H","DateFormat=P","Fill=—","Direction=H","UseDPDF=Y")</f>
        <v>88.375</v>
      </c>
      <c r="Q14" s="13">
        <f>_xll.BDH("ITCI US Equity","IS_SGA_EXPENSE","FQ4 2022","FQ4 2022","Currency=USD","Period=FQ","BEST_FPERIOD_OVERRIDE=FQ","FILING_STATUS=MR","SCALING_FORMAT=MLN","FA_ADJUSTED=GAAP","Sort=A","Dates=H","DateFormat=P","Fill=—","Direction=H","UseDPDF=Y")</f>
        <v>94.631</v>
      </c>
      <c r="R14" s="13">
        <f>_xll.BDH("ITCI US Equity","IS_SGA_EXPENSE","FQ1 2023","FQ1 2023","Currency=USD","Period=FQ","BEST_FPERIOD_OVERRIDE=FQ","FILING_STATUS=MR","SCALING_FORMAT=MLN","FA_ADJUSTED=GAAP","Sort=A","Dates=H","DateFormat=P","Fill=—","Direction=H","UseDPDF=Y")</f>
        <v>98.923000000000002</v>
      </c>
      <c r="S14" s="13">
        <f>_xll.BDH("ITCI US Equity","IS_SGA_EXPENSE","FQ2 2023","FQ2 2023","Currency=USD","Period=FQ","BEST_FPERIOD_OVERRIDE=FQ","FILING_STATUS=MR","SCALING_FORMAT=MLN","FA_ADJUSTED=GAAP","Sort=A","Dates=H","DateFormat=P","Fill=—","Direction=H","UseDPDF=Y")</f>
        <v>101.014</v>
      </c>
      <c r="T14" s="13">
        <f>_xll.BDH("ITCI US Equity","IS_SGA_EXPENSE","FQ3 2023","FQ3 2023","Currency=USD","Period=FQ","BEST_FPERIOD_OVERRIDE=FQ","FILING_STATUS=MR","SCALING_FORMAT=MLN","FA_ADJUSTED=GAAP","Sort=A","Dates=H","DateFormat=P","Fill=—","Direction=H","UseDPDF=Y")</f>
        <v>105.20699999999999</v>
      </c>
      <c r="U14" s="13">
        <f>_xll.BDH("ITCI US Equity","IS_SGA_EXPENSE","FQ4 2023","FQ4 2023","Currency=USD","Period=FQ","BEST_FPERIOD_OVERRIDE=FQ","FILING_STATUS=MR","SCALING_FORMAT=MLN","FA_ADJUSTED=GAAP","Sort=A","Dates=H","DateFormat=P","Fill=—","Direction=H","UseDPDF=Y")</f>
        <v>104.72</v>
      </c>
      <c r="V14" s="13">
        <f>_xll.BDH("ITCI US Equity","IS_SGA_EXPENSE","FQ1 2024","FQ1 2024","Currency=USD","Period=FQ","BEST_FPERIOD_OVERRIDE=FQ","FILING_STATUS=MR","SCALING_FORMAT=MLN","FA_ADJUSTED=GAAP","Sort=A","Dates=H","DateFormat=P","Fill=—","Direction=H","UseDPDF=Y")</f>
        <v>113.08499999999999</v>
      </c>
      <c r="W14" s="13">
        <f>_xll.BDH("ITCI US Equity","IS_SGA_EXPENSE","FQ2 2024","FQ2 2024","Currency=USD","Period=FQ","BEST_FPERIOD_OVERRIDE=FQ","FILING_STATUS=MR","SCALING_FORMAT=MLN","FA_ADJUSTED=GAAP","Sort=A","Dates=H","DateFormat=P","Fill=—","Direction=H","UseDPDF=Y")</f>
        <v>121.574</v>
      </c>
      <c r="X14" s="13">
        <f>_xll.BDH("ITCI US Equity","IS_SGA_EXPENSE","FQ3 2024","FQ3 2024","Currency=USD","Period=FQ","BEST_FPERIOD_OVERRIDE=FQ","FILING_STATUS=MR","SCALING_FORMAT=MLN","FA_ADJUSTED=GAAP","Sort=A","Dates=H","DateFormat=P","Fill=—","Direction=H","UseDPDF=Y")</f>
        <v>132.101</v>
      </c>
      <c r="Y14" s="13">
        <f>_xll.BDH("ITCI US Equity","IS_SGA_EXPENSE","FQ4 2024","FQ4 2024","Currency=USD","Period=FQ","BEST_FPERIOD_OVERRIDE=FQ","FILING_STATUS=MR","SCALING_FORMAT=MLN","FA_ADJUSTED=GAAP","Sort=A","Dates=H","DateFormat=P","Fill=—","Direction=H","UseDPDF=Y")</f>
        <v>137.72900000000001</v>
      </c>
      <c r="Z14" s="13"/>
      <c r="AA14" s="13"/>
    </row>
    <row r="15" spans="1:27" x14ac:dyDescent="0.25">
      <c r="A15" s="11" t="s">
        <v>294</v>
      </c>
      <c r="B15" s="11" t="s">
        <v>295</v>
      </c>
      <c r="C15" s="25">
        <f>_xll.BDH("ITCI US Equity","IS_SELLING_EXPENSES","FQ2 2019","FQ2 2019","Currency=USD","Period=FQ","BEST_FPERIOD_OVERRIDE=FQ","FILING_STATUS=MR","SCALING_FORMAT=MLN","FA_ADJUSTED=GAAP","Sort=A","Dates=H","DateFormat=P","Fill=—","Direction=H","UseDPDF=Y")</f>
        <v>7.7427000000000001</v>
      </c>
      <c r="D15" s="25">
        <f>_xll.BDH("ITCI US Equity","IS_SELLING_EXPENSES","FQ3 2019","FQ3 2019","Currency=USD","Period=FQ","BEST_FPERIOD_OVERRIDE=FQ","FILING_STATUS=MR","SCALING_FORMAT=MLN","FA_ADJUSTED=GAAP","Sort=A","Dates=H","DateFormat=P","Fill=—","Direction=H","UseDPDF=Y")</f>
        <v>6.5625</v>
      </c>
      <c r="E15" s="25">
        <f>_xll.BDH("ITCI US Equity","IS_SELLING_EXPENSES","FQ4 2019","FQ4 2019","Currency=USD","Period=FQ","BEST_FPERIOD_OVERRIDE=FQ","FILING_STATUS=MR","SCALING_FORMAT=MLN","FA_ADJUSTED=GAAP","Sort=A","Dates=H","DateFormat=P","Fill=—","Direction=H","UseDPDF=Y")</f>
        <v>13.163500000000001</v>
      </c>
      <c r="F15" s="25">
        <f>_xll.BDH("ITCI US Equity","IS_SELLING_EXPENSES","FQ1 2020","FQ1 2020","Currency=USD","Period=FQ","BEST_FPERIOD_OVERRIDE=FQ","FILING_STATUS=MR","SCALING_FORMAT=MLN","FA_ADJUSTED=GAAP","Sort=A","Dates=H","DateFormat=P","Fill=—","Direction=H","UseDPDF=Y")</f>
        <v>20.796399999999998</v>
      </c>
      <c r="G15" s="25">
        <f>_xll.BDH("ITCI US Equity","IS_SELLING_EXPENSES","FQ2 2020","FQ2 2020","Currency=USD","Period=FQ","BEST_FPERIOD_OVERRIDE=FQ","FILING_STATUS=MR","SCALING_FORMAT=MLN","FA_ADJUSTED=GAAP","Sort=A","Dates=H","DateFormat=P","Fill=—","Direction=H","UseDPDF=Y")</f>
        <v>28.345600000000001</v>
      </c>
      <c r="H15" s="25">
        <f>_xll.BDH("ITCI US Equity","IS_SELLING_EXPENSES","FQ3 2020","FQ3 2020","Currency=USD","Period=FQ","BEST_FPERIOD_OVERRIDE=FQ","FILING_STATUS=MR","SCALING_FORMAT=MLN","FA_ADJUSTED=GAAP","Sort=A","Dates=H","DateFormat=P","Fill=—","Direction=H","UseDPDF=Y")</f>
        <v>38.273600000000002</v>
      </c>
      <c r="I15" s="25">
        <f>_xll.BDH("ITCI US Equity","IS_SELLING_EXPENSES","FQ4 2020","FQ4 2020","Currency=USD","Period=FQ","BEST_FPERIOD_OVERRIDE=FQ","FILING_STATUS=MR","SCALING_FORMAT=MLN","FA_ADJUSTED=GAAP","Sort=A","Dates=H","DateFormat=P","Fill=—","Direction=H","UseDPDF=Y")</f>
        <v>44.947899999999997</v>
      </c>
      <c r="J15" s="25">
        <f>_xll.BDH("ITCI US Equity","IS_SELLING_EXPENSES","FQ1 2021","FQ1 2021","Currency=USD","Period=FQ","BEST_FPERIOD_OVERRIDE=FQ","FILING_STATUS=MR","SCALING_FORMAT=MLN","FA_ADJUSTED=GAAP","Sort=A","Dates=H","DateFormat=P","Fill=—","Direction=H","UseDPDF=Y")</f>
        <v>38.2836</v>
      </c>
      <c r="K15" s="25">
        <f>_xll.BDH("ITCI US Equity","IS_SELLING_EXPENSES","FQ2 2021","FQ2 2021","Currency=USD","Period=FQ","BEST_FPERIOD_OVERRIDE=FQ","FILING_STATUS=MR","SCALING_FORMAT=MLN","FA_ADJUSTED=GAAP","Sort=A","Dates=H","DateFormat=P","Fill=—","Direction=H","UseDPDF=Y")</f>
        <v>52.151200000000003</v>
      </c>
      <c r="L15" s="25">
        <f>_xll.BDH("ITCI US Equity","IS_SELLING_EXPENSES","FQ3 2021","FQ3 2021","Currency=USD","Period=FQ","BEST_FPERIOD_OVERRIDE=FQ","FILING_STATUS=MR","SCALING_FORMAT=MLN","FA_ADJUSTED=GAAP","Sort=A","Dates=H","DateFormat=P","Fill=—","Direction=H","UseDPDF=Y")</f>
        <v>52.597900000000003</v>
      </c>
      <c r="M15" s="25">
        <f>_xll.BDH("ITCI US Equity","IS_SELLING_EXPENSES","FQ4 2021","FQ4 2021","Currency=USD","Period=FQ","BEST_FPERIOD_OVERRIDE=FQ","FILING_STATUS=MR","SCALING_FORMAT=MLN","FA_ADJUSTED=GAAP","Sort=A","Dates=H","DateFormat=P","Fill=—","Direction=H","UseDPDF=Y")</f>
        <v>60.578400000000002</v>
      </c>
      <c r="N15" s="25">
        <f>_xll.BDH("ITCI US Equity","IS_SELLING_EXPENSES","FQ1 2022","FQ1 2022","Currency=USD","Period=FQ","BEST_FPERIOD_OVERRIDE=FQ","FILING_STATUS=MR","SCALING_FORMAT=MLN","FA_ADJUSTED=GAAP","Sort=A","Dates=H","DateFormat=P","Fill=—","Direction=H","UseDPDF=Y")</f>
        <v>56.06</v>
      </c>
      <c r="O15" s="25">
        <f>_xll.BDH("ITCI US Equity","IS_SELLING_EXPENSES","FQ2 2022","FQ2 2022","Currency=USD","Period=FQ","BEST_FPERIOD_OVERRIDE=FQ","FILING_STATUS=MR","SCALING_FORMAT=MLN","FA_ADJUSTED=GAAP","Sort=A","Dates=H","DateFormat=P","Fill=—","Direction=H","UseDPDF=Y")</f>
        <v>81.316000000000003</v>
      </c>
      <c r="P15" s="25">
        <f>_xll.BDH("ITCI US Equity","IS_SELLING_EXPENSES","FQ3 2022","FQ3 2022","Currency=USD","Period=FQ","BEST_FPERIOD_OVERRIDE=FQ","FILING_STATUS=MR","SCALING_FORMAT=MLN","FA_ADJUSTED=GAAP","Sort=A","Dates=H","DateFormat=P","Fill=—","Direction=H","UseDPDF=Y")</f>
        <v>68.075000000000003</v>
      </c>
      <c r="Q15" s="25">
        <f>_xll.BDH("ITCI US Equity","IS_SELLING_EXPENSES","FQ4 2022","FQ4 2022","Currency=USD","Period=FQ","BEST_FPERIOD_OVERRIDE=FQ","FILING_STATUS=MR","SCALING_FORMAT=MLN","FA_ADJUSTED=GAAP","Sort=A","Dates=H","DateFormat=P","Fill=—","Direction=H","UseDPDF=Y")</f>
        <v>72.331000000000003</v>
      </c>
      <c r="R15" s="25">
        <f>_xll.BDH("ITCI US Equity","IS_SELLING_EXPENSES","FQ1 2023","FQ1 2023","Currency=USD","Period=FQ","BEST_FPERIOD_OVERRIDE=FQ","FILING_STATUS=MR","SCALING_FORMAT=MLN","FA_ADJUSTED=GAAP","Sort=A","Dates=H","DateFormat=P","Fill=—","Direction=H","UseDPDF=Y")</f>
        <v>76.522999999999996</v>
      </c>
      <c r="S15" s="25">
        <f>_xll.BDH("ITCI US Equity","IS_SELLING_EXPENSES","FQ2 2023","FQ2 2023","Currency=USD","Period=FQ","BEST_FPERIOD_OVERRIDE=FQ","FILING_STATUS=MR","SCALING_FORMAT=MLN","FA_ADJUSTED=GAAP","Sort=A","Dates=H","DateFormat=P","Fill=—","Direction=H","UseDPDF=Y")</f>
        <v>76.114000000000004</v>
      </c>
      <c r="T15" s="25">
        <f>_xll.BDH("ITCI US Equity","IS_SELLING_EXPENSES","FQ3 2023","FQ3 2023","Currency=USD","Period=FQ","BEST_FPERIOD_OVERRIDE=FQ","FILING_STATUS=MR","SCALING_FORMAT=MLN","FA_ADJUSTED=GAAP","Sort=A","Dates=H","DateFormat=P","Fill=—","Direction=H","UseDPDF=Y")</f>
        <v>80.906999999999996</v>
      </c>
      <c r="U15" s="25">
        <f>_xll.BDH("ITCI US Equity","IS_SELLING_EXPENSES","FQ4 2023","FQ4 2023","Currency=USD","Period=FQ","BEST_FPERIOD_OVERRIDE=FQ","FILING_STATUS=MR","SCALING_FORMAT=MLN","FA_ADJUSTED=GAAP","Sort=A","Dates=H","DateFormat=P","Fill=—","Direction=H","UseDPDF=Y")</f>
        <v>90.92</v>
      </c>
      <c r="V15" s="25">
        <f>_xll.BDH("ITCI US Equity","IS_SELLING_EXPENSES","FQ1 2024","FQ1 2024","Currency=USD","Period=FQ","BEST_FPERIOD_OVERRIDE=FQ","FILING_STATUS=MR","SCALING_FORMAT=MLN","FA_ADJUSTED=GAAP","Sort=A","Dates=H","DateFormat=P","Fill=—","Direction=H","UseDPDF=Y")</f>
        <v>87.685000000000002</v>
      </c>
      <c r="W15" s="25">
        <f>_xll.BDH("ITCI US Equity","IS_SELLING_EXPENSES","FQ2 2024","FQ2 2024","Currency=USD","Period=FQ","BEST_FPERIOD_OVERRIDE=FQ","FILING_STATUS=MR","SCALING_FORMAT=MLN","FA_ADJUSTED=GAAP","Sort=A","Dates=H","DateFormat=P","Fill=—","Direction=H","UseDPDF=Y")</f>
        <v>92.873999999999995</v>
      </c>
      <c r="X15" s="25">
        <f>_xll.BDH("ITCI US Equity","IS_SELLING_EXPENSES","FQ3 2024","FQ3 2024","Currency=USD","Period=FQ","BEST_FPERIOD_OVERRIDE=FQ","FILING_STATUS=MR","SCALING_FORMAT=MLN","FA_ADJUSTED=GAAP","Sort=A","Dates=H","DateFormat=P","Fill=—","Direction=H","UseDPDF=Y")</f>
        <v>98.700999999999993</v>
      </c>
      <c r="Y15" s="25">
        <f>_xll.BDH("ITCI US Equity","IS_SELLING_EXPENSES","FQ4 2024","FQ4 2024","Currency=USD","Period=FQ","BEST_FPERIOD_OVERRIDE=FQ","FILING_STATUS=MR","SCALING_FORMAT=MLN","FA_ADJUSTED=GAAP","Sort=A","Dates=H","DateFormat=P","Fill=—","Direction=H","UseDPDF=Y")</f>
        <v>105.529</v>
      </c>
      <c r="Z15" s="25"/>
      <c r="AA15" s="25"/>
    </row>
    <row r="16" spans="1:27" x14ac:dyDescent="0.25">
      <c r="A16" s="11" t="s">
        <v>296</v>
      </c>
      <c r="B16" s="11" t="s">
        <v>297</v>
      </c>
      <c r="C16" s="25">
        <f>_xll.BDH("ITCI US Equity","IS_GENERAL_AND_ADMINISTRATIVE","FQ2 2019","FQ2 2019","Currency=USD","Period=FQ","BEST_FPERIOD_OVERRIDE=FQ","FILING_STATUS=MR","SCALING_FORMAT=MLN","FA_ADJUSTED=GAAP","Sort=A","Dates=H","DateFormat=P","Fill=—","Direction=H","UseDPDF=Y")</f>
        <v>7.7</v>
      </c>
      <c r="D16" s="25">
        <f>_xll.BDH("ITCI US Equity","IS_GENERAL_AND_ADMINISTRATIVE","FQ3 2019","FQ3 2019","Currency=USD","Period=FQ","BEST_FPERIOD_OVERRIDE=FQ","FILING_STATUS=MR","SCALING_FORMAT=MLN","FA_ADJUSTED=GAAP","Sort=A","Dates=H","DateFormat=P","Fill=—","Direction=H","UseDPDF=Y")</f>
        <v>8.4739000000000004</v>
      </c>
      <c r="E16" s="25">
        <f>_xll.BDH("ITCI US Equity","IS_GENERAL_AND_ADMINISTRATIVE","FQ4 2019","FQ4 2019","Currency=USD","Period=FQ","BEST_FPERIOD_OVERRIDE=FQ","FILING_STATUS=MR","SCALING_FORMAT=MLN","FA_ADJUSTED=GAAP","Sort=A","Dates=H","DateFormat=P","Fill=—","Direction=H","UseDPDF=Y")</f>
        <v>9.6</v>
      </c>
      <c r="F16" s="25">
        <f>_xll.BDH("ITCI US Equity","IS_GENERAL_AND_ADMINISTRATIVE","FQ1 2020","FQ1 2020","Currency=USD","Period=FQ","BEST_FPERIOD_OVERRIDE=FQ","FILING_STATUS=MR","SCALING_FORMAT=MLN","FA_ADJUSTED=GAAP","Sort=A","Dates=H","DateFormat=P","Fill=—","Direction=H","UseDPDF=Y")</f>
        <v>13.3</v>
      </c>
      <c r="G16" s="25">
        <f>_xll.BDH("ITCI US Equity","IS_GENERAL_AND_ADMINISTRATIVE","FQ2 2020","FQ2 2020","Currency=USD","Period=FQ","BEST_FPERIOD_OVERRIDE=FQ","FILING_STATUS=MR","SCALING_FORMAT=MLN","FA_ADJUSTED=GAAP","Sort=A","Dates=H","DateFormat=P","Fill=—","Direction=H","UseDPDF=Y")</f>
        <v>13.1</v>
      </c>
      <c r="H16" s="25">
        <f>_xll.BDH("ITCI US Equity","IS_GENERAL_AND_ADMINISTRATIVE","FQ3 2020","FQ3 2020","Currency=USD","Period=FQ","BEST_FPERIOD_OVERRIDE=FQ","FILING_STATUS=MR","SCALING_FORMAT=MLN","FA_ADJUSTED=GAAP","Sort=A","Dates=H","DateFormat=P","Fill=—","Direction=H","UseDPDF=Y")</f>
        <v>14.2</v>
      </c>
      <c r="I16" s="25">
        <f>_xll.BDH("ITCI US Equity","IS_GENERAL_AND_ADMINISTRATIVE","FQ4 2020","FQ4 2020","Currency=USD","Period=FQ","BEST_FPERIOD_OVERRIDE=FQ","FILING_STATUS=MR","SCALING_FORMAT=MLN","FA_ADJUSTED=GAAP","Sort=A","Dates=H","DateFormat=P","Fill=—","Direction=H","UseDPDF=Y")</f>
        <v>13.4</v>
      </c>
      <c r="J16" s="25">
        <f>_xll.BDH("ITCI US Equity","IS_GENERAL_AND_ADMINISTRATIVE","FQ1 2021","FQ1 2021","Currency=USD","Period=FQ","BEST_FPERIOD_OVERRIDE=FQ","FILING_STATUS=MR","SCALING_FORMAT=MLN","FA_ADJUSTED=GAAP","Sort=A","Dates=H","DateFormat=P","Fill=—","Direction=H","UseDPDF=Y")</f>
        <v>14.3</v>
      </c>
      <c r="K16" s="25">
        <f>_xll.BDH("ITCI US Equity","IS_GENERAL_AND_ADMINISTRATIVE","FQ2 2021","FQ2 2021","Currency=USD","Period=FQ","BEST_FPERIOD_OVERRIDE=FQ","FILING_STATUS=MR","SCALING_FORMAT=MLN","FA_ADJUSTED=GAAP","Sort=A","Dates=H","DateFormat=P","Fill=—","Direction=H","UseDPDF=Y")</f>
        <v>17.7</v>
      </c>
      <c r="L16" s="25">
        <f>_xll.BDH("ITCI US Equity","IS_GENERAL_AND_ADMINISTRATIVE","FQ3 2021","FQ3 2021","Currency=USD","Period=FQ","BEST_FPERIOD_OVERRIDE=FQ","FILING_STATUS=MR","SCALING_FORMAT=MLN","FA_ADJUSTED=GAAP","Sort=A","Dates=H","DateFormat=P","Fill=—","Direction=H","UseDPDF=Y")</f>
        <v>17.899999999999999</v>
      </c>
      <c r="M16" s="25">
        <f>_xll.BDH("ITCI US Equity","IS_GENERAL_AND_ADMINISTRATIVE","FQ4 2021","FQ4 2021","Currency=USD","Period=FQ","BEST_FPERIOD_OVERRIDE=FQ","FILING_STATUS=MR","SCALING_FORMAT=MLN","FA_ADJUSTED=GAAP","Sort=A","Dates=H","DateFormat=P","Fill=—","Direction=H","UseDPDF=Y")</f>
        <v>19.100000000000001</v>
      </c>
      <c r="N16" s="25">
        <f>_xll.BDH("ITCI US Equity","IS_GENERAL_AND_ADMINISTRATIVE","FQ1 2022","FQ1 2022","Currency=USD","Period=FQ","BEST_FPERIOD_OVERRIDE=FQ","FILING_STATUS=MR","SCALING_FORMAT=MLN","FA_ADJUSTED=GAAP","Sort=A","Dates=H","DateFormat=P","Fill=—","Direction=H","UseDPDF=Y")</f>
        <v>19.399999999999999</v>
      </c>
      <c r="O16" s="25">
        <f>_xll.BDH("ITCI US Equity","IS_GENERAL_AND_ADMINISTRATIVE","FQ2 2022","FQ2 2022","Currency=USD","Period=FQ","BEST_FPERIOD_OVERRIDE=FQ","FILING_STATUS=MR","SCALING_FORMAT=MLN","FA_ADJUSTED=GAAP","Sort=A","Dates=H","DateFormat=P","Fill=—","Direction=H","UseDPDF=Y")</f>
        <v>19</v>
      </c>
      <c r="P16" s="25">
        <f>_xll.BDH("ITCI US Equity","IS_GENERAL_AND_ADMINISTRATIVE","FQ3 2022","FQ3 2022","Currency=USD","Period=FQ","BEST_FPERIOD_OVERRIDE=FQ","FILING_STATUS=MR","SCALING_FORMAT=MLN","FA_ADJUSTED=GAAP","Sort=A","Dates=H","DateFormat=P","Fill=—","Direction=H","UseDPDF=Y")</f>
        <v>20.3</v>
      </c>
      <c r="Q16" s="25">
        <f>_xll.BDH("ITCI US Equity","IS_GENERAL_AND_ADMINISTRATIVE","FQ4 2022","FQ4 2022","Currency=USD","Period=FQ","BEST_FPERIOD_OVERRIDE=FQ","FILING_STATUS=MR","SCALING_FORMAT=MLN","FA_ADJUSTED=GAAP","Sort=A","Dates=H","DateFormat=P","Fill=—","Direction=H","UseDPDF=Y")</f>
        <v>22.3</v>
      </c>
      <c r="R16" s="25">
        <f>_xll.BDH("ITCI US Equity","IS_GENERAL_AND_ADMINISTRATIVE","FQ1 2023","FQ1 2023","Currency=USD","Period=FQ","BEST_FPERIOD_OVERRIDE=FQ","FILING_STATUS=MR","SCALING_FORMAT=MLN","FA_ADJUSTED=GAAP","Sort=A","Dates=H","DateFormat=P","Fill=—","Direction=H","UseDPDF=Y")</f>
        <v>22.4</v>
      </c>
      <c r="S16" s="25">
        <f>_xll.BDH("ITCI US Equity","IS_GENERAL_AND_ADMINISTRATIVE","FQ2 2023","FQ2 2023","Currency=USD","Period=FQ","BEST_FPERIOD_OVERRIDE=FQ","FILING_STATUS=MR","SCALING_FORMAT=MLN","FA_ADJUSTED=GAAP","Sort=A","Dates=H","DateFormat=P","Fill=—","Direction=H","UseDPDF=Y")</f>
        <v>24.9</v>
      </c>
      <c r="T16" s="25">
        <f>_xll.BDH("ITCI US Equity","IS_GENERAL_AND_ADMINISTRATIVE","FQ3 2023","FQ3 2023","Currency=USD","Period=FQ","BEST_FPERIOD_OVERRIDE=FQ","FILING_STATUS=MR","SCALING_FORMAT=MLN","FA_ADJUSTED=GAAP","Sort=A","Dates=H","DateFormat=P","Fill=—","Direction=H","UseDPDF=Y")</f>
        <v>24.3</v>
      </c>
      <c r="U16" s="25">
        <f>_xll.BDH("ITCI US Equity","IS_GENERAL_AND_ADMINISTRATIVE","FQ4 2023","FQ4 2023","Currency=USD","Period=FQ","BEST_FPERIOD_OVERRIDE=FQ","FILING_STATUS=MR","SCALING_FORMAT=MLN","FA_ADJUSTED=GAAP","Sort=A","Dates=H","DateFormat=P","Fill=—","Direction=H","UseDPDF=Y")</f>
        <v>13.8</v>
      </c>
      <c r="V16" s="25">
        <f>_xll.BDH("ITCI US Equity","IS_GENERAL_AND_ADMINISTRATIVE","FQ1 2024","FQ1 2024","Currency=USD","Period=FQ","BEST_FPERIOD_OVERRIDE=FQ","FILING_STATUS=MR","SCALING_FORMAT=MLN","FA_ADJUSTED=GAAP","Sort=A","Dates=H","DateFormat=P","Fill=—","Direction=H","UseDPDF=Y")</f>
        <v>25.4</v>
      </c>
      <c r="W16" s="25">
        <f>_xll.BDH("ITCI US Equity","IS_GENERAL_AND_ADMINISTRATIVE","FQ2 2024","FQ2 2024","Currency=USD","Period=FQ","BEST_FPERIOD_OVERRIDE=FQ","FILING_STATUS=MR","SCALING_FORMAT=MLN","FA_ADJUSTED=GAAP","Sort=A","Dates=H","DateFormat=P","Fill=—","Direction=H","UseDPDF=Y")</f>
        <v>28.7</v>
      </c>
      <c r="X16" s="25">
        <f>_xll.BDH("ITCI US Equity","IS_GENERAL_AND_ADMINISTRATIVE","FQ3 2024","FQ3 2024","Currency=USD","Period=FQ","BEST_FPERIOD_OVERRIDE=FQ","FILING_STATUS=MR","SCALING_FORMAT=MLN","FA_ADJUSTED=GAAP","Sort=A","Dates=H","DateFormat=P","Fill=—","Direction=H","UseDPDF=Y")</f>
        <v>33.4</v>
      </c>
      <c r="Y16" s="25">
        <f>_xll.BDH("ITCI US Equity","IS_GENERAL_AND_ADMINISTRATIVE","FQ4 2024","FQ4 2024","Currency=USD","Period=FQ","BEST_FPERIOD_OVERRIDE=FQ","FILING_STATUS=MR","SCALING_FORMAT=MLN","FA_ADJUSTED=GAAP","Sort=A","Dates=H","DateFormat=P","Fill=—","Direction=H","UseDPDF=Y")</f>
        <v>32.200000000000003</v>
      </c>
      <c r="Z16" s="25"/>
      <c r="AA16" s="25"/>
    </row>
    <row r="17" spans="1:27" x14ac:dyDescent="0.25">
      <c r="A17" s="10" t="s">
        <v>298</v>
      </c>
      <c r="B17" s="10" t="s">
        <v>373</v>
      </c>
      <c r="C17" s="13">
        <f>_xll.BDH("ITCI US Equity","IS_OPER_EXPENSES_RD_GAAP","FQ2 2019","FQ2 2019","Currency=USD","Period=FQ","BEST_FPERIOD_OVERRIDE=FQ","FILING_STATUS=MR","SCALING_FORMAT=MLN","FA_ADJUSTED=GAAP","Sort=A","Dates=H","DateFormat=P","Fill=—","Direction=H","UseDPDF=Y")</f>
        <v>23.7285</v>
      </c>
      <c r="D17" s="13">
        <f>_xll.BDH("ITCI US Equity","IS_OPER_EXPENSES_RD_GAAP","FQ3 2019","FQ3 2019","Currency=USD","Period=FQ","BEST_FPERIOD_OVERRIDE=FQ","FILING_STATUS=MR","SCALING_FORMAT=MLN","FA_ADJUSTED=GAAP","Sort=A","Dates=H","DateFormat=P","Fill=—","Direction=H","UseDPDF=Y")</f>
        <v>21.3398</v>
      </c>
      <c r="E17" s="13">
        <f>_xll.BDH("ITCI US Equity","IS_OPER_EXPENSES_RD_GAAP","FQ4 2019","FQ4 2019","Currency=USD","Period=FQ","BEST_FPERIOD_OVERRIDE=FQ","FILING_STATUS=MR","SCALING_FORMAT=MLN","FA_ADJUSTED=GAAP","Sort=A","Dates=H","DateFormat=P","Fill=—","Direction=H","UseDPDF=Y")</f>
        <v>19.0657</v>
      </c>
      <c r="F17" s="13">
        <f>_xll.BDH("ITCI US Equity","IS_OPER_EXPENSES_RD_GAAP","FQ1 2020","FQ1 2020","Currency=USD","Period=FQ","BEST_FPERIOD_OVERRIDE=FQ","FILING_STATUS=MR","SCALING_FORMAT=MLN","FA_ADJUSTED=GAAP","Sort=A","Dates=H","DateFormat=P","Fill=—","Direction=H","UseDPDF=Y")</f>
        <v>16.003299999999999</v>
      </c>
      <c r="G17" s="13">
        <f>_xll.BDH("ITCI US Equity","IS_OPER_EXPENSES_RD_GAAP","FQ2 2020","FQ2 2020","Currency=USD","Period=FQ","BEST_FPERIOD_OVERRIDE=FQ","FILING_STATUS=MR","SCALING_FORMAT=MLN","FA_ADJUSTED=GAAP","Sort=A","Dates=H","DateFormat=P","Fill=—","Direction=H","UseDPDF=Y")</f>
        <v>25.204899999999999</v>
      </c>
      <c r="H17" s="13">
        <f>_xll.BDH("ITCI US Equity","IS_OPER_EXPENSES_RD_GAAP","FQ3 2020","FQ3 2020","Currency=USD","Period=FQ","BEST_FPERIOD_OVERRIDE=FQ","FILING_STATUS=MR","SCALING_FORMAT=MLN","FA_ADJUSTED=GAAP","Sort=A","Dates=H","DateFormat=P","Fill=—","Direction=H","UseDPDF=Y")</f>
        <v>10.275399999999999</v>
      </c>
      <c r="I17" s="13">
        <f>_xll.BDH("ITCI US Equity","IS_OPER_EXPENSES_RD_GAAP","FQ4 2020","FQ4 2020","Currency=USD","Period=FQ","BEST_FPERIOD_OVERRIDE=FQ","FILING_STATUS=MR","SCALING_FORMAT=MLN","FA_ADJUSTED=GAAP","Sort=A","Dates=H","DateFormat=P","Fill=—","Direction=H","UseDPDF=Y")</f>
        <v>14.2986</v>
      </c>
      <c r="J17" s="13">
        <f>_xll.BDH("ITCI US Equity","IS_OPER_EXPENSES_RD_GAAP","FQ1 2021","FQ1 2021","Currency=USD","Period=FQ","BEST_FPERIOD_OVERRIDE=FQ","FILING_STATUS=MR","SCALING_FORMAT=MLN","FA_ADJUSTED=GAAP","Sort=A","Dates=H","DateFormat=P","Fill=—","Direction=H","UseDPDF=Y")</f>
        <v>15.058199999999999</v>
      </c>
      <c r="K17" s="13">
        <f>_xll.BDH("ITCI US Equity","IS_OPER_EXPENSES_RD_GAAP","FQ2 2021","FQ2 2021","Currency=USD","Period=FQ","BEST_FPERIOD_OVERRIDE=FQ","FILING_STATUS=MR","SCALING_FORMAT=MLN","FA_ADJUSTED=GAAP","Sort=A","Dates=H","DateFormat=P","Fill=—","Direction=H","UseDPDF=Y")</f>
        <v>17.296399999999998</v>
      </c>
      <c r="L17" s="13">
        <f>_xll.BDH("ITCI US Equity","IS_OPER_EXPENSES_RD_GAAP","FQ3 2021","FQ3 2021","Currency=USD","Period=FQ","BEST_FPERIOD_OVERRIDE=FQ","FILING_STATUS=MR","SCALING_FORMAT=MLN","FA_ADJUSTED=GAAP","Sort=A","Dates=H","DateFormat=P","Fill=—","Direction=H","UseDPDF=Y")</f>
        <v>27.0318</v>
      </c>
      <c r="M17" s="13">
        <f>_xll.BDH("ITCI US Equity","IS_OPER_EXPENSES_RD_GAAP","FQ4 2021","FQ4 2021","Currency=USD","Period=FQ","BEST_FPERIOD_OVERRIDE=FQ","FILING_STATUS=MR","SCALING_FORMAT=MLN","FA_ADJUSTED=GAAP","Sort=A","Dates=H","DateFormat=P","Fill=—","Direction=H","UseDPDF=Y")</f>
        <v>29.459099999999999</v>
      </c>
      <c r="N17" s="13">
        <f>_xll.BDH("ITCI US Equity","IS_OPER_EXPENSES_RD_GAAP","FQ1 2022","FQ1 2022","Currency=USD","Period=FQ","BEST_FPERIOD_OVERRIDE=FQ","FILING_STATUS=MR","SCALING_FORMAT=MLN","FA_ADJUSTED=GAAP","Sort=A","Dates=H","DateFormat=P","Fill=—","Direction=H","UseDPDF=Y")</f>
        <v>29.042999999999999</v>
      </c>
      <c r="O17" s="13">
        <f>_xll.BDH("ITCI US Equity","IS_OPER_EXPENSES_RD_GAAP","FQ2 2022","FQ2 2022","Currency=USD","Period=FQ","BEST_FPERIOD_OVERRIDE=FQ","FILING_STATUS=MR","SCALING_FORMAT=MLN","FA_ADJUSTED=GAAP","Sort=A","Dates=H","DateFormat=P","Fill=—","Direction=H","UseDPDF=Y")</f>
        <v>38.536000000000001</v>
      </c>
      <c r="P17" s="13">
        <f>_xll.BDH("ITCI US Equity","IS_OPER_EXPENSES_RD_GAAP","FQ3 2022","FQ3 2022","Currency=USD","Period=FQ","BEST_FPERIOD_OVERRIDE=FQ","FILING_STATUS=MR","SCALING_FORMAT=MLN","FA_ADJUSTED=GAAP","Sort=A","Dates=H","DateFormat=P","Fill=—","Direction=H","UseDPDF=Y")</f>
        <v>33.274000000000001</v>
      </c>
      <c r="Q17" s="13">
        <f>_xll.BDH("ITCI US Equity","IS_OPER_EXPENSES_RD_GAAP","FQ4 2022","FQ4 2022","Currency=USD","Period=FQ","BEST_FPERIOD_OVERRIDE=FQ","FILING_STATUS=MR","SCALING_FORMAT=MLN","FA_ADJUSTED=GAAP","Sort=A","Dates=H","DateFormat=P","Fill=—","Direction=H","UseDPDF=Y")</f>
        <v>33.862000000000002</v>
      </c>
      <c r="R17" s="13">
        <f>_xll.BDH("ITCI US Equity","IS_OPER_EXPENSES_RD_GAAP","FQ1 2023","FQ1 2023","Currency=USD","Period=FQ","BEST_FPERIOD_OVERRIDE=FQ","FILING_STATUS=MR","SCALING_FORMAT=MLN","FA_ADJUSTED=GAAP","Sort=A","Dates=H","DateFormat=P","Fill=—","Direction=H","UseDPDF=Y")</f>
        <v>38.024000000000001</v>
      </c>
      <c r="S17" s="13">
        <f>_xll.BDH("ITCI US Equity","IS_OPER_EXPENSES_RD_GAAP","FQ2 2023","FQ2 2023","Currency=USD","Period=FQ","BEST_FPERIOD_OVERRIDE=FQ","FILING_STATUS=MR","SCALING_FORMAT=MLN","FA_ADJUSTED=GAAP","Sort=A","Dates=H","DateFormat=P","Fill=—","Direction=H","UseDPDF=Y")</f>
        <v>49.793999999999997</v>
      </c>
      <c r="T17" s="13">
        <f>_xll.BDH("ITCI US Equity","IS_OPER_EXPENSES_RD_GAAP","FQ3 2023","FQ3 2023","Currency=USD","Period=FQ","BEST_FPERIOD_OVERRIDE=FQ","FILING_STATUS=MR","SCALING_FORMAT=MLN","FA_ADJUSTED=GAAP","Sort=A","Dates=H","DateFormat=P","Fill=—","Direction=H","UseDPDF=Y")</f>
        <v>41.55</v>
      </c>
      <c r="U17" s="13">
        <f>_xll.BDH("ITCI US Equity","IS_OPER_EXPENSES_RD_GAAP","FQ4 2023","FQ4 2023","Currency=USD","Period=FQ","BEST_FPERIOD_OVERRIDE=FQ","FILING_STATUS=MR","SCALING_FORMAT=MLN","FA_ADJUSTED=GAAP","Sort=A","Dates=H","DateFormat=P","Fill=—","Direction=H","UseDPDF=Y")</f>
        <v>50.774000000000001</v>
      </c>
      <c r="V17" s="13">
        <f>_xll.BDH("ITCI US Equity","IS_OPER_EXPENSES_RD_GAAP","FQ1 2024","FQ1 2024","Currency=USD","Period=FQ","BEST_FPERIOD_OVERRIDE=FQ","FILING_STATUS=MR","SCALING_FORMAT=MLN","FA_ADJUSTED=GAAP","Sort=A","Dates=H","DateFormat=P","Fill=—","Direction=H","UseDPDF=Y")</f>
        <v>42.832999999999998</v>
      </c>
      <c r="W17" s="13">
        <f>_xll.BDH("ITCI US Equity","IS_OPER_EXPENSES_RD_GAAP","FQ2 2024","FQ2 2024","Currency=USD","Period=FQ","BEST_FPERIOD_OVERRIDE=FQ","FILING_STATUS=MR","SCALING_FORMAT=MLN","FA_ADJUSTED=GAAP","Sort=A","Dates=H","DateFormat=P","Fill=—","Direction=H","UseDPDF=Y")</f>
        <v>56.183</v>
      </c>
      <c r="X17" s="13">
        <f>_xll.BDH("ITCI US Equity","IS_OPER_EXPENSES_RD_GAAP","FQ3 2024","FQ3 2024","Currency=USD","Period=FQ","BEST_FPERIOD_OVERRIDE=FQ","FILING_STATUS=MR","SCALING_FORMAT=MLN","FA_ADJUSTED=GAAP","Sort=A","Dates=H","DateFormat=P","Fill=—","Direction=H","UseDPDF=Y")</f>
        <v>66.819000000000003</v>
      </c>
      <c r="Y17" s="13">
        <f>_xll.BDH("ITCI US Equity","IS_OPER_EXPENSES_RD_GAAP","FQ4 2024","FQ4 2024","Currency=USD","Period=FQ","BEST_FPERIOD_OVERRIDE=FQ","FILING_STATUS=MR","SCALING_FORMAT=MLN","FA_ADJUSTED=GAAP","Sort=A","Dates=H","DateFormat=P","Fill=—","Direction=H","UseDPDF=Y")</f>
        <v>70.286000000000001</v>
      </c>
      <c r="Z17" s="13"/>
      <c r="AA17" s="13"/>
    </row>
    <row r="18" spans="1:27" x14ac:dyDescent="0.25">
      <c r="A18" s="10" t="s">
        <v>300</v>
      </c>
      <c r="B18" s="10" t="s">
        <v>374</v>
      </c>
      <c r="C18" s="13">
        <f>_xll.BDH("ITCI US Equity","OTHER_OPERATING_EXPENSES_RATIO","FQ2 2019","FQ2 2019","Currency=USD","Period=FQ","BEST_FPERIOD_OVERRIDE=FQ","FILING_STATUS=MR","SCALING_FORMAT=MLN","FA_ADJUSTED=GAAP","Sort=A","Dates=H","DateFormat=P","Fill=—","Direction=H","UseDPDF=Y")</f>
        <v>0</v>
      </c>
      <c r="D18" s="13">
        <f>_xll.BDH("ITCI US Equity","OTHER_OPERATING_EXPENSES_RATIO","FQ3 2019","FQ3 2019","Currency=USD","Period=FQ","BEST_FPERIOD_OVERRIDE=FQ","FILING_STATUS=MR","SCALING_FORMAT=MLN","FA_ADJUSTED=GAAP","Sort=A","Dates=H","DateFormat=P","Fill=—","Direction=H","UseDPDF=Y")</f>
        <v>0</v>
      </c>
      <c r="E18" s="13">
        <f>_xll.BDH("ITCI US Equity","OTHER_OPERATING_EXPENSES_RATIO","FQ4 2019","FQ4 2019","Currency=USD","Period=FQ","BEST_FPERIOD_OVERRIDE=FQ","FILING_STATUS=MR","SCALING_FORMAT=MLN","FA_ADJUSTED=GAAP","Sort=A","Dates=H","DateFormat=P","Fill=—","Direction=H","UseDPDF=Y")</f>
        <v>0</v>
      </c>
      <c r="F18" s="13">
        <f>_xll.BDH("ITCI US Equity","OTHER_OPERATING_EXPENSES_RATIO","FQ1 2020","FQ1 2020","Currency=USD","Period=FQ","BEST_FPERIOD_OVERRIDE=FQ","FILING_STATUS=MR","SCALING_FORMAT=MLN","FA_ADJUSTED=GAAP","Sort=A","Dates=H","DateFormat=P","Fill=—","Direction=H","UseDPDF=Y")</f>
        <v>0</v>
      </c>
      <c r="G18" s="13">
        <f>_xll.BDH("ITCI US Equity","OTHER_OPERATING_EXPENSES_RATIO","FQ2 2020","FQ2 2020","Currency=USD","Period=FQ","BEST_FPERIOD_OVERRIDE=FQ","FILING_STATUS=MR","SCALING_FORMAT=MLN","FA_ADJUSTED=GAAP","Sort=A","Dates=H","DateFormat=P","Fill=—","Direction=H","UseDPDF=Y")</f>
        <v>0</v>
      </c>
      <c r="H18" s="13">
        <f>_xll.BDH("ITCI US Equity","OTHER_OPERATING_EXPENSES_RATIO","FQ3 2020","FQ3 2020","Currency=USD","Period=FQ","BEST_FPERIOD_OVERRIDE=FQ","FILING_STATUS=MR","SCALING_FORMAT=MLN","FA_ADJUSTED=GAAP","Sort=A","Dates=H","DateFormat=P","Fill=—","Direction=H","UseDPDF=Y")</f>
        <v>0</v>
      </c>
      <c r="I18" s="13">
        <f>_xll.BDH("ITCI US Equity","OTHER_OPERATING_EXPENSES_RATIO","FQ4 2020","FQ4 2020","Currency=USD","Period=FQ","BEST_FPERIOD_OVERRIDE=FQ","FILING_STATUS=MR","SCALING_FORMAT=MLN","FA_ADJUSTED=GAAP","Sort=A","Dates=H","DateFormat=P","Fill=—","Direction=H","UseDPDF=Y")</f>
        <v>0</v>
      </c>
      <c r="J18" s="13">
        <f>_xll.BDH("ITCI US Equity","OTHER_OPERATING_EXPENSES_RATIO","FQ1 2021","FQ1 2021","Currency=USD","Period=FQ","BEST_FPERIOD_OVERRIDE=FQ","FILING_STATUS=MR","SCALING_FORMAT=MLN","FA_ADJUSTED=GAAP","Sort=A","Dates=H","DateFormat=P","Fill=—","Direction=H","UseDPDF=Y")</f>
        <v>0</v>
      </c>
      <c r="K18" s="13">
        <f>_xll.BDH("ITCI US Equity","OTHER_OPERATING_EXPENSES_RATIO","FQ2 2021","FQ2 2021","Currency=USD","Period=FQ","BEST_FPERIOD_OVERRIDE=FQ","FILING_STATUS=MR","SCALING_FORMAT=MLN","FA_ADJUSTED=GAAP","Sort=A","Dates=H","DateFormat=P","Fill=—","Direction=H","UseDPDF=Y")</f>
        <v>0</v>
      </c>
      <c r="L18" s="13">
        <f>_xll.BDH("ITCI US Equity","OTHER_OPERATING_EXPENSES_RATIO","FQ3 2021","FQ3 2021","Currency=USD","Period=FQ","BEST_FPERIOD_OVERRIDE=FQ","FILING_STATUS=MR","SCALING_FORMAT=MLN","FA_ADJUSTED=GAAP","Sort=A","Dates=H","DateFormat=P","Fill=—","Direction=H","UseDPDF=Y")</f>
        <v>0</v>
      </c>
      <c r="M18" s="13">
        <f>_xll.BDH("ITCI US Equity","OTHER_OPERATING_EXPENSES_RATIO","FQ4 2021","FQ4 2021","Currency=USD","Period=FQ","BEST_FPERIOD_OVERRIDE=FQ","FILING_STATUS=MR","SCALING_FORMAT=MLN","FA_ADJUSTED=GAAP","Sort=A","Dates=H","DateFormat=P","Fill=—","Direction=H","UseDPDF=Y")</f>
        <v>0</v>
      </c>
      <c r="N18" s="13">
        <f>_xll.BDH("ITCI US Equity","OTHER_OPERATING_EXPENSES_RATIO","FQ1 2022","FQ1 2022","Currency=USD","Period=FQ","BEST_FPERIOD_OVERRIDE=FQ","FILING_STATUS=MR","SCALING_FORMAT=MLN","FA_ADJUSTED=GAAP","Sort=A","Dates=H","DateFormat=P","Fill=—","Direction=H","UseDPDF=Y")</f>
        <v>0</v>
      </c>
      <c r="O18" s="13">
        <f>_xll.BDH("ITCI US Equity","OTHER_OPERATING_EXPENSES_RATIO","FQ2 2022","FQ2 2022","Currency=USD","Period=FQ","BEST_FPERIOD_OVERRIDE=FQ","FILING_STATUS=MR","SCALING_FORMAT=MLN","FA_ADJUSTED=GAAP","Sort=A","Dates=H","DateFormat=P","Fill=—","Direction=H","UseDPDF=Y")</f>
        <v>0</v>
      </c>
      <c r="P18" s="13">
        <f>_xll.BDH("ITCI US Equity","OTHER_OPERATING_EXPENSES_RATIO","FQ3 2022","FQ3 2022","Currency=USD","Period=FQ","BEST_FPERIOD_OVERRIDE=FQ","FILING_STATUS=MR","SCALING_FORMAT=MLN","FA_ADJUSTED=GAAP","Sort=A","Dates=H","DateFormat=P","Fill=—","Direction=H","UseDPDF=Y")</f>
        <v>0</v>
      </c>
      <c r="Q18" s="13">
        <f>_xll.BDH("ITCI US Equity","OTHER_OPERATING_EXPENSES_RATIO","FQ4 2022","FQ4 2022","Currency=USD","Period=FQ","BEST_FPERIOD_OVERRIDE=FQ","FILING_STATUS=MR","SCALING_FORMAT=MLN","FA_ADJUSTED=GAAP","Sort=A","Dates=H","DateFormat=P","Fill=—","Direction=H","UseDPDF=Y")</f>
        <v>0</v>
      </c>
      <c r="R18" s="13">
        <f>_xll.BDH("ITCI US Equity","OTHER_OPERATING_EXPENSES_RATIO","FQ1 2023","FQ1 2023","Currency=USD","Period=FQ","BEST_FPERIOD_OVERRIDE=FQ","FILING_STATUS=MR","SCALING_FORMAT=MLN","FA_ADJUSTED=GAAP","Sort=A","Dates=H","DateFormat=P","Fill=—","Direction=H","UseDPDF=Y")</f>
        <v>0</v>
      </c>
      <c r="S18" s="13">
        <f>_xll.BDH("ITCI US Equity","OTHER_OPERATING_EXPENSES_RATIO","FQ2 2023","FQ2 2023","Currency=USD","Period=FQ","BEST_FPERIOD_OVERRIDE=FQ","FILING_STATUS=MR","SCALING_FORMAT=MLN","FA_ADJUSTED=GAAP","Sort=A","Dates=H","DateFormat=P","Fill=—","Direction=H","UseDPDF=Y")</f>
        <v>0</v>
      </c>
      <c r="T18" s="13">
        <f>_xll.BDH("ITCI US Equity","OTHER_OPERATING_EXPENSES_RATIO","FQ3 2023","FQ3 2023","Currency=USD","Period=FQ","BEST_FPERIOD_OVERRIDE=FQ","FILING_STATUS=MR","SCALING_FORMAT=MLN","FA_ADJUSTED=GAAP","Sort=A","Dates=H","DateFormat=P","Fill=—","Direction=H","UseDPDF=Y")</f>
        <v>0</v>
      </c>
      <c r="U18" s="13">
        <f>_xll.BDH("ITCI US Equity","OTHER_OPERATING_EXPENSES_RATIO","FQ4 2023","FQ4 2023","Currency=USD","Period=FQ","BEST_FPERIOD_OVERRIDE=FQ","FILING_STATUS=MR","SCALING_FORMAT=MLN","FA_ADJUSTED=GAAP","Sort=A","Dates=H","DateFormat=P","Fill=—","Direction=H","UseDPDF=Y")</f>
        <v>0</v>
      </c>
      <c r="V18" s="13">
        <f>_xll.BDH("ITCI US Equity","OTHER_OPERATING_EXPENSES_RATIO","FQ1 2024","FQ1 2024","Currency=USD","Period=FQ","BEST_FPERIOD_OVERRIDE=FQ","FILING_STATUS=MR","SCALING_FORMAT=MLN","FA_ADJUSTED=GAAP","Sort=A","Dates=H","DateFormat=P","Fill=—","Direction=H","UseDPDF=Y")</f>
        <v>0</v>
      </c>
      <c r="W18" s="13">
        <f>_xll.BDH("ITCI US Equity","OTHER_OPERATING_EXPENSES_RATIO","FQ2 2024","FQ2 2024","Currency=USD","Period=FQ","BEST_FPERIOD_OVERRIDE=FQ","FILING_STATUS=MR","SCALING_FORMAT=MLN","FA_ADJUSTED=GAAP","Sort=A","Dates=H","DateFormat=P","Fill=—","Direction=H","UseDPDF=Y")</f>
        <v>0</v>
      </c>
      <c r="X18" s="13">
        <f>_xll.BDH("ITCI US Equity","OTHER_OPERATING_EXPENSES_RATIO","FQ3 2024","FQ3 2024","Currency=USD","Period=FQ","BEST_FPERIOD_OVERRIDE=FQ","FILING_STATUS=MR","SCALING_FORMAT=MLN","FA_ADJUSTED=GAAP","Sort=A","Dates=H","DateFormat=P","Fill=—","Direction=H","UseDPDF=Y")</f>
        <v>0</v>
      </c>
      <c r="Y18" s="13">
        <f>_xll.BDH("ITCI US Equity","OTHER_OPERATING_EXPENSES_RATIO","FQ4 2024","FQ4 2024","Currency=USD","Period=FQ","BEST_FPERIOD_OVERRIDE=FQ","FILING_STATUS=MR","SCALING_FORMAT=MLN","FA_ADJUSTED=GAAP","Sort=A","Dates=H","DateFormat=P","Fill=—","Direction=H","UseDPDF=Y")</f>
        <v>0</v>
      </c>
      <c r="Z18" s="13"/>
      <c r="AA18" s="13"/>
    </row>
    <row r="19" spans="1:27" x14ac:dyDescent="0.25">
      <c r="A19" s="6" t="s">
        <v>302</v>
      </c>
      <c r="B19" s="6" t="s">
        <v>99</v>
      </c>
      <c r="C19" s="19">
        <f>_xll.BDH("ITCI US Equity","IS_OPER_INC","FQ2 2019","FQ2 2019","Currency=USD","Period=FQ","BEST_FPERIOD_OVERRIDE=FQ","FILING_STATUS=MR","SCALING_FORMAT=MLN","FA_ADJUSTED=GAAP","Sort=A","Dates=H","DateFormat=P","Fill=—","Direction=H","UseDPDF=Y")</f>
        <v>-39.171100000000003</v>
      </c>
      <c r="D19" s="19">
        <f>_xll.BDH("ITCI US Equity","IS_OPER_INC","FQ3 2019","FQ3 2019","Currency=USD","Period=FQ","BEST_FPERIOD_OVERRIDE=FQ","FILING_STATUS=MR","SCALING_FORMAT=MLN","FA_ADJUSTED=GAAP","Sort=A","Dates=H","DateFormat=P","Fill=—","Direction=H","UseDPDF=Y")</f>
        <v>-36.376199999999997</v>
      </c>
      <c r="E19" s="19">
        <f>_xll.BDH("ITCI US Equity","IS_OPER_INC","FQ4 2019","FQ4 2019","Currency=USD","Period=FQ","BEST_FPERIOD_OVERRIDE=FQ","FILING_STATUS=MR","SCALING_FORMAT=MLN","FA_ADJUSTED=GAAP","Sort=A","Dates=H","DateFormat=P","Fill=—","Direction=H","UseDPDF=Y")</f>
        <v>-41.768700000000003</v>
      </c>
      <c r="F19" s="19">
        <f>_xll.BDH("ITCI US Equity","IS_OPER_INC","FQ1 2020","FQ1 2020","Currency=USD","Period=FQ","BEST_FPERIOD_OVERRIDE=FQ","FILING_STATUS=MR","SCALING_FORMAT=MLN","FA_ADJUSTED=GAAP","Sort=A","Dates=H","DateFormat=P","Fill=—","Direction=H","UseDPDF=Y")</f>
        <v>-49.085500000000003</v>
      </c>
      <c r="G19" s="19">
        <f>_xll.BDH("ITCI US Equity","IS_OPER_INC","FQ2 2020","FQ2 2020","Currency=USD","Period=FQ","BEST_FPERIOD_OVERRIDE=FQ","FILING_STATUS=MR","SCALING_FORMAT=MLN","FA_ADJUSTED=GAAP","Sort=A","Dates=H","DateFormat=P","Fill=—","Direction=H","UseDPDF=Y")</f>
        <v>-64.872299999999996</v>
      </c>
      <c r="H19" s="19">
        <f>_xll.BDH("ITCI US Equity","IS_OPER_INC","FQ3 2020","FQ3 2020","Currency=USD","Period=FQ","BEST_FPERIOD_OVERRIDE=FQ","FILING_STATUS=MR","SCALING_FORMAT=MLN","FA_ADJUSTED=GAAP","Sort=A","Dates=H","DateFormat=P","Fill=—","Direction=H","UseDPDF=Y")</f>
        <v>-55.936500000000002</v>
      </c>
      <c r="I19" s="19">
        <f>_xll.BDH("ITCI US Equity","IS_OPER_INC","FQ4 2020","FQ4 2020","Currency=USD","Period=FQ","BEST_FPERIOD_OVERRIDE=FQ","FILING_STATUS=MR","SCALING_FORMAT=MLN","FA_ADJUSTED=GAAP","Sort=A","Dates=H","DateFormat=P","Fill=—","Direction=H","UseDPDF=Y")</f>
        <v>-61.333300000000001</v>
      </c>
      <c r="J19" s="19">
        <f>_xll.BDH("ITCI US Equity","IS_OPER_INC","FQ1 2021","FQ1 2021","Currency=USD","Period=FQ","BEST_FPERIOD_OVERRIDE=FQ","FILING_STATUS=MR","SCALING_FORMAT=MLN","FA_ADJUSTED=GAAP","Sort=A","Dates=H","DateFormat=P","Fill=—","Direction=H","UseDPDF=Y")</f>
        <v>-53.218699999999998</v>
      </c>
      <c r="K19" s="19">
        <f>_xll.BDH("ITCI US Equity","IS_OPER_INC","FQ2 2021","FQ2 2021","Currency=USD","Period=FQ","BEST_FPERIOD_OVERRIDE=FQ","FILING_STATUS=MR","SCALING_FORMAT=MLN","FA_ADJUSTED=GAAP","Sort=A","Dates=H","DateFormat=P","Fill=—","Direction=H","UseDPDF=Y")</f>
        <v>-69.141099999999994</v>
      </c>
      <c r="L19" s="19">
        <f>_xll.BDH("ITCI US Equity","IS_OPER_INC","FQ3 2021","FQ3 2021","Currency=USD","Period=FQ","BEST_FPERIOD_OVERRIDE=FQ","FILING_STATUS=MR","SCALING_FORMAT=MLN","FA_ADJUSTED=GAAP","Sort=A","Dates=H","DateFormat=P","Fill=—","Direction=H","UseDPDF=Y")</f>
        <v>-77.323800000000006</v>
      </c>
      <c r="M19" s="19">
        <f>_xll.BDH("ITCI US Equity","IS_OPER_INC","FQ4 2021","FQ4 2021","Currency=USD","Period=FQ","BEST_FPERIOD_OVERRIDE=FQ","FILING_STATUS=MR","SCALING_FORMAT=MLN","FA_ADJUSTED=GAAP","Sort=A","Dates=H","DateFormat=P","Fill=—","Direction=H","UseDPDF=Y")</f>
        <v>-86.004599999999996</v>
      </c>
      <c r="N19" s="19">
        <f>_xll.BDH("ITCI US Equity","IS_OPER_INC","FQ1 2022","FQ1 2022","Currency=USD","Period=FQ","BEST_FPERIOD_OVERRIDE=FQ","FILING_STATUS=MR","SCALING_FORMAT=MLN","FA_ADJUSTED=GAAP","Sort=A","Dates=H","DateFormat=P","Fill=—","Direction=H","UseDPDF=Y")</f>
        <v>-72.662000000000006</v>
      </c>
      <c r="O19" s="19">
        <f>_xll.BDH("ITCI US Equity","IS_OPER_INC","FQ2 2022","FQ2 2022","Currency=USD","Period=FQ","BEST_FPERIOD_OVERRIDE=FQ","FILING_STATUS=MR","SCALING_FORMAT=MLN","FA_ADJUSTED=GAAP","Sort=A","Dates=H","DateFormat=P","Fill=—","Direction=H","UseDPDF=Y")</f>
        <v>-87.923000000000002</v>
      </c>
      <c r="P19" s="19">
        <f>_xll.BDH("ITCI US Equity","IS_OPER_INC","FQ3 2022","FQ3 2022","Currency=USD","Period=FQ","BEST_FPERIOD_OVERRIDE=FQ","FILING_STATUS=MR","SCALING_FORMAT=MLN","FA_ADJUSTED=GAAP","Sort=A","Dates=H","DateFormat=P","Fill=—","Direction=H","UseDPDF=Y")</f>
        <v>-55.628999999999998</v>
      </c>
      <c r="Q19" s="19">
        <f>_xll.BDH("ITCI US Equity","IS_OPER_INC","FQ4 2022","FQ4 2022","Currency=USD","Period=FQ","BEST_FPERIOD_OVERRIDE=FQ","FILING_STATUS=MR","SCALING_FORMAT=MLN","FA_ADJUSTED=GAAP","Sort=A","Dates=H","DateFormat=P","Fill=—","Direction=H","UseDPDF=Y")</f>
        <v>-47.411999999999999</v>
      </c>
      <c r="R19" s="19">
        <f>_xll.BDH("ITCI US Equity","IS_OPER_INC","FQ1 2023","FQ1 2023","Currency=USD","Period=FQ","BEST_FPERIOD_OVERRIDE=FQ","FILING_STATUS=MR","SCALING_FORMAT=MLN","FA_ADJUSTED=GAAP","Sort=A","Dates=H","DateFormat=P","Fill=—","Direction=H","UseDPDF=Y")</f>
        <v>-48.392000000000003</v>
      </c>
      <c r="S19" s="19">
        <f>_xll.BDH("ITCI US Equity","IS_OPER_INC","FQ2 2023","FQ2 2023","Currency=USD","Period=FQ","BEST_FPERIOD_OVERRIDE=FQ","FILING_STATUS=MR","SCALING_FORMAT=MLN","FA_ADJUSTED=GAAP","Sort=A","Dates=H","DateFormat=P","Fill=—","Direction=H","UseDPDF=Y")</f>
        <v>-47.179000000000002</v>
      </c>
      <c r="T19" s="19">
        <f>_xll.BDH("ITCI US Equity","IS_OPER_INC","FQ3 2023","FQ3 2023","Currency=USD","Period=FQ","BEST_FPERIOD_OVERRIDE=FQ","FILING_STATUS=MR","SCALING_FORMAT=MLN","FA_ADJUSTED=GAAP","Sort=A","Dates=H","DateFormat=P","Fill=—","Direction=H","UseDPDF=Y")</f>
        <v>-29.713000000000001</v>
      </c>
      <c r="U19" s="19">
        <f>_xll.BDH("ITCI US Equity","IS_OPER_INC","FQ4 2023","FQ4 2023","Currency=USD","Period=FQ","BEST_FPERIOD_OVERRIDE=FQ","FILING_STATUS=MR","SCALING_FORMAT=MLN","FA_ADJUSTED=GAAP","Sort=A","Dates=H","DateFormat=P","Fill=—","Direction=H","UseDPDF=Y")</f>
        <v>-34.097000000000001</v>
      </c>
      <c r="V19" s="19">
        <f>_xll.BDH("ITCI US Equity","IS_OPER_INC","FQ1 2024","FQ1 2024","Currency=USD","Period=FQ","BEST_FPERIOD_OVERRIDE=FQ","FILING_STATUS=MR","SCALING_FORMAT=MLN","FA_ADJUSTED=GAAP","Sort=A","Dates=H","DateFormat=P","Fill=—","Direction=H","UseDPDF=Y")</f>
        <v>-20.952000000000002</v>
      </c>
      <c r="W19" s="19">
        <f>_xll.BDH("ITCI US Equity","IS_OPER_INC","FQ2 2024","FQ2 2024","Currency=USD","Period=FQ","BEST_FPERIOD_OVERRIDE=FQ","FILING_STATUS=MR","SCALING_FORMAT=MLN","FA_ADJUSTED=GAAP","Sort=A","Dates=H","DateFormat=P","Fill=—","Direction=H","UseDPDF=Y")</f>
        <v>-27.722999999999999</v>
      </c>
      <c r="X19" s="19">
        <f>_xll.BDH("ITCI US Equity","IS_OPER_INC","FQ3 2024","FQ3 2024","Currency=USD","Period=FQ","BEST_FPERIOD_OVERRIDE=FQ","FILING_STATUS=MR","SCALING_FORMAT=MLN","FA_ADJUSTED=GAAP","Sort=A","Dates=H","DateFormat=P","Fill=—","Direction=H","UseDPDF=Y")</f>
        <v>-38.848999999999997</v>
      </c>
      <c r="Y19" s="19">
        <f>_xll.BDH("ITCI US Equity","IS_OPER_INC","FQ4 2024","FQ4 2024","Currency=USD","Period=FQ","BEST_FPERIOD_OVERRIDE=FQ","FILING_STATUS=MR","SCALING_FORMAT=MLN","FA_ADJUSTED=GAAP","Sort=A","Dates=H","DateFormat=P","Fill=—","Direction=H","UseDPDF=Y")</f>
        <v>-29.196999999999999</v>
      </c>
      <c r="Z19" s="19">
        <v>-19.46</v>
      </c>
      <c r="AA19" s="19">
        <v>-14.603999999999999</v>
      </c>
    </row>
    <row r="20" spans="1:27" x14ac:dyDescent="0.25">
      <c r="A20" s="10" t="s">
        <v>303</v>
      </c>
      <c r="B20" s="10" t="s">
        <v>375</v>
      </c>
      <c r="C20" s="13">
        <f>_xll.BDH("ITCI US Equity","NONOP_INCOME_LOSS","FQ2 2019","FQ2 2019","Currency=USD","Period=FQ","BEST_FPERIOD_OVERRIDE=FQ","FILING_STATUS=MR","SCALING_FORMAT=MLN","FA_ADJUSTED=GAAP","Sort=A","Dates=H","DateFormat=P","Fill=—","Direction=H","UseDPDF=Y")</f>
        <v>-1.7316</v>
      </c>
      <c r="D20" s="13">
        <f>_xll.BDH("ITCI US Equity","NONOP_INCOME_LOSS","FQ3 2019","FQ3 2019","Currency=USD","Period=FQ","BEST_FPERIOD_OVERRIDE=FQ","FILING_STATUS=MR","SCALING_FORMAT=MLN","FA_ADJUSTED=GAAP","Sort=A","Dates=H","DateFormat=P","Fill=—","Direction=H","UseDPDF=Y")</f>
        <v>-1.5138</v>
      </c>
      <c r="E20" s="13">
        <f>_xll.BDH("ITCI US Equity","NONOP_INCOME_LOSS","FQ4 2019","FQ4 2019","Currency=USD","Period=FQ","BEST_FPERIOD_OVERRIDE=FQ","FILING_STATUS=MR","SCALING_FORMAT=MLN","FA_ADJUSTED=GAAP","Sort=A","Dates=H","DateFormat=P","Fill=—","Direction=H","UseDPDF=Y")</f>
        <v>-1.1858</v>
      </c>
      <c r="F20" s="13">
        <f>_xll.BDH("ITCI US Equity","NONOP_INCOME_LOSS","FQ1 2020","FQ1 2020","Currency=USD","Period=FQ","BEST_FPERIOD_OVERRIDE=FQ","FILING_STATUS=MR","SCALING_FORMAT=MLN","FA_ADJUSTED=GAAP","Sort=A","Dates=H","DateFormat=P","Fill=—","Direction=H","UseDPDF=Y")</f>
        <v>-1.6781999999999999</v>
      </c>
      <c r="G20" s="13">
        <f>_xll.BDH("ITCI US Equity","NONOP_INCOME_LOSS","FQ2 2020","FQ2 2020","Currency=USD","Period=FQ","BEST_FPERIOD_OVERRIDE=FQ","FILING_STATUS=MR","SCALING_FORMAT=MLN","FA_ADJUSTED=GAAP","Sort=A","Dates=H","DateFormat=P","Fill=—","Direction=H","UseDPDF=Y")</f>
        <v>-1.1600999999999999</v>
      </c>
      <c r="H20" s="13">
        <f>_xll.BDH("ITCI US Equity","NONOP_INCOME_LOSS","FQ3 2020","FQ3 2020","Currency=USD","Period=FQ","BEST_FPERIOD_OVERRIDE=FQ","FILING_STATUS=MR","SCALING_FORMAT=MLN","FA_ADJUSTED=GAAP","Sort=A","Dates=H","DateFormat=P","Fill=—","Direction=H","UseDPDF=Y")</f>
        <v>-0.75280000000000002</v>
      </c>
      <c r="I20" s="13">
        <f>_xll.BDH("ITCI US Equity","NONOP_INCOME_LOSS","FQ4 2020","FQ4 2020","Currency=USD","Period=FQ","BEST_FPERIOD_OVERRIDE=FQ","FILING_STATUS=MR","SCALING_FORMAT=MLN","FA_ADJUSTED=GAAP","Sort=A","Dates=H","DateFormat=P","Fill=—","Direction=H","UseDPDF=Y")</f>
        <v>-0.64439999999999997</v>
      </c>
      <c r="J20" s="13">
        <f>_xll.BDH("ITCI US Equity","NONOP_INCOME_LOSS","FQ1 2021","FQ1 2021","Currency=USD","Period=FQ","BEST_FPERIOD_OVERRIDE=FQ","FILING_STATUS=MR","SCALING_FORMAT=MLN","FA_ADJUSTED=GAAP","Sort=A","Dates=H","DateFormat=P","Fill=—","Direction=H","UseDPDF=Y")</f>
        <v>-0.48380000000000001</v>
      </c>
      <c r="K20" s="13">
        <f>_xll.BDH("ITCI US Equity","NONOP_INCOME_LOSS","FQ2 2021","FQ2 2021","Currency=USD","Period=FQ","BEST_FPERIOD_OVERRIDE=FQ","FILING_STATUS=MR","SCALING_FORMAT=MLN","FA_ADJUSTED=GAAP","Sort=A","Dates=H","DateFormat=P","Fill=—","Direction=H","UseDPDF=Y")</f>
        <v>-0.42099999999999999</v>
      </c>
      <c r="L20" s="13">
        <f>_xll.BDH("ITCI US Equity","NONOP_INCOME_LOSS","FQ3 2021","FQ3 2021","Currency=USD","Period=FQ","BEST_FPERIOD_OVERRIDE=FQ","FILING_STATUS=MR","SCALING_FORMAT=MLN","FA_ADJUSTED=GAAP","Sort=A","Dates=H","DateFormat=P","Fill=—","Direction=H","UseDPDF=Y")</f>
        <v>-0.39269999999999999</v>
      </c>
      <c r="M20" s="13">
        <f>_xll.BDH("ITCI US Equity","NONOP_INCOME_LOSS","FQ4 2021","FQ4 2021","Currency=USD","Period=FQ","BEST_FPERIOD_OVERRIDE=FQ","FILING_STATUS=MR","SCALING_FORMAT=MLN","FA_ADJUSTED=GAAP","Sort=A","Dates=H","DateFormat=P","Fill=—","Direction=H","UseDPDF=Y")</f>
        <v>-0.27060000000000001</v>
      </c>
      <c r="N20" s="13">
        <f>_xll.BDH("ITCI US Equity","NONOP_INCOME_LOSS","FQ1 2022","FQ1 2022","Currency=USD","Period=FQ","BEST_FPERIOD_OVERRIDE=FQ","FILING_STATUS=MR","SCALING_FORMAT=MLN","FA_ADJUSTED=GAAP","Sort=A","Dates=H","DateFormat=P","Fill=—","Direction=H","UseDPDF=Y")</f>
        <v>-0.54800000000000004</v>
      </c>
      <c r="O20" s="13">
        <f>_xll.BDH("ITCI US Equity","NONOP_INCOME_LOSS","FQ2 2022","FQ2 2022","Currency=USD","Period=FQ","BEST_FPERIOD_OVERRIDE=FQ","FILING_STATUS=MR","SCALING_FORMAT=MLN","FA_ADJUSTED=GAAP","Sort=A","Dates=H","DateFormat=P","Fill=—","Direction=H","UseDPDF=Y")</f>
        <v>-1.32</v>
      </c>
      <c r="P20" s="13">
        <f>_xll.BDH("ITCI US Equity","NONOP_INCOME_LOSS","FQ3 2022","FQ3 2022","Currency=USD","Period=FQ","BEST_FPERIOD_OVERRIDE=FQ","FILING_STATUS=MR","SCALING_FORMAT=MLN","FA_ADJUSTED=GAAP","Sort=A","Dates=H","DateFormat=P","Fill=—","Direction=H","UseDPDF=Y")</f>
        <v>-2.1219999999999999</v>
      </c>
      <c r="Q20" s="13">
        <f>_xll.BDH("ITCI US Equity","NONOP_INCOME_LOSS","FQ4 2022","FQ4 2022","Currency=USD","Period=FQ","BEST_FPERIOD_OVERRIDE=FQ","FILING_STATUS=MR","SCALING_FORMAT=MLN","FA_ADJUSTED=GAAP","Sort=A","Dates=H","DateFormat=P","Fill=—","Direction=H","UseDPDF=Y")</f>
        <v>-3.3860000000000001</v>
      </c>
      <c r="R20" s="13">
        <f>_xll.BDH("ITCI US Equity","NONOP_INCOME_LOSS","FQ1 2023","FQ1 2023","Currency=USD","Period=FQ","BEST_FPERIOD_OVERRIDE=FQ","FILING_STATUS=MR","SCALING_FORMAT=MLN","FA_ADJUSTED=GAAP","Sort=A","Dates=H","DateFormat=P","Fill=—","Direction=H","UseDPDF=Y")</f>
        <v>-4.3490000000000002</v>
      </c>
      <c r="S20" s="13">
        <f>_xll.BDH("ITCI US Equity","NONOP_INCOME_LOSS","FQ2 2023","FQ2 2023","Currency=USD","Period=FQ","BEST_FPERIOD_OVERRIDE=FQ","FILING_STATUS=MR","SCALING_FORMAT=MLN","FA_ADJUSTED=GAAP","Sort=A","Dates=H","DateFormat=P","Fill=—","Direction=H","UseDPDF=Y")</f>
        <v>-4.53</v>
      </c>
      <c r="T20" s="13">
        <f>_xll.BDH("ITCI US Equity","NONOP_INCOME_LOSS","FQ3 2023","FQ3 2023","Currency=USD","Period=FQ","BEST_FPERIOD_OVERRIDE=FQ","FILING_STATUS=MR","SCALING_FORMAT=MLN","FA_ADJUSTED=GAAP","Sort=A","Dates=H","DateFormat=P","Fill=—","Direction=H","UseDPDF=Y")</f>
        <v>-5.4980000000000002</v>
      </c>
      <c r="U20" s="13">
        <f>_xll.BDH("ITCI US Equity","NONOP_INCOME_LOSS","FQ4 2023","FQ4 2023","Currency=USD","Period=FQ","BEST_FPERIOD_OVERRIDE=FQ","FILING_STATUS=MR","SCALING_FORMAT=MLN","FA_ADJUSTED=GAAP","Sort=A","Dates=H","DateFormat=P","Fill=—","Direction=H","UseDPDF=Y")</f>
        <v>-5.9660000000000002</v>
      </c>
      <c r="V20" s="13">
        <f>_xll.BDH("ITCI US Equity","NONOP_INCOME_LOSS","FQ1 2024","FQ1 2024","Currency=USD","Period=FQ","BEST_FPERIOD_OVERRIDE=FQ","FILING_STATUS=MR","SCALING_FORMAT=MLN","FA_ADJUSTED=GAAP","Sort=A","Dates=H","DateFormat=P","Fill=—","Direction=H","UseDPDF=Y")</f>
        <v>-6.0640000000000001</v>
      </c>
      <c r="W20" s="13">
        <f>_xll.BDH("ITCI US Equity","NONOP_INCOME_LOSS","FQ2 2024","FQ2 2024","Currency=USD","Period=FQ","BEST_FPERIOD_OVERRIDE=FQ","FILING_STATUS=MR","SCALING_FORMAT=MLN","FA_ADJUSTED=GAAP","Sort=A","Dates=H","DateFormat=P","Fill=—","Direction=H","UseDPDF=Y")</f>
        <v>-11.56</v>
      </c>
      <c r="X20" s="13">
        <f>_xll.BDH("ITCI US Equity","NONOP_INCOME_LOSS","FQ3 2024","FQ3 2024","Currency=USD","Period=FQ","BEST_FPERIOD_OVERRIDE=FQ","FILING_STATUS=MR","SCALING_FORMAT=MLN","FA_ADJUSTED=GAAP","Sort=A","Dates=H","DateFormat=P","Fill=—","Direction=H","UseDPDF=Y")</f>
        <v>-12.898999999999999</v>
      </c>
      <c r="Y20" s="13">
        <f>_xll.BDH("ITCI US Equity","NONOP_INCOME_LOSS","FQ4 2024","FQ4 2024","Currency=USD","Period=FQ","BEST_FPERIOD_OVERRIDE=FQ","FILING_STATUS=MR","SCALING_FORMAT=MLN","FA_ADJUSTED=GAAP","Sort=A","Dates=H","DateFormat=P","Fill=—","Direction=H","UseDPDF=Y")</f>
        <v>-11.994999999999999</v>
      </c>
      <c r="Z20" s="13"/>
      <c r="AA20" s="13"/>
    </row>
    <row r="21" spans="1:27" x14ac:dyDescent="0.25">
      <c r="A21" s="10" t="s">
        <v>305</v>
      </c>
      <c r="B21" s="10" t="s">
        <v>306</v>
      </c>
      <c r="C21" s="13">
        <f>_xll.BDH("ITCI US Equity","IS_NET_INTEREST_EXPENSE","FQ2 2019","FQ2 2019","Currency=USD","Period=FQ","BEST_FPERIOD_OVERRIDE=FQ","FILING_STATUS=MR","SCALING_FORMAT=MLN","FA_ADJUSTED=GAAP","Sort=A","Dates=H","DateFormat=P","Fill=—","Direction=H","UseDPDF=Y")</f>
        <v>-1.7316</v>
      </c>
      <c r="D21" s="13">
        <f>_xll.BDH("ITCI US Equity","IS_NET_INTEREST_EXPENSE","FQ3 2019","FQ3 2019","Currency=USD","Period=FQ","BEST_FPERIOD_OVERRIDE=FQ","FILING_STATUS=MR","SCALING_FORMAT=MLN","FA_ADJUSTED=GAAP","Sort=A","Dates=H","DateFormat=P","Fill=—","Direction=H","UseDPDF=Y")</f>
        <v>-1.5138</v>
      </c>
      <c r="E21" s="13">
        <f>_xll.BDH("ITCI US Equity","IS_NET_INTEREST_EXPENSE","FQ4 2019","FQ4 2019","Currency=USD","Period=FQ","BEST_FPERIOD_OVERRIDE=FQ","FILING_STATUS=MR","SCALING_FORMAT=MLN","FA_ADJUSTED=GAAP","Sort=A","Dates=H","DateFormat=P","Fill=—","Direction=H","UseDPDF=Y")</f>
        <v>-1.1858</v>
      </c>
      <c r="F21" s="13" t="str">
        <f>_xll.BDH("ITCI US Equity","IS_NET_INTEREST_EXPENSE","FQ1 2020","FQ1 2020","Currency=USD","Period=FQ","BEST_FPERIOD_OVERRIDE=FQ","FILING_STATUS=MR","SCALING_FORMAT=MLN","FA_ADJUSTED=GAAP","Sort=A","Dates=H","DateFormat=P","Fill=—","Direction=H","UseDPDF=Y")</f>
        <v>—</v>
      </c>
      <c r="G21" s="13">
        <f>_xll.BDH("ITCI US Equity","IS_NET_INTEREST_EXPENSE","FQ2 2020","FQ2 2020","Currency=USD","Period=FQ","BEST_FPERIOD_OVERRIDE=FQ","FILING_STATUS=MR","SCALING_FORMAT=MLN","FA_ADJUSTED=GAAP","Sort=A","Dates=H","DateFormat=P","Fill=—","Direction=H","UseDPDF=Y")</f>
        <v>-1.1600999999999999</v>
      </c>
      <c r="H21" s="13">
        <f>_xll.BDH("ITCI US Equity","IS_NET_INTEREST_EXPENSE","FQ3 2020","FQ3 2020","Currency=USD","Period=FQ","BEST_FPERIOD_OVERRIDE=FQ","FILING_STATUS=MR","SCALING_FORMAT=MLN","FA_ADJUSTED=GAAP","Sort=A","Dates=H","DateFormat=P","Fill=—","Direction=H","UseDPDF=Y")</f>
        <v>-0.75280000000000002</v>
      </c>
      <c r="I21" s="13">
        <f>_xll.BDH("ITCI US Equity","IS_NET_INTEREST_EXPENSE","FQ4 2020","FQ4 2020","Currency=USD","Period=FQ","BEST_FPERIOD_OVERRIDE=FQ","FILING_STATUS=MR","SCALING_FORMAT=MLN","FA_ADJUSTED=GAAP","Sort=A","Dates=H","DateFormat=P","Fill=—","Direction=H","UseDPDF=Y")</f>
        <v>-0.64439999999999997</v>
      </c>
      <c r="J21" s="13" t="str">
        <f>_xll.BDH("ITCI US Equity","IS_NET_INTEREST_EXPENSE","FQ1 2021","FQ1 2021","Currency=USD","Period=FQ","BEST_FPERIOD_OVERRIDE=FQ","FILING_STATUS=MR","SCALING_FORMAT=MLN","FA_ADJUSTED=GAAP","Sort=A","Dates=H","DateFormat=P","Fill=—","Direction=H","UseDPDF=Y")</f>
        <v>—</v>
      </c>
      <c r="K21" s="13" t="str">
        <f>_xll.BDH("ITCI US Equity","IS_NET_INTEREST_EXPENSE","FQ2 2021","FQ2 2021","Currency=USD","Period=FQ","BEST_FPERIOD_OVERRIDE=FQ","FILING_STATUS=MR","SCALING_FORMAT=MLN","FA_ADJUSTED=GAAP","Sort=A","Dates=H","DateFormat=P","Fill=—","Direction=H","UseDPDF=Y")</f>
        <v>—</v>
      </c>
      <c r="L21" s="13" t="str">
        <f>_xll.BDH("ITCI US Equity","IS_NET_INTEREST_EXPENSE","FQ3 2021","FQ3 2021","Currency=USD","Period=FQ","BEST_FPERIOD_OVERRIDE=FQ","FILING_STATUS=MR","SCALING_FORMAT=MLN","FA_ADJUSTED=GAAP","Sort=A","Dates=H","DateFormat=P","Fill=—","Direction=H","UseDPDF=Y")</f>
        <v>—</v>
      </c>
      <c r="M21" s="13">
        <f>_xll.BDH("ITCI US Equity","IS_NET_INTEREST_EXPENSE","FQ4 2021","FQ4 2021","Currency=USD","Period=FQ","BEST_FPERIOD_OVERRIDE=FQ","FILING_STATUS=MR","SCALING_FORMAT=MLN","FA_ADJUSTED=GAAP","Sort=A","Dates=H","DateFormat=P","Fill=—","Direction=H","UseDPDF=Y")</f>
        <v>-0.27060000000000001</v>
      </c>
      <c r="N21" s="13" t="str">
        <f>_xll.BDH("ITCI US Equity","IS_NET_INTEREST_EXPENSE","FQ1 2022","FQ1 2022","Currency=USD","Period=FQ","BEST_FPERIOD_OVERRIDE=FQ","FILING_STATUS=MR","SCALING_FORMAT=MLN","FA_ADJUSTED=GAAP","Sort=A","Dates=H","DateFormat=P","Fill=—","Direction=H","UseDPDF=Y")</f>
        <v>—</v>
      </c>
      <c r="O21" s="13">
        <f>_xll.BDH("ITCI US Equity","IS_NET_INTEREST_EXPENSE","FQ2 2022","FQ2 2022","Currency=USD","Period=FQ","BEST_FPERIOD_OVERRIDE=FQ","FILING_STATUS=MR","SCALING_FORMAT=MLN","FA_ADJUSTED=GAAP","Sort=A","Dates=H","DateFormat=P","Fill=—","Direction=H","UseDPDF=Y")</f>
        <v>-1.32</v>
      </c>
      <c r="P21" s="13" t="str">
        <f>_xll.BDH("ITCI US Equity","IS_NET_INTEREST_EXPENSE","FQ3 2022","FQ3 2022","Currency=USD","Period=FQ","BEST_FPERIOD_OVERRIDE=FQ","FILING_STATUS=MR","SCALING_FORMAT=MLN","FA_ADJUSTED=GAAP","Sort=A","Dates=H","DateFormat=P","Fill=—","Direction=H","UseDPDF=Y")</f>
        <v>—</v>
      </c>
      <c r="Q21" s="13">
        <f>_xll.BDH("ITCI US Equity","IS_NET_INTEREST_EXPENSE","FQ4 2022","FQ4 2022","Currency=USD","Period=FQ","BEST_FPERIOD_OVERRIDE=FQ","FILING_STATUS=MR","SCALING_FORMAT=MLN","FA_ADJUSTED=GAAP","Sort=A","Dates=H","DateFormat=P","Fill=—","Direction=H","UseDPDF=Y")</f>
        <v>-3.3860000000000001</v>
      </c>
      <c r="R21" s="13" t="str">
        <f>_xll.BDH("ITCI US Equity","IS_NET_INTEREST_EXPENSE","FQ1 2023","FQ1 2023","Currency=USD","Period=FQ","BEST_FPERIOD_OVERRIDE=FQ","FILING_STATUS=MR","SCALING_FORMAT=MLN","FA_ADJUSTED=GAAP","Sort=A","Dates=H","DateFormat=P","Fill=—","Direction=H","UseDPDF=Y")</f>
        <v>—</v>
      </c>
      <c r="S21" s="13" t="str">
        <f>_xll.BDH("ITCI US Equity","IS_NET_INTEREST_EXPENSE","FQ2 2023","FQ2 2023","Currency=USD","Period=FQ","BEST_FPERIOD_OVERRIDE=FQ","FILING_STATUS=MR","SCALING_FORMAT=MLN","FA_ADJUSTED=GAAP","Sort=A","Dates=H","DateFormat=P","Fill=—","Direction=H","UseDPDF=Y")</f>
        <v>—</v>
      </c>
      <c r="T21" s="13" t="str">
        <f>_xll.BDH("ITCI US Equity","IS_NET_INTEREST_EXPENSE","FQ3 2023","FQ3 2023","Currency=USD","Period=FQ","BEST_FPERIOD_OVERRIDE=FQ","FILING_STATUS=MR","SCALING_FORMAT=MLN","FA_ADJUSTED=GAAP","Sort=A","Dates=H","DateFormat=P","Fill=—","Direction=H","UseDPDF=Y")</f>
        <v>—</v>
      </c>
      <c r="U21" s="13">
        <f>_xll.BDH("ITCI US Equity","IS_NET_INTEREST_EXPENSE","FQ4 2023","FQ4 2023","Currency=USD","Period=FQ","BEST_FPERIOD_OVERRIDE=FQ","FILING_STATUS=MR","SCALING_FORMAT=MLN","FA_ADJUSTED=GAAP","Sort=A","Dates=H","DateFormat=P","Fill=—","Direction=H","UseDPDF=Y")</f>
        <v>-5.9660000000000002</v>
      </c>
      <c r="V21" s="13" t="str">
        <f>_xll.BDH("ITCI US Equity","IS_NET_INTEREST_EXPENSE","FQ1 2024","FQ1 2024","Currency=USD","Period=FQ","BEST_FPERIOD_OVERRIDE=FQ","FILING_STATUS=MR","SCALING_FORMAT=MLN","FA_ADJUSTED=GAAP","Sort=A","Dates=H","DateFormat=P","Fill=—","Direction=H","UseDPDF=Y")</f>
        <v>—</v>
      </c>
      <c r="W21" s="13" t="str">
        <f>_xll.BDH("ITCI US Equity","IS_NET_INTEREST_EXPENSE","FQ2 2024","FQ2 2024","Currency=USD","Period=FQ","BEST_FPERIOD_OVERRIDE=FQ","FILING_STATUS=MR","SCALING_FORMAT=MLN","FA_ADJUSTED=GAAP","Sort=A","Dates=H","DateFormat=P","Fill=—","Direction=H","UseDPDF=Y")</f>
        <v>—</v>
      </c>
      <c r="X21" s="13" t="str">
        <f>_xll.BDH("ITCI US Equity","IS_NET_INTEREST_EXPENSE","FQ3 2024","FQ3 2024","Currency=USD","Period=FQ","BEST_FPERIOD_OVERRIDE=FQ","FILING_STATUS=MR","SCALING_FORMAT=MLN","FA_ADJUSTED=GAAP","Sort=A","Dates=H","DateFormat=P","Fill=—","Direction=H","UseDPDF=Y")</f>
        <v>—</v>
      </c>
      <c r="Y21" s="13">
        <f>_xll.BDH("ITCI US Equity","IS_NET_INTEREST_EXPENSE","FQ4 2024","FQ4 2024","Currency=USD","Period=FQ","BEST_FPERIOD_OVERRIDE=FQ","FILING_STATUS=MR","SCALING_FORMAT=MLN","FA_ADJUSTED=GAAP","Sort=A","Dates=H","DateFormat=P","Fill=—","Direction=H","UseDPDF=Y")</f>
        <v>-11.994999999999999</v>
      </c>
      <c r="Z21" s="13"/>
      <c r="AA21" s="13"/>
    </row>
    <row r="22" spans="1:27" x14ac:dyDescent="0.25">
      <c r="A22" s="11" t="s">
        <v>307</v>
      </c>
      <c r="B22" s="11" t="s">
        <v>308</v>
      </c>
      <c r="C22" s="25">
        <f>_xll.BDH("ITCI US Equity","IS_INT_EXPENSE","FQ2 2019","FQ2 2019","Currency=USD","Period=FQ","BEST_FPERIOD_OVERRIDE=FQ","FILING_STATUS=MR","SCALING_FORMAT=MLN","FA_ADJUSTED=GAAP","Sort=A","Dates=H","DateFormat=P","Fill=—","Direction=H","UseDPDF=Y")</f>
        <v>0</v>
      </c>
      <c r="D22" s="25">
        <f>_xll.BDH("ITCI US Equity","IS_INT_EXPENSE","FQ3 2019","FQ3 2019","Currency=USD","Period=FQ","BEST_FPERIOD_OVERRIDE=FQ","FILING_STATUS=MR","SCALING_FORMAT=MLN","FA_ADJUSTED=GAAP","Sort=A","Dates=H","DateFormat=P","Fill=—","Direction=H","UseDPDF=Y")</f>
        <v>0</v>
      </c>
      <c r="E22" s="25">
        <f>_xll.BDH("ITCI US Equity","IS_INT_EXPENSE","FQ4 2019","FQ4 2019","Currency=USD","Period=FQ","BEST_FPERIOD_OVERRIDE=FQ","FILING_STATUS=MR","SCALING_FORMAT=MLN","FA_ADJUSTED=GAAP","Sort=A","Dates=H","DateFormat=P","Fill=—","Direction=H","UseDPDF=Y")</f>
        <v>0</v>
      </c>
      <c r="F22" s="25" t="str">
        <f>_xll.BDH("ITCI US Equity","IS_INT_EXPENSE","FQ1 2020","FQ1 2020","Currency=USD","Period=FQ","BEST_FPERIOD_OVERRIDE=FQ","FILING_STATUS=MR","SCALING_FORMAT=MLN","FA_ADJUSTED=GAAP","Sort=A","Dates=H","DateFormat=P","Fill=—","Direction=H","UseDPDF=Y")</f>
        <v>—</v>
      </c>
      <c r="G22" s="25">
        <f>_xll.BDH("ITCI US Equity","IS_INT_EXPENSE","FQ2 2020","FQ2 2020","Currency=USD","Period=FQ","BEST_FPERIOD_OVERRIDE=FQ","FILING_STATUS=MR","SCALING_FORMAT=MLN","FA_ADJUSTED=GAAP","Sort=A","Dates=H","DateFormat=P","Fill=—","Direction=H","UseDPDF=Y")</f>
        <v>0</v>
      </c>
      <c r="H22" s="25">
        <f>_xll.BDH("ITCI US Equity","IS_INT_EXPENSE","FQ3 2020","FQ3 2020","Currency=USD","Period=FQ","BEST_FPERIOD_OVERRIDE=FQ","FILING_STATUS=MR","SCALING_FORMAT=MLN","FA_ADJUSTED=GAAP","Sort=A","Dates=H","DateFormat=P","Fill=—","Direction=H","UseDPDF=Y")</f>
        <v>0</v>
      </c>
      <c r="I22" s="25">
        <f>_xll.BDH("ITCI US Equity","IS_INT_EXPENSE","FQ4 2020","FQ4 2020","Currency=USD","Period=FQ","BEST_FPERIOD_OVERRIDE=FQ","FILING_STATUS=MR","SCALING_FORMAT=MLN","FA_ADJUSTED=GAAP","Sort=A","Dates=H","DateFormat=P","Fill=—","Direction=H","UseDPDF=Y")</f>
        <v>0</v>
      </c>
      <c r="J22" s="25" t="str">
        <f>_xll.BDH("ITCI US Equity","IS_INT_EXPENSE","FQ1 2021","FQ1 2021","Currency=USD","Period=FQ","BEST_FPERIOD_OVERRIDE=FQ","FILING_STATUS=MR","SCALING_FORMAT=MLN","FA_ADJUSTED=GAAP","Sort=A","Dates=H","DateFormat=P","Fill=—","Direction=H","UseDPDF=Y")</f>
        <v>—</v>
      </c>
      <c r="K22" s="25" t="str">
        <f>_xll.BDH("ITCI US Equity","IS_INT_EXPENSE","FQ2 2021","FQ2 2021","Currency=USD","Period=FQ","BEST_FPERIOD_OVERRIDE=FQ","FILING_STATUS=MR","SCALING_FORMAT=MLN","FA_ADJUSTED=GAAP","Sort=A","Dates=H","DateFormat=P","Fill=—","Direction=H","UseDPDF=Y")</f>
        <v>—</v>
      </c>
      <c r="L22" s="25" t="str">
        <f>_xll.BDH("ITCI US Equity","IS_INT_EXPENSE","FQ3 2021","FQ3 2021","Currency=USD","Period=FQ","BEST_FPERIOD_OVERRIDE=FQ","FILING_STATUS=MR","SCALING_FORMAT=MLN","FA_ADJUSTED=GAAP","Sort=A","Dates=H","DateFormat=P","Fill=—","Direction=H","UseDPDF=Y")</f>
        <v>—</v>
      </c>
      <c r="M22" s="25">
        <f>_xll.BDH("ITCI US Equity","IS_INT_EXPENSE","FQ4 2021","FQ4 2021","Currency=USD","Period=FQ","BEST_FPERIOD_OVERRIDE=FQ","FILING_STATUS=MR","SCALING_FORMAT=MLN","FA_ADJUSTED=GAAP","Sort=A","Dates=H","DateFormat=P","Fill=—","Direction=H","UseDPDF=Y")</f>
        <v>0</v>
      </c>
      <c r="N22" s="25" t="str">
        <f>_xll.BDH("ITCI US Equity","IS_INT_EXPENSE","FQ1 2022","FQ1 2022","Currency=USD","Period=FQ","BEST_FPERIOD_OVERRIDE=FQ","FILING_STATUS=MR","SCALING_FORMAT=MLN","FA_ADJUSTED=GAAP","Sort=A","Dates=H","DateFormat=P","Fill=—","Direction=H","UseDPDF=Y")</f>
        <v>—</v>
      </c>
      <c r="O22" s="25">
        <f>_xll.BDH("ITCI US Equity","IS_INT_EXPENSE","FQ2 2022","FQ2 2022","Currency=USD","Period=FQ","BEST_FPERIOD_OVERRIDE=FQ","FILING_STATUS=MR","SCALING_FORMAT=MLN","FA_ADJUSTED=GAAP","Sort=A","Dates=H","DateFormat=P","Fill=—","Direction=H","UseDPDF=Y")</f>
        <v>0</v>
      </c>
      <c r="P22" s="25" t="str">
        <f>_xll.BDH("ITCI US Equity","IS_INT_EXPENSE","FQ3 2022","FQ3 2022","Currency=USD","Period=FQ","BEST_FPERIOD_OVERRIDE=FQ","FILING_STATUS=MR","SCALING_FORMAT=MLN","FA_ADJUSTED=GAAP","Sort=A","Dates=H","DateFormat=P","Fill=—","Direction=H","UseDPDF=Y")</f>
        <v>—</v>
      </c>
      <c r="Q22" s="25">
        <f>_xll.BDH("ITCI US Equity","IS_INT_EXPENSE","FQ4 2022","FQ4 2022","Currency=USD","Period=FQ","BEST_FPERIOD_OVERRIDE=FQ","FILING_STATUS=MR","SCALING_FORMAT=MLN","FA_ADJUSTED=GAAP","Sort=A","Dates=H","DateFormat=P","Fill=—","Direction=H","UseDPDF=Y")</f>
        <v>0</v>
      </c>
      <c r="R22" s="25" t="str">
        <f>_xll.BDH("ITCI US Equity","IS_INT_EXPENSE","FQ1 2023","FQ1 2023","Currency=USD","Period=FQ","BEST_FPERIOD_OVERRIDE=FQ","FILING_STATUS=MR","SCALING_FORMAT=MLN","FA_ADJUSTED=GAAP","Sort=A","Dates=H","DateFormat=P","Fill=—","Direction=H","UseDPDF=Y")</f>
        <v>—</v>
      </c>
      <c r="S22" s="25" t="str">
        <f>_xll.BDH("ITCI US Equity","IS_INT_EXPENSE","FQ2 2023","FQ2 2023","Currency=USD","Period=FQ","BEST_FPERIOD_OVERRIDE=FQ","FILING_STATUS=MR","SCALING_FORMAT=MLN","FA_ADJUSTED=GAAP","Sort=A","Dates=H","DateFormat=P","Fill=—","Direction=H","UseDPDF=Y")</f>
        <v>—</v>
      </c>
      <c r="T22" s="25" t="str">
        <f>_xll.BDH("ITCI US Equity","IS_INT_EXPENSE","FQ3 2023","FQ3 2023","Currency=USD","Period=FQ","BEST_FPERIOD_OVERRIDE=FQ","FILING_STATUS=MR","SCALING_FORMAT=MLN","FA_ADJUSTED=GAAP","Sort=A","Dates=H","DateFormat=P","Fill=—","Direction=H","UseDPDF=Y")</f>
        <v>—</v>
      </c>
      <c r="U22" s="25">
        <f>_xll.BDH("ITCI US Equity","IS_INT_EXPENSE","FQ4 2023","FQ4 2023","Currency=USD","Period=FQ","BEST_FPERIOD_OVERRIDE=FQ","FILING_STATUS=MR","SCALING_FORMAT=MLN","FA_ADJUSTED=GAAP","Sort=A","Dates=H","DateFormat=P","Fill=—","Direction=H","UseDPDF=Y")</f>
        <v>0</v>
      </c>
      <c r="V22" s="25" t="str">
        <f>_xll.BDH("ITCI US Equity","IS_INT_EXPENSE","FQ1 2024","FQ1 2024","Currency=USD","Period=FQ","BEST_FPERIOD_OVERRIDE=FQ","FILING_STATUS=MR","SCALING_FORMAT=MLN","FA_ADJUSTED=GAAP","Sort=A","Dates=H","DateFormat=P","Fill=—","Direction=H","UseDPDF=Y")</f>
        <v>—</v>
      </c>
      <c r="W22" s="25" t="str">
        <f>_xll.BDH("ITCI US Equity","IS_INT_EXPENSE","FQ2 2024","FQ2 2024","Currency=USD","Period=FQ","BEST_FPERIOD_OVERRIDE=FQ","FILING_STATUS=MR","SCALING_FORMAT=MLN","FA_ADJUSTED=GAAP","Sort=A","Dates=H","DateFormat=P","Fill=—","Direction=H","UseDPDF=Y")</f>
        <v>—</v>
      </c>
      <c r="X22" s="25" t="str">
        <f>_xll.BDH("ITCI US Equity","IS_INT_EXPENSE","FQ3 2024","FQ3 2024","Currency=USD","Period=FQ","BEST_FPERIOD_OVERRIDE=FQ","FILING_STATUS=MR","SCALING_FORMAT=MLN","FA_ADJUSTED=GAAP","Sort=A","Dates=H","DateFormat=P","Fill=—","Direction=H","UseDPDF=Y")</f>
        <v>—</v>
      </c>
      <c r="Y22" s="25">
        <f>_xll.BDH("ITCI US Equity","IS_INT_EXPENSE","FQ4 2024","FQ4 2024","Currency=USD","Period=FQ","BEST_FPERIOD_OVERRIDE=FQ","FILING_STATUS=MR","SCALING_FORMAT=MLN","FA_ADJUSTED=GAAP","Sort=A","Dates=H","DateFormat=P","Fill=—","Direction=H","UseDPDF=Y")</f>
        <v>0</v>
      </c>
      <c r="Z22" s="25"/>
      <c r="AA22" s="25"/>
    </row>
    <row r="23" spans="1:27" x14ac:dyDescent="0.25">
      <c r="A23" s="11" t="s">
        <v>309</v>
      </c>
      <c r="B23" s="11" t="s">
        <v>310</v>
      </c>
      <c r="C23" s="25">
        <f>_xll.BDH("ITCI US Equity","IS_INT_INC","FQ2 2019","FQ2 2019","Currency=USD","Period=FQ","BEST_FPERIOD_OVERRIDE=FQ","FILING_STATUS=MR","SCALING_FORMAT=MLN","FA_ADJUSTED=GAAP","Sort=A","Dates=H","DateFormat=P","Fill=—","Direction=H","UseDPDF=Y")</f>
        <v>1.7316</v>
      </c>
      <c r="D23" s="25">
        <f>_xll.BDH("ITCI US Equity","IS_INT_INC","FQ3 2019","FQ3 2019","Currency=USD","Period=FQ","BEST_FPERIOD_OVERRIDE=FQ","FILING_STATUS=MR","SCALING_FORMAT=MLN","FA_ADJUSTED=GAAP","Sort=A","Dates=H","DateFormat=P","Fill=—","Direction=H","UseDPDF=Y")</f>
        <v>1.5138</v>
      </c>
      <c r="E23" s="25">
        <f>_xll.BDH("ITCI US Equity","IS_INT_INC","FQ4 2019","FQ4 2019","Currency=USD","Period=FQ","BEST_FPERIOD_OVERRIDE=FQ","FILING_STATUS=MR","SCALING_FORMAT=MLN","FA_ADJUSTED=GAAP","Sort=A","Dates=H","DateFormat=P","Fill=—","Direction=H","UseDPDF=Y")</f>
        <v>1.1858</v>
      </c>
      <c r="F23" s="25">
        <f>_xll.BDH("ITCI US Equity","IS_INT_INC","FQ1 2020","FQ1 2020","Currency=USD","Period=FQ","BEST_FPERIOD_OVERRIDE=FQ","FILING_STATUS=MR","SCALING_FORMAT=MLN","FA_ADJUSTED=GAAP","Sort=A","Dates=H","DateFormat=P","Fill=—","Direction=H","UseDPDF=Y")</f>
        <v>1.6781999999999999</v>
      </c>
      <c r="G23" s="25">
        <f>_xll.BDH("ITCI US Equity","IS_INT_INC","FQ2 2020","FQ2 2020","Currency=USD","Period=FQ","BEST_FPERIOD_OVERRIDE=FQ","FILING_STATUS=MR","SCALING_FORMAT=MLN","FA_ADJUSTED=GAAP","Sort=A","Dates=H","DateFormat=P","Fill=—","Direction=H","UseDPDF=Y")</f>
        <v>1.1600999999999999</v>
      </c>
      <c r="H23" s="25">
        <f>_xll.BDH("ITCI US Equity","IS_INT_INC","FQ3 2020","FQ3 2020","Currency=USD","Period=FQ","BEST_FPERIOD_OVERRIDE=FQ","FILING_STATUS=MR","SCALING_FORMAT=MLN","FA_ADJUSTED=GAAP","Sort=A","Dates=H","DateFormat=P","Fill=—","Direction=H","UseDPDF=Y")</f>
        <v>0.75280000000000002</v>
      </c>
      <c r="I23" s="25">
        <f>_xll.BDH("ITCI US Equity","IS_INT_INC","FQ4 2020","FQ4 2020","Currency=USD","Period=FQ","BEST_FPERIOD_OVERRIDE=FQ","FILING_STATUS=MR","SCALING_FORMAT=MLN","FA_ADJUSTED=GAAP","Sort=A","Dates=H","DateFormat=P","Fill=—","Direction=H","UseDPDF=Y")</f>
        <v>0.64439999999999997</v>
      </c>
      <c r="J23" s="25">
        <f>_xll.BDH("ITCI US Equity","IS_INT_INC","FQ1 2021","FQ1 2021","Currency=USD","Period=FQ","BEST_FPERIOD_OVERRIDE=FQ","FILING_STATUS=MR","SCALING_FORMAT=MLN","FA_ADJUSTED=GAAP","Sort=A","Dates=H","DateFormat=P","Fill=—","Direction=H","UseDPDF=Y")</f>
        <v>0.48380000000000001</v>
      </c>
      <c r="K23" s="25">
        <f>_xll.BDH("ITCI US Equity","IS_INT_INC","FQ2 2021","FQ2 2021","Currency=USD","Period=FQ","BEST_FPERIOD_OVERRIDE=FQ","FILING_STATUS=MR","SCALING_FORMAT=MLN","FA_ADJUSTED=GAAP","Sort=A","Dates=H","DateFormat=P","Fill=—","Direction=H","UseDPDF=Y")</f>
        <v>0.42099999999999999</v>
      </c>
      <c r="L23" s="25">
        <f>_xll.BDH("ITCI US Equity","IS_INT_INC","FQ3 2021","FQ3 2021","Currency=USD","Period=FQ","BEST_FPERIOD_OVERRIDE=FQ","FILING_STATUS=MR","SCALING_FORMAT=MLN","FA_ADJUSTED=GAAP","Sort=A","Dates=H","DateFormat=P","Fill=—","Direction=H","UseDPDF=Y")</f>
        <v>0.39269999999999999</v>
      </c>
      <c r="M23" s="25">
        <f>_xll.BDH("ITCI US Equity","IS_INT_INC","FQ4 2021","FQ4 2021","Currency=USD","Period=FQ","BEST_FPERIOD_OVERRIDE=FQ","FILING_STATUS=MR","SCALING_FORMAT=MLN","FA_ADJUSTED=GAAP","Sort=A","Dates=H","DateFormat=P","Fill=—","Direction=H","UseDPDF=Y")</f>
        <v>0.27060000000000001</v>
      </c>
      <c r="N23" s="25">
        <f>_xll.BDH("ITCI US Equity","IS_INT_INC","FQ1 2022","FQ1 2022","Currency=USD","Period=FQ","BEST_FPERIOD_OVERRIDE=FQ","FILING_STATUS=MR","SCALING_FORMAT=MLN","FA_ADJUSTED=GAAP","Sort=A","Dates=H","DateFormat=P","Fill=—","Direction=H","UseDPDF=Y")</f>
        <v>0.54800000000000004</v>
      </c>
      <c r="O23" s="25">
        <f>_xll.BDH("ITCI US Equity","IS_INT_INC","FQ2 2022","FQ2 2022","Currency=USD","Period=FQ","BEST_FPERIOD_OVERRIDE=FQ","FILING_STATUS=MR","SCALING_FORMAT=MLN","FA_ADJUSTED=GAAP","Sort=A","Dates=H","DateFormat=P","Fill=—","Direction=H","UseDPDF=Y")</f>
        <v>1.32</v>
      </c>
      <c r="P23" s="25">
        <f>_xll.BDH("ITCI US Equity","IS_INT_INC","FQ3 2022","FQ3 2022","Currency=USD","Period=FQ","BEST_FPERIOD_OVERRIDE=FQ","FILING_STATUS=MR","SCALING_FORMAT=MLN","FA_ADJUSTED=GAAP","Sort=A","Dates=H","DateFormat=P","Fill=—","Direction=H","UseDPDF=Y")</f>
        <v>2.1219999999999999</v>
      </c>
      <c r="Q23" s="25">
        <f>_xll.BDH("ITCI US Equity","IS_INT_INC","FQ4 2022","FQ4 2022","Currency=USD","Period=FQ","BEST_FPERIOD_OVERRIDE=FQ","FILING_STATUS=MR","SCALING_FORMAT=MLN","FA_ADJUSTED=GAAP","Sort=A","Dates=H","DateFormat=P","Fill=—","Direction=H","UseDPDF=Y")</f>
        <v>3.3860000000000001</v>
      </c>
      <c r="R23" s="25">
        <f>_xll.BDH("ITCI US Equity","IS_INT_INC","FQ1 2023","FQ1 2023","Currency=USD","Period=FQ","BEST_FPERIOD_OVERRIDE=FQ","FILING_STATUS=MR","SCALING_FORMAT=MLN","FA_ADJUSTED=GAAP","Sort=A","Dates=H","DateFormat=P","Fill=—","Direction=H","UseDPDF=Y")</f>
        <v>4.3490000000000002</v>
      </c>
      <c r="S23" s="25">
        <f>_xll.BDH("ITCI US Equity","IS_INT_INC","FQ2 2023","FQ2 2023","Currency=USD","Period=FQ","BEST_FPERIOD_OVERRIDE=FQ","FILING_STATUS=MR","SCALING_FORMAT=MLN","FA_ADJUSTED=GAAP","Sort=A","Dates=H","DateFormat=P","Fill=—","Direction=H","UseDPDF=Y")</f>
        <v>4.53</v>
      </c>
      <c r="T23" s="25">
        <f>_xll.BDH("ITCI US Equity","IS_INT_INC","FQ3 2023","FQ3 2023","Currency=USD","Period=FQ","BEST_FPERIOD_OVERRIDE=FQ","FILING_STATUS=MR","SCALING_FORMAT=MLN","FA_ADJUSTED=GAAP","Sort=A","Dates=H","DateFormat=P","Fill=—","Direction=H","UseDPDF=Y")</f>
        <v>5.4980000000000002</v>
      </c>
      <c r="U23" s="25">
        <f>_xll.BDH("ITCI US Equity","IS_INT_INC","FQ4 2023","FQ4 2023","Currency=USD","Period=FQ","BEST_FPERIOD_OVERRIDE=FQ","FILING_STATUS=MR","SCALING_FORMAT=MLN","FA_ADJUSTED=GAAP","Sort=A","Dates=H","DateFormat=P","Fill=—","Direction=H","UseDPDF=Y")</f>
        <v>5.9660000000000002</v>
      </c>
      <c r="V23" s="25">
        <f>_xll.BDH("ITCI US Equity","IS_INT_INC","FQ1 2024","FQ1 2024","Currency=USD","Period=FQ","BEST_FPERIOD_OVERRIDE=FQ","FILING_STATUS=MR","SCALING_FORMAT=MLN","FA_ADJUSTED=GAAP","Sort=A","Dates=H","DateFormat=P","Fill=—","Direction=H","UseDPDF=Y")</f>
        <v>6.0640000000000001</v>
      </c>
      <c r="W23" s="25">
        <f>_xll.BDH("ITCI US Equity","IS_INT_INC","FQ2 2024","FQ2 2024","Currency=USD","Period=FQ","BEST_FPERIOD_OVERRIDE=FQ","FILING_STATUS=MR","SCALING_FORMAT=MLN","FA_ADJUSTED=GAAP","Sort=A","Dates=H","DateFormat=P","Fill=—","Direction=H","UseDPDF=Y")</f>
        <v>11.56</v>
      </c>
      <c r="X23" s="25">
        <f>_xll.BDH("ITCI US Equity","IS_INT_INC","FQ3 2024","FQ3 2024","Currency=USD","Period=FQ","BEST_FPERIOD_OVERRIDE=FQ","FILING_STATUS=MR","SCALING_FORMAT=MLN","FA_ADJUSTED=GAAP","Sort=A","Dates=H","DateFormat=P","Fill=—","Direction=H","UseDPDF=Y")</f>
        <v>12.898999999999999</v>
      </c>
      <c r="Y23" s="25">
        <f>_xll.BDH("ITCI US Equity","IS_INT_INC","FQ4 2024","FQ4 2024","Currency=USD","Period=FQ","BEST_FPERIOD_OVERRIDE=FQ","FILING_STATUS=MR","SCALING_FORMAT=MLN","FA_ADJUSTED=GAAP","Sort=A","Dates=H","DateFormat=P","Fill=—","Direction=H","UseDPDF=Y")</f>
        <v>11.994999999999999</v>
      </c>
      <c r="Z23" s="25"/>
      <c r="AA23" s="25"/>
    </row>
    <row r="24" spans="1:27" x14ac:dyDescent="0.25">
      <c r="A24" s="10" t="s">
        <v>311</v>
      </c>
      <c r="B24" s="10" t="s">
        <v>376</v>
      </c>
      <c r="C24" s="13">
        <f>_xll.BDH("ITCI US Equity","OTHER_NONOP_INCOME_LOSS","FQ2 2019","FQ2 2019","Currency=USD","Period=FQ","BEST_FPERIOD_OVERRIDE=FQ","FILING_STATUS=MR","SCALING_FORMAT=MLN","FA_ADJUSTED=GAAP","Sort=A","Dates=H","DateFormat=P","Fill=—","Direction=H","UseDPDF=Y")</f>
        <v>0</v>
      </c>
      <c r="D24" s="13">
        <f>_xll.BDH("ITCI US Equity","OTHER_NONOP_INCOME_LOSS","FQ3 2019","FQ3 2019","Currency=USD","Period=FQ","BEST_FPERIOD_OVERRIDE=FQ","FILING_STATUS=MR","SCALING_FORMAT=MLN","FA_ADJUSTED=GAAP","Sort=A","Dates=H","DateFormat=P","Fill=—","Direction=H","UseDPDF=Y")</f>
        <v>0</v>
      </c>
      <c r="E24" s="13">
        <f>_xll.BDH("ITCI US Equity","OTHER_NONOP_INCOME_LOSS","FQ4 2019","FQ4 2019","Currency=USD","Period=FQ","BEST_FPERIOD_OVERRIDE=FQ","FILING_STATUS=MR","SCALING_FORMAT=MLN","FA_ADJUSTED=GAAP","Sort=A","Dates=H","DateFormat=P","Fill=—","Direction=H","UseDPDF=Y")</f>
        <v>0</v>
      </c>
      <c r="F24" s="13">
        <f>_xll.BDH("ITCI US Equity","OTHER_NONOP_INCOME_LOSS","FQ1 2020","FQ1 2020","Currency=USD","Period=FQ","BEST_FPERIOD_OVERRIDE=FQ","FILING_STATUS=MR","SCALING_FORMAT=MLN","FA_ADJUSTED=GAAP","Sort=A","Dates=H","DateFormat=P","Fill=—","Direction=H","UseDPDF=Y")</f>
        <v>0</v>
      </c>
      <c r="G24" s="13">
        <f>_xll.BDH("ITCI US Equity","OTHER_NONOP_INCOME_LOSS","FQ2 2020","FQ2 2020","Currency=USD","Period=FQ","BEST_FPERIOD_OVERRIDE=FQ","FILING_STATUS=MR","SCALING_FORMAT=MLN","FA_ADJUSTED=GAAP","Sort=A","Dates=H","DateFormat=P","Fill=—","Direction=H","UseDPDF=Y")</f>
        <v>0</v>
      </c>
      <c r="H24" s="13">
        <f>_xll.BDH("ITCI US Equity","OTHER_NONOP_INCOME_LOSS","FQ3 2020","FQ3 2020","Currency=USD","Period=FQ","BEST_FPERIOD_OVERRIDE=FQ","FILING_STATUS=MR","SCALING_FORMAT=MLN","FA_ADJUSTED=GAAP","Sort=A","Dates=H","DateFormat=P","Fill=—","Direction=H","UseDPDF=Y")</f>
        <v>0</v>
      </c>
      <c r="I24" s="13">
        <f>_xll.BDH("ITCI US Equity","OTHER_NONOP_INCOME_LOSS","FQ4 2020","FQ4 2020","Currency=USD","Period=FQ","BEST_FPERIOD_OVERRIDE=FQ","FILING_STATUS=MR","SCALING_FORMAT=MLN","FA_ADJUSTED=GAAP","Sort=A","Dates=H","DateFormat=P","Fill=—","Direction=H","UseDPDF=Y")</f>
        <v>0</v>
      </c>
      <c r="J24" s="13">
        <f>_xll.BDH("ITCI US Equity","OTHER_NONOP_INCOME_LOSS","FQ1 2021","FQ1 2021","Currency=USD","Period=FQ","BEST_FPERIOD_OVERRIDE=FQ","FILING_STATUS=MR","SCALING_FORMAT=MLN","FA_ADJUSTED=GAAP","Sort=A","Dates=H","DateFormat=P","Fill=—","Direction=H","UseDPDF=Y")</f>
        <v>0</v>
      </c>
      <c r="K24" s="13">
        <f>_xll.BDH("ITCI US Equity","OTHER_NONOP_INCOME_LOSS","FQ2 2021","FQ2 2021","Currency=USD","Period=FQ","BEST_FPERIOD_OVERRIDE=FQ","FILING_STATUS=MR","SCALING_FORMAT=MLN","FA_ADJUSTED=GAAP","Sort=A","Dates=H","DateFormat=P","Fill=—","Direction=H","UseDPDF=Y")</f>
        <v>0</v>
      </c>
      <c r="L24" s="13">
        <f>_xll.BDH("ITCI US Equity","OTHER_NONOP_INCOME_LOSS","FQ3 2021","FQ3 2021","Currency=USD","Period=FQ","BEST_FPERIOD_OVERRIDE=FQ","FILING_STATUS=MR","SCALING_FORMAT=MLN","FA_ADJUSTED=GAAP","Sort=A","Dates=H","DateFormat=P","Fill=—","Direction=H","UseDPDF=Y")</f>
        <v>0</v>
      </c>
      <c r="M24" s="13">
        <f>_xll.BDH("ITCI US Equity","OTHER_NONOP_INCOME_LOSS","FQ4 2021","FQ4 2021","Currency=USD","Period=FQ","BEST_FPERIOD_OVERRIDE=FQ","FILING_STATUS=MR","SCALING_FORMAT=MLN","FA_ADJUSTED=GAAP","Sort=A","Dates=H","DateFormat=P","Fill=—","Direction=H","UseDPDF=Y")</f>
        <v>0</v>
      </c>
      <c r="N24" s="13">
        <f>_xll.BDH("ITCI US Equity","OTHER_NONOP_INCOME_LOSS","FQ1 2022","FQ1 2022","Currency=USD","Period=FQ","BEST_FPERIOD_OVERRIDE=FQ","FILING_STATUS=MR","SCALING_FORMAT=MLN","FA_ADJUSTED=GAAP","Sort=A","Dates=H","DateFormat=P","Fill=—","Direction=H","UseDPDF=Y")</f>
        <v>0</v>
      </c>
      <c r="O24" s="13">
        <f>_xll.BDH("ITCI US Equity","OTHER_NONOP_INCOME_LOSS","FQ2 2022","FQ2 2022","Currency=USD","Period=FQ","BEST_FPERIOD_OVERRIDE=FQ","FILING_STATUS=MR","SCALING_FORMAT=MLN","FA_ADJUSTED=GAAP","Sort=A","Dates=H","DateFormat=P","Fill=—","Direction=H","UseDPDF=Y")</f>
        <v>0</v>
      </c>
      <c r="P24" s="13">
        <f>_xll.BDH("ITCI US Equity","OTHER_NONOP_INCOME_LOSS","FQ3 2022","FQ3 2022","Currency=USD","Period=FQ","BEST_FPERIOD_OVERRIDE=FQ","FILING_STATUS=MR","SCALING_FORMAT=MLN","FA_ADJUSTED=GAAP","Sort=A","Dates=H","DateFormat=P","Fill=—","Direction=H","UseDPDF=Y")</f>
        <v>0</v>
      </c>
      <c r="Q24" s="13">
        <f>_xll.BDH("ITCI US Equity","OTHER_NONOP_INCOME_LOSS","FQ4 2022","FQ4 2022","Currency=USD","Period=FQ","BEST_FPERIOD_OVERRIDE=FQ","FILING_STATUS=MR","SCALING_FORMAT=MLN","FA_ADJUSTED=GAAP","Sort=A","Dates=H","DateFormat=P","Fill=—","Direction=H","UseDPDF=Y")</f>
        <v>0</v>
      </c>
      <c r="R24" s="13">
        <f>_xll.BDH("ITCI US Equity","OTHER_NONOP_INCOME_LOSS","FQ1 2023","FQ1 2023","Currency=USD","Period=FQ","BEST_FPERIOD_OVERRIDE=FQ","FILING_STATUS=MR","SCALING_FORMAT=MLN","FA_ADJUSTED=GAAP","Sort=A","Dates=H","DateFormat=P","Fill=—","Direction=H","UseDPDF=Y")</f>
        <v>0</v>
      </c>
      <c r="S24" s="13">
        <f>_xll.BDH("ITCI US Equity","OTHER_NONOP_INCOME_LOSS","FQ2 2023","FQ2 2023","Currency=USD","Period=FQ","BEST_FPERIOD_OVERRIDE=FQ","FILING_STATUS=MR","SCALING_FORMAT=MLN","FA_ADJUSTED=GAAP","Sort=A","Dates=H","DateFormat=P","Fill=—","Direction=H","UseDPDF=Y")</f>
        <v>0</v>
      </c>
      <c r="T24" s="13">
        <f>_xll.BDH("ITCI US Equity","OTHER_NONOP_INCOME_LOSS","FQ3 2023","FQ3 2023","Currency=USD","Period=FQ","BEST_FPERIOD_OVERRIDE=FQ","FILING_STATUS=MR","SCALING_FORMAT=MLN","FA_ADJUSTED=GAAP","Sort=A","Dates=H","DateFormat=P","Fill=—","Direction=H","UseDPDF=Y")</f>
        <v>0</v>
      </c>
      <c r="U24" s="13">
        <f>_xll.BDH("ITCI US Equity","OTHER_NONOP_INCOME_LOSS","FQ4 2023","FQ4 2023","Currency=USD","Period=FQ","BEST_FPERIOD_OVERRIDE=FQ","FILING_STATUS=MR","SCALING_FORMAT=MLN","FA_ADJUSTED=GAAP","Sort=A","Dates=H","DateFormat=P","Fill=—","Direction=H","UseDPDF=Y")</f>
        <v>0</v>
      </c>
      <c r="V24" s="13">
        <f>_xll.BDH("ITCI US Equity","OTHER_NONOP_INCOME_LOSS","FQ1 2024","FQ1 2024","Currency=USD","Period=FQ","BEST_FPERIOD_OVERRIDE=FQ","FILING_STATUS=MR","SCALING_FORMAT=MLN","FA_ADJUSTED=GAAP","Sort=A","Dates=H","DateFormat=P","Fill=—","Direction=H","UseDPDF=Y")</f>
        <v>0</v>
      </c>
      <c r="W24" s="13">
        <f>_xll.BDH("ITCI US Equity","OTHER_NONOP_INCOME_LOSS","FQ2 2024","FQ2 2024","Currency=USD","Period=FQ","BEST_FPERIOD_OVERRIDE=FQ","FILING_STATUS=MR","SCALING_FORMAT=MLN","FA_ADJUSTED=GAAP","Sort=A","Dates=H","DateFormat=P","Fill=—","Direction=H","UseDPDF=Y")</f>
        <v>0</v>
      </c>
      <c r="X24" s="13">
        <f>_xll.BDH("ITCI US Equity","OTHER_NONOP_INCOME_LOSS","FQ3 2024","FQ3 2024","Currency=USD","Period=FQ","BEST_FPERIOD_OVERRIDE=FQ","FILING_STATUS=MR","SCALING_FORMAT=MLN","FA_ADJUSTED=GAAP","Sort=A","Dates=H","DateFormat=P","Fill=—","Direction=H","UseDPDF=Y")</f>
        <v>0</v>
      </c>
      <c r="Y24" s="13">
        <f>_xll.BDH("ITCI US Equity","OTHER_NONOP_INCOME_LOSS","FQ4 2024","FQ4 2024","Currency=USD","Period=FQ","BEST_FPERIOD_OVERRIDE=FQ","FILING_STATUS=MR","SCALING_FORMAT=MLN","FA_ADJUSTED=GAAP","Sort=A","Dates=H","DateFormat=P","Fill=—","Direction=H","UseDPDF=Y")</f>
        <v>0</v>
      </c>
      <c r="Z24" s="13"/>
      <c r="AA24" s="13"/>
    </row>
    <row r="25" spans="1:27" x14ac:dyDescent="0.25">
      <c r="A25" s="6" t="s">
        <v>377</v>
      </c>
      <c r="B25" s="6" t="s">
        <v>157</v>
      </c>
      <c r="C25" s="19">
        <f>_xll.BDH("ITCI US Equity","PRETAX_INC","FQ2 2019","FQ2 2019","Currency=USD","Period=FQ","BEST_FPERIOD_OVERRIDE=FQ","FILING_STATUS=MR","SCALING_FORMAT=MLN","FA_ADJUSTED=GAAP","Sort=A","Dates=H","DateFormat=P","Fill=—","Direction=H","UseDPDF=Y")</f>
        <v>-37.439599999999999</v>
      </c>
      <c r="D25" s="19">
        <f>_xll.BDH("ITCI US Equity","PRETAX_INC","FQ3 2019","FQ3 2019","Currency=USD","Period=FQ","BEST_FPERIOD_OVERRIDE=FQ","FILING_STATUS=MR","SCALING_FORMAT=MLN","FA_ADJUSTED=GAAP","Sort=A","Dates=H","DateFormat=P","Fill=—","Direction=H","UseDPDF=Y")</f>
        <v>-34.862400000000001</v>
      </c>
      <c r="E25" s="19">
        <f>_xll.BDH("ITCI US Equity","PRETAX_INC","FQ4 2019","FQ4 2019","Currency=USD","Period=FQ","BEST_FPERIOD_OVERRIDE=FQ","FILING_STATUS=MR","SCALING_FORMAT=MLN","FA_ADJUSTED=GAAP","Sort=A","Dates=H","DateFormat=P","Fill=—","Direction=H","UseDPDF=Y")</f>
        <v>-40.582900000000002</v>
      </c>
      <c r="F25" s="19">
        <f>_xll.BDH("ITCI US Equity","PRETAX_INC","FQ1 2020","FQ1 2020","Currency=USD","Period=FQ","BEST_FPERIOD_OVERRIDE=FQ","FILING_STATUS=MR","SCALING_FORMAT=MLN","FA_ADJUSTED=GAAP","Sort=A","Dates=H","DateFormat=P","Fill=—","Direction=H","UseDPDF=Y")</f>
        <v>-47.407299999999999</v>
      </c>
      <c r="G25" s="19">
        <f>_xll.BDH("ITCI US Equity","PRETAX_INC","FQ2 2020","FQ2 2020","Currency=USD","Period=FQ","BEST_FPERIOD_OVERRIDE=FQ","FILING_STATUS=MR","SCALING_FORMAT=MLN","FA_ADJUSTED=GAAP","Sort=A","Dates=H","DateFormat=P","Fill=—","Direction=H","UseDPDF=Y")</f>
        <v>-63.712299999999999</v>
      </c>
      <c r="H25" s="19">
        <f>_xll.BDH("ITCI US Equity","PRETAX_INC","FQ3 2020","FQ3 2020","Currency=USD","Period=FQ","BEST_FPERIOD_OVERRIDE=FQ","FILING_STATUS=MR","SCALING_FORMAT=MLN","FA_ADJUSTED=GAAP","Sort=A","Dates=H","DateFormat=P","Fill=—","Direction=H","UseDPDF=Y")</f>
        <v>-55.183599999999998</v>
      </c>
      <c r="I25" s="19">
        <f>_xll.BDH("ITCI US Equity","PRETAX_INC","FQ4 2020","FQ4 2020","Currency=USD","Period=FQ","BEST_FPERIOD_OVERRIDE=FQ","FILING_STATUS=MR","SCALING_FORMAT=MLN","FA_ADJUSTED=GAAP","Sort=A","Dates=H","DateFormat=P","Fill=—","Direction=H","UseDPDF=Y")</f>
        <v>-60.688899999999997</v>
      </c>
      <c r="J25" s="19">
        <f>_xll.BDH("ITCI US Equity","PRETAX_INC","FQ1 2021","FQ1 2021","Currency=USD","Period=FQ","BEST_FPERIOD_OVERRIDE=FQ","FILING_STATUS=MR","SCALING_FORMAT=MLN","FA_ADJUSTED=GAAP","Sort=A","Dates=H","DateFormat=P","Fill=—","Direction=H","UseDPDF=Y")</f>
        <v>-52.734900000000003</v>
      </c>
      <c r="K25" s="19">
        <f>_xll.BDH("ITCI US Equity","PRETAX_INC","FQ2 2021","FQ2 2021","Currency=USD","Period=FQ","BEST_FPERIOD_OVERRIDE=FQ","FILING_STATUS=MR","SCALING_FORMAT=MLN","FA_ADJUSTED=GAAP","Sort=A","Dates=H","DateFormat=P","Fill=—","Direction=H","UseDPDF=Y")</f>
        <v>-68.72</v>
      </c>
      <c r="L25" s="19">
        <f>_xll.BDH("ITCI US Equity","PRETAX_INC","FQ3 2021","FQ3 2021","Currency=USD","Period=FQ","BEST_FPERIOD_OVERRIDE=FQ","FILING_STATUS=MR","SCALING_FORMAT=MLN","FA_ADJUSTED=GAAP","Sort=A","Dates=H","DateFormat=P","Fill=—","Direction=H","UseDPDF=Y")</f>
        <v>-76.931100000000001</v>
      </c>
      <c r="M25" s="19">
        <f>_xll.BDH("ITCI US Equity","PRETAX_INC","FQ4 2021","FQ4 2021","Currency=USD","Period=FQ","BEST_FPERIOD_OVERRIDE=FQ","FILING_STATUS=MR","SCALING_FORMAT=MLN","FA_ADJUSTED=GAAP","Sort=A","Dates=H","DateFormat=P","Fill=—","Direction=H","UseDPDF=Y")</f>
        <v>-85.733900000000006</v>
      </c>
      <c r="N25" s="19">
        <f>_xll.BDH("ITCI US Equity","PRETAX_INC","FQ1 2022","FQ1 2022","Currency=USD","Period=FQ","BEST_FPERIOD_OVERRIDE=FQ","FILING_STATUS=MR","SCALING_FORMAT=MLN","FA_ADJUSTED=GAAP","Sort=A","Dates=H","DateFormat=P","Fill=—","Direction=H","UseDPDF=Y")</f>
        <v>-72.114000000000004</v>
      </c>
      <c r="O25" s="19">
        <f>_xll.BDH("ITCI US Equity","PRETAX_INC","FQ2 2022","FQ2 2022","Currency=USD","Period=FQ","BEST_FPERIOD_OVERRIDE=FQ","FILING_STATUS=MR","SCALING_FORMAT=MLN","FA_ADJUSTED=GAAP","Sort=A","Dates=H","DateFormat=P","Fill=—","Direction=H","UseDPDF=Y")</f>
        <v>-86.602999999999994</v>
      </c>
      <c r="P25" s="19">
        <f>_xll.BDH("ITCI US Equity","PRETAX_INC","FQ3 2022","FQ3 2022","Currency=USD","Period=FQ","BEST_FPERIOD_OVERRIDE=FQ","FILING_STATUS=MR","SCALING_FORMAT=MLN","FA_ADJUSTED=GAAP","Sort=A","Dates=H","DateFormat=P","Fill=—","Direction=H","UseDPDF=Y")</f>
        <v>-53.506999999999998</v>
      </c>
      <c r="Q25" s="19">
        <f>_xll.BDH("ITCI US Equity","PRETAX_INC","FQ4 2022","FQ4 2022","Currency=USD","Period=FQ","BEST_FPERIOD_OVERRIDE=FQ","FILING_STATUS=MR","SCALING_FORMAT=MLN","FA_ADJUSTED=GAAP","Sort=A","Dates=H","DateFormat=P","Fill=—","Direction=H","UseDPDF=Y")</f>
        <v>-44.026000000000003</v>
      </c>
      <c r="R25" s="19">
        <f>_xll.BDH("ITCI US Equity","PRETAX_INC","FQ1 2023","FQ1 2023","Currency=USD","Period=FQ","BEST_FPERIOD_OVERRIDE=FQ","FILING_STATUS=MR","SCALING_FORMAT=MLN","FA_ADJUSTED=GAAP","Sort=A","Dates=H","DateFormat=P","Fill=—","Direction=H","UseDPDF=Y")</f>
        <v>-44.042999999999999</v>
      </c>
      <c r="S25" s="19">
        <f>_xll.BDH("ITCI US Equity","PRETAX_INC","FQ2 2023","FQ2 2023","Currency=USD","Period=FQ","BEST_FPERIOD_OVERRIDE=FQ","FILING_STATUS=MR","SCALING_FORMAT=MLN","FA_ADJUSTED=GAAP","Sort=A","Dates=H","DateFormat=P","Fill=—","Direction=H","UseDPDF=Y")</f>
        <v>-42.649000000000001</v>
      </c>
      <c r="T25" s="19">
        <f>_xll.BDH("ITCI US Equity","PRETAX_INC","FQ3 2023","FQ3 2023","Currency=USD","Period=FQ","BEST_FPERIOD_OVERRIDE=FQ","FILING_STATUS=MR","SCALING_FORMAT=MLN","FA_ADJUSTED=GAAP","Sort=A","Dates=H","DateFormat=P","Fill=—","Direction=H","UseDPDF=Y")</f>
        <v>-24.215</v>
      </c>
      <c r="U25" s="19">
        <f>_xll.BDH("ITCI US Equity","PRETAX_INC","FQ4 2023","FQ4 2023","Currency=USD","Period=FQ","BEST_FPERIOD_OVERRIDE=FQ","FILING_STATUS=MR","SCALING_FORMAT=MLN","FA_ADJUSTED=GAAP","Sort=A","Dates=H","DateFormat=P","Fill=—","Direction=H","UseDPDF=Y")</f>
        <v>-28.131</v>
      </c>
      <c r="V25" s="19">
        <f>_xll.BDH("ITCI US Equity","PRETAX_INC","FQ1 2024","FQ1 2024","Currency=USD","Period=FQ","BEST_FPERIOD_OVERRIDE=FQ","FILING_STATUS=MR","SCALING_FORMAT=MLN","FA_ADJUSTED=GAAP","Sort=A","Dates=H","DateFormat=P","Fill=—","Direction=H","UseDPDF=Y")</f>
        <v>-14.888</v>
      </c>
      <c r="W25" s="19">
        <f>_xll.BDH("ITCI US Equity","PRETAX_INC","FQ2 2024","FQ2 2024","Currency=USD","Period=FQ","BEST_FPERIOD_OVERRIDE=FQ","FILING_STATUS=MR","SCALING_FORMAT=MLN","FA_ADJUSTED=GAAP","Sort=A","Dates=H","DateFormat=P","Fill=—","Direction=H","UseDPDF=Y")</f>
        <v>-16.163</v>
      </c>
      <c r="X25" s="19">
        <f>_xll.BDH("ITCI US Equity","PRETAX_INC","FQ3 2024","FQ3 2024","Currency=USD","Period=FQ","BEST_FPERIOD_OVERRIDE=FQ","FILING_STATUS=MR","SCALING_FORMAT=MLN","FA_ADJUSTED=GAAP","Sort=A","Dates=H","DateFormat=P","Fill=—","Direction=H","UseDPDF=Y")</f>
        <v>-25.95</v>
      </c>
      <c r="Y25" s="19">
        <f>_xll.BDH("ITCI US Equity","PRETAX_INC","FQ4 2024","FQ4 2024","Currency=USD","Period=FQ","BEST_FPERIOD_OVERRIDE=FQ","FILING_STATUS=MR","SCALING_FORMAT=MLN","FA_ADJUSTED=GAAP","Sort=A","Dates=H","DateFormat=P","Fill=—","Direction=H","UseDPDF=Y")</f>
        <v>-17.202000000000002</v>
      </c>
      <c r="Z25" s="19">
        <v>-14.47</v>
      </c>
      <c r="AA25" s="19">
        <v>-4.867</v>
      </c>
    </row>
    <row r="26" spans="1:27" x14ac:dyDescent="0.25">
      <c r="A26" s="10" t="s">
        <v>317</v>
      </c>
      <c r="B26" s="10" t="s">
        <v>318</v>
      </c>
      <c r="C26" s="13">
        <f>_xll.BDH("ITCI US Equity","IS_INC_TAX_EXP","FQ2 2019","FQ2 2019","Currency=USD","Period=FQ","BEST_FPERIOD_OVERRIDE=FQ","FILING_STATUS=MR","SCALING_FORMAT=MLN","FA_ADJUSTED=GAAP","Sort=A","Dates=H","DateFormat=P","Fill=—","Direction=H","UseDPDF=Y")</f>
        <v>1.6000000000000001E-3</v>
      </c>
      <c r="D26" s="13">
        <f>_xll.BDH("ITCI US Equity","IS_INC_TAX_EXP","FQ3 2019","FQ3 2019","Currency=USD","Period=FQ","BEST_FPERIOD_OVERRIDE=FQ","FILING_STATUS=MR","SCALING_FORMAT=MLN","FA_ADJUSTED=GAAP","Sort=A","Dates=H","DateFormat=P","Fill=—","Direction=H","UseDPDF=Y")</f>
        <v>0</v>
      </c>
      <c r="E26" s="13">
        <f>_xll.BDH("ITCI US Equity","IS_INC_TAX_EXP","FQ4 2019","FQ4 2019","Currency=USD","Period=FQ","BEST_FPERIOD_OVERRIDE=FQ","FILING_STATUS=MR","SCALING_FORMAT=MLN","FA_ADJUSTED=GAAP","Sort=A","Dates=H","DateFormat=P","Fill=—","Direction=H","UseDPDF=Y")</f>
        <v>0</v>
      </c>
      <c r="F26" s="13">
        <f>_xll.BDH("ITCI US Equity","IS_INC_TAX_EXP","FQ1 2020","FQ1 2020","Currency=USD","Period=FQ","BEST_FPERIOD_OVERRIDE=FQ","FILING_STATUS=MR","SCALING_FORMAT=MLN","FA_ADJUSTED=GAAP","Sort=A","Dates=H","DateFormat=P","Fill=—","Direction=H","UseDPDF=Y")</f>
        <v>3.3E-3</v>
      </c>
      <c r="G26" s="13">
        <f>_xll.BDH("ITCI US Equity","IS_INC_TAX_EXP","FQ2 2020","FQ2 2020","Currency=USD","Period=FQ","BEST_FPERIOD_OVERRIDE=FQ","FILING_STATUS=MR","SCALING_FORMAT=MLN","FA_ADJUSTED=GAAP","Sort=A","Dates=H","DateFormat=P","Fill=—","Direction=H","UseDPDF=Y")</f>
        <v>0</v>
      </c>
      <c r="H26" s="13">
        <f>_xll.BDH("ITCI US Equity","IS_INC_TAX_EXP","FQ3 2020","FQ3 2020","Currency=USD","Period=FQ","BEST_FPERIOD_OVERRIDE=FQ","FILING_STATUS=MR","SCALING_FORMAT=MLN","FA_ADJUSTED=GAAP","Sort=A","Dates=H","DateFormat=P","Fill=—","Direction=H","UseDPDF=Y")</f>
        <v>0</v>
      </c>
      <c r="I26" s="13">
        <f>_xll.BDH("ITCI US Equity","IS_INC_TAX_EXP","FQ4 2020","FQ4 2020","Currency=USD","Period=FQ","BEST_FPERIOD_OVERRIDE=FQ","FILING_STATUS=MR","SCALING_FORMAT=MLN","FA_ADJUSTED=GAAP","Sort=A","Dates=H","DateFormat=P","Fill=—","Direction=H","UseDPDF=Y")</f>
        <v>1.0200000000000001E-2</v>
      </c>
      <c r="J26" s="13">
        <f>_xll.BDH("ITCI US Equity","IS_INC_TAX_EXP","FQ1 2021","FQ1 2021","Currency=USD","Period=FQ","BEST_FPERIOD_OVERRIDE=FQ","FILING_STATUS=MR","SCALING_FORMAT=MLN","FA_ADJUSTED=GAAP","Sort=A","Dates=H","DateFormat=P","Fill=—","Direction=H","UseDPDF=Y")</f>
        <v>5.0000000000000001E-3</v>
      </c>
      <c r="K26" s="13">
        <f>_xll.BDH("ITCI US Equity","IS_INC_TAX_EXP","FQ2 2021","FQ2 2021","Currency=USD","Period=FQ","BEST_FPERIOD_OVERRIDE=FQ","FILING_STATUS=MR","SCALING_FORMAT=MLN","FA_ADJUSTED=GAAP","Sort=A","Dates=H","DateFormat=P","Fill=—","Direction=H","UseDPDF=Y")</f>
        <v>2.3800000000000002E-2</v>
      </c>
      <c r="L26" s="13">
        <f>_xll.BDH("ITCI US Equity","IS_INC_TAX_EXP","FQ3 2021","FQ3 2021","Currency=USD","Period=FQ","BEST_FPERIOD_OVERRIDE=FQ","FILING_STATUS=MR","SCALING_FORMAT=MLN","FA_ADJUSTED=GAAP","Sort=A","Dates=H","DateFormat=P","Fill=—","Direction=H","UseDPDF=Y")</f>
        <v>-2.3099999999999999E-2</v>
      </c>
      <c r="M26" s="13">
        <f>_xll.BDH("ITCI US Equity","IS_INC_TAX_EXP","FQ4 2021","FQ4 2021","Currency=USD","Period=FQ","BEST_FPERIOD_OVERRIDE=FQ","FILING_STATUS=MR","SCALING_FORMAT=MLN","FA_ADJUSTED=GAAP","Sort=A","Dates=H","DateFormat=P","Fill=—","Direction=H","UseDPDF=Y")</f>
        <v>0</v>
      </c>
      <c r="N26" s="13">
        <f>_xll.BDH("ITCI US Equity","IS_INC_TAX_EXP","FQ1 2022","FQ1 2022","Currency=USD","Period=FQ","BEST_FPERIOD_OVERRIDE=FQ","FILING_STATUS=MR","SCALING_FORMAT=MLN","FA_ADJUSTED=GAAP","Sort=A","Dates=H","DateFormat=P","Fill=—","Direction=H","UseDPDF=Y")</f>
        <v>5.0000000000000001E-3</v>
      </c>
      <c r="O26" s="13">
        <f>_xll.BDH("ITCI US Equity","IS_INC_TAX_EXP","FQ2 2022","FQ2 2022","Currency=USD","Period=FQ","BEST_FPERIOD_OVERRIDE=FQ","FILING_STATUS=MR","SCALING_FORMAT=MLN","FA_ADJUSTED=GAAP","Sort=A","Dates=H","DateFormat=P","Fill=—","Direction=H","UseDPDF=Y")</f>
        <v>0</v>
      </c>
      <c r="P26" s="13">
        <f>_xll.BDH("ITCI US Equity","IS_INC_TAX_EXP","FQ3 2022","FQ3 2022","Currency=USD","Period=FQ","BEST_FPERIOD_OVERRIDE=FQ","FILING_STATUS=MR","SCALING_FORMAT=MLN","FA_ADJUSTED=GAAP","Sort=A","Dates=H","DateFormat=P","Fill=—","Direction=H","UseDPDF=Y")</f>
        <v>1E-3</v>
      </c>
      <c r="Q26" s="13">
        <f>_xll.BDH("ITCI US Equity","IS_INC_TAX_EXP","FQ4 2022","FQ4 2022","Currency=USD","Period=FQ","BEST_FPERIOD_OVERRIDE=FQ","FILING_STATUS=MR","SCALING_FORMAT=MLN","FA_ADJUSTED=GAAP","Sort=A","Dates=H","DateFormat=P","Fill=—","Direction=H","UseDPDF=Y")</f>
        <v>0</v>
      </c>
      <c r="R26" s="13">
        <f>_xll.BDH("ITCI US Equity","IS_INC_TAX_EXP","FQ1 2023","FQ1 2023","Currency=USD","Period=FQ","BEST_FPERIOD_OVERRIDE=FQ","FILING_STATUS=MR","SCALING_FORMAT=MLN","FA_ADJUSTED=GAAP","Sort=A","Dates=H","DateFormat=P","Fill=—","Direction=H","UseDPDF=Y")</f>
        <v>0.01</v>
      </c>
      <c r="S26" s="13">
        <f>_xll.BDH("ITCI US Equity","IS_INC_TAX_EXP","FQ2 2023","FQ2 2023","Currency=USD","Period=FQ","BEST_FPERIOD_OVERRIDE=FQ","FILING_STATUS=MR","SCALING_FORMAT=MLN","FA_ADJUSTED=GAAP","Sort=A","Dates=H","DateFormat=P","Fill=—","Direction=H","UseDPDF=Y")</f>
        <v>0.13500000000000001</v>
      </c>
      <c r="T26" s="13">
        <f>_xll.BDH("ITCI US Equity","IS_INC_TAX_EXP","FQ3 2023","FQ3 2023","Currency=USD","Period=FQ","BEST_FPERIOD_OVERRIDE=FQ","FILING_STATUS=MR","SCALING_FORMAT=MLN","FA_ADJUSTED=GAAP","Sort=A","Dates=H","DateFormat=P","Fill=—","Direction=H","UseDPDF=Y")</f>
        <v>4.2999999999999997E-2</v>
      </c>
      <c r="U26" s="13">
        <f>_xll.BDH("ITCI US Equity","IS_INC_TAX_EXP","FQ4 2023","FQ4 2023","Currency=USD","Period=FQ","BEST_FPERIOD_OVERRIDE=FQ","FILING_STATUS=MR","SCALING_FORMAT=MLN","FA_ADJUSTED=GAAP","Sort=A","Dates=H","DateFormat=P","Fill=—","Direction=H","UseDPDF=Y")</f>
        <v>0.44800000000000001</v>
      </c>
      <c r="V26" s="13">
        <f>_xll.BDH("ITCI US Equity","IS_INC_TAX_EXP","FQ1 2024","FQ1 2024","Currency=USD","Period=FQ","BEST_FPERIOD_OVERRIDE=FQ","FILING_STATUS=MR","SCALING_FORMAT=MLN","FA_ADJUSTED=GAAP","Sort=A","Dates=H","DateFormat=P","Fill=—","Direction=H","UseDPDF=Y")</f>
        <v>0.35899999999999999</v>
      </c>
      <c r="W26" s="13">
        <f>_xll.BDH("ITCI US Equity","IS_INC_TAX_EXP","FQ2 2024","FQ2 2024","Currency=USD","Period=FQ","BEST_FPERIOD_OVERRIDE=FQ","FILING_STATUS=MR","SCALING_FORMAT=MLN","FA_ADJUSTED=GAAP","Sort=A","Dates=H","DateFormat=P","Fill=—","Direction=H","UseDPDF=Y")</f>
        <v>5.7000000000000002E-2</v>
      </c>
      <c r="X26" s="13">
        <f>_xll.BDH("ITCI US Equity","IS_INC_TAX_EXP","FQ3 2024","FQ3 2024","Currency=USD","Period=FQ","BEST_FPERIOD_OVERRIDE=FQ","FILING_STATUS=MR","SCALING_FORMAT=MLN","FA_ADJUSTED=GAAP","Sort=A","Dates=H","DateFormat=P","Fill=—","Direction=H","UseDPDF=Y")</f>
        <v>0.374</v>
      </c>
      <c r="Y26" s="13">
        <f>_xll.BDH("ITCI US Equity","IS_INC_TAX_EXP","FQ4 2024","FQ4 2024","Currency=USD","Period=FQ","BEST_FPERIOD_OVERRIDE=FQ","FILING_STATUS=MR","SCALING_FORMAT=MLN","FA_ADJUSTED=GAAP","Sort=A","Dates=H","DateFormat=P","Fill=—","Direction=H","UseDPDF=Y")</f>
        <v>-0.317</v>
      </c>
      <c r="Z26" s="13"/>
      <c r="AA26" s="13"/>
    </row>
    <row r="27" spans="1:27" x14ac:dyDescent="0.25">
      <c r="A27" s="10" t="s">
        <v>319</v>
      </c>
      <c r="B27" s="10" t="s">
        <v>320</v>
      </c>
      <c r="C27" s="13" t="str">
        <f>_xll.BDH("ITCI US Equity","IS_CURRENT_INCOME_TAX_BENEFIT","FQ2 2019","FQ2 2019","Currency=USD","Period=FQ","BEST_FPERIOD_OVERRIDE=FQ","FILING_STATUS=MR","SCALING_FORMAT=MLN","Sort=A","Dates=H","DateFormat=P","Fill=—","Direction=H","UseDPDF=Y")</f>
        <v>—</v>
      </c>
      <c r="D27" s="13" t="str">
        <f>_xll.BDH("ITCI US Equity","IS_CURRENT_INCOME_TAX_BENEFIT","FQ3 2019","FQ3 2019","Currency=USD","Period=FQ","BEST_FPERIOD_OVERRIDE=FQ","FILING_STATUS=MR","SCALING_FORMAT=MLN","Sort=A","Dates=H","DateFormat=P","Fill=—","Direction=H","UseDPDF=Y")</f>
        <v>—</v>
      </c>
      <c r="E27" s="13">
        <f>_xll.BDH("ITCI US Equity","IS_CURRENT_INCOME_TAX_BENEFIT","FQ4 2019","FQ4 2019","Currency=USD","Period=FQ","BEST_FPERIOD_OVERRIDE=FQ","FILING_STATUS=MR","SCALING_FORMAT=MLN","Sort=A","Dates=H","DateFormat=P","Fill=—","Direction=H","UseDPDF=Y")</f>
        <v>0</v>
      </c>
      <c r="F27" s="13" t="str">
        <f>_xll.BDH("ITCI US Equity","IS_CURRENT_INCOME_TAX_BENEFIT","FQ1 2020","FQ1 2020","Currency=USD","Period=FQ","BEST_FPERIOD_OVERRIDE=FQ","FILING_STATUS=MR","SCALING_FORMAT=MLN","Sort=A","Dates=H","DateFormat=P","Fill=—","Direction=H","UseDPDF=Y")</f>
        <v>—</v>
      </c>
      <c r="G27" s="13" t="str">
        <f>_xll.BDH("ITCI US Equity","IS_CURRENT_INCOME_TAX_BENEFIT","FQ2 2020","FQ2 2020","Currency=USD","Period=FQ","BEST_FPERIOD_OVERRIDE=FQ","FILING_STATUS=MR","SCALING_FORMAT=MLN","Sort=A","Dates=H","DateFormat=P","Fill=—","Direction=H","UseDPDF=Y")</f>
        <v>—</v>
      </c>
      <c r="H27" s="13" t="str">
        <f>_xll.BDH("ITCI US Equity","IS_CURRENT_INCOME_TAX_BENEFIT","FQ3 2020","FQ3 2020","Currency=USD","Period=FQ","BEST_FPERIOD_OVERRIDE=FQ","FILING_STATUS=MR","SCALING_FORMAT=MLN","Sort=A","Dates=H","DateFormat=P","Fill=—","Direction=H","UseDPDF=Y")</f>
        <v>—</v>
      </c>
      <c r="I27" s="13" t="str">
        <f>_xll.BDH("ITCI US Equity","IS_CURRENT_INCOME_TAX_BENEFIT","FQ4 2020","FQ4 2020","Currency=USD","Period=FQ","BEST_FPERIOD_OVERRIDE=FQ","FILING_STATUS=MR","SCALING_FORMAT=MLN","Sort=A","Dates=H","DateFormat=P","Fill=—","Direction=H","UseDPDF=Y")</f>
        <v>—</v>
      </c>
      <c r="J27" s="13" t="str">
        <f>_xll.BDH("ITCI US Equity","IS_CURRENT_INCOME_TAX_BENEFIT","FQ1 2021","FQ1 2021","Currency=USD","Period=FQ","BEST_FPERIOD_OVERRIDE=FQ","FILING_STATUS=MR","SCALING_FORMAT=MLN","Sort=A","Dates=H","DateFormat=P","Fill=—","Direction=H","UseDPDF=Y")</f>
        <v>—</v>
      </c>
      <c r="K27" s="13" t="str">
        <f>_xll.BDH("ITCI US Equity","IS_CURRENT_INCOME_TAX_BENEFIT","FQ2 2021","FQ2 2021","Currency=USD","Period=FQ","BEST_FPERIOD_OVERRIDE=FQ","FILING_STATUS=MR","SCALING_FORMAT=MLN","Sort=A","Dates=H","DateFormat=P","Fill=—","Direction=H","UseDPDF=Y")</f>
        <v>—</v>
      </c>
      <c r="L27" s="13" t="str">
        <f>_xll.BDH("ITCI US Equity","IS_CURRENT_INCOME_TAX_BENEFIT","FQ3 2021","FQ3 2021","Currency=USD","Period=FQ","BEST_FPERIOD_OVERRIDE=FQ","FILING_STATUS=MR","SCALING_FORMAT=MLN","Sort=A","Dates=H","DateFormat=P","Fill=—","Direction=H","UseDPDF=Y")</f>
        <v>—</v>
      </c>
      <c r="M27" s="13">
        <f>_xll.BDH("ITCI US Equity","IS_CURRENT_INCOME_TAX_BENEFIT","FQ4 2021","FQ4 2021","Currency=USD","Period=FQ","BEST_FPERIOD_OVERRIDE=FQ","FILING_STATUS=MR","SCALING_FORMAT=MLN","Sort=A","Dates=H","DateFormat=P","Fill=—","Direction=H","UseDPDF=Y")</f>
        <v>0</v>
      </c>
      <c r="N27" s="13" t="str">
        <f>_xll.BDH("ITCI US Equity","IS_CURRENT_INCOME_TAX_BENEFIT","FQ1 2022","FQ1 2022","Currency=USD","Period=FQ","BEST_FPERIOD_OVERRIDE=FQ","FILING_STATUS=MR","SCALING_FORMAT=MLN","Sort=A","Dates=H","DateFormat=P","Fill=—","Direction=H","UseDPDF=Y")</f>
        <v>—</v>
      </c>
      <c r="O27" s="13" t="str">
        <f>_xll.BDH("ITCI US Equity","IS_CURRENT_INCOME_TAX_BENEFIT","FQ2 2022","FQ2 2022","Currency=USD","Period=FQ","BEST_FPERIOD_OVERRIDE=FQ","FILING_STATUS=MR","SCALING_FORMAT=MLN","Sort=A","Dates=H","DateFormat=P","Fill=—","Direction=H","UseDPDF=Y")</f>
        <v>—</v>
      </c>
      <c r="P27" s="13" t="str">
        <f>_xll.BDH("ITCI US Equity","IS_CURRENT_INCOME_TAX_BENEFIT","FQ3 2022","FQ3 2022","Currency=USD","Period=FQ","BEST_FPERIOD_OVERRIDE=FQ","FILING_STATUS=MR","SCALING_FORMAT=MLN","Sort=A","Dates=H","DateFormat=P","Fill=—","Direction=H","UseDPDF=Y")</f>
        <v>—</v>
      </c>
      <c r="Q27" s="13" t="str">
        <f>_xll.BDH("ITCI US Equity","IS_CURRENT_INCOME_TAX_BENEFIT","FQ4 2022","FQ4 2022","Currency=USD","Period=FQ","BEST_FPERIOD_OVERRIDE=FQ","FILING_STATUS=MR","SCALING_FORMAT=MLN","Sort=A","Dates=H","DateFormat=P","Fill=—","Direction=H","UseDPDF=Y")</f>
        <v>—</v>
      </c>
      <c r="R27" s="13" t="str">
        <f>_xll.BDH("ITCI US Equity","IS_CURRENT_INCOME_TAX_BENEFIT","FQ1 2023","FQ1 2023","Currency=USD","Period=FQ","BEST_FPERIOD_OVERRIDE=FQ","FILING_STATUS=MR","SCALING_FORMAT=MLN","Sort=A","Dates=H","DateFormat=P","Fill=—","Direction=H","UseDPDF=Y")</f>
        <v>—</v>
      </c>
      <c r="S27" s="13" t="str">
        <f>_xll.BDH("ITCI US Equity","IS_CURRENT_INCOME_TAX_BENEFIT","FQ2 2023","FQ2 2023","Currency=USD","Period=FQ","BEST_FPERIOD_OVERRIDE=FQ","FILING_STATUS=MR","SCALING_FORMAT=MLN","Sort=A","Dates=H","DateFormat=P","Fill=—","Direction=H","UseDPDF=Y")</f>
        <v>—</v>
      </c>
      <c r="T27" s="13" t="str">
        <f>_xll.BDH("ITCI US Equity","IS_CURRENT_INCOME_TAX_BENEFIT","FQ3 2023","FQ3 2023","Currency=USD","Period=FQ","BEST_FPERIOD_OVERRIDE=FQ","FILING_STATUS=MR","SCALING_FORMAT=MLN","Sort=A","Dates=H","DateFormat=P","Fill=—","Direction=H","UseDPDF=Y")</f>
        <v>—</v>
      </c>
      <c r="U27" s="13" t="str">
        <f>_xll.BDH("ITCI US Equity","IS_CURRENT_INCOME_TAX_BENEFIT","FQ4 2023","FQ4 2023","Currency=USD","Period=FQ","BEST_FPERIOD_OVERRIDE=FQ","FILING_STATUS=MR","SCALING_FORMAT=MLN","Sort=A","Dates=H","DateFormat=P","Fill=—","Direction=H","UseDPDF=Y")</f>
        <v>—</v>
      </c>
      <c r="V27" s="13" t="str">
        <f>_xll.BDH("ITCI US Equity","IS_CURRENT_INCOME_TAX_BENEFIT","FQ1 2024","FQ1 2024","Currency=USD","Period=FQ","BEST_FPERIOD_OVERRIDE=FQ","FILING_STATUS=MR","SCALING_FORMAT=MLN","Sort=A","Dates=H","DateFormat=P","Fill=—","Direction=H","UseDPDF=Y")</f>
        <v>—</v>
      </c>
      <c r="W27" s="13" t="str">
        <f>_xll.BDH("ITCI US Equity","IS_CURRENT_INCOME_TAX_BENEFIT","FQ2 2024","FQ2 2024","Currency=USD","Period=FQ","BEST_FPERIOD_OVERRIDE=FQ","FILING_STATUS=MR","SCALING_FORMAT=MLN","Sort=A","Dates=H","DateFormat=P","Fill=—","Direction=H","UseDPDF=Y")</f>
        <v>—</v>
      </c>
      <c r="X27" s="13" t="str">
        <f>_xll.BDH("ITCI US Equity","IS_CURRENT_INCOME_TAX_BENEFIT","FQ3 2024","FQ3 2024","Currency=USD","Period=FQ","BEST_FPERIOD_OVERRIDE=FQ","FILING_STATUS=MR","SCALING_FORMAT=MLN","Sort=A","Dates=H","DateFormat=P","Fill=—","Direction=H","UseDPDF=Y")</f>
        <v>—</v>
      </c>
      <c r="Y27" s="13" t="str">
        <f>_xll.BDH("ITCI US Equity","IS_CURRENT_INCOME_TAX_BENEFIT","FQ4 2024","FQ4 2024","Currency=USD","Period=FQ","BEST_FPERIOD_OVERRIDE=FQ","FILING_STATUS=MR","SCALING_FORMAT=MLN","Sort=A","Dates=H","DateFormat=P","Fill=—","Direction=H","UseDPDF=Y")</f>
        <v>—</v>
      </c>
      <c r="Z27" s="13"/>
      <c r="AA27" s="13"/>
    </row>
    <row r="28" spans="1:27" x14ac:dyDescent="0.25">
      <c r="A28" s="10" t="s">
        <v>321</v>
      </c>
      <c r="B28" s="10" t="s">
        <v>322</v>
      </c>
      <c r="C28" s="13" t="str">
        <f>_xll.BDH("ITCI US Equity","IS_DEFERRED_INCOME_TAX_BENEFIT","FQ2 2019","FQ2 2019","Currency=USD","Period=FQ","BEST_FPERIOD_OVERRIDE=FQ","FILING_STATUS=MR","SCALING_FORMAT=MLN","Sort=A","Dates=H","DateFormat=P","Fill=—","Direction=H","UseDPDF=Y")</f>
        <v>—</v>
      </c>
      <c r="D28" s="13" t="str">
        <f>_xll.BDH("ITCI US Equity","IS_DEFERRED_INCOME_TAX_BENEFIT","FQ3 2019","FQ3 2019","Currency=USD","Period=FQ","BEST_FPERIOD_OVERRIDE=FQ","FILING_STATUS=MR","SCALING_FORMAT=MLN","Sort=A","Dates=H","DateFormat=P","Fill=—","Direction=H","UseDPDF=Y")</f>
        <v>—</v>
      </c>
      <c r="E28" s="13">
        <f>_xll.BDH("ITCI US Equity","IS_DEFERRED_INCOME_TAX_BENEFIT","FQ4 2019","FQ4 2019","Currency=USD","Period=FQ","BEST_FPERIOD_OVERRIDE=FQ","FILING_STATUS=MR","SCALING_FORMAT=MLN","Sort=A","Dates=H","DateFormat=P","Fill=—","Direction=H","UseDPDF=Y")</f>
        <v>0</v>
      </c>
      <c r="F28" s="13" t="str">
        <f>_xll.BDH("ITCI US Equity","IS_DEFERRED_INCOME_TAX_BENEFIT","FQ1 2020","FQ1 2020","Currency=USD","Period=FQ","BEST_FPERIOD_OVERRIDE=FQ","FILING_STATUS=MR","SCALING_FORMAT=MLN","Sort=A","Dates=H","DateFormat=P","Fill=—","Direction=H","UseDPDF=Y")</f>
        <v>—</v>
      </c>
      <c r="G28" s="13" t="str">
        <f>_xll.BDH("ITCI US Equity","IS_DEFERRED_INCOME_TAX_BENEFIT","FQ2 2020","FQ2 2020","Currency=USD","Period=FQ","BEST_FPERIOD_OVERRIDE=FQ","FILING_STATUS=MR","SCALING_FORMAT=MLN","Sort=A","Dates=H","DateFormat=P","Fill=—","Direction=H","UseDPDF=Y")</f>
        <v>—</v>
      </c>
      <c r="H28" s="13" t="str">
        <f>_xll.BDH("ITCI US Equity","IS_DEFERRED_INCOME_TAX_BENEFIT","FQ3 2020","FQ3 2020","Currency=USD","Period=FQ","BEST_FPERIOD_OVERRIDE=FQ","FILING_STATUS=MR","SCALING_FORMAT=MLN","Sort=A","Dates=H","DateFormat=P","Fill=—","Direction=H","UseDPDF=Y")</f>
        <v>—</v>
      </c>
      <c r="I28" s="13" t="str">
        <f>_xll.BDH("ITCI US Equity","IS_DEFERRED_INCOME_TAX_BENEFIT","FQ4 2020","FQ4 2020","Currency=USD","Period=FQ","BEST_FPERIOD_OVERRIDE=FQ","FILING_STATUS=MR","SCALING_FORMAT=MLN","Sort=A","Dates=H","DateFormat=P","Fill=—","Direction=H","UseDPDF=Y")</f>
        <v>—</v>
      </c>
      <c r="J28" s="13" t="str">
        <f>_xll.BDH("ITCI US Equity","IS_DEFERRED_INCOME_TAX_BENEFIT","FQ1 2021","FQ1 2021","Currency=USD","Period=FQ","BEST_FPERIOD_OVERRIDE=FQ","FILING_STATUS=MR","SCALING_FORMAT=MLN","Sort=A","Dates=H","DateFormat=P","Fill=—","Direction=H","UseDPDF=Y")</f>
        <v>—</v>
      </c>
      <c r="K28" s="13" t="str">
        <f>_xll.BDH("ITCI US Equity","IS_DEFERRED_INCOME_TAX_BENEFIT","FQ2 2021","FQ2 2021","Currency=USD","Period=FQ","BEST_FPERIOD_OVERRIDE=FQ","FILING_STATUS=MR","SCALING_FORMAT=MLN","Sort=A","Dates=H","DateFormat=P","Fill=—","Direction=H","UseDPDF=Y")</f>
        <v>—</v>
      </c>
      <c r="L28" s="13" t="str">
        <f>_xll.BDH("ITCI US Equity","IS_DEFERRED_INCOME_TAX_BENEFIT","FQ3 2021","FQ3 2021","Currency=USD","Period=FQ","BEST_FPERIOD_OVERRIDE=FQ","FILING_STATUS=MR","SCALING_FORMAT=MLN","Sort=A","Dates=H","DateFormat=P","Fill=—","Direction=H","UseDPDF=Y")</f>
        <v>—</v>
      </c>
      <c r="M28" s="13">
        <f>_xll.BDH("ITCI US Equity","IS_DEFERRED_INCOME_TAX_BENEFIT","FQ4 2021","FQ4 2021","Currency=USD","Period=FQ","BEST_FPERIOD_OVERRIDE=FQ","FILING_STATUS=MR","SCALING_FORMAT=MLN","Sort=A","Dates=H","DateFormat=P","Fill=—","Direction=H","UseDPDF=Y")</f>
        <v>0</v>
      </c>
      <c r="N28" s="13" t="str">
        <f>_xll.BDH("ITCI US Equity","IS_DEFERRED_INCOME_TAX_BENEFIT","FQ1 2022","FQ1 2022","Currency=USD","Period=FQ","BEST_FPERIOD_OVERRIDE=FQ","FILING_STATUS=MR","SCALING_FORMAT=MLN","Sort=A","Dates=H","DateFormat=P","Fill=—","Direction=H","UseDPDF=Y")</f>
        <v>—</v>
      </c>
      <c r="O28" s="13" t="str">
        <f>_xll.BDH("ITCI US Equity","IS_DEFERRED_INCOME_TAX_BENEFIT","FQ2 2022","FQ2 2022","Currency=USD","Period=FQ","BEST_FPERIOD_OVERRIDE=FQ","FILING_STATUS=MR","SCALING_FORMAT=MLN","Sort=A","Dates=H","DateFormat=P","Fill=—","Direction=H","UseDPDF=Y")</f>
        <v>—</v>
      </c>
      <c r="P28" s="13" t="str">
        <f>_xll.BDH("ITCI US Equity","IS_DEFERRED_INCOME_TAX_BENEFIT","FQ3 2022","FQ3 2022","Currency=USD","Period=FQ","BEST_FPERIOD_OVERRIDE=FQ","FILING_STATUS=MR","SCALING_FORMAT=MLN","Sort=A","Dates=H","DateFormat=P","Fill=—","Direction=H","UseDPDF=Y")</f>
        <v>—</v>
      </c>
      <c r="Q28" s="13" t="str">
        <f>_xll.BDH("ITCI US Equity","IS_DEFERRED_INCOME_TAX_BENEFIT","FQ4 2022","FQ4 2022","Currency=USD","Period=FQ","BEST_FPERIOD_OVERRIDE=FQ","FILING_STATUS=MR","SCALING_FORMAT=MLN","Sort=A","Dates=H","DateFormat=P","Fill=—","Direction=H","UseDPDF=Y")</f>
        <v>—</v>
      </c>
      <c r="R28" s="13" t="str">
        <f>_xll.BDH("ITCI US Equity","IS_DEFERRED_INCOME_TAX_BENEFIT","FQ1 2023","FQ1 2023","Currency=USD","Period=FQ","BEST_FPERIOD_OVERRIDE=FQ","FILING_STATUS=MR","SCALING_FORMAT=MLN","Sort=A","Dates=H","DateFormat=P","Fill=—","Direction=H","UseDPDF=Y")</f>
        <v>—</v>
      </c>
      <c r="S28" s="13" t="str">
        <f>_xll.BDH("ITCI US Equity","IS_DEFERRED_INCOME_TAX_BENEFIT","FQ2 2023","FQ2 2023","Currency=USD","Period=FQ","BEST_FPERIOD_OVERRIDE=FQ","FILING_STATUS=MR","SCALING_FORMAT=MLN","Sort=A","Dates=H","DateFormat=P","Fill=—","Direction=H","UseDPDF=Y")</f>
        <v>—</v>
      </c>
      <c r="T28" s="13" t="str">
        <f>_xll.BDH("ITCI US Equity","IS_DEFERRED_INCOME_TAX_BENEFIT","FQ3 2023","FQ3 2023","Currency=USD","Period=FQ","BEST_FPERIOD_OVERRIDE=FQ","FILING_STATUS=MR","SCALING_FORMAT=MLN","Sort=A","Dates=H","DateFormat=P","Fill=—","Direction=H","UseDPDF=Y")</f>
        <v>—</v>
      </c>
      <c r="U28" s="13" t="str">
        <f>_xll.BDH("ITCI US Equity","IS_DEFERRED_INCOME_TAX_BENEFIT","FQ4 2023","FQ4 2023","Currency=USD","Period=FQ","BEST_FPERIOD_OVERRIDE=FQ","FILING_STATUS=MR","SCALING_FORMAT=MLN","Sort=A","Dates=H","DateFormat=P","Fill=—","Direction=H","UseDPDF=Y")</f>
        <v>—</v>
      </c>
      <c r="V28" s="13" t="str">
        <f>_xll.BDH("ITCI US Equity","IS_DEFERRED_INCOME_TAX_BENEFIT","FQ1 2024","FQ1 2024","Currency=USD","Period=FQ","BEST_FPERIOD_OVERRIDE=FQ","FILING_STATUS=MR","SCALING_FORMAT=MLN","Sort=A","Dates=H","DateFormat=P","Fill=—","Direction=H","UseDPDF=Y")</f>
        <v>—</v>
      </c>
      <c r="W28" s="13" t="str">
        <f>_xll.BDH("ITCI US Equity","IS_DEFERRED_INCOME_TAX_BENEFIT","FQ2 2024","FQ2 2024","Currency=USD","Period=FQ","BEST_FPERIOD_OVERRIDE=FQ","FILING_STATUS=MR","SCALING_FORMAT=MLN","Sort=A","Dates=H","DateFormat=P","Fill=—","Direction=H","UseDPDF=Y")</f>
        <v>—</v>
      </c>
      <c r="X28" s="13" t="str">
        <f>_xll.BDH("ITCI US Equity","IS_DEFERRED_INCOME_TAX_BENEFIT","FQ3 2024","FQ3 2024","Currency=USD","Period=FQ","BEST_FPERIOD_OVERRIDE=FQ","FILING_STATUS=MR","SCALING_FORMAT=MLN","Sort=A","Dates=H","DateFormat=P","Fill=—","Direction=H","UseDPDF=Y")</f>
        <v>—</v>
      </c>
      <c r="Y28" s="13" t="str">
        <f>_xll.BDH("ITCI US Equity","IS_DEFERRED_INCOME_TAX_BENEFIT","FQ4 2024","FQ4 2024","Currency=USD","Period=FQ","BEST_FPERIOD_OVERRIDE=FQ","FILING_STATUS=MR","SCALING_FORMAT=MLN","Sort=A","Dates=H","DateFormat=P","Fill=—","Direction=H","UseDPDF=Y")</f>
        <v>—</v>
      </c>
      <c r="Z28" s="13"/>
      <c r="AA28" s="13"/>
    </row>
    <row r="29" spans="1:27" x14ac:dyDescent="0.25">
      <c r="A29" s="6" t="s">
        <v>323</v>
      </c>
      <c r="B29" s="6" t="s">
        <v>324</v>
      </c>
      <c r="C29" s="19">
        <f>_xll.BDH("ITCI US Equity","IS_INC_BEF_XO_ITEM","FQ2 2019","FQ2 2019","Currency=USD","Period=FQ","BEST_FPERIOD_OVERRIDE=FQ","FILING_STATUS=MR","SCALING_FORMAT=MLN","Sort=A","Dates=H","DateFormat=P","Fill=—","Direction=H","UseDPDF=Y")</f>
        <v>-37.441200000000002</v>
      </c>
      <c r="D29" s="19">
        <f>_xll.BDH("ITCI US Equity","IS_INC_BEF_XO_ITEM","FQ3 2019","FQ3 2019","Currency=USD","Period=FQ","BEST_FPERIOD_OVERRIDE=FQ","FILING_STATUS=MR","SCALING_FORMAT=MLN","Sort=A","Dates=H","DateFormat=P","Fill=—","Direction=H","UseDPDF=Y")</f>
        <v>-34.862400000000001</v>
      </c>
      <c r="E29" s="19">
        <f>_xll.BDH("ITCI US Equity","IS_INC_BEF_XO_ITEM","FQ4 2019","FQ4 2019","Currency=USD","Period=FQ","BEST_FPERIOD_OVERRIDE=FQ","FILING_STATUS=MR","SCALING_FORMAT=MLN","Sort=A","Dates=H","DateFormat=P","Fill=—","Direction=H","UseDPDF=Y")</f>
        <v>-40.582900000000002</v>
      </c>
      <c r="F29" s="19">
        <f>_xll.BDH("ITCI US Equity","IS_INC_BEF_XO_ITEM","FQ1 2020","FQ1 2020","Currency=USD","Period=FQ","BEST_FPERIOD_OVERRIDE=FQ","FILING_STATUS=MR","SCALING_FORMAT=MLN","Sort=A","Dates=H","DateFormat=P","Fill=—","Direction=H","UseDPDF=Y")</f>
        <v>-47.410600000000002</v>
      </c>
      <c r="G29" s="19">
        <f>_xll.BDH("ITCI US Equity","IS_INC_BEF_XO_ITEM","FQ2 2020","FQ2 2020","Currency=USD","Period=FQ","BEST_FPERIOD_OVERRIDE=FQ","FILING_STATUS=MR","SCALING_FORMAT=MLN","Sort=A","Dates=H","DateFormat=P","Fill=—","Direction=H","UseDPDF=Y")</f>
        <v>-63.712299999999999</v>
      </c>
      <c r="H29" s="19">
        <f>_xll.BDH("ITCI US Equity","IS_INC_BEF_XO_ITEM","FQ3 2020","FQ3 2020","Currency=USD","Period=FQ","BEST_FPERIOD_OVERRIDE=FQ","FILING_STATUS=MR","SCALING_FORMAT=MLN","Sort=A","Dates=H","DateFormat=P","Fill=—","Direction=H","UseDPDF=Y")</f>
        <v>-55.183599999999998</v>
      </c>
      <c r="I29" s="19">
        <f>_xll.BDH("ITCI US Equity","IS_INC_BEF_XO_ITEM","FQ4 2020","FQ4 2020","Currency=USD","Period=FQ","BEST_FPERIOD_OVERRIDE=FQ","FILING_STATUS=MR","SCALING_FORMAT=MLN","Sort=A","Dates=H","DateFormat=P","Fill=—","Direction=H","UseDPDF=Y")</f>
        <v>-60.699199999999998</v>
      </c>
      <c r="J29" s="19">
        <f>_xll.BDH("ITCI US Equity","IS_INC_BEF_XO_ITEM","FQ1 2021","FQ1 2021","Currency=USD","Period=FQ","BEST_FPERIOD_OVERRIDE=FQ","FILING_STATUS=MR","SCALING_FORMAT=MLN","Sort=A","Dates=H","DateFormat=P","Fill=—","Direction=H","UseDPDF=Y")</f>
        <v>-52.739899999999999</v>
      </c>
      <c r="K29" s="19">
        <f>_xll.BDH("ITCI US Equity","IS_INC_BEF_XO_ITEM","FQ2 2021","FQ2 2021","Currency=USD","Period=FQ","BEST_FPERIOD_OVERRIDE=FQ","FILING_STATUS=MR","SCALING_FORMAT=MLN","Sort=A","Dates=H","DateFormat=P","Fill=—","Direction=H","UseDPDF=Y")</f>
        <v>-68.743799999999993</v>
      </c>
      <c r="L29" s="19">
        <f>_xll.BDH("ITCI US Equity","IS_INC_BEF_XO_ITEM","FQ3 2021","FQ3 2021","Currency=USD","Period=FQ","BEST_FPERIOD_OVERRIDE=FQ","FILING_STATUS=MR","SCALING_FORMAT=MLN","Sort=A","Dates=H","DateFormat=P","Fill=—","Direction=H","UseDPDF=Y")</f>
        <v>-76.908000000000001</v>
      </c>
      <c r="M29" s="19">
        <f>_xll.BDH("ITCI US Equity","IS_INC_BEF_XO_ITEM","FQ4 2021","FQ4 2021","Currency=USD","Period=FQ","BEST_FPERIOD_OVERRIDE=FQ","FILING_STATUS=MR","SCALING_FORMAT=MLN","Sort=A","Dates=H","DateFormat=P","Fill=—","Direction=H","UseDPDF=Y")</f>
        <v>-85.733900000000006</v>
      </c>
      <c r="N29" s="19">
        <f>_xll.BDH("ITCI US Equity","IS_INC_BEF_XO_ITEM","FQ1 2022","FQ1 2022","Currency=USD","Period=FQ","BEST_FPERIOD_OVERRIDE=FQ","FILING_STATUS=MR","SCALING_FORMAT=MLN","Sort=A","Dates=H","DateFormat=P","Fill=—","Direction=H","UseDPDF=Y")</f>
        <v>-72.119</v>
      </c>
      <c r="O29" s="19">
        <f>_xll.BDH("ITCI US Equity","IS_INC_BEF_XO_ITEM","FQ2 2022","FQ2 2022","Currency=USD","Period=FQ","BEST_FPERIOD_OVERRIDE=FQ","FILING_STATUS=MR","SCALING_FORMAT=MLN","Sort=A","Dates=H","DateFormat=P","Fill=—","Direction=H","UseDPDF=Y")</f>
        <v>-86.602999999999994</v>
      </c>
      <c r="P29" s="19">
        <f>_xll.BDH("ITCI US Equity","IS_INC_BEF_XO_ITEM","FQ3 2022","FQ3 2022","Currency=USD","Period=FQ","BEST_FPERIOD_OVERRIDE=FQ","FILING_STATUS=MR","SCALING_FORMAT=MLN","Sort=A","Dates=H","DateFormat=P","Fill=—","Direction=H","UseDPDF=Y")</f>
        <v>-53.508000000000003</v>
      </c>
      <c r="Q29" s="19">
        <f>_xll.BDH("ITCI US Equity","IS_INC_BEF_XO_ITEM","FQ4 2022","FQ4 2022","Currency=USD","Period=FQ","BEST_FPERIOD_OVERRIDE=FQ","FILING_STATUS=MR","SCALING_FORMAT=MLN","Sort=A","Dates=H","DateFormat=P","Fill=—","Direction=H","UseDPDF=Y")</f>
        <v>-44.026000000000003</v>
      </c>
      <c r="R29" s="19">
        <f>_xll.BDH("ITCI US Equity","IS_INC_BEF_XO_ITEM","FQ1 2023","FQ1 2023","Currency=USD","Period=FQ","BEST_FPERIOD_OVERRIDE=FQ","FILING_STATUS=MR","SCALING_FORMAT=MLN","Sort=A","Dates=H","DateFormat=P","Fill=—","Direction=H","UseDPDF=Y")</f>
        <v>-44.052999999999997</v>
      </c>
      <c r="S29" s="19">
        <f>_xll.BDH("ITCI US Equity","IS_INC_BEF_XO_ITEM","FQ2 2023","FQ2 2023","Currency=USD","Period=FQ","BEST_FPERIOD_OVERRIDE=FQ","FILING_STATUS=MR","SCALING_FORMAT=MLN","Sort=A","Dates=H","DateFormat=P","Fill=—","Direction=H","UseDPDF=Y")</f>
        <v>-42.783999999999999</v>
      </c>
      <c r="T29" s="19">
        <f>_xll.BDH("ITCI US Equity","IS_INC_BEF_XO_ITEM","FQ3 2023","FQ3 2023","Currency=USD","Period=FQ","BEST_FPERIOD_OVERRIDE=FQ","FILING_STATUS=MR","SCALING_FORMAT=MLN","Sort=A","Dates=H","DateFormat=P","Fill=—","Direction=H","UseDPDF=Y")</f>
        <v>-24.257999999999999</v>
      </c>
      <c r="U29" s="19">
        <f>_xll.BDH("ITCI US Equity","IS_INC_BEF_XO_ITEM","FQ4 2023","FQ4 2023","Currency=USD","Period=FQ","BEST_FPERIOD_OVERRIDE=FQ","FILING_STATUS=MR","SCALING_FORMAT=MLN","Sort=A","Dates=H","DateFormat=P","Fill=—","Direction=H","UseDPDF=Y")</f>
        <v>-28.579000000000001</v>
      </c>
      <c r="V29" s="19">
        <f>_xll.BDH("ITCI US Equity","IS_INC_BEF_XO_ITEM","FQ1 2024","FQ1 2024","Currency=USD","Period=FQ","BEST_FPERIOD_OVERRIDE=FQ","FILING_STATUS=MR","SCALING_FORMAT=MLN","Sort=A","Dates=H","DateFormat=P","Fill=—","Direction=H","UseDPDF=Y")</f>
        <v>-15.247</v>
      </c>
      <c r="W29" s="19">
        <f>_xll.BDH("ITCI US Equity","IS_INC_BEF_XO_ITEM","FQ2 2024","FQ2 2024","Currency=USD","Period=FQ","BEST_FPERIOD_OVERRIDE=FQ","FILING_STATUS=MR","SCALING_FORMAT=MLN","Sort=A","Dates=H","DateFormat=P","Fill=—","Direction=H","UseDPDF=Y")</f>
        <v>-16.22</v>
      </c>
      <c r="X29" s="19">
        <f>_xll.BDH("ITCI US Equity","IS_INC_BEF_XO_ITEM","FQ3 2024","FQ3 2024","Currency=USD","Period=FQ","BEST_FPERIOD_OVERRIDE=FQ","FILING_STATUS=MR","SCALING_FORMAT=MLN","Sort=A","Dates=H","DateFormat=P","Fill=—","Direction=H","UseDPDF=Y")</f>
        <v>-26.324000000000002</v>
      </c>
      <c r="Y29" s="19">
        <f>_xll.BDH("ITCI US Equity","IS_INC_BEF_XO_ITEM","FQ4 2024","FQ4 2024","Currency=USD","Period=FQ","BEST_FPERIOD_OVERRIDE=FQ","FILING_STATUS=MR","SCALING_FORMAT=MLN","Sort=A","Dates=H","DateFormat=P","Fill=—","Direction=H","UseDPDF=Y")</f>
        <v>-16.885000000000002</v>
      </c>
      <c r="Z29" s="19">
        <v>-11.425000000000001</v>
      </c>
      <c r="AA29" s="19">
        <v>-3.2170000000000001</v>
      </c>
    </row>
    <row r="30" spans="1:27" x14ac:dyDescent="0.25">
      <c r="A30" s="10" t="s">
        <v>325</v>
      </c>
      <c r="B30" s="10" t="s">
        <v>326</v>
      </c>
      <c r="C30" s="13">
        <f>_xll.BDH("ITCI US Equity","XO_GL_NET_OF_TAX","FQ2 2019","FQ2 2019","Currency=USD","Period=FQ","BEST_FPERIOD_OVERRIDE=FQ","FILING_STATUS=MR","SCALING_FORMAT=MLN","Sort=A","Dates=H","DateFormat=P","Fill=—","Direction=H","UseDPDF=Y")</f>
        <v>0</v>
      </c>
      <c r="D30" s="13">
        <f>_xll.BDH("ITCI US Equity","XO_GL_NET_OF_TAX","FQ3 2019","FQ3 2019","Currency=USD","Period=FQ","BEST_FPERIOD_OVERRIDE=FQ","FILING_STATUS=MR","SCALING_FORMAT=MLN","Sort=A","Dates=H","DateFormat=P","Fill=—","Direction=H","UseDPDF=Y")</f>
        <v>0</v>
      </c>
      <c r="E30" s="13">
        <f>_xll.BDH("ITCI US Equity","XO_GL_NET_OF_TAX","FQ4 2019","FQ4 2019","Currency=USD","Period=FQ","BEST_FPERIOD_OVERRIDE=FQ","FILING_STATUS=MR","SCALING_FORMAT=MLN","Sort=A","Dates=H","DateFormat=P","Fill=—","Direction=H","UseDPDF=Y")</f>
        <v>0</v>
      </c>
      <c r="F30" s="13">
        <f>_xll.BDH("ITCI US Equity","XO_GL_NET_OF_TAX","FQ1 2020","FQ1 2020","Currency=USD","Period=FQ","BEST_FPERIOD_OVERRIDE=FQ","FILING_STATUS=MR","SCALING_FORMAT=MLN","Sort=A","Dates=H","DateFormat=P","Fill=—","Direction=H","UseDPDF=Y")</f>
        <v>0</v>
      </c>
      <c r="G30" s="13">
        <f>_xll.BDH("ITCI US Equity","XO_GL_NET_OF_TAX","FQ2 2020","FQ2 2020","Currency=USD","Period=FQ","BEST_FPERIOD_OVERRIDE=FQ","FILING_STATUS=MR","SCALING_FORMAT=MLN","Sort=A","Dates=H","DateFormat=P","Fill=—","Direction=H","UseDPDF=Y")</f>
        <v>0</v>
      </c>
      <c r="H30" s="13">
        <f>_xll.BDH("ITCI US Equity","XO_GL_NET_OF_TAX","FQ3 2020","FQ3 2020","Currency=USD","Period=FQ","BEST_FPERIOD_OVERRIDE=FQ","FILING_STATUS=MR","SCALING_FORMAT=MLN","Sort=A","Dates=H","DateFormat=P","Fill=—","Direction=H","UseDPDF=Y")</f>
        <v>0</v>
      </c>
      <c r="I30" s="13">
        <f>_xll.BDH("ITCI US Equity","XO_GL_NET_OF_TAX","FQ4 2020","FQ4 2020","Currency=USD","Period=FQ","BEST_FPERIOD_OVERRIDE=FQ","FILING_STATUS=MR","SCALING_FORMAT=MLN","Sort=A","Dates=H","DateFormat=P","Fill=—","Direction=H","UseDPDF=Y")</f>
        <v>0</v>
      </c>
      <c r="J30" s="13">
        <f>_xll.BDH("ITCI US Equity","XO_GL_NET_OF_TAX","FQ1 2021","FQ1 2021","Currency=USD","Period=FQ","BEST_FPERIOD_OVERRIDE=FQ","FILING_STATUS=MR","SCALING_FORMAT=MLN","Sort=A","Dates=H","DateFormat=P","Fill=—","Direction=H","UseDPDF=Y")</f>
        <v>0</v>
      </c>
      <c r="K30" s="13">
        <f>_xll.BDH("ITCI US Equity","XO_GL_NET_OF_TAX","FQ2 2021","FQ2 2021","Currency=USD","Period=FQ","BEST_FPERIOD_OVERRIDE=FQ","FILING_STATUS=MR","SCALING_FORMAT=MLN","Sort=A","Dates=H","DateFormat=P","Fill=—","Direction=H","UseDPDF=Y")</f>
        <v>0</v>
      </c>
      <c r="L30" s="13">
        <f>_xll.BDH("ITCI US Equity","XO_GL_NET_OF_TAX","FQ3 2021","FQ3 2021","Currency=USD","Period=FQ","BEST_FPERIOD_OVERRIDE=FQ","FILING_STATUS=MR","SCALING_FORMAT=MLN","Sort=A","Dates=H","DateFormat=P","Fill=—","Direction=H","UseDPDF=Y")</f>
        <v>0</v>
      </c>
      <c r="M30" s="13">
        <f>_xll.BDH("ITCI US Equity","XO_GL_NET_OF_TAX","FQ4 2021","FQ4 2021","Currency=USD","Period=FQ","BEST_FPERIOD_OVERRIDE=FQ","FILING_STATUS=MR","SCALING_FORMAT=MLN","Sort=A","Dates=H","DateFormat=P","Fill=—","Direction=H","UseDPDF=Y")</f>
        <v>0</v>
      </c>
      <c r="N30" s="13">
        <f>_xll.BDH("ITCI US Equity","XO_GL_NET_OF_TAX","FQ1 2022","FQ1 2022","Currency=USD","Period=FQ","BEST_FPERIOD_OVERRIDE=FQ","FILING_STATUS=MR","SCALING_FORMAT=MLN","Sort=A","Dates=H","DateFormat=P","Fill=—","Direction=H","UseDPDF=Y")</f>
        <v>0</v>
      </c>
      <c r="O30" s="13">
        <f>_xll.BDH("ITCI US Equity","XO_GL_NET_OF_TAX","FQ2 2022","FQ2 2022","Currency=USD","Period=FQ","BEST_FPERIOD_OVERRIDE=FQ","FILING_STATUS=MR","SCALING_FORMAT=MLN","Sort=A","Dates=H","DateFormat=P","Fill=—","Direction=H","UseDPDF=Y")</f>
        <v>0</v>
      </c>
      <c r="P30" s="13">
        <f>_xll.BDH("ITCI US Equity","XO_GL_NET_OF_TAX","FQ3 2022","FQ3 2022","Currency=USD","Period=FQ","BEST_FPERIOD_OVERRIDE=FQ","FILING_STATUS=MR","SCALING_FORMAT=MLN","Sort=A","Dates=H","DateFormat=P","Fill=—","Direction=H","UseDPDF=Y")</f>
        <v>0</v>
      </c>
      <c r="Q30" s="13">
        <f>_xll.BDH("ITCI US Equity","XO_GL_NET_OF_TAX","FQ4 2022","FQ4 2022","Currency=USD","Period=FQ","BEST_FPERIOD_OVERRIDE=FQ","FILING_STATUS=MR","SCALING_FORMAT=MLN","Sort=A","Dates=H","DateFormat=P","Fill=—","Direction=H","UseDPDF=Y")</f>
        <v>0</v>
      </c>
      <c r="R30" s="13">
        <f>_xll.BDH("ITCI US Equity","XO_GL_NET_OF_TAX","FQ1 2023","FQ1 2023","Currency=USD","Period=FQ","BEST_FPERIOD_OVERRIDE=FQ","FILING_STATUS=MR","SCALING_FORMAT=MLN","Sort=A","Dates=H","DateFormat=P","Fill=—","Direction=H","UseDPDF=Y")</f>
        <v>0</v>
      </c>
      <c r="S30" s="13">
        <f>_xll.BDH("ITCI US Equity","XO_GL_NET_OF_TAX","FQ2 2023","FQ2 2023","Currency=USD","Period=FQ","BEST_FPERIOD_OVERRIDE=FQ","FILING_STATUS=MR","SCALING_FORMAT=MLN","Sort=A","Dates=H","DateFormat=P","Fill=—","Direction=H","UseDPDF=Y")</f>
        <v>0</v>
      </c>
      <c r="T30" s="13">
        <f>_xll.BDH("ITCI US Equity","XO_GL_NET_OF_TAX","FQ3 2023","FQ3 2023","Currency=USD","Period=FQ","BEST_FPERIOD_OVERRIDE=FQ","FILING_STATUS=MR","SCALING_FORMAT=MLN","Sort=A","Dates=H","DateFormat=P","Fill=—","Direction=H","UseDPDF=Y")</f>
        <v>0</v>
      </c>
      <c r="U30" s="13">
        <f>_xll.BDH("ITCI US Equity","XO_GL_NET_OF_TAX","FQ4 2023","FQ4 2023","Currency=USD","Period=FQ","BEST_FPERIOD_OVERRIDE=FQ","FILING_STATUS=MR","SCALING_FORMAT=MLN","Sort=A","Dates=H","DateFormat=P","Fill=—","Direction=H","UseDPDF=Y")</f>
        <v>0</v>
      </c>
      <c r="V30" s="13">
        <f>_xll.BDH("ITCI US Equity","XO_GL_NET_OF_TAX","FQ1 2024","FQ1 2024","Currency=USD","Period=FQ","BEST_FPERIOD_OVERRIDE=FQ","FILING_STATUS=MR","SCALING_FORMAT=MLN","Sort=A","Dates=H","DateFormat=P","Fill=—","Direction=H","UseDPDF=Y")</f>
        <v>0</v>
      </c>
      <c r="W30" s="13">
        <f>_xll.BDH("ITCI US Equity","XO_GL_NET_OF_TAX","FQ2 2024","FQ2 2024","Currency=USD","Period=FQ","BEST_FPERIOD_OVERRIDE=FQ","FILING_STATUS=MR","SCALING_FORMAT=MLN","Sort=A","Dates=H","DateFormat=P","Fill=—","Direction=H","UseDPDF=Y")</f>
        <v>0</v>
      </c>
      <c r="X30" s="13">
        <f>_xll.BDH("ITCI US Equity","XO_GL_NET_OF_TAX","FQ3 2024","FQ3 2024","Currency=USD","Period=FQ","BEST_FPERIOD_OVERRIDE=FQ","FILING_STATUS=MR","SCALING_FORMAT=MLN","Sort=A","Dates=H","DateFormat=P","Fill=—","Direction=H","UseDPDF=Y")</f>
        <v>0</v>
      </c>
      <c r="Y30" s="13">
        <f>_xll.BDH("ITCI US Equity","XO_GL_NET_OF_TAX","FQ4 2024","FQ4 2024","Currency=USD","Period=FQ","BEST_FPERIOD_OVERRIDE=FQ","FILING_STATUS=MR","SCALING_FORMAT=MLN","Sort=A","Dates=H","DateFormat=P","Fill=—","Direction=H","UseDPDF=Y")</f>
        <v>0</v>
      </c>
      <c r="Z30" s="13"/>
      <c r="AA30" s="13"/>
    </row>
    <row r="31" spans="1:27" x14ac:dyDescent="0.25">
      <c r="A31" s="10" t="s">
        <v>327</v>
      </c>
      <c r="B31" s="10" t="s">
        <v>328</v>
      </c>
      <c r="C31" s="13">
        <f>_xll.BDH("ITCI US Equity","IS_DISCONTINUED_OPERATIONS","FQ2 2019","FQ2 2019","Currency=USD","Period=FQ","BEST_FPERIOD_OVERRIDE=FQ","FILING_STATUS=MR","SCALING_FORMAT=MLN","Sort=A","Dates=H","DateFormat=P","Fill=—","Direction=H","UseDPDF=Y")</f>
        <v>0</v>
      </c>
      <c r="D31" s="13">
        <f>_xll.BDH("ITCI US Equity","IS_DISCONTINUED_OPERATIONS","FQ3 2019","FQ3 2019","Currency=USD","Period=FQ","BEST_FPERIOD_OVERRIDE=FQ","FILING_STATUS=MR","SCALING_FORMAT=MLN","Sort=A","Dates=H","DateFormat=P","Fill=—","Direction=H","UseDPDF=Y")</f>
        <v>0</v>
      </c>
      <c r="E31" s="13">
        <f>_xll.BDH("ITCI US Equity","IS_DISCONTINUED_OPERATIONS","FQ4 2019","FQ4 2019","Currency=USD","Period=FQ","BEST_FPERIOD_OVERRIDE=FQ","FILING_STATUS=MR","SCALING_FORMAT=MLN","Sort=A","Dates=H","DateFormat=P","Fill=—","Direction=H","UseDPDF=Y")</f>
        <v>0</v>
      </c>
      <c r="F31" s="13">
        <f>_xll.BDH("ITCI US Equity","IS_DISCONTINUED_OPERATIONS","FQ1 2020","FQ1 2020","Currency=USD","Period=FQ","BEST_FPERIOD_OVERRIDE=FQ","FILING_STATUS=MR","SCALING_FORMAT=MLN","Sort=A","Dates=H","DateFormat=P","Fill=—","Direction=H","UseDPDF=Y")</f>
        <v>0</v>
      </c>
      <c r="G31" s="13">
        <f>_xll.BDH("ITCI US Equity","IS_DISCONTINUED_OPERATIONS","FQ2 2020","FQ2 2020","Currency=USD","Period=FQ","BEST_FPERIOD_OVERRIDE=FQ","FILING_STATUS=MR","SCALING_FORMAT=MLN","Sort=A","Dates=H","DateFormat=P","Fill=—","Direction=H","UseDPDF=Y")</f>
        <v>0</v>
      </c>
      <c r="H31" s="13">
        <f>_xll.BDH("ITCI US Equity","IS_DISCONTINUED_OPERATIONS","FQ3 2020","FQ3 2020","Currency=USD","Period=FQ","BEST_FPERIOD_OVERRIDE=FQ","FILING_STATUS=MR","SCALING_FORMAT=MLN","Sort=A","Dates=H","DateFormat=P","Fill=—","Direction=H","UseDPDF=Y")</f>
        <v>0</v>
      </c>
      <c r="I31" s="13">
        <f>_xll.BDH("ITCI US Equity","IS_DISCONTINUED_OPERATIONS","FQ4 2020","FQ4 2020","Currency=USD","Period=FQ","BEST_FPERIOD_OVERRIDE=FQ","FILING_STATUS=MR","SCALING_FORMAT=MLN","Sort=A","Dates=H","DateFormat=P","Fill=—","Direction=H","UseDPDF=Y")</f>
        <v>0</v>
      </c>
      <c r="J31" s="13">
        <f>_xll.BDH("ITCI US Equity","IS_DISCONTINUED_OPERATIONS","FQ1 2021","FQ1 2021","Currency=USD","Period=FQ","BEST_FPERIOD_OVERRIDE=FQ","FILING_STATUS=MR","SCALING_FORMAT=MLN","Sort=A","Dates=H","DateFormat=P","Fill=—","Direction=H","UseDPDF=Y")</f>
        <v>0</v>
      </c>
      <c r="K31" s="13">
        <f>_xll.BDH("ITCI US Equity","IS_DISCONTINUED_OPERATIONS","FQ2 2021","FQ2 2021","Currency=USD","Period=FQ","BEST_FPERIOD_OVERRIDE=FQ","FILING_STATUS=MR","SCALING_FORMAT=MLN","Sort=A","Dates=H","DateFormat=P","Fill=—","Direction=H","UseDPDF=Y")</f>
        <v>0</v>
      </c>
      <c r="L31" s="13">
        <f>_xll.BDH("ITCI US Equity","IS_DISCONTINUED_OPERATIONS","FQ3 2021","FQ3 2021","Currency=USD","Period=FQ","BEST_FPERIOD_OVERRIDE=FQ","FILING_STATUS=MR","SCALING_FORMAT=MLN","Sort=A","Dates=H","DateFormat=P","Fill=—","Direction=H","UseDPDF=Y")</f>
        <v>0</v>
      </c>
      <c r="M31" s="13">
        <f>_xll.BDH("ITCI US Equity","IS_DISCONTINUED_OPERATIONS","FQ4 2021","FQ4 2021","Currency=USD","Period=FQ","BEST_FPERIOD_OVERRIDE=FQ","FILING_STATUS=MR","SCALING_FORMAT=MLN","Sort=A","Dates=H","DateFormat=P","Fill=—","Direction=H","UseDPDF=Y")</f>
        <v>0</v>
      </c>
      <c r="N31" s="13">
        <f>_xll.BDH("ITCI US Equity","IS_DISCONTINUED_OPERATIONS","FQ1 2022","FQ1 2022","Currency=USD","Period=FQ","BEST_FPERIOD_OVERRIDE=FQ","FILING_STATUS=MR","SCALING_FORMAT=MLN","Sort=A","Dates=H","DateFormat=P","Fill=—","Direction=H","UseDPDF=Y")</f>
        <v>0</v>
      </c>
      <c r="O31" s="13">
        <f>_xll.BDH("ITCI US Equity","IS_DISCONTINUED_OPERATIONS","FQ2 2022","FQ2 2022","Currency=USD","Period=FQ","BEST_FPERIOD_OVERRIDE=FQ","FILING_STATUS=MR","SCALING_FORMAT=MLN","Sort=A","Dates=H","DateFormat=P","Fill=—","Direction=H","UseDPDF=Y")</f>
        <v>0</v>
      </c>
      <c r="P31" s="13">
        <f>_xll.BDH("ITCI US Equity","IS_DISCONTINUED_OPERATIONS","FQ3 2022","FQ3 2022","Currency=USD","Period=FQ","BEST_FPERIOD_OVERRIDE=FQ","FILING_STATUS=MR","SCALING_FORMAT=MLN","Sort=A","Dates=H","DateFormat=P","Fill=—","Direction=H","UseDPDF=Y")</f>
        <v>0</v>
      </c>
      <c r="Q31" s="13">
        <f>_xll.BDH("ITCI US Equity","IS_DISCONTINUED_OPERATIONS","FQ4 2022","FQ4 2022","Currency=USD","Period=FQ","BEST_FPERIOD_OVERRIDE=FQ","FILING_STATUS=MR","SCALING_FORMAT=MLN","Sort=A","Dates=H","DateFormat=P","Fill=—","Direction=H","UseDPDF=Y")</f>
        <v>0</v>
      </c>
      <c r="R31" s="13">
        <f>_xll.BDH("ITCI US Equity","IS_DISCONTINUED_OPERATIONS","FQ1 2023","FQ1 2023","Currency=USD","Period=FQ","BEST_FPERIOD_OVERRIDE=FQ","FILING_STATUS=MR","SCALING_FORMAT=MLN","Sort=A","Dates=H","DateFormat=P","Fill=—","Direction=H","UseDPDF=Y")</f>
        <v>0</v>
      </c>
      <c r="S31" s="13">
        <f>_xll.BDH("ITCI US Equity","IS_DISCONTINUED_OPERATIONS","FQ2 2023","FQ2 2023","Currency=USD","Period=FQ","BEST_FPERIOD_OVERRIDE=FQ","FILING_STATUS=MR","SCALING_FORMAT=MLN","Sort=A","Dates=H","DateFormat=P","Fill=—","Direction=H","UseDPDF=Y")</f>
        <v>0</v>
      </c>
      <c r="T31" s="13">
        <f>_xll.BDH("ITCI US Equity","IS_DISCONTINUED_OPERATIONS","FQ3 2023","FQ3 2023","Currency=USD","Period=FQ","BEST_FPERIOD_OVERRIDE=FQ","FILING_STATUS=MR","SCALING_FORMAT=MLN","Sort=A","Dates=H","DateFormat=P","Fill=—","Direction=H","UseDPDF=Y")</f>
        <v>0</v>
      </c>
      <c r="U31" s="13">
        <f>_xll.BDH("ITCI US Equity","IS_DISCONTINUED_OPERATIONS","FQ4 2023","FQ4 2023","Currency=USD","Period=FQ","BEST_FPERIOD_OVERRIDE=FQ","FILING_STATUS=MR","SCALING_FORMAT=MLN","Sort=A","Dates=H","DateFormat=P","Fill=—","Direction=H","UseDPDF=Y")</f>
        <v>0</v>
      </c>
      <c r="V31" s="13">
        <f>_xll.BDH("ITCI US Equity","IS_DISCONTINUED_OPERATIONS","FQ1 2024","FQ1 2024","Currency=USD","Period=FQ","BEST_FPERIOD_OVERRIDE=FQ","FILING_STATUS=MR","SCALING_FORMAT=MLN","Sort=A","Dates=H","DateFormat=P","Fill=—","Direction=H","UseDPDF=Y")</f>
        <v>0</v>
      </c>
      <c r="W31" s="13">
        <f>_xll.BDH("ITCI US Equity","IS_DISCONTINUED_OPERATIONS","FQ2 2024","FQ2 2024","Currency=USD","Period=FQ","BEST_FPERIOD_OVERRIDE=FQ","FILING_STATUS=MR","SCALING_FORMAT=MLN","Sort=A","Dates=H","DateFormat=P","Fill=—","Direction=H","UseDPDF=Y")</f>
        <v>0</v>
      </c>
      <c r="X31" s="13">
        <f>_xll.BDH("ITCI US Equity","IS_DISCONTINUED_OPERATIONS","FQ3 2024","FQ3 2024","Currency=USD","Period=FQ","BEST_FPERIOD_OVERRIDE=FQ","FILING_STATUS=MR","SCALING_FORMAT=MLN","Sort=A","Dates=H","DateFormat=P","Fill=—","Direction=H","UseDPDF=Y")</f>
        <v>0</v>
      </c>
      <c r="Y31" s="13">
        <f>_xll.BDH("ITCI US Equity","IS_DISCONTINUED_OPERATIONS","FQ4 2024","FQ4 2024","Currency=USD","Period=FQ","BEST_FPERIOD_OVERRIDE=FQ","FILING_STATUS=MR","SCALING_FORMAT=MLN","Sort=A","Dates=H","DateFormat=P","Fill=—","Direction=H","UseDPDF=Y")</f>
        <v>0</v>
      </c>
      <c r="Z31" s="13"/>
      <c r="AA31" s="13"/>
    </row>
    <row r="32" spans="1:27" x14ac:dyDescent="0.25">
      <c r="A32" s="10" t="s">
        <v>329</v>
      </c>
      <c r="B32" s="10" t="s">
        <v>330</v>
      </c>
      <c r="C32" s="13">
        <f>_xll.BDH("ITCI US Equity","EXTRAORD_ITEMS_ACCOUNTING_CHANGS","FQ2 2019","FQ2 2019","Currency=USD","Period=FQ","BEST_FPERIOD_OVERRIDE=FQ","FILING_STATUS=MR","SCALING_FORMAT=MLN","Sort=A","Dates=H","DateFormat=P","Fill=—","Direction=H","UseDPDF=Y")</f>
        <v>0</v>
      </c>
      <c r="D32" s="13">
        <f>_xll.BDH("ITCI US Equity","EXTRAORD_ITEMS_ACCOUNTING_CHANGS","FQ3 2019","FQ3 2019","Currency=USD","Period=FQ","BEST_FPERIOD_OVERRIDE=FQ","FILING_STATUS=MR","SCALING_FORMAT=MLN","Sort=A","Dates=H","DateFormat=P","Fill=—","Direction=H","UseDPDF=Y")</f>
        <v>0</v>
      </c>
      <c r="E32" s="13">
        <f>_xll.BDH("ITCI US Equity","EXTRAORD_ITEMS_ACCOUNTING_CHANGS","FQ4 2019","FQ4 2019","Currency=USD","Period=FQ","BEST_FPERIOD_OVERRIDE=FQ","FILING_STATUS=MR","SCALING_FORMAT=MLN","Sort=A","Dates=H","DateFormat=P","Fill=—","Direction=H","UseDPDF=Y")</f>
        <v>0</v>
      </c>
      <c r="F32" s="13">
        <f>_xll.BDH("ITCI US Equity","EXTRAORD_ITEMS_ACCOUNTING_CHANGS","FQ1 2020","FQ1 2020","Currency=USD","Period=FQ","BEST_FPERIOD_OVERRIDE=FQ","FILING_STATUS=MR","SCALING_FORMAT=MLN","Sort=A","Dates=H","DateFormat=P","Fill=—","Direction=H","UseDPDF=Y")</f>
        <v>0</v>
      </c>
      <c r="G32" s="13">
        <f>_xll.BDH("ITCI US Equity","EXTRAORD_ITEMS_ACCOUNTING_CHANGS","FQ2 2020","FQ2 2020","Currency=USD","Period=FQ","BEST_FPERIOD_OVERRIDE=FQ","FILING_STATUS=MR","SCALING_FORMAT=MLN","Sort=A","Dates=H","DateFormat=P","Fill=—","Direction=H","UseDPDF=Y")</f>
        <v>0</v>
      </c>
      <c r="H32" s="13">
        <f>_xll.BDH("ITCI US Equity","EXTRAORD_ITEMS_ACCOUNTING_CHANGS","FQ3 2020","FQ3 2020","Currency=USD","Period=FQ","BEST_FPERIOD_OVERRIDE=FQ","FILING_STATUS=MR","SCALING_FORMAT=MLN","Sort=A","Dates=H","DateFormat=P","Fill=—","Direction=H","UseDPDF=Y")</f>
        <v>0</v>
      </c>
      <c r="I32" s="13">
        <f>_xll.BDH("ITCI US Equity","EXTRAORD_ITEMS_ACCOUNTING_CHANGS","FQ4 2020","FQ4 2020","Currency=USD","Period=FQ","BEST_FPERIOD_OVERRIDE=FQ","FILING_STATUS=MR","SCALING_FORMAT=MLN","Sort=A","Dates=H","DateFormat=P","Fill=—","Direction=H","UseDPDF=Y")</f>
        <v>0</v>
      </c>
      <c r="J32" s="13">
        <f>_xll.BDH("ITCI US Equity","EXTRAORD_ITEMS_ACCOUNTING_CHANGS","FQ1 2021","FQ1 2021","Currency=USD","Period=FQ","BEST_FPERIOD_OVERRIDE=FQ","FILING_STATUS=MR","SCALING_FORMAT=MLN","Sort=A","Dates=H","DateFormat=P","Fill=—","Direction=H","UseDPDF=Y")</f>
        <v>0</v>
      </c>
      <c r="K32" s="13">
        <f>_xll.BDH("ITCI US Equity","EXTRAORD_ITEMS_ACCOUNTING_CHANGS","FQ2 2021","FQ2 2021","Currency=USD","Period=FQ","BEST_FPERIOD_OVERRIDE=FQ","FILING_STATUS=MR","SCALING_FORMAT=MLN","Sort=A","Dates=H","DateFormat=P","Fill=—","Direction=H","UseDPDF=Y")</f>
        <v>0</v>
      </c>
      <c r="L32" s="13">
        <f>_xll.BDH("ITCI US Equity","EXTRAORD_ITEMS_ACCOUNTING_CHANGS","FQ3 2021","FQ3 2021","Currency=USD","Period=FQ","BEST_FPERIOD_OVERRIDE=FQ","FILING_STATUS=MR","SCALING_FORMAT=MLN","Sort=A","Dates=H","DateFormat=P","Fill=—","Direction=H","UseDPDF=Y")</f>
        <v>0</v>
      </c>
      <c r="M32" s="13">
        <f>_xll.BDH("ITCI US Equity","EXTRAORD_ITEMS_ACCOUNTING_CHANGS","FQ4 2021","FQ4 2021","Currency=USD","Period=FQ","BEST_FPERIOD_OVERRIDE=FQ","FILING_STATUS=MR","SCALING_FORMAT=MLN","Sort=A","Dates=H","DateFormat=P","Fill=—","Direction=H","UseDPDF=Y")</f>
        <v>0</v>
      </c>
      <c r="N32" s="13">
        <f>_xll.BDH("ITCI US Equity","EXTRAORD_ITEMS_ACCOUNTING_CHANGS","FQ1 2022","FQ1 2022","Currency=USD","Period=FQ","BEST_FPERIOD_OVERRIDE=FQ","FILING_STATUS=MR","SCALING_FORMAT=MLN","Sort=A","Dates=H","DateFormat=P","Fill=—","Direction=H","UseDPDF=Y")</f>
        <v>0</v>
      </c>
      <c r="O32" s="13">
        <f>_xll.BDH("ITCI US Equity","EXTRAORD_ITEMS_ACCOUNTING_CHANGS","FQ2 2022","FQ2 2022","Currency=USD","Period=FQ","BEST_FPERIOD_OVERRIDE=FQ","FILING_STATUS=MR","SCALING_FORMAT=MLN","Sort=A","Dates=H","DateFormat=P","Fill=—","Direction=H","UseDPDF=Y")</f>
        <v>0</v>
      </c>
      <c r="P32" s="13">
        <f>_xll.BDH("ITCI US Equity","EXTRAORD_ITEMS_ACCOUNTING_CHANGS","FQ3 2022","FQ3 2022","Currency=USD","Period=FQ","BEST_FPERIOD_OVERRIDE=FQ","FILING_STATUS=MR","SCALING_FORMAT=MLN","Sort=A","Dates=H","DateFormat=P","Fill=—","Direction=H","UseDPDF=Y")</f>
        <v>0</v>
      </c>
      <c r="Q32" s="13">
        <f>_xll.BDH("ITCI US Equity","EXTRAORD_ITEMS_ACCOUNTING_CHANGS","FQ4 2022","FQ4 2022","Currency=USD","Period=FQ","BEST_FPERIOD_OVERRIDE=FQ","FILING_STATUS=MR","SCALING_FORMAT=MLN","Sort=A","Dates=H","DateFormat=P","Fill=—","Direction=H","UseDPDF=Y")</f>
        <v>0</v>
      </c>
      <c r="R32" s="13">
        <f>_xll.BDH("ITCI US Equity","EXTRAORD_ITEMS_ACCOUNTING_CHANGS","FQ1 2023","FQ1 2023","Currency=USD","Period=FQ","BEST_FPERIOD_OVERRIDE=FQ","FILING_STATUS=MR","SCALING_FORMAT=MLN","Sort=A","Dates=H","DateFormat=P","Fill=—","Direction=H","UseDPDF=Y")</f>
        <v>0</v>
      </c>
      <c r="S32" s="13">
        <f>_xll.BDH("ITCI US Equity","EXTRAORD_ITEMS_ACCOUNTING_CHANGS","FQ2 2023","FQ2 2023","Currency=USD","Period=FQ","BEST_FPERIOD_OVERRIDE=FQ","FILING_STATUS=MR","SCALING_FORMAT=MLN","Sort=A","Dates=H","DateFormat=P","Fill=—","Direction=H","UseDPDF=Y")</f>
        <v>0</v>
      </c>
      <c r="T32" s="13">
        <f>_xll.BDH("ITCI US Equity","EXTRAORD_ITEMS_ACCOUNTING_CHANGS","FQ3 2023","FQ3 2023","Currency=USD","Period=FQ","BEST_FPERIOD_OVERRIDE=FQ","FILING_STATUS=MR","SCALING_FORMAT=MLN","Sort=A","Dates=H","DateFormat=P","Fill=—","Direction=H","UseDPDF=Y")</f>
        <v>0</v>
      </c>
      <c r="U32" s="13">
        <f>_xll.BDH("ITCI US Equity","EXTRAORD_ITEMS_ACCOUNTING_CHANGS","FQ4 2023","FQ4 2023","Currency=USD","Period=FQ","BEST_FPERIOD_OVERRIDE=FQ","FILING_STATUS=MR","SCALING_FORMAT=MLN","Sort=A","Dates=H","DateFormat=P","Fill=—","Direction=H","UseDPDF=Y")</f>
        <v>0</v>
      </c>
      <c r="V32" s="13">
        <f>_xll.BDH("ITCI US Equity","EXTRAORD_ITEMS_ACCOUNTING_CHANGS","FQ1 2024","FQ1 2024","Currency=USD","Period=FQ","BEST_FPERIOD_OVERRIDE=FQ","FILING_STATUS=MR","SCALING_FORMAT=MLN","Sort=A","Dates=H","DateFormat=P","Fill=—","Direction=H","UseDPDF=Y")</f>
        <v>0</v>
      </c>
      <c r="W32" s="13">
        <f>_xll.BDH("ITCI US Equity","EXTRAORD_ITEMS_ACCOUNTING_CHANGS","FQ2 2024","FQ2 2024","Currency=USD","Period=FQ","BEST_FPERIOD_OVERRIDE=FQ","FILING_STATUS=MR","SCALING_FORMAT=MLN","Sort=A","Dates=H","DateFormat=P","Fill=—","Direction=H","UseDPDF=Y")</f>
        <v>0</v>
      </c>
      <c r="X32" s="13">
        <f>_xll.BDH("ITCI US Equity","EXTRAORD_ITEMS_ACCOUNTING_CHANGS","FQ3 2024","FQ3 2024","Currency=USD","Period=FQ","BEST_FPERIOD_OVERRIDE=FQ","FILING_STATUS=MR","SCALING_FORMAT=MLN","Sort=A","Dates=H","DateFormat=P","Fill=—","Direction=H","UseDPDF=Y")</f>
        <v>0</v>
      </c>
      <c r="Y32" s="13">
        <f>_xll.BDH("ITCI US Equity","EXTRAORD_ITEMS_ACCOUNTING_CHANGS","FQ4 2024","FQ4 2024","Currency=USD","Period=FQ","BEST_FPERIOD_OVERRIDE=FQ","FILING_STATUS=MR","SCALING_FORMAT=MLN","Sort=A","Dates=H","DateFormat=P","Fill=—","Direction=H","UseDPDF=Y")</f>
        <v>0</v>
      </c>
      <c r="Z32" s="13"/>
      <c r="AA32" s="13"/>
    </row>
    <row r="33" spans="1:27" x14ac:dyDescent="0.25">
      <c r="A33" s="6" t="s">
        <v>331</v>
      </c>
      <c r="B33" s="6" t="s">
        <v>332</v>
      </c>
      <c r="C33" s="19">
        <f>_xll.BDH("ITCI US Equity","NI_INCLUDING_MINORITY_INT_RATIO","FQ2 2019","FQ2 2019","Currency=USD","Period=FQ","BEST_FPERIOD_OVERRIDE=FQ","FILING_STATUS=MR","SCALING_FORMAT=MLN","FA_ADJUSTED=GAAP","Sort=A","Dates=H","DateFormat=P","Fill=—","Direction=H","UseDPDF=Y")</f>
        <v>-37.441200000000002</v>
      </c>
      <c r="D33" s="19">
        <f>_xll.BDH("ITCI US Equity","NI_INCLUDING_MINORITY_INT_RATIO","FQ3 2019","FQ3 2019","Currency=USD","Period=FQ","BEST_FPERIOD_OVERRIDE=FQ","FILING_STATUS=MR","SCALING_FORMAT=MLN","FA_ADJUSTED=GAAP","Sort=A","Dates=H","DateFormat=P","Fill=—","Direction=H","UseDPDF=Y")</f>
        <v>-34.862400000000001</v>
      </c>
      <c r="E33" s="19">
        <f>_xll.BDH("ITCI US Equity","NI_INCLUDING_MINORITY_INT_RATIO","FQ4 2019","FQ4 2019","Currency=USD","Period=FQ","BEST_FPERIOD_OVERRIDE=FQ","FILING_STATUS=MR","SCALING_FORMAT=MLN","FA_ADJUSTED=GAAP","Sort=A","Dates=H","DateFormat=P","Fill=—","Direction=H","UseDPDF=Y")</f>
        <v>-40.582900000000002</v>
      </c>
      <c r="F33" s="19">
        <f>_xll.BDH("ITCI US Equity","NI_INCLUDING_MINORITY_INT_RATIO","FQ1 2020","FQ1 2020","Currency=USD","Period=FQ","BEST_FPERIOD_OVERRIDE=FQ","FILING_STATUS=MR","SCALING_FORMAT=MLN","FA_ADJUSTED=GAAP","Sort=A","Dates=H","DateFormat=P","Fill=—","Direction=H","UseDPDF=Y")</f>
        <v>-47.410600000000002</v>
      </c>
      <c r="G33" s="19">
        <f>_xll.BDH("ITCI US Equity","NI_INCLUDING_MINORITY_INT_RATIO","FQ2 2020","FQ2 2020","Currency=USD","Period=FQ","BEST_FPERIOD_OVERRIDE=FQ","FILING_STATUS=MR","SCALING_FORMAT=MLN","FA_ADJUSTED=GAAP","Sort=A","Dates=H","DateFormat=P","Fill=—","Direction=H","UseDPDF=Y")</f>
        <v>-63.712299999999999</v>
      </c>
      <c r="H33" s="19">
        <f>_xll.BDH("ITCI US Equity","NI_INCLUDING_MINORITY_INT_RATIO","FQ3 2020","FQ3 2020","Currency=USD","Period=FQ","BEST_FPERIOD_OVERRIDE=FQ","FILING_STATUS=MR","SCALING_FORMAT=MLN","FA_ADJUSTED=GAAP","Sort=A","Dates=H","DateFormat=P","Fill=—","Direction=H","UseDPDF=Y")</f>
        <v>-55.183599999999998</v>
      </c>
      <c r="I33" s="19">
        <f>_xll.BDH("ITCI US Equity","NI_INCLUDING_MINORITY_INT_RATIO","FQ4 2020","FQ4 2020","Currency=USD","Period=FQ","BEST_FPERIOD_OVERRIDE=FQ","FILING_STATUS=MR","SCALING_FORMAT=MLN","FA_ADJUSTED=GAAP","Sort=A","Dates=H","DateFormat=P","Fill=—","Direction=H","UseDPDF=Y")</f>
        <v>-60.699199999999998</v>
      </c>
      <c r="J33" s="19">
        <f>_xll.BDH("ITCI US Equity","NI_INCLUDING_MINORITY_INT_RATIO","FQ1 2021","FQ1 2021","Currency=USD","Period=FQ","BEST_FPERIOD_OVERRIDE=FQ","FILING_STATUS=MR","SCALING_FORMAT=MLN","FA_ADJUSTED=GAAP","Sort=A","Dates=H","DateFormat=P","Fill=—","Direction=H","UseDPDF=Y")</f>
        <v>-52.739899999999999</v>
      </c>
      <c r="K33" s="19">
        <f>_xll.BDH("ITCI US Equity","NI_INCLUDING_MINORITY_INT_RATIO","FQ2 2021","FQ2 2021","Currency=USD","Period=FQ","BEST_FPERIOD_OVERRIDE=FQ","FILING_STATUS=MR","SCALING_FORMAT=MLN","FA_ADJUSTED=GAAP","Sort=A","Dates=H","DateFormat=P","Fill=—","Direction=H","UseDPDF=Y")</f>
        <v>-68.743799999999993</v>
      </c>
      <c r="L33" s="19">
        <f>_xll.BDH("ITCI US Equity","NI_INCLUDING_MINORITY_INT_RATIO","FQ3 2021","FQ3 2021","Currency=USD","Period=FQ","BEST_FPERIOD_OVERRIDE=FQ","FILING_STATUS=MR","SCALING_FORMAT=MLN","FA_ADJUSTED=GAAP","Sort=A","Dates=H","DateFormat=P","Fill=—","Direction=H","UseDPDF=Y")</f>
        <v>-76.908000000000001</v>
      </c>
      <c r="M33" s="19">
        <f>_xll.BDH("ITCI US Equity","NI_INCLUDING_MINORITY_INT_RATIO","FQ4 2021","FQ4 2021","Currency=USD","Period=FQ","BEST_FPERIOD_OVERRIDE=FQ","FILING_STATUS=MR","SCALING_FORMAT=MLN","FA_ADJUSTED=GAAP","Sort=A","Dates=H","DateFormat=P","Fill=—","Direction=H","UseDPDF=Y")</f>
        <v>-85.733900000000006</v>
      </c>
      <c r="N33" s="19">
        <f>_xll.BDH("ITCI US Equity","NI_INCLUDING_MINORITY_INT_RATIO","FQ1 2022","FQ1 2022","Currency=USD","Period=FQ","BEST_FPERIOD_OVERRIDE=FQ","FILING_STATUS=MR","SCALING_FORMAT=MLN","FA_ADJUSTED=GAAP","Sort=A","Dates=H","DateFormat=P","Fill=—","Direction=H","UseDPDF=Y")</f>
        <v>-72.119</v>
      </c>
      <c r="O33" s="19">
        <f>_xll.BDH("ITCI US Equity","NI_INCLUDING_MINORITY_INT_RATIO","FQ2 2022","FQ2 2022","Currency=USD","Period=FQ","BEST_FPERIOD_OVERRIDE=FQ","FILING_STATUS=MR","SCALING_FORMAT=MLN","FA_ADJUSTED=GAAP","Sort=A","Dates=H","DateFormat=P","Fill=—","Direction=H","UseDPDF=Y")</f>
        <v>-86.602999999999994</v>
      </c>
      <c r="P33" s="19">
        <f>_xll.BDH("ITCI US Equity","NI_INCLUDING_MINORITY_INT_RATIO","FQ3 2022","FQ3 2022","Currency=USD","Period=FQ","BEST_FPERIOD_OVERRIDE=FQ","FILING_STATUS=MR","SCALING_FORMAT=MLN","FA_ADJUSTED=GAAP","Sort=A","Dates=H","DateFormat=P","Fill=—","Direction=H","UseDPDF=Y")</f>
        <v>-53.508000000000003</v>
      </c>
      <c r="Q33" s="19">
        <f>_xll.BDH("ITCI US Equity","NI_INCLUDING_MINORITY_INT_RATIO","FQ4 2022","FQ4 2022","Currency=USD","Period=FQ","BEST_FPERIOD_OVERRIDE=FQ","FILING_STATUS=MR","SCALING_FORMAT=MLN","FA_ADJUSTED=GAAP","Sort=A","Dates=H","DateFormat=P","Fill=—","Direction=H","UseDPDF=Y")</f>
        <v>-44.026000000000003</v>
      </c>
      <c r="R33" s="19">
        <f>_xll.BDH("ITCI US Equity","NI_INCLUDING_MINORITY_INT_RATIO","FQ1 2023","FQ1 2023","Currency=USD","Period=FQ","BEST_FPERIOD_OVERRIDE=FQ","FILING_STATUS=MR","SCALING_FORMAT=MLN","FA_ADJUSTED=GAAP","Sort=A","Dates=H","DateFormat=P","Fill=—","Direction=H","UseDPDF=Y")</f>
        <v>-44.052999999999997</v>
      </c>
      <c r="S33" s="19">
        <f>_xll.BDH("ITCI US Equity","NI_INCLUDING_MINORITY_INT_RATIO","FQ2 2023","FQ2 2023","Currency=USD","Period=FQ","BEST_FPERIOD_OVERRIDE=FQ","FILING_STATUS=MR","SCALING_FORMAT=MLN","FA_ADJUSTED=GAAP","Sort=A","Dates=H","DateFormat=P","Fill=—","Direction=H","UseDPDF=Y")</f>
        <v>-42.783999999999999</v>
      </c>
      <c r="T33" s="19">
        <f>_xll.BDH("ITCI US Equity","NI_INCLUDING_MINORITY_INT_RATIO","FQ3 2023","FQ3 2023","Currency=USD","Period=FQ","BEST_FPERIOD_OVERRIDE=FQ","FILING_STATUS=MR","SCALING_FORMAT=MLN","FA_ADJUSTED=GAAP","Sort=A","Dates=H","DateFormat=P","Fill=—","Direction=H","UseDPDF=Y")</f>
        <v>-24.257999999999999</v>
      </c>
      <c r="U33" s="19">
        <f>_xll.BDH("ITCI US Equity","NI_INCLUDING_MINORITY_INT_RATIO","FQ4 2023","FQ4 2023","Currency=USD","Period=FQ","BEST_FPERIOD_OVERRIDE=FQ","FILING_STATUS=MR","SCALING_FORMAT=MLN","FA_ADJUSTED=GAAP","Sort=A","Dates=H","DateFormat=P","Fill=—","Direction=H","UseDPDF=Y")</f>
        <v>-28.579000000000001</v>
      </c>
      <c r="V33" s="19">
        <f>_xll.BDH("ITCI US Equity","NI_INCLUDING_MINORITY_INT_RATIO","FQ1 2024","FQ1 2024","Currency=USD","Period=FQ","BEST_FPERIOD_OVERRIDE=FQ","FILING_STATUS=MR","SCALING_FORMAT=MLN","FA_ADJUSTED=GAAP","Sort=A","Dates=H","DateFormat=P","Fill=—","Direction=H","UseDPDF=Y")</f>
        <v>-15.247</v>
      </c>
      <c r="W33" s="19">
        <f>_xll.BDH("ITCI US Equity","NI_INCLUDING_MINORITY_INT_RATIO","FQ2 2024","FQ2 2024","Currency=USD","Period=FQ","BEST_FPERIOD_OVERRIDE=FQ","FILING_STATUS=MR","SCALING_FORMAT=MLN","FA_ADJUSTED=GAAP","Sort=A","Dates=H","DateFormat=P","Fill=—","Direction=H","UseDPDF=Y")</f>
        <v>-16.22</v>
      </c>
      <c r="X33" s="19">
        <f>_xll.BDH("ITCI US Equity","NI_INCLUDING_MINORITY_INT_RATIO","FQ3 2024","FQ3 2024","Currency=USD","Period=FQ","BEST_FPERIOD_OVERRIDE=FQ","FILING_STATUS=MR","SCALING_FORMAT=MLN","FA_ADJUSTED=GAAP","Sort=A","Dates=H","DateFormat=P","Fill=—","Direction=H","UseDPDF=Y")</f>
        <v>-26.324000000000002</v>
      </c>
      <c r="Y33" s="19">
        <f>_xll.BDH("ITCI US Equity","NI_INCLUDING_MINORITY_INT_RATIO","FQ4 2024","FQ4 2024","Currency=USD","Period=FQ","BEST_FPERIOD_OVERRIDE=FQ","FILING_STATUS=MR","SCALING_FORMAT=MLN","FA_ADJUSTED=GAAP","Sort=A","Dates=H","DateFormat=P","Fill=—","Direction=H","UseDPDF=Y")</f>
        <v>-16.885000000000002</v>
      </c>
      <c r="Z33" s="19"/>
      <c r="AA33" s="19"/>
    </row>
    <row r="34" spans="1:27" x14ac:dyDescent="0.25">
      <c r="A34" s="10" t="s">
        <v>333</v>
      </c>
      <c r="B34" s="10" t="s">
        <v>334</v>
      </c>
      <c r="C34" s="13">
        <f>_xll.BDH("ITCI US Equity","MIN_NONCONTROL_INTEREST_CREDITS","FQ2 2019","FQ2 2019","Currency=USD","Period=FQ","BEST_FPERIOD_OVERRIDE=FQ","FILING_STATUS=MR","SCALING_FORMAT=MLN","FA_ADJUSTED=GAAP","Sort=A","Dates=H","DateFormat=P","Fill=—","Direction=H","UseDPDF=Y")</f>
        <v>0</v>
      </c>
      <c r="D34" s="13">
        <f>_xll.BDH("ITCI US Equity","MIN_NONCONTROL_INTEREST_CREDITS","FQ3 2019","FQ3 2019","Currency=USD","Period=FQ","BEST_FPERIOD_OVERRIDE=FQ","FILING_STATUS=MR","SCALING_FORMAT=MLN","FA_ADJUSTED=GAAP","Sort=A","Dates=H","DateFormat=P","Fill=—","Direction=H","UseDPDF=Y")</f>
        <v>0</v>
      </c>
      <c r="E34" s="13">
        <f>_xll.BDH("ITCI US Equity","MIN_NONCONTROL_INTEREST_CREDITS","FQ4 2019","FQ4 2019","Currency=USD","Period=FQ","BEST_FPERIOD_OVERRIDE=FQ","FILING_STATUS=MR","SCALING_FORMAT=MLN","FA_ADJUSTED=GAAP","Sort=A","Dates=H","DateFormat=P","Fill=—","Direction=H","UseDPDF=Y")</f>
        <v>0</v>
      </c>
      <c r="F34" s="13">
        <f>_xll.BDH("ITCI US Equity","MIN_NONCONTROL_INTEREST_CREDITS","FQ1 2020","FQ1 2020","Currency=USD","Period=FQ","BEST_FPERIOD_OVERRIDE=FQ","FILING_STATUS=MR","SCALING_FORMAT=MLN","FA_ADJUSTED=GAAP","Sort=A","Dates=H","DateFormat=P","Fill=—","Direction=H","UseDPDF=Y")</f>
        <v>0</v>
      </c>
      <c r="G34" s="13">
        <f>_xll.BDH("ITCI US Equity","MIN_NONCONTROL_INTEREST_CREDITS","FQ2 2020","FQ2 2020","Currency=USD","Period=FQ","BEST_FPERIOD_OVERRIDE=FQ","FILING_STATUS=MR","SCALING_FORMAT=MLN","FA_ADJUSTED=GAAP","Sort=A","Dates=H","DateFormat=P","Fill=—","Direction=H","UseDPDF=Y")</f>
        <v>0</v>
      </c>
      <c r="H34" s="13">
        <f>_xll.BDH("ITCI US Equity","MIN_NONCONTROL_INTEREST_CREDITS","FQ3 2020","FQ3 2020","Currency=USD","Period=FQ","BEST_FPERIOD_OVERRIDE=FQ","FILING_STATUS=MR","SCALING_FORMAT=MLN","FA_ADJUSTED=GAAP","Sort=A","Dates=H","DateFormat=P","Fill=—","Direction=H","UseDPDF=Y")</f>
        <v>0</v>
      </c>
      <c r="I34" s="13">
        <f>_xll.BDH("ITCI US Equity","MIN_NONCONTROL_INTEREST_CREDITS","FQ4 2020","FQ4 2020","Currency=USD","Period=FQ","BEST_FPERIOD_OVERRIDE=FQ","FILING_STATUS=MR","SCALING_FORMAT=MLN","FA_ADJUSTED=GAAP","Sort=A","Dates=H","DateFormat=P","Fill=—","Direction=H","UseDPDF=Y")</f>
        <v>0</v>
      </c>
      <c r="J34" s="13">
        <f>_xll.BDH("ITCI US Equity","MIN_NONCONTROL_INTEREST_CREDITS","FQ1 2021","FQ1 2021","Currency=USD","Period=FQ","BEST_FPERIOD_OVERRIDE=FQ","FILING_STATUS=MR","SCALING_FORMAT=MLN","FA_ADJUSTED=GAAP","Sort=A","Dates=H","DateFormat=P","Fill=—","Direction=H","UseDPDF=Y")</f>
        <v>0</v>
      </c>
      <c r="K34" s="13">
        <f>_xll.BDH("ITCI US Equity","MIN_NONCONTROL_INTEREST_CREDITS","FQ2 2021","FQ2 2021","Currency=USD","Period=FQ","BEST_FPERIOD_OVERRIDE=FQ","FILING_STATUS=MR","SCALING_FORMAT=MLN","FA_ADJUSTED=GAAP","Sort=A","Dates=H","DateFormat=P","Fill=—","Direction=H","UseDPDF=Y")</f>
        <v>0</v>
      </c>
      <c r="L34" s="13">
        <f>_xll.BDH("ITCI US Equity","MIN_NONCONTROL_INTEREST_CREDITS","FQ3 2021","FQ3 2021","Currency=USD","Period=FQ","BEST_FPERIOD_OVERRIDE=FQ","FILING_STATUS=MR","SCALING_FORMAT=MLN","FA_ADJUSTED=GAAP","Sort=A","Dates=H","DateFormat=P","Fill=—","Direction=H","UseDPDF=Y")</f>
        <v>0</v>
      </c>
      <c r="M34" s="13">
        <f>_xll.BDH("ITCI US Equity","MIN_NONCONTROL_INTEREST_CREDITS","FQ4 2021","FQ4 2021","Currency=USD","Period=FQ","BEST_FPERIOD_OVERRIDE=FQ","FILING_STATUS=MR","SCALING_FORMAT=MLN","FA_ADJUSTED=GAAP","Sort=A","Dates=H","DateFormat=P","Fill=—","Direction=H","UseDPDF=Y")</f>
        <v>0</v>
      </c>
      <c r="N34" s="13">
        <f>_xll.BDH("ITCI US Equity","MIN_NONCONTROL_INTEREST_CREDITS","FQ1 2022","FQ1 2022","Currency=USD","Period=FQ","BEST_FPERIOD_OVERRIDE=FQ","FILING_STATUS=MR","SCALING_FORMAT=MLN","FA_ADJUSTED=GAAP","Sort=A","Dates=H","DateFormat=P","Fill=—","Direction=H","UseDPDF=Y")</f>
        <v>0</v>
      </c>
      <c r="O34" s="13">
        <f>_xll.BDH("ITCI US Equity","MIN_NONCONTROL_INTEREST_CREDITS","FQ2 2022","FQ2 2022","Currency=USD","Period=FQ","BEST_FPERIOD_OVERRIDE=FQ","FILING_STATUS=MR","SCALING_FORMAT=MLN","FA_ADJUSTED=GAAP","Sort=A","Dates=H","DateFormat=P","Fill=—","Direction=H","UseDPDF=Y")</f>
        <v>0</v>
      </c>
      <c r="P34" s="13">
        <f>_xll.BDH("ITCI US Equity","MIN_NONCONTROL_INTEREST_CREDITS","FQ3 2022","FQ3 2022","Currency=USD","Period=FQ","BEST_FPERIOD_OVERRIDE=FQ","FILING_STATUS=MR","SCALING_FORMAT=MLN","FA_ADJUSTED=GAAP","Sort=A","Dates=H","DateFormat=P","Fill=—","Direction=H","UseDPDF=Y")</f>
        <v>0</v>
      </c>
      <c r="Q34" s="13">
        <f>_xll.BDH("ITCI US Equity","MIN_NONCONTROL_INTEREST_CREDITS","FQ4 2022","FQ4 2022","Currency=USD","Period=FQ","BEST_FPERIOD_OVERRIDE=FQ","FILING_STATUS=MR","SCALING_FORMAT=MLN","FA_ADJUSTED=GAAP","Sort=A","Dates=H","DateFormat=P","Fill=—","Direction=H","UseDPDF=Y")</f>
        <v>0</v>
      </c>
      <c r="R34" s="13">
        <f>_xll.BDH("ITCI US Equity","MIN_NONCONTROL_INTEREST_CREDITS","FQ1 2023","FQ1 2023","Currency=USD","Period=FQ","BEST_FPERIOD_OVERRIDE=FQ","FILING_STATUS=MR","SCALING_FORMAT=MLN","FA_ADJUSTED=GAAP","Sort=A","Dates=H","DateFormat=P","Fill=—","Direction=H","UseDPDF=Y")</f>
        <v>0</v>
      </c>
      <c r="S34" s="13">
        <f>_xll.BDH("ITCI US Equity","MIN_NONCONTROL_INTEREST_CREDITS","FQ2 2023","FQ2 2023","Currency=USD","Period=FQ","BEST_FPERIOD_OVERRIDE=FQ","FILING_STATUS=MR","SCALING_FORMAT=MLN","FA_ADJUSTED=GAAP","Sort=A","Dates=H","DateFormat=P","Fill=—","Direction=H","UseDPDF=Y")</f>
        <v>0</v>
      </c>
      <c r="T34" s="13">
        <f>_xll.BDH("ITCI US Equity","MIN_NONCONTROL_INTEREST_CREDITS","FQ3 2023","FQ3 2023","Currency=USD","Period=FQ","BEST_FPERIOD_OVERRIDE=FQ","FILING_STATUS=MR","SCALING_FORMAT=MLN","FA_ADJUSTED=GAAP","Sort=A","Dates=H","DateFormat=P","Fill=—","Direction=H","UseDPDF=Y")</f>
        <v>0</v>
      </c>
      <c r="U34" s="13">
        <f>_xll.BDH("ITCI US Equity","MIN_NONCONTROL_INTEREST_CREDITS","FQ4 2023","FQ4 2023","Currency=USD","Period=FQ","BEST_FPERIOD_OVERRIDE=FQ","FILING_STATUS=MR","SCALING_FORMAT=MLN","FA_ADJUSTED=GAAP","Sort=A","Dates=H","DateFormat=P","Fill=—","Direction=H","UseDPDF=Y")</f>
        <v>0</v>
      </c>
      <c r="V34" s="13">
        <f>_xll.BDH("ITCI US Equity","MIN_NONCONTROL_INTEREST_CREDITS","FQ1 2024","FQ1 2024","Currency=USD","Period=FQ","BEST_FPERIOD_OVERRIDE=FQ","FILING_STATUS=MR","SCALING_FORMAT=MLN","FA_ADJUSTED=GAAP","Sort=A","Dates=H","DateFormat=P","Fill=—","Direction=H","UseDPDF=Y")</f>
        <v>0</v>
      </c>
      <c r="W34" s="13">
        <f>_xll.BDH("ITCI US Equity","MIN_NONCONTROL_INTEREST_CREDITS","FQ2 2024","FQ2 2024","Currency=USD","Period=FQ","BEST_FPERIOD_OVERRIDE=FQ","FILING_STATUS=MR","SCALING_FORMAT=MLN","FA_ADJUSTED=GAAP","Sort=A","Dates=H","DateFormat=P","Fill=—","Direction=H","UseDPDF=Y")</f>
        <v>0</v>
      </c>
      <c r="X34" s="13">
        <f>_xll.BDH("ITCI US Equity","MIN_NONCONTROL_INTEREST_CREDITS","FQ3 2024","FQ3 2024","Currency=USD","Period=FQ","BEST_FPERIOD_OVERRIDE=FQ","FILING_STATUS=MR","SCALING_FORMAT=MLN","FA_ADJUSTED=GAAP","Sort=A","Dates=H","DateFormat=P","Fill=—","Direction=H","UseDPDF=Y")</f>
        <v>0</v>
      </c>
      <c r="Y34" s="13">
        <f>_xll.BDH("ITCI US Equity","MIN_NONCONTROL_INTEREST_CREDITS","FQ4 2024","FQ4 2024","Currency=USD","Period=FQ","BEST_FPERIOD_OVERRIDE=FQ","FILING_STATUS=MR","SCALING_FORMAT=MLN","FA_ADJUSTED=GAAP","Sort=A","Dates=H","DateFormat=P","Fill=—","Direction=H","UseDPDF=Y")</f>
        <v>0</v>
      </c>
      <c r="Z34" s="13"/>
      <c r="AA34" s="13"/>
    </row>
    <row r="35" spans="1:27" x14ac:dyDescent="0.25">
      <c r="A35" s="6" t="s">
        <v>335</v>
      </c>
      <c r="B35" s="6" t="s">
        <v>336</v>
      </c>
      <c r="C35" s="19">
        <f>_xll.BDH("ITCI US Equity","NET_INCOME","FQ2 2019","FQ2 2019","Currency=USD","Period=FQ","BEST_FPERIOD_OVERRIDE=FQ","FILING_STATUS=MR","SCALING_FORMAT=MLN","FA_ADJUSTED=GAAP","Sort=A","Dates=H","DateFormat=P","Fill=—","Direction=H","UseDPDF=Y")</f>
        <v>-37.441200000000002</v>
      </c>
      <c r="D35" s="19">
        <f>_xll.BDH("ITCI US Equity","NET_INCOME","FQ3 2019","FQ3 2019","Currency=USD","Period=FQ","BEST_FPERIOD_OVERRIDE=FQ","FILING_STATUS=MR","SCALING_FORMAT=MLN","FA_ADJUSTED=GAAP","Sort=A","Dates=H","DateFormat=P","Fill=—","Direction=H","UseDPDF=Y")</f>
        <v>-34.862400000000001</v>
      </c>
      <c r="E35" s="19">
        <f>_xll.BDH("ITCI US Equity","NET_INCOME","FQ4 2019","FQ4 2019","Currency=USD","Period=FQ","BEST_FPERIOD_OVERRIDE=FQ","FILING_STATUS=MR","SCALING_FORMAT=MLN","FA_ADJUSTED=GAAP","Sort=A","Dates=H","DateFormat=P","Fill=—","Direction=H","UseDPDF=Y")</f>
        <v>-40.582900000000002</v>
      </c>
      <c r="F35" s="19">
        <f>_xll.BDH("ITCI US Equity","NET_INCOME","FQ1 2020","FQ1 2020","Currency=USD","Period=FQ","BEST_FPERIOD_OVERRIDE=FQ","FILING_STATUS=MR","SCALING_FORMAT=MLN","FA_ADJUSTED=GAAP","Sort=A","Dates=H","DateFormat=P","Fill=—","Direction=H","UseDPDF=Y")</f>
        <v>-47.410600000000002</v>
      </c>
      <c r="G35" s="19">
        <f>_xll.BDH("ITCI US Equity","NET_INCOME","FQ2 2020","FQ2 2020","Currency=USD","Period=FQ","BEST_FPERIOD_OVERRIDE=FQ","FILING_STATUS=MR","SCALING_FORMAT=MLN","FA_ADJUSTED=GAAP","Sort=A","Dates=H","DateFormat=P","Fill=—","Direction=H","UseDPDF=Y")</f>
        <v>-63.712299999999999</v>
      </c>
      <c r="H35" s="19">
        <f>_xll.BDH("ITCI US Equity","NET_INCOME","FQ3 2020","FQ3 2020","Currency=USD","Period=FQ","BEST_FPERIOD_OVERRIDE=FQ","FILING_STATUS=MR","SCALING_FORMAT=MLN","FA_ADJUSTED=GAAP","Sort=A","Dates=H","DateFormat=P","Fill=—","Direction=H","UseDPDF=Y")</f>
        <v>-55.183599999999998</v>
      </c>
      <c r="I35" s="19">
        <f>_xll.BDH("ITCI US Equity","NET_INCOME","FQ4 2020","FQ4 2020","Currency=USD","Period=FQ","BEST_FPERIOD_OVERRIDE=FQ","FILING_STATUS=MR","SCALING_FORMAT=MLN","FA_ADJUSTED=GAAP","Sort=A","Dates=H","DateFormat=P","Fill=—","Direction=H","UseDPDF=Y")</f>
        <v>-60.699199999999998</v>
      </c>
      <c r="J35" s="19">
        <f>_xll.BDH("ITCI US Equity","NET_INCOME","FQ1 2021","FQ1 2021","Currency=USD","Period=FQ","BEST_FPERIOD_OVERRIDE=FQ","FILING_STATUS=MR","SCALING_FORMAT=MLN","FA_ADJUSTED=GAAP","Sort=A","Dates=H","DateFormat=P","Fill=—","Direction=H","UseDPDF=Y")</f>
        <v>-52.739899999999999</v>
      </c>
      <c r="K35" s="19">
        <f>_xll.BDH("ITCI US Equity","NET_INCOME","FQ2 2021","FQ2 2021","Currency=USD","Period=FQ","BEST_FPERIOD_OVERRIDE=FQ","FILING_STATUS=MR","SCALING_FORMAT=MLN","FA_ADJUSTED=GAAP","Sort=A","Dates=H","DateFormat=P","Fill=—","Direction=H","UseDPDF=Y")</f>
        <v>-68.743799999999993</v>
      </c>
      <c r="L35" s="19">
        <f>_xll.BDH("ITCI US Equity","NET_INCOME","FQ3 2021","FQ3 2021","Currency=USD","Period=FQ","BEST_FPERIOD_OVERRIDE=FQ","FILING_STATUS=MR","SCALING_FORMAT=MLN","FA_ADJUSTED=GAAP","Sort=A","Dates=H","DateFormat=P","Fill=—","Direction=H","UseDPDF=Y")</f>
        <v>-76.908000000000001</v>
      </c>
      <c r="M35" s="19">
        <f>_xll.BDH("ITCI US Equity","NET_INCOME","FQ4 2021","FQ4 2021","Currency=USD","Period=FQ","BEST_FPERIOD_OVERRIDE=FQ","FILING_STATUS=MR","SCALING_FORMAT=MLN","FA_ADJUSTED=GAAP","Sort=A","Dates=H","DateFormat=P","Fill=—","Direction=H","UseDPDF=Y")</f>
        <v>-85.733900000000006</v>
      </c>
      <c r="N35" s="19">
        <f>_xll.BDH("ITCI US Equity","NET_INCOME","FQ1 2022","FQ1 2022","Currency=USD","Period=FQ","BEST_FPERIOD_OVERRIDE=FQ","FILING_STATUS=MR","SCALING_FORMAT=MLN","FA_ADJUSTED=GAAP","Sort=A","Dates=H","DateFormat=P","Fill=—","Direction=H","UseDPDF=Y")</f>
        <v>-72.119</v>
      </c>
      <c r="O35" s="19">
        <f>_xll.BDH("ITCI US Equity","NET_INCOME","FQ2 2022","FQ2 2022","Currency=USD","Period=FQ","BEST_FPERIOD_OVERRIDE=FQ","FILING_STATUS=MR","SCALING_FORMAT=MLN","FA_ADJUSTED=GAAP","Sort=A","Dates=H","DateFormat=P","Fill=—","Direction=H","UseDPDF=Y")</f>
        <v>-86.602999999999994</v>
      </c>
      <c r="P35" s="19">
        <f>_xll.BDH("ITCI US Equity","NET_INCOME","FQ3 2022","FQ3 2022","Currency=USD","Period=FQ","BEST_FPERIOD_OVERRIDE=FQ","FILING_STATUS=MR","SCALING_FORMAT=MLN","FA_ADJUSTED=GAAP","Sort=A","Dates=H","DateFormat=P","Fill=—","Direction=H","UseDPDF=Y")</f>
        <v>-53.508000000000003</v>
      </c>
      <c r="Q35" s="19">
        <f>_xll.BDH("ITCI US Equity","NET_INCOME","FQ4 2022","FQ4 2022","Currency=USD","Period=FQ","BEST_FPERIOD_OVERRIDE=FQ","FILING_STATUS=MR","SCALING_FORMAT=MLN","FA_ADJUSTED=GAAP","Sort=A","Dates=H","DateFormat=P","Fill=—","Direction=H","UseDPDF=Y")</f>
        <v>-44.026000000000003</v>
      </c>
      <c r="R35" s="19">
        <f>_xll.BDH("ITCI US Equity","NET_INCOME","FQ1 2023","FQ1 2023","Currency=USD","Period=FQ","BEST_FPERIOD_OVERRIDE=FQ","FILING_STATUS=MR","SCALING_FORMAT=MLN","FA_ADJUSTED=GAAP","Sort=A","Dates=H","DateFormat=P","Fill=—","Direction=H","UseDPDF=Y")</f>
        <v>-44.052999999999997</v>
      </c>
      <c r="S35" s="19">
        <f>_xll.BDH("ITCI US Equity","NET_INCOME","FQ2 2023","FQ2 2023","Currency=USD","Period=FQ","BEST_FPERIOD_OVERRIDE=FQ","FILING_STATUS=MR","SCALING_FORMAT=MLN","FA_ADJUSTED=GAAP","Sort=A","Dates=H","DateFormat=P","Fill=—","Direction=H","UseDPDF=Y")</f>
        <v>-42.783999999999999</v>
      </c>
      <c r="T35" s="19">
        <f>_xll.BDH("ITCI US Equity","NET_INCOME","FQ3 2023","FQ3 2023","Currency=USD","Period=FQ","BEST_FPERIOD_OVERRIDE=FQ","FILING_STATUS=MR","SCALING_FORMAT=MLN","FA_ADJUSTED=GAAP","Sort=A","Dates=H","DateFormat=P","Fill=—","Direction=H","UseDPDF=Y")</f>
        <v>-24.257999999999999</v>
      </c>
      <c r="U35" s="19">
        <f>_xll.BDH("ITCI US Equity","NET_INCOME","FQ4 2023","FQ4 2023","Currency=USD","Period=FQ","BEST_FPERIOD_OVERRIDE=FQ","FILING_STATUS=MR","SCALING_FORMAT=MLN","FA_ADJUSTED=GAAP","Sort=A","Dates=H","DateFormat=P","Fill=—","Direction=H","UseDPDF=Y")</f>
        <v>-28.579000000000001</v>
      </c>
      <c r="V35" s="19">
        <f>_xll.BDH("ITCI US Equity","NET_INCOME","FQ1 2024","FQ1 2024","Currency=USD","Period=FQ","BEST_FPERIOD_OVERRIDE=FQ","FILING_STATUS=MR","SCALING_FORMAT=MLN","FA_ADJUSTED=GAAP","Sort=A","Dates=H","DateFormat=P","Fill=—","Direction=H","UseDPDF=Y")</f>
        <v>-15.247</v>
      </c>
      <c r="W35" s="19">
        <f>_xll.BDH("ITCI US Equity","NET_INCOME","FQ2 2024","FQ2 2024","Currency=USD","Period=FQ","BEST_FPERIOD_OVERRIDE=FQ","FILING_STATUS=MR","SCALING_FORMAT=MLN","FA_ADJUSTED=GAAP","Sort=A","Dates=H","DateFormat=P","Fill=—","Direction=H","UseDPDF=Y")</f>
        <v>-16.22</v>
      </c>
      <c r="X35" s="19">
        <f>_xll.BDH("ITCI US Equity","NET_INCOME","FQ3 2024","FQ3 2024","Currency=USD","Period=FQ","BEST_FPERIOD_OVERRIDE=FQ","FILING_STATUS=MR","SCALING_FORMAT=MLN","FA_ADJUSTED=GAAP","Sort=A","Dates=H","DateFormat=P","Fill=—","Direction=H","UseDPDF=Y")</f>
        <v>-26.324000000000002</v>
      </c>
      <c r="Y35" s="19">
        <f>_xll.BDH("ITCI US Equity","NET_INCOME","FQ4 2024","FQ4 2024","Currency=USD","Period=FQ","BEST_FPERIOD_OVERRIDE=FQ","FILING_STATUS=MR","SCALING_FORMAT=MLN","FA_ADJUSTED=GAAP","Sort=A","Dates=H","DateFormat=P","Fill=—","Direction=H","UseDPDF=Y")</f>
        <v>-16.885000000000002</v>
      </c>
      <c r="Z35" s="19">
        <v>-11.425000000000001</v>
      </c>
      <c r="AA35" s="19">
        <v>-3.2170000000000001</v>
      </c>
    </row>
    <row r="36" spans="1:27" x14ac:dyDescent="0.25">
      <c r="A36" s="10" t="s">
        <v>337</v>
      </c>
      <c r="B36" s="10" t="s">
        <v>338</v>
      </c>
      <c r="C36" s="13">
        <f>_xll.BDH("ITCI US Equity","IS_TOT_CASH_PFD_DVD","FQ2 2019","FQ2 2019","Currency=USD","Period=FQ","BEST_FPERIOD_OVERRIDE=FQ","FILING_STATUS=MR","SCALING_FORMAT=MLN","Sort=A","Dates=H","DateFormat=P","Fill=—","Direction=H","UseDPDF=Y")</f>
        <v>0</v>
      </c>
      <c r="D36" s="13">
        <f>_xll.BDH("ITCI US Equity","IS_TOT_CASH_PFD_DVD","FQ3 2019","FQ3 2019","Currency=USD","Period=FQ","BEST_FPERIOD_OVERRIDE=FQ","FILING_STATUS=MR","SCALING_FORMAT=MLN","Sort=A","Dates=H","DateFormat=P","Fill=—","Direction=H","UseDPDF=Y")</f>
        <v>0</v>
      </c>
      <c r="E36" s="13">
        <f>_xll.BDH("ITCI US Equity","IS_TOT_CASH_PFD_DVD","FQ4 2019","FQ4 2019","Currency=USD","Period=FQ","BEST_FPERIOD_OVERRIDE=FQ","FILING_STATUS=MR","SCALING_FORMAT=MLN","Sort=A","Dates=H","DateFormat=P","Fill=—","Direction=H","UseDPDF=Y")</f>
        <v>0</v>
      </c>
      <c r="F36" s="13">
        <f>_xll.BDH("ITCI US Equity","IS_TOT_CASH_PFD_DVD","FQ1 2020","FQ1 2020","Currency=USD","Period=FQ","BEST_FPERIOD_OVERRIDE=FQ","FILING_STATUS=MR","SCALING_FORMAT=MLN","Sort=A","Dates=H","DateFormat=P","Fill=—","Direction=H","UseDPDF=Y")</f>
        <v>0</v>
      </c>
      <c r="G36" s="13">
        <f>_xll.BDH("ITCI US Equity","IS_TOT_CASH_PFD_DVD","FQ2 2020","FQ2 2020","Currency=USD","Period=FQ","BEST_FPERIOD_OVERRIDE=FQ","FILING_STATUS=MR","SCALING_FORMAT=MLN","Sort=A","Dates=H","DateFormat=P","Fill=—","Direction=H","UseDPDF=Y")</f>
        <v>0</v>
      </c>
      <c r="H36" s="13">
        <f>_xll.BDH("ITCI US Equity","IS_TOT_CASH_PFD_DVD","FQ3 2020","FQ3 2020","Currency=USD","Period=FQ","BEST_FPERIOD_OVERRIDE=FQ","FILING_STATUS=MR","SCALING_FORMAT=MLN","Sort=A","Dates=H","DateFormat=P","Fill=—","Direction=H","UseDPDF=Y")</f>
        <v>0</v>
      </c>
      <c r="I36" s="13">
        <f>_xll.BDH("ITCI US Equity","IS_TOT_CASH_PFD_DVD","FQ4 2020","FQ4 2020","Currency=USD","Period=FQ","BEST_FPERIOD_OVERRIDE=FQ","FILING_STATUS=MR","SCALING_FORMAT=MLN","Sort=A","Dates=H","DateFormat=P","Fill=—","Direction=H","UseDPDF=Y")</f>
        <v>0</v>
      </c>
      <c r="J36" s="13">
        <f>_xll.BDH("ITCI US Equity","IS_TOT_CASH_PFD_DVD","FQ1 2021","FQ1 2021","Currency=USD","Period=FQ","BEST_FPERIOD_OVERRIDE=FQ","FILING_STATUS=MR","SCALING_FORMAT=MLN","Sort=A","Dates=H","DateFormat=P","Fill=—","Direction=H","UseDPDF=Y")</f>
        <v>0</v>
      </c>
      <c r="K36" s="13">
        <f>_xll.BDH("ITCI US Equity","IS_TOT_CASH_PFD_DVD","FQ2 2021","FQ2 2021","Currency=USD","Period=FQ","BEST_FPERIOD_OVERRIDE=FQ","FILING_STATUS=MR","SCALING_FORMAT=MLN","Sort=A","Dates=H","DateFormat=P","Fill=—","Direction=H","UseDPDF=Y")</f>
        <v>0</v>
      </c>
      <c r="L36" s="13">
        <f>_xll.BDH("ITCI US Equity","IS_TOT_CASH_PFD_DVD","FQ3 2021","FQ3 2021","Currency=USD","Period=FQ","BEST_FPERIOD_OVERRIDE=FQ","FILING_STATUS=MR","SCALING_FORMAT=MLN","Sort=A","Dates=H","DateFormat=P","Fill=—","Direction=H","UseDPDF=Y")</f>
        <v>0</v>
      </c>
      <c r="M36" s="13">
        <f>_xll.BDH("ITCI US Equity","IS_TOT_CASH_PFD_DVD","FQ4 2021","FQ4 2021","Currency=USD","Period=FQ","BEST_FPERIOD_OVERRIDE=FQ","FILING_STATUS=MR","SCALING_FORMAT=MLN","Sort=A","Dates=H","DateFormat=P","Fill=—","Direction=H","UseDPDF=Y")</f>
        <v>0</v>
      </c>
      <c r="N36" s="13">
        <f>_xll.BDH("ITCI US Equity","IS_TOT_CASH_PFD_DVD","FQ1 2022","FQ1 2022","Currency=USD","Period=FQ","BEST_FPERIOD_OVERRIDE=FQ","FILING_STATUS=MR","SCALING_FORMAT=MLN","Sort=A","Dates=H","DateFormat=P","Fill=—","Direction=H","UseDPDF=Y")</f>
        <v>0</v>
      </c>
      <c r="O36" s="13">
        <f>_xll.BDH("ITCI US Equity","IS_TOT_CASH_PFD_DVD","FQ2 2022","FQ2 2022","Currency=USD","Period=FQ","BEST_FPERIOD_OVERRIDE=FQ","FILING_STATUS=MR","SCALING_FORMAT=MLN","Sort=A","Dates=H","DateFormat=P","Fill=—","Direction=H","UseDPDF=Y")</f>
        <v>0</v>
      </c>
      <c r="P36" s="13">
        <f>_xll.BDH("ITCI US Equity","IS_TOT_CASH_PFD_DVD","FQ3 2022","FQ3 2022","Currency=USD","Period=FQ","BEST_FPERIOD_OVERRIDE=FQ","FILING_STATUS=MR","SCALING_FORMAT=MLN","Sort=A","Dates=H","DateFormat=P","Fill=—","Direction=H","UseDPDF=Y")</f>
        <v>0</v>
      </c>
      <c r="Q36" s="13">
        <f>_xll.BDH("ITCI US Equity","IS_TOT_CASH_PFD_DVD","FQ4 2022","FQ4 2022","Currency=USD","Period=FQ","BEST_FPERIOD_OVERRIDE=FQ","FILING_STATUS=MR","SCALING_FORMAT=MLN","Sort=A","Dates=H","DateFormat=P","Fill=—","Direction=H","UseDPDF=Y")</f>
        <v>0</v>
      </c>
      <c r="R36" s="13">
        <f>_xll.BDH("ITCI US Equity","IS_TOT_CASH_PFD_DVD","FQ1 2023","FQ1 2023","Currency=USD","Period=FQ","BEST_FPERIOD_OVERRIDE=FQ","FILING_STATUS=MR","SCALING_FORMAT=MLN","Sort=A","Dates=H","DateFormat=P","Fill=—","Direction=H","UseDPDF=Y")</f>
        <v>0</v>
      </c>
      <c r="S36" s="13">
        <f>_xll.BDH("ITCI US Equity","IS_TOT_CASH_PFD_DVD","FQ2 2023","FQ2 2023","Currency=USD","Period=FQ","BEST_FPERIOD_OVERRIDE=FQ","FILING_STATUS=MR","SCALING_FORMAT=MLN","Sort=A","Dates=H","DateFormat=P","Fill=—","Direction=H","UseDPDF=Y")</f>
        <v>0</v>
      </c>
      <c r="T36" s="13">
        <f>_xll.BDH("ITCI US Equity","IS_TOT_CASH_PFD_DVD","FQ3 2023","FQ3 2023","Currency=USD","Period=FQ","BEST_FPERIOD_OVERRIDE=FQ","FILING_STATUS=MR","SCALING_FORMAT=MLN","Sort=A","Dates=H","DateFormat=P","Fill=—","Direction=H","UseDPDF=Y")</f>
        <v>0</v>
      </c>
      <c r="U36" s="13">
        <f>_xll.BDH("ITCI US Equity","IS_TOT_CASH_PFD_DVD","FQ4 2023","FQ4 2023","Currency=USD","Period=FQ","BEST_FPERIOD_OVERRIDE=FQ","FILING_STATUS=MR","SCALING_FORMAT=MLN","Sort=A","Dates=H","DateFormat=P","Fill=—","Direction=H","UseDPDF=Y")</f>
        <v>0</v>
      </c>
      <c r="V36" s="13">
        <f>_xll.BDH("ITCI US Equity","IS_TOT_CASH_PFD_DVD","FQ1 2024","FQ1 2024","Currency=USD","Period=FQ","BEST_FPERIOD_OVERRIDE=FQ","FILING_STATUS=MR","SCALING_FORMAT=MLN","Sort=A","Dates=H","DateFormat=P","Fill=—","Direction=H","UseDPDF=Y")</f>
        <v>0</v>
      </c>
      <c r="W36" s="13">
        <f>_xll.BDH("ITCI US Equity","IS_TOT_CASH_PFD_DVD","FQ2 2024","FQ2 2024","Currency=USD","Period=FQ","BEST_FPERIOD_OVERRIDE=FQ","FILING_STATUS=MR","SCALING_FORMAT=MLN","Sort=A","Dates=H","DateFormat=P","Fill=—","Direction=H","UseDPDF=Y")</f>
        <v>0</v>
      </c>
      <c r="X36" s="13">
        <f>_xll.BDH("ITCI US Equity","IS_TOT_CASH_PFD_DVD","FQ3 2024","FQ3 2024","Currency=USD","Period=FQ","BEST_FPERIOD_OVERRIDE=FQ","FILING_STATUS=MR","SCALING_FORMAT=MLN","Sort=A","Dates=H","DateFormat=P","Fill=—","Direction=H","UseDPDF=Y")</f>
        <v>0</v>
      </c>
      <c r="Y36" s="13">
        <f>_xll.BDH("ITCI US Equity","IS_TOT_CASH_PFD_DVD","FQ4 2024","FQ4 2024","Currency=USD","Period=FQ","BEST_FPERIOD_OVERRIDE=FQ","FILING_STATUS=MR","SCALING_FORMAT=MLN","Sort=A","Dates=H","DateFormat=P","Fill=—","Direction=H","UseDPDF=Y")</f>
        <v>0</v>
      </c>
      <c r="Z36" s="13"/>
      <c r="AA36" s="13"/>
    </row>
    <row r="37" spans="1:27" x14ac:dyDescent="0.25">
      <c r="A37" s="10" t="s">
        <v>339</v>
      </c>
      <c r="B37" s="10" t="s">
        <v>340</v>
      </c>
      <c r="C37" s="13">
        <f>_xll.BDH("ITCI US Equity","OTHER_ADJUSTMENTS","FQ2 2019","FQ2 2019","Currency=USD","Period=FQ","BEST_FPERIOD_OVERRIDE=FQ","FILING_STATUS=MR","SCALING_FORMAT=MLN","Sort=A","Dates=H","DateFormat=P","Fill=—","Direction=H","UseDPDF=Y")</f>
        <v>0</v>
      </c>
      <c r="D37" s="13">
        <f>_xll.BDH("ITCI US Equity","OTHER_ADJUSTMENTS","FQ3 2019","FQ3 2019","Currency=USD","Period=FQ","BEST_FPERIOD_OVERRIDE=FQ","FILING_STATUS=MR","SCALING_FORMAT=MLN","Sort=A","Dates=H","DateFormat=P","Fill=—","Direction=H","UseDPDF=Y")</f>
        <v>0</v>
      </c>
      <c r="E37" s="13">
        <f>_xll.BDH("ITCI US Equity","OTHER_ADJUSTMENTS","FQ4 2019","FQ4 2019","Currency=USD","Period=FQ","BEST_FPERIOD_OVERRIDE=FQ","FILING_STATUS=MR","SCALING_FORMAT=MLN","Sort=A","Dates=H","DateFormat=P","Fill=—","Direction=H","UseDPDF=Y")</f>
        <v>0</v>
      </c>
      <c r="F37" s="13">
        <f>_xll.BDH("ITCI US Equity","OTHER_ADJUSTMENTS","FQ1 2020","FQ1 2020","Currency=USD","Period=FQ","BEST_FPERIOD_OVERRIDE=FQ","FILING_STATUS=MR","SCALING_FORMAT=MLN","Sort=A","Dates=H","DateFormat=P","Fill=—","Direction=H","UseDPDF=Y")</f>
        <v>0</v>
      </c>
      <c r="G37" s="13">
        <f>_xll.BDH("ITCI US Equity","OTHER_ADJUSTMENTS","FQ2 2020","FQ2 2020","Currency=USD","Period=FQ","BEST_FPERIOD_OVERRIDE=FQ","FILING_STATUS=MR","SCALING_FORMAT=MLN","Sort=A","Dates=H","DateFormat=P","Fill=—","Direction=H","UseDPDF=Y")</f>
        <v>0</v>
      </c>
      <c r="H37" s="13">
        <f>_xll.BDH("ITCI US Equity","OTHER_ADJUSTMENTS","FQ3 2020","FQ3 2020","Currency=USD","Period=FQ","BEST_FPERIOD_OVERRIDE=FQ","FILING_STATUS=MR","SCALING_FORMAT=MLN","Sort=A","Dates=H","DateFormat=P","Fill=—","Direction=H","UseDPDF=Y")</f>
        <v>0</v>
      </c>
      <c r="I37" s="13">
        <f>_xll.BDH("ITCI US Equity","OTHER_ADJUSTMENTS","FQ4 2020","FQ4 2020","Currency=USD","Period=FQ","BEST_FPERIOD_OVERRIDE=FQ","FILING_STATUS=MR","SCALING_FORMAT=MLN","Sort=A","Dates=H","DateFormat=P","Fill=—","Direction=H","UseDPDF=Y")</f>
        <v>0</v>
      </c>
      <c r="J37" s="13">
        <f>_xll.BDH("ITCI US Equity","OTHER_ADJUSTMENTS","FQ1 2021","FQ1 2021","Currency=USD","Period=FQ","BEST_FPERIOD_OVERRIDE=FQ","FILING_STATUS=MR","SCALING_FORMAT=MLN","Sort=A","Dates=H","DateFormat=P","Fill=—","Direction=H","UseDPDF=Y")</f>
        <v>0</v>
      </c>
      <c r="K37" s="13">
        <f>_xll.BDH("ITCI US Equity","OTHER_ADJUSTMENTS","FQ2 2021","FQ2 2021","Currency=USD","Period=FQ","BEST_FPERIOD_OVERRIDE=FQ","FILING_STATUS=MR","SCALING_FORMAT=MLN","Sort=A","Dates=H","DateFormat=P","Fill=—","Direction=H","UseDPDF=Y")</f>
        <v>0</v>
      </c>
      <c r="L37" s="13">
        <f>_xll.BDH("ITCI US Equity","OTHER_ADJUSTMENTS","FQ3 2021","FQ3 2021","Currency=USD","Period=FQ","BEST_FPERIOD_OVERRIDE=FQ","FILING_STATUS=MR","SCALING_FORMAT=MLN","Sort=A","Dates=H","DateFormat=P","Fill=—","Direction=H","UseDPDF=Y")</f>
        <v>0</v>
      </c>
      <c r="M37" s="13">
        <f>_xll.BDH("ITCI US Equity","OTHER_ADJUSTMENTS","FQ4 2021","FQ4 2021","Currency=USD","Period=FQ","BEST_FPERIOD_OVERRIDE=FQ","FILING_STATUS=MR","SCALING_FORMAT=MLN","Sort=A","Dates=H","DateFormat=P","Fill=—","Direction=H","UseDPDF=Y")</f>
        <v>0</v>
      </c>
      <c r="N37" s="13">
        <f>_xll.BDH("ITCI US Equity","OTHER_ADJUSTMENTS","FQ1 2022","FQ1 2022","Currency=USD","Period=FQ","BEST_FPERIOD_OVERRIDE=FQ","FILING_STATUS=MR","SCALING_FORMAT=MLN","Sort=A","Dates=H","DateFormat=P","Fill=—","Direction=H","UseDPDF=Y")</f>
        <v>0</v>
      </c>
      <c r="O37" s="13">
        <f>_xll.BDH("ITCI US Equity","OTHER_ADJUSTMENTS","FQ2 2022","FQ2 2022","Currency=USD","Period=FQ","BEST_FPERIOD_OVERRIDE=FQ","FILING_STATUS=MR","SCALING_FORMAT=MLN","Sort=A","Dates=H","DateFormat=P","Fill=—","Direction=H","UseDPDF=Y")</f>
        <v>0</v>
      </c>
      <c r="P37" s="13">
        <f>_xll.BDH("ITCI US Equity","OTHER_ADJUSTMENTS","FQ3 2022","FQ3 2022","Currency=USD","Period=FQ","BEST_FPERIOD_OVERRIDE=FQ","FILING_STATUS=MR","SCALING_FORMAT=MLN","Sort=A","Dates=H","DateFormat=P","Fill=—","Direction=H","UseDPDF=Y")</f>
        <v>0</v>
      </c>
      <c r="Q37" s="13">
        <f>_xll.BDH("ITCI US Equity","OTHER_ADJUSTMENTS","FQ4 2022","FQ4 2022","Currency=USD","Period=FQ","BEST_FPERIOD_OVERRIDE=FQ","FILING_STATUS=MR","SCALING_FORMAT=MLN","Sort=A","Dates=H","DateFormat=P","Fill=—","Direction=H","UseDPDF=Y")</f>
        <v>0</v>
      </c>
      <c r="R37" s="13">
        <f>_xll.BDH("ITCI US Equity","OTHER_ADJUSTMENTS","FQ1 2023","FQ1 2023","Currency=USD","Period=FQ","BEST_FPERIOD_OVERRIDE=FQ","FILING_STATUS=MR","SCALING_FORMAT=MLN","Sort=A","Dates=H","DateFormat=P","Fill=—","Direction=H","UseDPDF=Y")</f>
        <v>0</v>
      </c>
      <c r="S37" s="13">
        <f>_xll.BDH("ITCI US Equity","OTHER_ADJUSTMENTS","FQ2 2023","FQ2 2023","Currency=USD","Period=FQ","BEST_FPERIOD_OVERRIDE=FQ","FILING_STATUS=MR","SCALING_FORMAT=MLN","Sort=A","Dates=H","DateFormat=P","Fill=—","Direction=H","UseDPDF=Y")</f>
        <v>0</v>
      </c>
      <c r="T37" s="13">
        <f>_xll.BDH("ITCI US Equity","OTHER_ADJUSTMENTS","FQ3 2023","FQ3 2023","Currency=USD","Period=FQ","BEST_FPERIOD_OVERRIDE=FQ","FILING_STATUS=MR","SCALING_FORMAT=MLN","Sort=A","Dates=H","DateFormat=P","Fill=—","Direction=H","UseDPDF=Y")</f>
        <v>0</v>
      </c>
      <c r="U37" s="13">
        <f>_xll.BDH("ITCI US Equity","OTHER_ADJUSTMENTS","FQ4 2023","FQ4 2023","Currency=USD","Period=FQ","BEST_FPERIOD_OVERRIDE=FQ","FILING_STATUS=MR","SCALING_FORMAT=MLN","Sort=A","Dates=H","DateFormat=P","Fill=—","Direction=H","UseDPDF=Y")</f>
        <v>0</v>
      </c>
      <c r="V37" s="13">
        <f>_xll.BDH("ITCI US Equity","OTHER_ADJUSTMENTS","FQ1 2024","FQ1 2024","Currency=USD","Period=FQ","BEST_FPERIOD_OVERRIDE=FQ","FILING_STATUS=MR","SCALING_FORMAT=MLN","Sort=A","Dates=H","DateFormat=P","Fill=—","Direction=H","UseDPDF=Y")</f>
        <v>0</v>
      </c>
      <c r="W37" s="13">
        <f>_xll.BDH("ITCI US Equity","OTHER_ADJUSTMENTS","FQ2 2024","FQ2 2024","Currency=USD","Period=FQ","BEST_FPERIOD_OVERRIDE=FQ","FILING_STATUS=MR","SCALING_FORMAT=MLN","Sort=A","Dates=H","DateFormat=P","Fill=—","Direction=H","UseDPDF=Y")</f>
        <v>0</v>
      </c>
      <c r="X37" s="13">
        <f>_xll.BDH("ITCI US Equity","OTHER_ADJUSTMENTS","FQ3 2024","FQ3 2024","Currency=USD","Period=FQ","BEST_FPERIOD_OVERRIDE=FQ","FILING_STATUS=MR","SCALING_FORMAT=MLN","Sort=A","Dates=H","DateFormat=P","Fill=—","Direction=H","UseDPDF=Y")</f>
        <v>0</v>
      </c>
      <c r="Y37" s="13">
        <f>_xll.BDH("ITCI US Equity","OTHER_ADJUSTMENTS","FQ4 2024","FQ4 2024","Currency=USD","Period=FQ","BEST_FPERIOD_OVERRIDE=FQ","FILING_STATUS=MR","SCALING_FORMAT=MLN","Sort=A","Dates=H","DateFormat=P","Fill=—","Direction=H","UseDPDF=Y")</f>
        <v>0</v>
      </c>
      <c r="Z37" s="13"/>
      <c r="AA37" s="13"/>
    </row>
    <row r="38" spans="1:27" x14ac:dyDescent="0.25">
      <c r="A38" s="6" t="s">
        <v>341</v>
      </c>
      <c r="B38" s="6" t="s">
        <v>80</v>
      </c>
      <c r="C38" s="19">
        <f>_xll.BDH("ITCI US Equity","EARN_FOR_COMMON","FQ2 2019","FQ2 2019","Currency=USD","Period=FQ","BEST_FPERIOD_OVERRIDE=FQ","FILING_STATUS=MR","SCALING_FORMAT=MLN","FA_ADJUSTED=GAAP","Sort=A","Dates=H","DateFormat=P","Fill=—","Direction=H","UseDPDF=Y")</f>
        <v>-37.441200000000002</v>
      </c>
      <c r="D38" s="19">
        <f>_xll.BDH("ITCI US Equity","EARN_FOR_COMMON","FQ3 2019","FQ3 2019","Currency=USD","Period=FQ","BEST_FPERIOD_OVERRIDE=FQ","FILING_STATUS=MR","SCALING_FORMAT=MLN","FA_ADJUSTED=GAAP","Sort=A","Dates=H","DateFormat=P","Fill=—","Direction=H","UseDPDF=Y")</f>
        <v>-34.862400000000001</v>
      </c>
      <c r="E38" s="19">
        <f>_xll.BDH("ITCI US Equity","EARN_FOR_COMMON","FQ4 2019","FQ4 2019","Currency=USD","Period=FQ","BEST_FPERIOD_OVERRIDE=FQ","FILING_STATUS=MR","SCALING_FORMAT=MLN","FA_ADJUSTED=GAAP","Sort=A","Dates=H","DateFormat=P","Fill=—","Direction=H","UseDPDF=Y")</f>
        <v>-40.582900000000002</v>
      </c>
      <c r="F38" s="19">
        <f>_xll.BDH("ITCI US Equity","EARN_FOR_COMMON","FQ1 2020","FQ1 2020","Currency=USD","Period=FQ","BEST_FPERIOD_OVERRIDE=FQ","FILING_STATUS=MR","SCALING_FORMAT=MLN","FA_ADJUSTED=GAAP","Sort=A","Dates=H","DateFormat=P","Fill=—","Direction=H","UseDPDF=Y")</f>
        <v>-47.410600000000002</v>
      </c>
      <c r="G38" s="19">
        <f>_xll.BDH("ITCI US Equity","EARN_FOR_COMMON","FQ2 2020","FQ2 2020","Currency=USD","Period=FQ","BEST_FPERIOD_OVERRIDE=FQ","FILING_STATUS=MR","SCALING_FORMAT=MLN","FA_ADJUSTED=GAAP","Sort=A","Dates=H","DateFormat=P","Fill=—","Direction=H","UseDPDF=Y")</f>
        <v>-63.712299999999999</v>
      </c>
      <c r="H38" s="19">
        <f>_xll.BDH("ITCI US Equity","EARN_FOR_COMMON","FQ3 2020","FQ3 2020","Currency=USD","Period=FQ","BEST_FPERIOD_OVERRIDE=FQ","FILING_STATUS=MR","SCALING_FORMAT=MLN","FA_ADJUSTED=GAAP","Sort=A","Dates=H","DateFormat=P","Fill=—","Direction=H","UseDPDF=Y")</f>
        <v>-55.183599999999998</v>
      </c>
      <c r="I38" s="19">
        <f>_xll.BDH("ITCI US Equity","EARN_FOR_COMMON","FQ4 2020","FQ4 2020","Currency=USD","Period=FQ","BEST_FPERIOD_OVERRIDE=FQ","FILING_STATUS=MR","SCALING_FORMAT=MLN","FA_ADJUSTED=GAAP","Sort=A","Dates=H","DateFormat=P","Fill=—","Direction=H","UseDPDF=Y")</f>
        <v>-60.699199999999998</v>
      </c>
      <c r="J38" s="19">
        <f>_xll.BDH("ITCI US Equity","EARN_FOR_COMMON","FQ1 2021","FQ1 2021","Currency=USD","Period=FQ","BEST_FPERIOD_OVERRIDE=FQ","FILING_STATUS=MR","SCALING_FORMAT=MLN","FA_ADJUSTED=GAAP","Sort=A","Dates=H","DateFormat=P","Fill=—","Direction=H","UseDPDF=Y")</f>
        <v>-52.739899999999999</v>
      </c>
      <c r="K38" s="19">
        <f>_xll.BDH("ITCI US Equity","EARN_FOR_COMMON","FQ2 2021","FQ2 2021","Currency=USD","Period=FQ","BEST_FPERIOD_OVERRIDE=FQ","FILING_STATUS=MR","SCALING_FORMAT=MLN","FA_ADJUSTED=GAAP","Sort=A","Dates=H","DateFormat=P","Fill=—","Direction=H","UseDPDF=Y")</f>
        <v>-68.743799999999993</v>
      </c>
      <c r="L38" s="19">
        <f>_xll.BDH("ITCI US Equity","EARN_FOR_COMMON","FQ3 2021","FQ3 2021","Currency=USD","Period=FQ","BEST_FPERIOD_OVERRIDE=FQ","FILING_STATUS=MR","SCALING_FORMAT=MLN","FA_ADJUSTED=GAAP","Sort=A","Dates=H","DateFormat=P","Fill=—","Direction=H","UseDPDF=Y")</f>
        <v>-76.908000000000001</v>
      </c>
      <c r="M38" s="19">
        <f>_xll.BDH("ITCI US Equity","EARN_FOR_COMMON","FQ4 2021","FQ4 2021","Currency=USD","Period=FQ","BEST_FPERIOD_OVERRIDE=FQ","FILING_STATUS=MR","SCALING_FORMAT=MLN","FA_ADJUSTED=GAAP","Sort=A","Dates=H","DateFormat=P","Fill=—","Direction=H","UseDPDF=Y")</f>
        <v>-85.733900000000006</v>
      </c>
      <c r="N38" s="19">
        <f>_xll.BDH("ITCI US Equity","EARN_FOR_COMMON","FQ1 2022","FQ1 2022","Currency=USD","Period=FQ","BEST_FPERIOD_OVERRIDE=FQ","FILING_STATUS=MR","SCALING_FORMAT=MLN","FA_ADJUSTED=GAAP","Sort=A","Dates=H","DateFormat=P","Fill=—","Direction=H","UseDPDF=Y")</f>
        <v>-72.119</v>
      </c>
      <c r="O38" s="19">
        <f>_xll.BDH("ITCI US Equity","EARN_FOR_COMMON","FQ2 2022","FQ2 2022","Currency=USD","Period=FQ","BEST_FPERIOD_OVERRIDE=FQ","FILING_STATUS=MR","SCALING_FORMAT=MLN","FA_ADJUSTED=GAAP","Sort=A","Dates=H","DateFormat=P","Fill=—","Direction=H","UseDPDF=Y")</f>
        <v>-86.602999999999994</v>
      </c>
      <c r="P38" s="19">
        <f>_xll.BDH("ITCI US Equity","EARN_FOR_COMMON","FQ3 2022","FQ3 2022","Currency=USD","Period=FQ","BEST_FPERIOD_OVERRIDE=FQ","FILING_STATUS=MR","SCALING_FORMAT=MLN","FA_ADJUSTED=GAAP","Sort=A","Dates=H","DateFormat=P","Fill=—","Direction=H","UseDPDF=Y")</f>
        <v>-53.508000000000003</v>
      </c>
      <c r="Q38" s="19">
        <f>_xll.BDH("ITCI US Equity","EARN_FOR_COMMON","FQ4 2022","FQ4 2022","Currency=USD","Period=FQ","BEST_FPERIOD_OVERRIDE=FQ","FILING_STATUS=MR","SCALING_FORMAT=MLN","FA_ADJUSTED=GAAP","Sort=A","Dates=H","DateFormat=P","Fill=—","Direction=H","UseDPDF=Y")</f>
        <v>-44.026000000000003</v>
      </c>
      <c r="R38" s="19">
        <f>_xll.BDH("ITCI US Equity","EARN_FOR_COMMON","FQ1 2023","FQ1 2023","Currency=USD","Period=FQ","BEST_FPERIOD_OVERRIDE=FQ","FILING_STATUS=MR","SCALING_FORMAT=MLN","FA_ADJUSTED=GAAP","Sort=A","Dates=H","DateFormat=P","Fill=—","Direction=H","UseDPDF=Y")</f>
        <v>-44.052999999999997</v>
      </c>
      <c r="S38" s="19">
        <f>_xll.BDH("ITCI US Equity","EARN_FOR_COMMON","FQ2 2023","FQ2 2023","Currency=USD","Period=FQ","BEST_FPERIOD_OVERRIDE=FQ","FILING_STATUS=MR","SCALING_FORMAT=MLN","FA_ADJUSTED=GAAP","Sort=A","Dates=H","DateFormat=P","Fill=—","Direction=H","UseDPDF=Y")</f>
        <v>-42.783999999999999</v>
      </c>
      <c r="T38" s="19">
        <f>_xll.BDH("ITCI US Equity","EARN_FOR_COMMON","FQ3 2023","FQ3 2023","Currency=USD","Period=FQ","BEST_FPERIOD_OVERRIDE=FQ","FILING_STATUS=MR","SCALING_FORMAT=MLN","FA_ADJUSTED=GAAP","Sort=A","Dates=H","DateFormat=P","Fill=—","Direction=H","UseDPDF=Y")</f>
        <v>-24.257999999999999</v>
      </c>
      <c r="U38" s="19">
        <f>_xll.BDH("ITCI US Equity","EARN_FOR_COMMON","FQ4 2023","FQ4 2023","Currency=USD","Period=FQ","BEST_FPERIOD_OVERRIDE=FQ","FILING_STATUS=MR","SCALING_FORMAT=MLN","FA_ADJUSTED=GAAP","Sort=A","Dates=H","DateFormat=P","Fill=—","Direction=H","UseDPDF=Y")</f>
        <v>-28.579000000000001</v>
      </c>
      <c r="V38" s="19">
        <f>_xll.BDH("ITCI US Equity","EARN_FOR_COMMON","FQ1 2024","FQ1 2024","Currency=USD","Period=FQ","BEST_FPERIOD_OVERRIDE=FQ","FILING_STATUS=MR","SCALING_FORMAT=MLN","FA_ADJUSTED=GAAP","Sort=A","Dates=H","DateFormat=P","Fill=—","Direction=H","UseDPDF=Y")</f>
        <v>-15.247</v>
      </c>
      <c r="W38" s="19">
        <f>_xll.BDH("ITCI US Equity","EARN_FOR_COMMON","FQ2 2024","FQ2 2024","Currency=USD","Period=FQ","BEST_FPERIOD_OVERRIDE=FQ","FILING_STATUS=MR","SCALING_FORMAT=MLN","FA_ADJUSTED=GAAP","Sort=A","Dates=H","DateFormat=P","Fill=—","Direction=H","UseDPDF=Y")</f>
        <v>-16.22</v>
      </c>
      <c r="X38" s="19">
        <f>_xll.BDH("ITCI US Equity","EARN_FOR_COMMON","FQ3 2024","FQ3 2024","Currency=USD","Period=FQ","BEST_FPERIOD_OVERRIDE=FQ","FILING_STATUS=MR","SCALING_FORMAT=MLN","FA_ADJUSTED=GAAP","Sort=A","Dates=H","DateFormat=P","Fill=—","Direction=H","UseDPDF=Y")</f>
        <v>-26.324000000000002</v>
      </c>
      <c r="Y38" s="19">
        <f>_xll.BDH("ITCI US Equity","EARN_FOR_COMMON","FQ4 2024","FQ4 2024","Currency=USD","Period=FQ","BEST_FPERIOD_OVERRIDE=FQ","FILING_STATUS=MR","SCALING_FORMAT=MLN","FA_ADJUSTED=GAAP","Sort=A","Dates=H","DateFormat=P","Fill=—","Direction=H","UseDPDF=Y")</f>
        <v>-16.885000000000002</v>
      </c>
      <c r="Z38" s="19">
        <v>-11.425000000000001</v>
      </c>
      <c r="AA38" s="19">
        <v>-3.2170000000000001</v>
      </c>
    </row>
    <row r="39" spans="1:27" x14ac:dyDescent="0.25">
      <c r="A39" s="6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x14ac:dyDescent="0.25">
      <c r="A40" s="6" t="s">
        <v>342</v>
      </c>
      <c r="B40" s="6" t="s">
        <v>80</v>
      </c>
      <c r="C40" s="19">
        <f>_xll.BDH("ITCI US Equity","EARN_FOR_COMMON","FQ2 2019","FQ2 2019","Currency=USD","Period=FQ","BEST_FPERIOD_OVERRIDE=FQ","FILING_STATUS=MR","SCALING_FORMAT=MLN","FA_ADJUSTED=Adjusted","Sort=A","Dates=H","DateFormat=P","Fill=—","Direction=H","UseDPDF=Y")</f>
        <v>-37.441200000000002</v>
      </c>
      <c r="D40" s="19">
        <f>_xll.BDH("ITCI US Equity","EARN_FOR_COMMON","FQ3 2019","FQ3 2019","Currency=USD","Period=FQ","BEST_FPERIOD_OVERRIDE=FQ","FILING_STATUS=MR","SCALING_FORMAT=MLN","FA_ADJUSTED=Adjusted","Sort=A","Dates=H","DateFormat=P","Fill=—","Direction=H","UseDPDF=Y")</f>
        <v>-34.862400000000001</v>
      </c>
      <c r="E40" s="19">
        <f>_xll.BDH("ITCI US Equity","EARN_FOR_COMMON","FQ4 2019","FQ4 2019","Currency=USD","Period=FQ","BEST_FPERIOD_OVERRIDE=FQ","FILING_STATUS=MR","SCALING_FORMAT=MLN","FA_ADJUSTED=Adjusted","Sort=A","Dates=H","DateFormat=P","Fill=—","Direction=H","UseDPDF=Y")</f>
        <v>-40.582900000000002</v>
      </c>
      <c r="F40" s="19">
        <f>_xll.BDH("ITCI US Equity","EARN_FOR_COMMON","FQ1 2020","FQ1 2020","Currency=USD","Period=FQ","BEST_FPERIOD_OVERRIDE=FQ","FILING_STATUS=MR","SCALING_FORMAT=MLN","FA_ADJUSTED=Adjusted","Sort=A","Dates=H","DateFormat=P","Fill=—","Direction=H","UseDPDF=Y")</f>
        <v>-47.410600000000002</v>
      </c>
      <c r="G40" s="19">
        <f>_xll.BDH("ITCI US Equity","EARN_FOR_COMMON","FQ2 2020","FQ2 2020","Currency=USD","Period=FQ","BEST_FPERIOD_OVERRIDE=FQ","FILING_STATUS=MR","SCALING_FORMAT=MLN","FA_ADJUSTED=Adjusted","Sort=A","Dates=H","DateFormat=P","Fill=—","Direction=H","UseDPDF=Y")</f>
        <v>-63.712299999999999</v>
      </c>
      <c r="H40" s="19">
        <f>_xll.BDH("ITCI US Equity","EARN_FOR_COMMON","FQ3 2020","FQ3 2020","Currency=USD","Period=FQ","BEST_FPERIOD_OVERRIDE=FQ","FILING_STATUS=MR","SCALING_FORMAT=MLN","FA_ADJUSTED=Adjusted","Sort=A","Dates=H","DateFormat=P","Fill=—","Direction=H","UseDPDF=Y")</f>
        <v>-55.183599999999998</v>
      </c>
      <c r="I40" s="19">
        <f>_xll.BDH("ITCI US Equity","EARN_FOR_COMMON","FQ4 2020","FQ4 2020","Currency=USD","Period=FQ","BEST_FPERIOD_OVERRIDE=FQ","FILING_STATUS=MR","SCALING_FORMAT=MLN","FA_ADJUSTED=Adjusted","Sort=A","Dates=H","DateFormat=P","Fill=—","Direction=H","UseDPDF=Y")</f>
        <v>-60.699199999999998</v>
      </c>
      <c r="J40" s="19">
        <f>_xll.BDH("ITCI US Equity","EARN_FOR_COMMON","FQ1 2021","FQ1 2021","Currency=USD","Period=FQ","BEST_FPERIOD_OVERRIDE=FQ","FILING_STATUS=MR","SCALING_FORMAT=MLN","FA_ADJUSTED=Adjusted","Sort=A","Dates=H","DateFormat=P","Fill=—","Direction=H","UseDPDF=Y")</f>
        <v>-52.739899999999999</v>
      </c>
      <c r="K40" s="19">
        <f>_xll.BDH("ITCI US Equity","EARN_FOR_COMMON","FQ2 2021","FQ2 2021","Currency=USD","Period=FQ","BEST_FPERIOD_OVERRIDE=FQ","FILING_STATUS=MR","SCALING_FORMAT=MLN","FA_ADJUSTED=Adjusted","Sort=A","Dates=H","DateFormat=P","Fill=—","Direction=H","UseDPDF=Y")</f>
        <v>-68.743799999999993</v>
      </c>
      <c r="L40" s="19">
        <f>_xll.BDH("ITCI US Equity","EARN_FOR_COMMON","FQ3 2021","FQ3 2021","Currency=USD","Period=FQ","BEST_FPERIOD_OVERRIDE=FQ","FILING_STATUS=MR","SCALING_FORMAT=MLN","FA_ADJUSTED=Adjusted","Sort=A","Dates=H","DateFormat=P","Fill=—","Direction=H","UseDPDF=Y")</f>
        <v>-76.908000000000001</v>
      </c>
      <c r="M40" s="19">
        <f>_xll.BDH("ITCI US Equity","EARN_FOR_COMMON","FQ4 2021","FQ4 2021","Currency=USD","Period=FQ","BEST_FPERIOD_OVERRIDE=FQ","FILING_STATUS=MR","SCALING_FORMAT=MLN","FA_ADJUSTED=Adjusted","Sort=A","Dates=H","DateFormat=P","Fill=—","Direction=H","UseDPDF=Y")</f>
        <v>-85.733900000000006</v>
      </c>
      <c r="N40" s="19">
        <f>_xll.BDH("ITCI US Equity","EARN_FOR_COMMON","FQ1 2022","FQ1 2022","Currency=USD","Period=FQ","BEST_FPERIOD_OVERRIDE=FQ","FILING_STATUS=MR","SCALING_FORMAT=MLN","FA_ADJUSTED=Adjusted","Sort=A","Dates=H","DateFormat=P","Fill=—","Direction=H","UseDPDF=Y")</f>
        <v>-72.119</v>
      </c>
      <c r="O40" s="19">
        <f>_xll.BDH("ITCI US Equity","EARN_FOR_COMMON","FQ2 2022","FQ2 2022","Currency=USD","Period=FQ","BEST_FPERIOD_OVERRIDE=FQ","FILING_STATUS=MR","SCALING_FORMAT=MLN","FA_ADJUSTED=Adjusted","Sort=A","Dates=H","DateFormat=P","Fill=—","Direction=H","UseDPDF=Y")</f>
        <v>-86.602999999999994</v>
      </c>
      <c r="P40" s="19">
        <f>_xll.BDH("ITCI US Equity","EARN_FOR_COMMON","FQ3 2022","FQ3 2022","Currency=USD","Period=FQ","BEST_FPERIOD_OVERRIDE=FQ","FILING_STATUS=MR","SCALING_FORMAT=MLN","FA_ADJUSTED=Adjusted","Sort=A","Dates=H","DateFormat=P","Fill=—","Direction=H","UseDPDF=Y")</f>
        <v>-53.508000000000003</v>
      </c>
      <c r="Q40" s="19">
        <f>_xll.BDH("ITCI US Equity","EARN_FOR_COMMON","FQ4 2022","FQ4 2022","Currency=USD","Period=FQ","BEST_FPERIOD_OVERRIDE=FQ","FILING_STATUS=MR","SCALING_FORMAT=MLN","FA_ADJUSTED=Adjusted","Sort=A","Dates=H","DateFormat=P","Fill=—","Direction=H","UseDPDF=Y")</f>
        <v>-44.026000000000003</v>
      </c>
      <c r="R40" s="19">
        <f>_xll.BDH("ITCI US Equity","EARN_FOR_COMMON","FQ1 2023","FQ1 2023","Currency=USD","Period=FQ","BEST_FPERIOD_OVERRIDE=FQ","FILING_STATUS=MR","SCALING_FORMAT=MLN","FA_ADJUSTED=Adjusted","Sort=A","Dates=H","DateFormat=P","Fill=—","Direction=H","UseDPDF=Y")</f>
        <v>-44.052999999999997</v>
      </c>
      <c r="S40" s="19">
        <f>_xll.BDH("ITCI US Equity","EARN_FOR_COMMON","FQ2 2023","FQ2 2023","Currency=USD","Period=FQ","BEST_FPERIOD_OVERRIDE=FQ","FILING_STATUS=MR","SCALING_FORMAT=MLN","FA_ADJUSTED=Adjusted","Sort=A","Dates=H","DateFormat=P","Fill=—","Direction=H","UseDPDF=Y")</f>
        <v>-42.783999999999999</v>
      </c>
      <c r="T40" s="19">
        <f>_xll.BDH("ITCI US Equity","EARN_FOR_COMMON","FQ3 2023","FQ3 2023","Currency=USD","Period=FQ","BEST_FPERIOD_OVERRIDE=FQ","FILING_STATUS=MR","SCALING_FORMAT=MLN","FA_ADJUSTED=Adjusted","Sort=A","Dates=H","DateFormat=P","Fill=—","Direction=H","UseDPDF=Y")</f>
        <v>-24.257999999999999</v>
      </c>
      <c r="U40" s="19">
        <f>_xll.BDH("ITCI US Equity","EARN_FOR_COMMON","FQ4 2023","FQ4 2023","Currency=USD","Period=FQ","BEST_FPERIOD_OVERRIDE=FQ","FILING_STATUS=MR","SCALING_FORMAT=MLN","FA_ADJUSTED=Adjusted","Sort=A","Dates=H","DateFormat=P","Fill=—","Direction=H","UseDPDF=Y")</f>
        <v>-28.579000000000001</v>
      </c>
      <c r="V40" s="19">
        <f>_xll.BDH("ITCI US Equity","EARN_FOR_COMMON","FQ1 2024","FQ1 2024","Currency=USD","Period=FQ","BEST_FPERIOD_OVERRIDE=FQ","FILING_STATUS=MR","SCALING_FORMAT=MLN","FA_ADJUSTED=Adjusted","Sort=A","Dates=H","DateFormat=P","Fill=—","Direction=H","UseDPDF=Y")</f>
        <v>-15.247</v>
      </c>
      <c r="W40" s="19">
        <f>_xll.BDH("ITCI US Equity","EARN_FOR_COMMON","FQ2 2024","FQ2 2024","Currency=USD","Period=FQ","BEST_FPERIOD_OVERRIDE=FQ","FILING_STATUS=MR","SCALING_FORMAT=MLN","FA_ADJUSTED=Adjusted","Sort=A","Dates=H","DateFormat=P","Fill=—","Direction=H","UseDPDF=Y")</f>
        <v>-16.22</v>
      </c>
      <c r="X40" s="19">
        <f>_xll.BDH("ITCI US Equity","EARN_FOR_COMMON","FQ3 2024","FQ3 2024","Currency=USD","Period=FQ","BEST_FPERIOD_OVERRIDE=FQ","FILING_STATUS=MR","SCALING_FORMAT=MLN","FA_ADJUSTED=Adjusted","Sort=A","Dates=H","DateFormat=P","Fill=—","Direction=H","UseDPDF=Y")</f>
        <v>-26.324000000000002</v>
      </c>
      <c r="Y40" s="19">
        <f>_xll.BDH("ITCI US Equity","EARN_FOR_COMMON","FQ4 2024","FQ4 2024","Currency=USD","Period=FQ","BEST_FPERIOD_OVERRIDE=FQ","FILING_STATUS=MR","SCALING_FORMAT=MLN","FA_ADJUSTED=Adjusted","Sort=A","Dates=H","DateFormat=P","Fill=—","Direction=H","UseDPDF=Y")</f>
        <v>-16.885000000000002</v>
      </c>
      <c r="Z40" s="19">
        <v>-11.425000000000001</v>
      </c>
      <c r="AA40" s="19">
        <v>-3.2170000000000001</v>
      </c>
    </row>
    <row r="41" spans="1:27" x14ac:dyDescent="0.25">
      <c r="A41" s="10" t="s">
        <v>343</v>
      </c>
      <c r="B41" s="10" t="s">
        <v>344</v>
      </c>
      <c r="C41" s="13">
        <f>_xll.BDH("ITCI US Equity","IS_NET_ABNORMAL_ITEMS","FQ2 2019","FQ2 2019","Currency=USD","Period=FQ","BEST_FPERIOD_OVERRIDE=FQ","FILING_STATUS=MR","SCALING_FORMAT=MLN","Sort=A","Dates=H","DateFormat=P","Fill=—","Direction=H","UseDPDF=Y")</f>
        <v>0</v>
      </c>
      <c r="D41" s="13">
        <f>_xll.BDH("ITCI US Equity","IS_NET_ABNORMAL_ITEMS","FQ3 2019","FQ3 2019","Currency=USD","Period=FQ","BEST_FPERIOD_OVERRIDE=FQ","FILING_STATUS=MR","SCALING_FORMAT=MLN","Sort=A","Dates=H","DateFormat=P","Fill=—","Direction=H","UseDPDF=Y")</f>
        <v>0</v>
      </c>
      <c r="E41" s="13">
        <f>_xll.BDH("ITCI US Equity","IS_NET_ABNORMAL_ITEMS","FQ4 2019","FQ4 2019","Currency=USD","Period=FQ","BEST_FPERIOD_OVERRIDE=FQ","FILING_STATUS=MR","SCALING_FORMAT=MLN","Sort=A","Dates=H","DateFormat=P","Fill=—","Direction=H","UseDPDF=Y")</f>
        <v>0</v>
      </c>
      <c r="F41" s="13">
        <f>_xll.BDH("ITCI US Equity","IS_NET_ABNORMAL_ITEMS","FQ1 2020","FQ1 2020","Currency=USD","Period=FQ","BEST_FPERIOD_OVERRIDE=FQ","FILING_STATUS=MR","SCALING_FORMAT=MLN","Sort=A","Dates=H","DateFormat=P","Fill=—","Direction=H","UseDPDF=Y")</f>
        <v>0</v>
      </c>
      <c r="G41" s="13">
        <f>_xll.BDH("ITCI US Equity","IS_NET_ABNORMAL_ITEMS","FQ2 2020","FQ2 2020","Currency=USD","Period=FQ","BEST_FPERIOD_OVERRIDE=FQ","FILING_STATUS=MR","SCALING_FORMAT=MLN","Sort=A","Dates=H","DateFormat=P","Fill=—","Direction=H","UseDPDF=Y")</f>
        <v>0</v>
      </c>
      <c r="H41" s="13">
        <f>_xll.BDH("ITCI US Equity","IS_NET_ABNORMAL_ITEMS","FQ3 2020","FQ3 2020","Currency=USD","Period=FQ","BEST_FPERIOD_OVERRIDE=FQ","FILING_STATUS=MR","SCALING_FORMAT=MLN","Sort=A","Dates=H","DateFormat=P","Fill=—","Direction=H","UseDPDF=Y")</f>
        <v>0</v>
      </c>
      <c r="I41" s="13">
        <f>_xll.BDH("ITCI US Equity","IS_NET_ABNORMAL_ITEMS","FQ4 2020","FQ4 2020","Currency=USD","Period=FQ","BEST_FPERIOD_OVERRIDE=FQ","FILING_STATUS=MR","SCALING_FORMAT=MLN","Sort=A","Dates=H","DateFormat=P","Fill=—","Direction=H","UseDPDF=Y")</f>
        <v>0</v>
      </c>
      <c r="J41" s="13">
        <f>_xll.BDH("ITCI US Equity","IS_NET_ABNORMAL_ITEMS","FQ1 2021","FQ1 2021","Currency=USD","Period=FQ","BEST_FPERIOD_OVERRIDE=FQ","FILING_STATUS=MR","SCALING_FORMAT=MLN","Sort=A","Dates=H","DateFormat=P","Fill=—","Direction=H","UseDPDF=Y")</f>
        <v>0</v>
      </c>
      <c r="K41" s="13">
        <f>_xll.BDH("ITCI US Equity","IS_NET_ABNORMAL_ITEMS","FQ2 2021","FQ2 2021","Currency=USD","Period=FQ","BEST_FPERIOD_OVERRIDE=FQ","FILING_STATUS=MR","SCALING_FORMAT=MLN","Sort=A","Dates=H","DateFormat=P","Fill=—","Direction=H","UseDPDF=Y")</f>
        <v>0</v>
      </c>
      <c r="L41" s="13">
        <f>_xll.BDH("ITCI US Equity","IS_NET_ABNORMAL_ITEMS","FQ3 2021","FQ3 2021","Currency=USD","Period=FQ","BEST_FPERIOD_OVERRIDE=FQ","FILING_STATUS=MR","SCALING_FORMAT=MLN","Sort=A","Dates=H","DateFormat=P","Fill=—","Direction=H","UseDPDF=Y")</f>
        <v>0</v>
      </c>
      <c r="M41" s="13">
        <f>_xll.BDH("ITCI US Equity","IS_NET_ABNORMAL_ITEMS","FQ4 2021","FQ4 2021","Currency=USD","Period=FQ","BEST_FPERIOD_OVERRIDE=FQ","FILING_STATUS=MR","SCALING_FORMAT=MLN","Sort=A","Dates=H","DateFormat=P","Fill=—","Direction=H","UseDPDF=Y")</f>
        <v>0</v>
      </c>
      <c r="N41" s="13">
        <f>_xll.BDH("ITCI US Equity","IS_NET_ABNORMAL_ITEMS","FQ1 2022","FQ1 2022","Currency=USD","Period=FQ","BEST_FPERIOD_OVERRIDE=FQ","FILING_STATUS=MR","SCALING_FORMAT=MLN","Sort=A","Dates=H","DateFormat=P","Fill=—","Direction=H","UseDPDF=Y")</f>
        <v>0</v>
      </c>
      <c r="O41" s="13">
        <f>_xll.BDH("ITCI US Equity","IS_NET_ABNORMAL_ITEMS","FQ2 2022","FQ2 2022","Currency=USD","Period=FQ","BEST_FPERIOD_OVERRIDE=FQ","FILING_STATUS=MR","SCALING_FORMAT=MLN","Sort=A","Dates=H","DateFormat=P","Fill=—","Direction=H","UseDPDF=Y")</f>
        <v>0</v>
      </c>
      <c r="P41" s="13">
        <f>_xll.BDH("ITCI US Equity","IS_NET_ABNORMAL_ITEMS","FQ3 2022","FQ3 2022","Currency=USD","Period=FQ","BEST_FPERIOD_OVERRIDE=FQ","FILING_STATUS=MR","SCALING_FORMAT=MLN","Sort=A","Dates=H","DateFormat=P","Fill=—","Direction=H","UseDPDF=Y")</f>
        <v>0</v>
      </c>
      <c r="Q41" s="13">
        <f>_xll.BDH("ITCI US Equity","IS_NET_ABNORMAL_ITEMS","FQ4 2022","FQ4 2022","Currency=USD","Period=FQ","BEST_FPERIOD_OVERRIDE=FQ","FILING_STATUS=MR","SCALING_FORMAT=MLN","Sort=A","Dates=H","DateFormat=P","Fill=—","Direction=H","UseDPDF=Y")</f>
        <v>0</v>
      </c>
      <c r="R41" s="13">
        <f>_xll.BDH("ITCI US Equity","IS_NET_ABNORMAL_ITEMS","FQ1 2023","FQ1 2023","Currency=USD","Period=FQ","BEST_FPERIOD_OVERRIDE=FQ","FILING_STATUS=MR","SCALING_FORMAT=MLN","Sort=A","Dates=H","DateFormat=P","Fill=—","Direction=H","UseDPDF=Y")</f>
        <v>0</v>
      </c>
      <c r="S41" s="13">
        <f>_xll.BDH("ITCI US Equity","IS_NET_ABNORMAL_ITEMS","FQ2 2023","FQ2 2023","Currency=USD","Period=FQ","BEST_FPERIOD_OVERRIDE=FQ","FILING_STATUS=MR","SCALING_FORMAT=MLN","Sort=A","Dates=H","DateFormat=P","Fill=—","Direction=H","UseDPDF=Y")</f>
        <v>0</v>
      </c>
      <c r="T41" s="13">
        <f>_xll.BDH("ITCI US Equity","IS_NET_ABNORMAL_ITEMS","FQ3 2023","FQ3 2023","Currency=USD","Period=FQ","BEST_FPERIOD_OVERRIDE=FQ","FILING_STATUS=MR","SCALING_FORMAT=MLN","Sort=A","Dates=H","DateFormat=P","Fill=—","Direction=H","UseDPDF=Y")</f>
        <v>0</v>
      </c>
      <c r="U41" s="13">
        <f>_xll.BDH("ITCI US Equity","IS_NET_ABNORMAL_ITEMS","FQ4 2023","FQ4 2023","Currency=USD","Period=FQ","BEST_FPERIOD_OVERRIDE=FQ","FILING_STATUS=MR","SCALING_FORMAT=MLN","Sort=A","Dates=H","DateFormat=P","Fill=—","Direction=H","UseDPDF=Y")</f>
        <v>0</v>
      </c>
      <c r="V41" s="13">
        <f>_xll.BDH("ITCI US Equity","IS_NET_ABNORMAL_ITEMS","FQ1 2024","FQ1 2024","Currency=USD","Period=FQ","BEST_FPERIOD_OVERRIDE=FQ","FILING_STATUS=MR","SCALING_FORMAT=MLN","Sort=A","Dates=H","DateFormat=P","Fill=—","Direction=H","UseDPDF=Y")</f>
        <v>0</v>
      </c>
      <c r="W41" s="13">
        <f>_xll.BDH("ITCI US Equity","IS_NET_ABNORMAL_ITEMS","FQ2 2024","FQ2 2024","Currency=USD","Period=FQ","BEST_FPERIOD_OVERRIDE=FQ","FILING_STATUS=MR","SCALING_FORMAT=MLN","Sort=A","Dates=H","DateFormat=P","Fill=—","Direction=H","UseDPDF=Y")</f>
        <v>0</v>
      </c>
      <c r="X41" s="13">
        <f>_xll.BDH("ITCI US Equity","IS_NET_ABNORMAL_ITEMS","FQ3 2024","FQ3 2024","Currency=USD","Period=FQ","BEST_FPERIOD_OVERRIDE=FQ","FILING_STATUS=MR","SCALING_FORMAT=MLN","Sort=A","Dates=H","DateFormat=P","Fill=—","Direction=H","UseDPDF=Y")</f>
        <v>0</v>
      </c>
      <c r="Y41" s="13">
        <f>_xll.BDH("ITCI US Equity","IS_NET_ABNORMAL_ITEMS","FQ4 2024","FQ4 2024","Currency=USD","Period=FQ","BEST_FPERIOD_OVERRIDE=FQ","FILING_STATUS=MR","SCALING_FORMAT=MLN","Sort=A","Dates=H","DateFormat=P","Fill=—","Direction=H","UseDPDF=Y")</f>
        <v>0</v>
      </c>
      <c r="Z41" s="13"/>
      <c r="AA41" s="13"/>
    </row>
    <row r="42" spans="1:27" x14ac:dyDescent="0.25">
      <c r="A42" s="10" t="s">
        <v>345</v>
      </c>
      <c r="B42" s="10" t="s">
        <v>326</v>
      </c>
      <c r="C42" s="13">
        <f>_xll.BDH("ITCI US Equity","XO_GL_NET_OF_TAX","FQ2 2019","FQ2 2019","Currency=USD","Period=FQ","BEST_FPERIOD_OVERRIDE=FQ","FILING_STATUS=MR","SCALING_FORMAT=MLN","Sort=A","Dates=H","DateFormat=P","Fill=—","Direction=H","UseDPDF=Y")</f>
        <v>0</v>
      </c>
      <c r="D42" s="13">
        <f>_xll.BDH("ITCI US Equity","XO_GL_NET_OF_TAX","FQ3 2019","FQ3 2019","Currency=USD","Period=FQ","BEST_FPERIOD_OVERRIDE=FQ","FILING_STATUS=MR","SCALING_FORMAT=MLN","Sort=A","Dates=H","DateFormat=P","Fill=—","Direction=H","UseDPDF=Y")</f>
        <v>0</v>
      </c>
      <c r="E42" s="13">
        <f>_xll.BDH("ITCI US Equity","XO_GL_NET_OF_TAX","FQ4 2019","FQ4 2019","Currency=USD","Period=FQ","BEST_FPERIOD_OVERRIDE=FQ","FILING_STATUS=MR","SCALING_FORMAT=MLN","Sort=A","Dates=H","DateFormat=P","Fill=—","Direction=H","UseDPDF=Y")</f>
        <v>0</v>
      </c>
      <c r="F42" s="13">
        <f>_xll.BDH("ITCI US Equity","XO_GL_NET_OF_TAX","FQ1 2020","FQ1 2020","Currency=USD","Period=FQ","BEST_FPERIOD_OVERRIDE=FQ","FILING_STATUS=MR","SCALING_FORMAT=MLN","Sort=A","Dates=H","DateFormat=P","Fill=—","Direction=H","UseDPDF=Y")</f>
        <v>0</v>
      </c>
      <c r="G42" s="13">
        <f>_xll.BDH("ITCI US Equity","XO_GL_NET_OF_TAX","FQ2 2020","FQ2 2020","Currency=USD","Period=FQ","BEST_FPERIOD_OVERRIDE=FQ","FILING_STATUS=MR","SCALING_FORMAT=MLN","Sort=A","Dates=H","DateFormat=P","Fill=—","Direction=H","UseDPDF=Y")</f>
        <v>0</v>
      </c>
      <c r="H42" s="13">
        <f>_xll.BDH("ITCI US Equity","XO_GL_NET_OF_TAX","FQ3 2020","FQ3 2020","Currency=USD","Period=FQ","BEST_FPERIOD_OVERRIDE=FQ","FILING_STATUS=MR","SCALING_FORMAT=MLN","Sort=A","Dates=H","DateFormat=P","Fill=—","Direction=H","UseDPDF=Y")</f>
        <v>0</v>
      </c>
      <c r="I42" s="13">
        <f>_xll.BDH("ITCI US Equity","XO_GL_NET_OF_TAX","FQ4 2020","FQ4 2020","Currency=USD","Period=FQ","BEST_FPERIOD_OVERRIDE=FQ","FILING_STATUS=MR","SCALING_FORMAT=MLN","Sort=A","Dates=H","DateFormat=P","Fill=—","Direction=H","UseDPDF=Y")</f>
        <v>0</v>
      </c>
      <c r="J42" s="13">
        <f>_xll.BDH("ITCI US Equity","XO_GL_NET_OF_TAX","FQ1 2021","FQ1 2021","Currency=USD","Period=FQ","BEST_FPERIOD_OVERRIDE=FQ","FILING_STATUS=MR","SCALING_FORMAT=MLN","Sort=A","Dates=H","DateFormat=P","Fill=—","Direction=H","UseDPDF=Y")</f>
        <v>0</v>
      </c>
      <c r="K42" s="13">
        <f>_xll.BDH("ITCI US Equity","XO_GL_NET_OF_TAX","FQ2 2021","FQ2 2021","Currency=USD","Period=FQ","BEST_FPERIOD_OVERRIDE=FQ","FILING_STATUS=MR","SCALING_FORMAT=MLN","Sort=A","Dates=H","DateFormat=P","Fill=—","Direction=H","UseDPDF=Y")</f>
        <v>0</v>
      </c>
      <c r="L42" s="13">
        <f>_xll.BDH("ITCI US Equity","XO_GL_NET_OF_TAX","FQ3 2021","FQ3 2021","Currency=USD","Period=FQ","BEST_FPERIOD_OVERRIDE=FQ","FILING_STATUS=MR","SCALING_FORMAT=MLN","Sort=A","Dates=H","DateFormat=P","Fill=—","Direction=H","UseDPDF=Y")</f>
        <v>0</v>
      </c>
      <c r="M42" s="13">
        <f>_xll.BDH("ITCI US Equity","XO_GL_NET_OF_TAX","FQ4 2021","FQ4 2021","Currency=USD","Period=FQ","BEST_FPERIOD_OVERRIDE=FQ","FILING_STATUS=MR","SCALING_FORMAT=MLN","Sort=A","Dates=H","DateFormat=P","Fill=—","Direction=H","UseDPDF=Y")</f>
        <v>0</v>
      </c>
      <c r="N42" s="13">
        <f>_xll.BDH("ITCI US Equity","XO_GL_NET_OF_TAX","FQ1 2022","FQ1 2022","Currency=USD","Period=FQ","BEST_FPERIOD_OVERRIDE=FQ","FILING_STATUS=MR","SCALING_FORMAT=MLN","Sort=A","Dates=H","DateFormat=P","Fill=—","Direction=H","UseDPDF=Y")</f>
        <v>0</v>
      </c>
      <c r="O42" s="13">
        <f>_xll.BDH("ITCI US Equity","XO_GL_NET_OF_TAX","FQ2 2022","FQ2 2022","Currency=USD","Period=FQ","BEST_FPERIOD_OVERRIDE=FQ","FILING_STATUS=MR","SCALING_FORMAT=MLN","Sort=A","Dates=H","DateFormat=P","Fill=—","Direction=H","UseDPDF=Y")</f>
        <v>0</v>
      </c>
      <c r="P42" s="13">
        <f>_xll.BDH("ITCI US Equity","XO_GL_NET_OF_TAX","FQ3 2022","FQ3 2022","Currency=USD","Period=FQ","BEST_FPERIOD_OVERRIDE=FQ","FILING_STATUS=MR","SCALING_FORMAT=MLN","Sort=A","Dates=H","DateFormat=P","Fill=—","Direction=H","UseDPDF=Y")</f>
        <v>0</v>
      </c>
      <c r="Q42" s="13">
        <f>_xll.BDH("ITCI US Equity","XO_GL_NET_OF_TAX","FQ4 2022","FQ4 2022","Currency=USD","Period=FQ","BEST_FPERIOD_OVERRIDE=FQ","FILING_STATUS=MR","SCALING_FORMAT=MLN","Sort=A","Dates=H","DateFormat=P","Fill=—","Direction=H","UseDPDF=Y")</f>
        <v>0</v>
      </c>
      <c r="R42" s="13">
        <f>_xll.BDH("ITCI US Equity","XO_GL_NET_OF_TAX","FQ1 2023","FQ1 2023","Currency=USD","Period=FQ","BEST_FPERIOD_OVERRIDE=FQ","FILING_STATUS=MR","SCALING_FORMAT=MLN","Sort=A","Dates=H","DateFormat=P","Fill=—","Direction=H","UseDPDF=Y")</f>
        <v>0</v>
      </c>
      <c r="S42" s="13">
        <f>_xll.BDH("ITCI US Equity","XO_GL_NET_OF_TAX","FQ2 2023","FQ2 2023","Currency=USD","Period=FQ","BEST_FPERIOD_OVERRIDE=FQ","FILING_STATUS=MR","SCALING_FORMAT=MLN","Sort=A","Dates=H","DateFormat=P","Fill=—","Direction=H","UseDPDF=Y")</f>
        <v>0</v>
      </c>
      <c r="T42" s="13">
        <f>_xll.BDH("ITCI US Equity","XO_GL_NET_OF_TAX","FQ3 2023","FQ3 2023","Currency=USD","Period=FQ","BEST_FPERIOD_OVERRIDE=FQ","FILING_STATUS=MR","SCALING_FORMAT=MLN","Sort=A","Dates=H","DateFormat=P","Fill=—","Direction=H","UseDPDF=Y")</f>
        <v>0</v>
      </c>
      <c r="U42" s="13">
        <f>_xll.BDH("ITCI US Equity","XO_GL_NET_OF_TAX","FQ4 2023","FQ4 2023","Currency=USD","Period=FQ","BEST_FPERIOD_OVERRIDE=FQ","FILING_STATUS=MR","SCALING_FORMAT=MLN","Sort=A","Dates=H","DateFormat=P","Fill=—","Direction=H","UseDPDF=Y")</f>
        <v>0</v>
      </c>
      <c r="V42" s="13">
        <f>_xll.BDH("ITCI US Equity","XO_GL_NET_OF_TAX","FQ1 2024","FQ1 2024","Currency=USD","Period=FQ","BEST_FPERIOD_OVERRIDE=FQ","FILING_STATUS=MR","SCALING_FORMAT=MLN","Sort=A","Dates=H","DateFormat=P","Fill=—","Direction=H","UseDPDF=Y")</f>
        <v>0</v>
      </c>
      <c r="W42" s="13">
        <f>_xll.BDH("ITCI US Equity","XO_GL_NET_OF_TAX","FQ2 2024","FQ2 2024","Currency=USD","Period=FQ","BEST_FPERIOD_OVERRIDE=FQ","FILING_STATUS=MR","SCALING_FORMAT=MLN","Sort=A","Dates=H","DateFormat=P","Fill=—","Direction=H","UseDPDF=Y")</f>
        <v>0</v>
      </c>
      <c r="X42" s="13">
        <f>_xll.BDH("ITCI US Equity","XO_GL_NET_OF_TAX","FQ3 2024","FQ3 2024","Currency=USD","Period=FQ","BEST_FPERIOD_OVERRIDE=FQ","FILING_STATUS=MR","SCALING_FORMAT=MLN","Sort=A","Dates=H","DateFormat=P","Fill=—","Direction=H","UseDPDF=Y")</f>
        <v>0</v>
      </c>
      <c r="Y42" s="13">
        <f>_xll.BDH("ITCI US Equity","XO_GL_NET_OF_TAX","FQ4 2024","FQ4 2024","Currency=USD","Period=FQ","BEST_FPERIOD_OVERRIDE=FQ","FILING_STATUS=MR","SCALING_FORMAT=MLN","Sort=A","Dates=H","DateFormat=P","Fill=—","Direction=H","UseDPDF=Y")</f>
        <v>0</v>
      </c>
      <c r="Z42" s="13"/>
      <c r="AA42" s="13"/>
    </row>
    <row r="43" spans="1:27" x14ac:dyDescent="0.25">
      <c r="A43" s="6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 x14ac:dyDescent="0.25">
      <c r="A44" s="10" t="s">
        <v>229</v>
      </c>
      <c r="B44" s="10" t="s">
        <v>106</v>
      </c>
      <c r="C44" s="13">
        <f>_xll.BDH("ITCI US Equity","IS_AVG_NUM_SH_FOR_EPS","FQ2 2019","FQ2 2019","Currency=USD","Period=FQ","BEST_FPERIOD_OVERRIDE=FQ","FILING_STATUS=MR","Sort=A","Dates=H","DateFormat=P","Fill=—","Direction=H","UseDPDF=Y")</f>
        <v>55.145899999999997</v>
      </c>
      <c r="D44" s="13">
        <f>_xll.BDH("ITCI US Equity","IS_AVG_NUM_SH_FOR_EPS","FQ3 2019","FQ3 2019","Currency=USD","Period=FQ","BEST_FPERIOD_OVERRIDE=FQ","FILING_STATUS=MR","Sort=A","Dates=H","DateFormat=P","Fill=—","Direction=H","UseDPDF=Y")</f>
        <v>55.2074</v>
      </c>
      <c r="E44" s="13">
        <f>_xll.BDH("ITCI US Equity","IS_AVG_NUM_SH_FOR_EPS","FQ4 2019","FQ4 2019","Currency=USD","Period=FQ","BEST_FPERIOD_OVERRIDE=FQ","FILING_STATUS=MR","Sort=A","Dates=H","DateFormat=P","Fill=—","Direction=H","UseDPDF=Y")</f>
        <v>55.276299999999999</v>
      </c>
      <c r="F44" s="13">
        <f>_xll.BDH("ITCI US Equity","IS_AVG_NUM_SH_FOR_EPS","FQ1 2020","FQ1 2020","Currency=USD","Period=FQ","BEST_FPERIOD_OVERRIDE=FQ","FILING_STATUS=MR","Sort=A","Dates=H","DateFormat=P","Fill=—","Direction=H","UseDPDF=Y")</f>
        <v>65.106099999999998</v>
      </c>
      <c r="G44" s="13">
        <f>_xll.BDH("ITCI US Equity","IS_AVG_NUM_SH_FOR_EPS","FQ2 2020","FQ2 2020","Currency=USD","Period=FQ","BEST_FPERIOD_OVERRIDE=FQ","FILING_STATUS=MR","Sort=A","Dates=H","DateFormat=P","Fill=—","Direction=H","UseDPDF=Y")</f>
        <v>66.429400000000001</v>
      </c>
      <c r="H44" s="13">
        <f>_xll.BDH("ITCI US Equity","IS_AVG_NUM_SH_FOR_EPS","FQ3 2020","FQ3 2020","Currency=USD","Period=FQ","BEST_FPERIOD_OVERRIDE=FQ","FILING_STATUS=MR","Sort=A","Dates=H","DateFormat=P","Fill=—","Direction=H","UseDPDF=Y")</f>
        <v>69.53</v>
      </c>
      <c r="I44" s="13">
        <f>_xll.BDH("ITCI US Equity","IS_AVG_NUM_SH_FOR_EPS","FQ4 2020","FQ4 2020","Currency=USD","Period=FQ","BEST_FPERIOD_OVERRIDE=FQ","FILING_STATUS=MR","Sort=A","Dates=H","DateFormat=P","Fill=—","Direction=H","UseDPDF=Y")</f>
        <v>80.293800000000005</v>
      </c>
      <c r="J44" s="13">
        <f>_xll.BDH("ITCI US Equity","IS_AVG_NUM_SH_FOR_EPS","FQ1 2021","FQ1 2021","Currency=USD","Period=FQ","BEST_FPERIOD_OVERRIDE=FQ","FILING_STATUS=MR","Sort=A","Dates=H","DateFormat=P","Fill=—","Direction=H","UseDPDF=Y")</f>
        <v>80.9465</v>
      </c>
      <c r="K44" s="13">
        <f>_xll.BDH("ITCI US Equity","IS_AVG_NUM_SH_FOR_EPS","FQ2 2021","FQ2 2021","Currency=USD","Period=FQ","BEST_FPERIOD_OVERRIDE=FQ","FILING_STATUS=MR","Sort=A","Dates=H","DateFormat=P","Fill=—","Direction=H","UseDPDF=Y")</f>
        <v>81.229799999999997</v>
      </c>
      <c r="L44" s="13">
        <f>_xll.BDH("ITCI US Equity","IS_AVG_NUM_SH_FOR_EPS","FQ3 2021","FQ3 2021","Currency=USD","Period=FQ","BEST_FPERIOD_OVERRIDE=FQ","FILING_STATUS=MR","Sort=A","Dates=H","DateFormat=P","Fill=—","Direction=H","UseDPDF=Y")</f>
        <v>81.354699999999994</v>
      </c>
      <c r="M44" s="13">
        <f>_xll.BDH("ITCI US Equity","IS_AVG_NUM_SH_FOR_EPS","FQ4 2021","FQ4 2021","Currency=USD","Period=FQ","BEST_FPERIOD_OVERRIDE=FQ","FILING_STATUS=MR","Sort=A","Dates=H","DateFormat=P","Fill=—","Direction=H","UseDPDF=Y")</f>
        <v>81.475700000000003</v>
      </c>
      <c r="N44" s="13">
        <f>_xll.BDH("ITCI US Equity","IS_AVG_NUM_SH_FOR_EPS","FQ1 2022","FQ1 2022","Currency=USD","Period=FQ","BEST_FPERIOD_OVERRIDE=FQ","FILING_STATUS=MR","Sort=A","Dates=H","DateFormat=P","Fill=—","Direction=H","UseDPDF=Y")</f>
        <v>92.604299999999995</v>
      </c>
      <c r="O44" s="13">
        <f>_xll.BDH("ITCI US Equity","IS_AVG_NUM_SH_FOR_EPS","FQ2 2022","FQ2 2022","Currency=USD","Period=FQ","BEST_FPERIOD_OVERRIDE=FQ","FILING_STATUS=MR","Sort=A","Dates=H","DateFormat=P","Fill=—","Direction=H","UseDPDF=Y")</f>
        <v>94.2851</v>
      </c>
      <c r="P44" s="13">
        <f>_xll.BDH("ITCI US Equity","IS_AVG_NUM_SH_FOR_EPS","FQ3 2022","FQ3 2022","Currency=USD","Period=FQ","BEST_FPERIOD_OVERRIDE=FQ","FILING_STATUS=MR","Sort=A","Dates=H","DateFormat=P","Fill=—","Direction=H","UseDPDF=Y")</f>
        <v>94.516800000000003</v>
      </c>
      <c r="Q44" s="13">
        <f>_xll.BDH("ITCI US Equity","IS_AVG_NUM_SH_FOR_EPS","FQ4 2022","FQ4 2022","Currency=USD","Period=FQ","BEST_FPERIOD_OVERRIDE=FQ","FILING_STATUS=MR","Sort=A","Dates=H","DateFormat=P","Fill=—","Direction=H","UseDPDF=Y")</f>
        <v>94.751599999999996</v>
      </c>
      <c r="R44" s="13">
        <f>_xll.BDH("ITCI US Equity","IS_AVG_NUM_SH_FOR_EPS","FQ1 2023","FQ1 2023","Currency=USD","Period=FQ","BEST_FPERIOD_OVERRIDE=FQ","FILING_STATUS=MR","Sort=A","Dates=H","DateFormat=P","Fill=—","Direction=H","UseDPDF=Y")</f>
        <v>95.134699999999995</v>
      </c>
      <c r="S44" s="13">
        <f>_xll.BDH("ITCI US Equity","IS_AVG_NUM_SH_FOR_EPS","FQ2 2023","FQ2 2023","Currency=USD","Period=FQ","BEST_FPERIOD_OVERRIDE=FQ","FILING_STATUS=MR","Sort=A","Dates=H","DateFormat=P","Fill=—","Direction=H","UseDPDF=Y")</f>
        <v>95.948099999999997</v>
      </c>
      <c r="T44" s="13">
        <f>_xll.BDH("ITCI US Equity","IS_AVG_NUM_SH_FOR_EPS","FQ3 2023","FQ3 2023","Currency=USD","Period=FQ","BEST_FPERIOD_OVERRIDE=FQ","FILING_STATUS=MR","Sort=A","Dates=H","DateFormat=P","Fill=—","Direction=H","UseDPDF=Y")</f>
        <v>96.143100000000004</v>
      </c>
      <c r="U44" s="13">
        <f>_xll.BDH("ITCI US Equity","IS_AVG_NUM_SH_FOR_EPS","FQ4 2023","FQ4 2023","Currency=USD","Period=FQ","BEST_FPERIOD_OVERRIDE=FQ","FILING_STATUS=MR","Sort=A","Dates=H","DateFormat=P","Fill=—","Direction=H","UseDPDF=Y")</f>
        <v>96.285600000000002</v>
      </c>
      <c r="V44" s="13">
        <f>_xll.BDH("ITCI US Equity","IS_AVG_NUM_SH_FOR_EPS","FQ1 2024","FQ1 2024","Currency=USD","Period=FQ","BEST_FPERIOD_OVERRIDE=FQ","FILING_STATUS=MR","Sort=A","Dates=H","DateFormat=P","Fill=—","Direction=H","UseDPDF=Y")</f>
        <v>96.875299999999996</v>
      </c>
      <c r="W44" s="13">
        <f>_xll.BDH("ITCI US Equity","IS_AVG_NUM_SH_FOR_EPS","FQ2 2024","FQ2 2024","Currency=USD","Period=FQ","BEST_FPERIOD_OVERRIDE=FQ","FILING_STATUS=MR","Sort=A","Dates=H","DateFormat=P","Fill=—","Direction=H","UseDPDF=Y")</f>
        <v>103.723</v>
      </c>
      <c r="X44" s="13">
        <f>_xll.BDH("ITCI US Equity","IS_AVG_NUM_SH_FOR_EPS","FQ3 2024","FQ3 2024","Currency=USD","Period=FQ","BEST_FPERIOD_OVERRIDE=FQ","FILING_STATUS=MR","Sort=A","Dates=H","DateFormat=P","Fill=—","Direction=H","UseDPDF=Y")</f>
        <v>105.7684</v>
      </c>
      <c r="Y44" s="13">
        <f>_xll.BDH("ITCI US Equity","IS_AVG_NUM_SH_FOR_EPS","FQ4 2024","FQ4 2024","Currency=USD","Period=FQ","BEST_FPERIOD_OVERRIDE=FQ","FILING_STATUS=MR","Sort=A","Dates=H","DateFormat=P","Fill=—","Direction=H","UseDPDF=Y")</f>
        <v>106.0958</v>
      </c>
      <c r="Z44" s="13"/>
      <c r="AA44" s="13"/>
    </row>
    <row r="45" spans="1:27" x14ac:dyDescent="0.25">
      <c r="A45" s="6" t="s">
        <v>101</v>
      </c>
      <c r="B45" s="6" t="s">
        <v>102</v>
      </c>
      <c r="C45" s="20">
        <f>_xll.BDH("ITCI US Equity","IS_EPS","FQ2 2019","FQ2 2019","Currency=USD","Period=FQ","BEST_FPERIOD_OVERRIDE=FQ","FILING_STATUS=MR","FA_ADJUSTED=GAAP","Sort=A","Dates=H","DateFormat=P","Fill=—","Direction=H","UseDPDF=Y")</f>
        <v>-0.68</v>
      </c>
      <c r="D45" s="20">
        <f>_xll.BDH("ITCI US Equity","IS_EPS","FQ3 2019","FQ3 2019","Currency=USD","Period=FQ","BEST_FPERIOD_OVERRIDE=FQ","FILING_STATUS=MR","FA_ADJUSTED=GAAP","Sort=A","Dates=H","DateFormat=P","Fill=—","Direction=H","UseDPDF=Y")</f>
        <v>-0.63</v>
      </c>
      <c r="E45" s="20">
        <f>_xll.BDH("ITCI US Equity","IS_EPS","FQ4 2019","FQ4 2019","Currency=USD","Period=FQ","BEST_FPERIOD_OVERRIDE=FQ","FILING_STATUS=MR","FA_ADJUSTED=GAAP","Sort=A","Dates=H","DateFormat=P","Fill=—","Direction=H","UseDPDF=Y")</f>
        <v>-0.74</v>
      </c>
      <c r="F45" s="20">
        <f>_xll.BDH("ITCI US Equity","IS_EPS","FQ1 2020","FQ1 2020","Currency=USD","Period=FQ","BEST_FPERIOD_OVERRIDE=FQ","FILING_STATUS=MR","FA_ADJUSTED=GAAP","Sort=A","Dates=H","DateFormat=P","Fill=—","Direction=H","UseDPDF=Y")</f>
        <v>-0.73</v>
      </c>
      <c r="G45" s="20">
        <f>_xll.BDH("ITCI US Equity","IS_EPS","FQ2 2020","FQ2 2020","Currency=USD","Period=FQ","BEST_FPERIOD_OVERRIDE=FQ","FILING_STATUS=MR","FA_ADJUSTED=GAAP","Sort=A","Dates=H","DateFormat=P","Fill=—","Direction=H","UseDPDF=Y")</f>
        <v>-0.96</v>
      </c>
      <c r="H45" s="20">
        <f>_xll.BDH("ITCI US Equity","IS_EPS","FQ3 2020","FQ3 2020","Currency=USD","Period=FQ","BEST_FPERIOD_OVERRIDE=FQ","FILING_STATUS=MR","FA_ADJUSTED=GAAP","Sort=A","Dates=H","DateFormat=P","Fill=—","Direction=H","UseDPDF=Y")</f>
        <v>-0.79</v>
      </c>
      <c r="I45" s="20">
        <f>_xll.BDH("ITCI US Equity","IS_EPS","FQ4 2020","FQ4 2020","Currency=USD","Period=FQ","BEST_FPERIOD_OVERRIDE=FQ","FILING_STATUS=MR","FA_ADJUSTED=GAAP","Sort=A","Dates=H","DateFormat=P","Fill=—","Direction=H","UseDPDF=Y")</f>
        <v>-0.76</v>
      </c>
      <c r="J45" s="20">
        <f>_xll.BDH("ITCI US Equity","IS_EPS","FQ1 2021","FQ1 2021","Currency=USD","Period=FQ","BEST_FPERIOD_OVERRIDE=FQ","FILING_STATUS=MR","FA_ADJUSTED=GAAP","Sort=A","Dates=H","DateFormat=P","Fill=—","Direction=H","UseDPDF=Y")</f>
        <v>-0.65</v>
      </c>
      <c r="K45" s="20">
        <f>_xll.BDH("ITCI US Equity","IS_EPS","FQ2 2021","FQ2 2021","Currency=USD","Period=FQ","BEST_FPERIOD_OVERRIDE=FQ","FILING_STATUS=MR","FA_ADJUSTED=GAAP","Sort=A","Dates=H","DateFormat=P","Fill=—","Direction=H","UseDPDF=Y")</f>
        <v>-0.85</v>
      </c>
      <c r="L45" s="20">
        <f>_xll.BDH("ITCI US Equity","IS_EPS","FQ3 2021","FQ3 2021","Currency=USD","Period=FQ","BEST_FPERIOD_OVERRIDE=FQ","FILING_STATUS=MR","FA_ADJUSTED=GAAP","Sort=A","Dates=H","DateFormat=P","Fill=—","Direction=H","UseDPDF=Y")</f>
        <v>-0.95</v>
      </c>
      <c r="M45" s="20">
        <f>_xll.BDH("ITCI US Equity","IS_EPS","FQ4 2021","FQ4 2021","Currency=USD","Period=FQ","BEST_FPERIOD_OVERRIDE=FQ","FILING_STATUS=MR","FA_ADJUSTED=GAAP","Sort=A","Dates=H","DateFormat=P","Fill=—","Direction=H","UseDPDF=Y")</f>
        <v>-1.05</v>
      </c>
      <c r="N45" s="20">
        <f>_xll.BDH("ITCI US Equity","IS_EPS","FQ1 2022","FQ1 2022","Currency=USD","Period=FQ","BEST_FPERIOD_OVERRIDE=FQ","FILING_STATUS=MR","FA_ADJUSTED=GAAP","Sort=A","Dates=H","DateFormat=P","Fill=—","Direction=H","UseDPDF=Y")</f>
        <v>-0.78</v>
      </c>
      <c r="O45" s="20">
        <f>_xll.BDH("ITCI US Equity","IS_EPS","FQ2 2022","FQ2 2022","Currency=USD","Period=FQ","BEST_FPERIOD_OVERRIDE=FQ","FILING_STATUS=MR","FA_ADJUSTED=GAAP","Sort=A","Dates=H","DateFormat=P","Fill=—","Direction=H","UseDPDF=Y")</f>
        <v>-0.92</v>
      </c>
      <c r="P45" s="20">
        <f>_xll.BDH("ITCI US Equity","IS_EPS","FQ3 2022","FQ3 2022","Currency=USD","Period=FQ","BEST_FPERIOD_OVERRIDE=FQ","FILING_STATUS=MR","FA_ADJUSTED=GAAP","Sort=A","Dates=H","DateFormat=P","Fill=—","Direction=H","UseDPDF=Y")</f>
        <v>-0.56999999999999995</v>
      </c>
      <c r="Q45" s="20">
        <f>_xll.BDH("ITCI US Equity","IS_EPS","FQ4 2022","FQ4 2022","Currency=USD","Period=FQ","BEST_FPERIOD_OVERRIDE=FQ","FILING_STATUS=MR","FA_ADJUSTED=GAAP","Sort=A","Dates=H","DateFormat=P","Fill=—","Direction=H","UseDPDF=Y")</f>
        <v>-0.45</v>
      </c>
      <c r="R45" s="20">
        <f>_xll.BDH("ITCI US Equity","IS_EPS","FQ1 2023","FQ1 2023","Currency=USD","Period=FQ","BEST_FPERIOD_OVERRIDE=FQ","FILING_STATUS=MR","FA_ADJUSTED=GAAP","Sort=A","Dates=H","DateFormat=P","Fill=—","Direction=H","UseDPDF=Y")</f>
        <v>-0.46</v>
      </c>
      <c r="S45" s="20">
        <f>_xll.BDH("ITCI US Equity","IS_EPS","FQ2 2023","FQ2 2023","Currency=USD","Period=FQ","BEST_FPERIOD_OVERRIDE=FQ","FILING_STATUS=MR","FA_ADJUSTED=GAAP","Sort=A","Dates=H","DateFormat=P","Fill=—","Direction=H","UseDPDF=Y")</f>
        <v>-0.45</v>
      </c>
      <c r="T45" s="20">
        <f>_xll.BDH("ITCI US Equity","IS_EPS","FQ3 2023","FQ3 2023","Currency=USD","Period=FQ","BEST_FPERIOD_OVERRIDE=FQ","FILING_STATUS=MR","FA_ADJUSTED=GAAP","Sort=A","Dates=H","DateFormat=P","Fill=—","Direction=H","UseDPDF=Y")</f>
        <v>-0.25</v>
      </c>
      <c r="U45" s="20">
        <f>_xll.BDH("ITCI US Equity","IS_EPS","FQ4 2023","FQ4 2023","Currency=USD","Period=FQ","BEST_FPERIOD_OVERRIDE=FQ","FILING_STATUS=MR","FA_ADJUSTED=GAAP","Sort=A","Dates=H","DateFormat=P","Fill=—","Direction=H","UseDPDF=Y")</f>
        <v>-0.3</v>
      </c>
      <c r="V45" s="20">
        <f>_xll.BDH("ITCI US Equity","IS_EPS","FQ1 2024","FQ1 2024","Currency=USD","Period=FQ","BEST_FPERIOD_OVERRIDE=FQ","FILING_STATUS=MR","FA_ADJUSTED=GAAP","Sort=A","Dates=H","DateFormat=P","Fill=—","Direction=H","UseDPDF=Y")</f>
        <v>-0.16</v>
      </c>
      <c r="W45" s="20">
        <f>_xll.BDH("ITCI US Equity","IS_EPS","FQ2 2024","FQ2 2024","Currency=USD","Period=FQ","BEST_FPERIOD_OVERRIDE=FQ","FILING_STATUS=MR","FA_ADJUSTED=GAAP","Sort=A","Dates=H","DateFormat=P","Fill=—","Direction=H","UseDPDF=Y")</f>
        <v>-0.16</v>
      </c>
      <c r="X45" s="20">
        <f>_xll.BDH("ITCI US Equity","IS_EPS","FQ3 2024","FQ3 2024","Currency=USD","Period=FQ","BEST_FPERIOD_OVERRIDE=FQ","FILING_STATUS=MR","FA_ADJUSTED=GAAP","Sort=A","Dates=H","DateFormat=P","Fill=—","Direction=H","UseDPDF=Y")</f>
        <v>-0.25</v>
      </c>
      <c r="Y45" s="20">
        <f>_xll.BDH("ITCI US Equity","IS_EPS","FQ4 2024","FQ4 2024","Currency=USD","Period=FQ","BEST_FPERIOD_OVERRIDE=FQ","FILING_STATUS=MR","FA_ADJUSTED=GAAP","Sort=A","Dates=H","DateFormat=P","Fill=—","Direction=H","UseDPDF=Y")</f>
        <v>-0.16</v>
      </c>
      <c r="Z45" s="20">
        <v>-0.10100000000000001</v>
      </c>
      <c r="AA45" s="20">
        <v>-0.02</v>
      </c>
    </row>
    <row r="46" spans="1:27" x14ac:dyDescent="0.25">
      <c r="A46" s="6" t="s">
        <v>346</v>
      </c>
      <c r="B46" s="6" t="s">
        <v>236</v>
      </c>
      <c r="C46" s="20">
        <f>_xll.BDH("ITCI US Equity","IS_EARN_BEF_XO_ITEMS_PER_SH","FQ2 2019","FQ2 2019","Currency=USD","Period=FQ","BEST_FPERIOD_OVERRIDE=FQ","FILING_STATUS=MR","Sort=A","Dates=H","DateFormat=P","Fill=—","Direction=H","UseDPDF=Y")</f>
        <v>-0.68</v>
      </c>
      <c r="D46" s="20">
        <f>_xll.BDH("ITCI US Equity","IS_EARN_BEF_XO_ITEMS_PER_SH","FQ3 2019","FQ3 2019","Currency=USD","Period=FQ","BEST_FPERIOD_OVERRIDE=FQ","FILING_STATUS=MR","Sort=A","Dates=H","DateFormat=P","Fill=—","Direction=H","UseDPDF=Y")</f>
        <v>-0.63</v>
      </c>
      <c r="E46" s="20">
        <f>_xll.BDH("ITCI US Equity","IS_EARN_BEF_XO_ITEMS_PER_SH","FQ4 2019","FQ4 2019","Currency=USD","Period=FQ","BEST_FPERIOD_OVERRIDE=FQ","FILING_STATUS=MR","Sort=A","Dates=H","DateFormat=P","Fill=—","Direction=H","UseDPDF=Y")</f>
        <v>-0.74</v>
      </c>
      <c r="F46" s="20">
        <f>_xll.BDH("ITCI US Equity","IS_EARN_BEF_XO_ITEMS_PER_SH","FQ1 2020","FQ1 2020","Currency=USD","Period=FQ","BEST_FPERIOD_OVERRIDE=FQ","FILING_STATUS=MR","Sort=A","Dates=H","DateFormat=P","Fill=—","Direction=H","UseDPDF=Y")</f>
        <v>-0.73</v>
      </c>
      <c r="G46" s="20">
        <f>_xll.BDH("ITCI US Equity","IS_EARN_BEF_XO_ITEMS_PER_SH","FQ2 2020","FQ2 2020","Currency=USD","Period=FQ","BEST_FPERIOD_OVERRIDE=FQ","FILING_STATUS=MR","Sort=A","Dates=H","DateFormat=P","Fill=—","Direction=H","UseDPDF=Y")</f>
        <v>-0.96</v>
      </c>
      <c r="H46" s="20">
        <f>_xll.BDH("ITCI US Equity","IS_EARN_BEF_XO_ITEMS_PER_SH","FQ3 2020","FQ3 2020","Currency=USD","Period=FQ","BEST_FPERIOD_OVERRIDE=FQ","FILING_STATUS=MR","Sort=A","Dates=H","DateFormat=P","Fill=—","Direction=H","UseDPDF=Y")</f>
        <v>-0.79</v>
      </c>
      <c r="I46" s="20">
        <f>_xll.BDH("ITCI US Equity","IS_EARN_BEF_XO_ITEMS_PER_SH","FQ4 2020","FQ4 2020","Currency=USD","Period=FQ","BEST_FPERIOD_OVERRIDE=FQ","FILING_STATUS=MR","Sort=A","Dates=H","DateFormat=P","Fill=—","Direction=H","UseDPDF=Y")</f>
        <v>-0.76</v>
      </c>
      <c r="J46" s="20">
        <f>_xll.BDH("ITCI US Equity","IS_EARN_BEF_XO_ITEMS_PER_SH","FQ1 2021","FQ1 2021","Currency=USD","Period=FQ","BEST_FPERIOD_OVERRIDE=FQ","FILING_STATUS=MR","Sort=A","Dates=H","DateFormat=P","Fill=—","Direction=H","UseDPDF=Y")</f>
        <v>-0.65</v>
      </c>
      <c r="K46" s="20">
        <f>_xll.BDH("ITCI US Equity","IS_EARN_BEF_XO_ITEMS_PER_SH","FQ2 2021","FQ2 2021","Currency=USD","Period=FQ","BEST_FPERIOD_OVERRIDE=FQ","FILING_STATUS=MR","Sort=A","Dates=H","DateFormat=P","Fill=—","Direction=H","UseDPDF=Y")</f>
        <v>-0.85</v>
      </c>
      <c r="L46" s="20">
        <f>_xll.BDH("ITCI US Equity","IS_EARN_BEF_XO_ITEMS_PER_SH","FQ3 2021","FQ3 2021","Currency=USD","Period=FQ","BEST_FPERIOD_OVERRIDE=FQ","FILING_STATUS=MR","Sort=A","Dates=H","DateFormat=P","Fill=—","Direction=H","UseDPDF=Y")</f>
        <v>-0.95</v>
      </c>
      <c r="M46" s="20">
        <f>_xll.BDH("ITCI US Equity","IS_EARN_BEF_XO_ITEMS_PER_SH","FQ4 2021","FQ4 2021","Currency=USD","Period=FQ","BEST_FPERIOD_OVERRIDE=FQ","FILING_STATUS=MR","Sort=A","Dates=H","DateFormat=P","Fill=—","Direction=H","UseDPDF=Y")</f>
        <v>-1.05</v>
      </c>
      <c r="N46" s="20">
        <f>_xll.BDH("ITCI US Equity","IS_EARN_BEF_XO_ITEMS_PER_SH","FQ1 2022","FQ1 2022","Currency=USD","Period=FQ","BEST_FPERIOD_OVERRIDE=FQ","FILING_STATUS=MR","Sort=A","Dates=H","DateFormat=P","Fill=—","Direction=H","UseDPDF=Y")</f>
        <v>-0.78</v>
      </c>
      <c r="O46" s="20">
        <f>_xll.BDH("ITCI US Equity","IS_EARN_BEF_XO_ITEMS_PER_SH","FQ2 2022","FQ2 2022","Currency=USD","Period=FQ","BEST_FPERIOD_OVERRIDE=FQ","FILING_STATUS=MR","Sort=A","Dates=H","DateFormat=P","Fill=—","Direction=H","UseDPDF=Y")</f>
        <v>-0.92</v>
      </c>
      <c r="P46" s="20">
        <f>_xll.BDH("ITCI US Equity","IS_EARN_BEF_XO_ITEMS_PER_SH","FQ3 2022","FQ3 2022","Currency=USD","Period=FQ","BEST_FPERIOD_OVERRIDE=FQ","FILING_STATUS=MR","Sort=A","Dates=H","DateFormat=P","Fill=—","Direction=H","UseDPDF=Y")</f>
        <v>-0.56999999999999995</v>
      </c>
      <c r="Q46" s="20">
        <f>_xll.BDH("ITCI US Equity","IS_EARN_BEF_XO_ITEMS_PER_SH","FQ4 2022","FQ4 2022","Currency=USD","Period=FQ","BEST_FPERIOD_OVERRIDE=FQ","FILING_STATUS=MR","Sort=A","Dates=H","DateFormat=P","Fill=—","Direction=H","UseDPDF=Y")</f>
        <v>-0.45</v>
      </c>
      <c r="R46" s="20">
        <f>_xll.BDH("ITCI US Equity","IS_EARN_BEF_XO_ITEMS_PER_SH","FQ1 2023","FQ1 2023","Currency=USD","Period=FQ","BEST_FPERIOD_OVERRIDE=FQ","FILING_STATUS=MR","Sort=A","Dates=H","DateFormat=P","Fill=—","Direction=H","UseDPDF=Y")</f>
        <v>-0.46</v>
      </c>
      <c r="S46" s="20">
        <f>_xll.BDH("ITCI US Equity","IS_EARN_BEF_XO_ITEMS_PER_SH","FQ2 2023","FQ2 2023","Currency=USD","Period=FQ","BEST_FPERIOD_OVERRIDE=FQ","FILING_STATUS=MR","Sort=A","Dates=H","DateFormat=P","Fill=—","Direction=H","UseDPDF=Y")</f>
        <v>-0.45</v>
      </c>
      <c r="T46" s="20">
        <f>_xll.BDH("ITCI US Equity","IS_EARN_BEF_XO_ITEMS_PER_SH","FQ3 2023","FQ3 2023","Currency=USD","Period=FQ","BEST_FPERIOD_OVERRIDE=FQ","FILING_STATUS=MR","Sort=A","Dates=H","DateFormat=P","Fill=—","Direction=H","UseDPDF=Y")</f>
        <v>-0.25</v>
      </c>
      <c r="U46" s="20">
        <f>_xll.BDH("ITCI US Equity","IS_EARN_BEF_XO_ITEMS_PER_SH","FQ4 2023","FQ4 2023","Currency=USD","Period=FQ","BEST_FPERIOD_OVERRIDE=FQ","FILING_STATUS=MR","Sort=A","Dates=H","DateFormat=P","Fill=—","Direction=H","UseDPDF=Y")</f>
        <v>-0.3</v>
      </c>
      <c r="V46" s="20">
        <f>_xll.BDH("ITCI US Equity","IS_EARN_BEF_XO_ITEMS_PER_SH","FQ1 2024","FQ1 2024","Currency=USD","Period=FQ","BEST_FPERIOD_OVERRIDE=FQ","FILING_STATUS=MR","Sort=A","Dates=H","DateFormat=P","Fill=—","Direction=H","UseDPDF=Y")</f>
        <v>-0.16</v>
      </c>
      <c r="W46" s="20">
        <f>_xll.BDH("ITCI US Equity","IS_EARN_BEF_XO_ITEMS_PER_SH","FQ2 2024","FQ2 2024","Currency=USD","Period=FQ","BEST_FPERIOD_OVERRIDE=FQ","FILING_STATUS=MR","Sort=A","Dates=H","DateFormat=P","Fill=—","Direction=H","UseDPDF=Y")</f>
        <v>-0.16</v>
      </c>
      <c r="X46" s="20">
        <f>_xll.BDH("ITCI US Equity","IS_EARN_BEF_XO_ITEMS_PER_SH","FQ3 2024","FQ3 2024","Currency=USD","Period=FQ","BEST_FPERIOD_OVERRIDE=FQ","FILING_STATUS=MR","Sort=A","Dates=H","DateFormat=P","Fill=—","Direction=H","UseDPDF=Y")</f>
        <v>-0.25</v>
      </c>
      <c r="Y46" s="20">
        <f>_xll.BDH("ITCI US Equity","IS_EARN_BEF_XO_ITEMS_PER_SH","FQ4 2024","FQ4 2024","Currency=USD","Period=FQ","BEST_FPERIOD_OVERRIDE=FQ","FILING_STATUS=MR","Sort=A","Dates=H","DateFormat=P","Fill=—","Direction=H","UseDPDF=Y")</f>
        <v>-0.16</v>
      </c>
      <c r="Z46" s="20">
        <v>-0.10100000000000001</v>
      </c>
      <c r="AA46" s="20">
        <v>-0.02</v>
      </c>
    </row>
    <row r="47" spans="1:27" x14ac:dyDescent="0.25">
      <c r="A47" s="6" t="s">
        <v>347</v>
      </c>
      <c r="B47" s="6" t="s">
        <v>238</v>
      </c>
      <c r="C47" s="20">
        <f>_xll.BDH("ITCI US Equity","IS_BASIC_EPS_CONT_OPS","FQ2 2019","FQ2 2019","Currency=USD","Period=FQ","BEST_FPERIOD_OVERRIDE=FQ","FILING_STATUS=MR","Sort=A","Dates=H","DateFormat=P","Fill=—","Direction=H","UseDPDF=Y")</f>
        <v>-0.68</v>
      </c>
      <c r="D47" s="20">
        <f>_xll.BDH("ITCI US Equity","IS_BASIC_EPS_CONT_OPS","FQ3 2019","FQ3 2019","Currency=USD","Period=FQ","BEST_FPERIOD_OVERRIDE=FQ","FILING_STATUS=MR","Sort=A","Dates=H","DateFormat=P","Fill=—","Direction=H","UseDPDF=Y")</f>
        <v>-0.63</v>
      </c>
      <c r="E47" s="20">
        <f>_xll.BDH("ITCI US Equity","IS_BASIC_EPS_CONT_OPS","FQ4 2019","FQ4 2019","Currency=USD","Period=FQ","BEST_FPERIOD_OVERRIDE=FQ","FILING_STATUS=MR","Sort=A","Dates=H","DateFormat=P","Fill=—","Direction=H","UseDPDF=Y")</f>
        <v>-0.74</v>
      </c>
      <c r="F47" s="20">
        <f>_xll.BDH("ITCI US Equity","IS_BASIC_EPS_CONT_OPS","FQ1 2020","FQ1 2020","Currency=USD","Period=FQ","BEST_FPERIOD_OVERRIDE=FQ","FILING_STATUS=MR","Sort=A","Dates=H","DateFormat=P","Fill=—","Direction=H","UseDPDF=Y")</f>
        <v>-0.73</v>
      </c>
      <c r="G47" s="20">
        <f>_xll.BDH("ITCI US Equity","IS_BASIC_EPS_CONT_OPS","FQ2 2020","FQ2 2020","Currency=USD","Period=FQ","BEST_FPERIOD_OVERRIDE=FQ","FILING_STATUS=MR","Sort=A","Dates=H","DateFormat=P","Fill=—","Direction=H","UseDPDF=Y")</f>
        <v>-0.96</v>
      </c>
      <c r="H47" s="20">
        <f>_xll.BDH("ITCI US Equity","IS_BASIC_EPS_CONT_OPS","FQ3 2020","FQ3 2020","Currency=USD","Period=FQ","BEST_FPERIOD_OVERRIDE=FQ","FILING_STATUS=MR","Sort=A","Dates=H","DateFormat=P","Fill=—","Direction=H","UseDPDF=Y")</f>
        <v>-0.79</v>
      </c>
      <c r="I47" s="20">
        <f>_xll.BDH("ITCI US Equity","IS_BASIC_EPS_CONT_OPS","FQ4 2020","FQ4 2020","Currency=USD","Period=FQ","BEST_FPERIOD_OVERRIDE=FQ","FILING_STATUS=MR","Sort=A","Dates=H","DateFormat=P","Fill=—","Direction=H","UseDPDF=Y")</f>
        <v>-0.76</v>
      </c>
      <c r="J47" s="20">
        <f>_xll.BDH("ITCI US Equity","IS_BASIC_EPS_CONT_OPS","FQ1 2021","FQ1 2021","Currency=USD","Period=FQ","BEST_FPERIOD_OVERRIDE=FQ","FILING_STATUS=MR","Sort=A","Dates=H","DateFormat=P","Fill=—","Direction=H","UseDPDF=Y")</f>
        <v>-0.65</v>
      </c>
      <c r="K47" s="20">
        <f>_xll.BDH("ITCI US Equity","IS_BASIC_EPS_CONT_OPS","FQ2 2021","FQ2 2021","Currency=USD","Period=FQ","BEST_FPERIOD_OVERRIDE=FQ","FILING_STATUS=MR","Sort=A","Dates=H","DateFormat=P","Fill=—","Direction=H","UseDPDF=Y")</f>
        <v>-0.85</v>
      </c>
      <c r="L47" s="20">
        <f>_xll.BDH("ITCI US Equity","IS_BASIC_EPS_CONT_OPS","FQ3 2021","FQ3 2021","Currency=USD","Period=FQ","BEST_FPERIOD_OVERRIDE=FQ","FILING_STATUS=MR","Sort=A","Dates=H","DateFormat=P","Fill=—","Direction=H","UseDPDF=Y")</f>
        <v>-0.95</v>
      </c>
      <c r="M47" s="20">
        <f>_xll.BDH("ITCI US Equity","IS_BASIC_EPS_CONT_OPS","FQ4 2021","FQ4 2021","Currency=USD","Period=FQ","BEST_FPERIOD_OVERRIDE=FQ","FILING_STATUS=MR","Sort=A","Dates=H","DateFormat=P","Fill=—","Direction=H","UseDPDF=Y")</f>
        <v>-1.05</v>
      </c>
      <c r="N47" s="20">
        <f>_xll.BDH("ITCI US Equity","IS_BASIC_EPS_CONT_OPS","FQ1 2022","FQ1 2022","Currency=USD","Period=FQ","BEST_FPERIOD_OVERRIDE=FQ","FILING_STATUS=MR","Sort=A","Dates=H","DateFormat=P","Fill=—","Direction=H","UseDPDF=Y")</f>
        <v>-0.78</v>
      </c>
      <c r="O47" s="20">
        <f>_xll.BDH("ITCI US Equity","IS_BASIC_EPS_CONT_OPS","FQ2 2022","FQ2 2022","Currency=USD","Period=FQ","BEST_FPERIOD_OVERRIDE=FQ","FILING_STATUS=MR","Sort=A","Dates=H","DateFormat=P","Fill=—","Direction=H","UseDPDF=Y")</f>
        <v>-0.92</v>
      </c>
      <c r="P47" s="20">
        <f>_xll.BDH("ITCI US Equity","IS_BASIC_EPS_CONT_OPS","FQ3 2022","FQ3 2022","Currency=USD","Period=FQ","BEST_FPERIOD_OVERRIDE=FQ","FILING_STATUS=MR","Sort=A","Dates=H","DateFormat=P","Fill=—","Direction=H","UseDPDF=Y")</f>
        <v>-0.56999999999999995</v>
      </c>
      <c r="Q47" s="20">
        <f>_xll.BDH("ITCI US Equity","IS_BASIC_EPS_CONT_OPS","FQ4 2022","FQ4 2022","Currency=USD","Period=FQ","BEST_FPERIOD_OVERRIDE=FQ","FILING_STATUS=MR","Sort=A","Dates=H","DateFormat=P","Fill=—","Direction=H","UseDPDF=Y")</f>
        <v>-0.45</v>
      </c>
      <c r="R47" s="20">
        <f>_xll.BDH("ITCI US Equity","IS_BASIC_EPS_CONT_OPS","FQ1 2023","FQ1 2023","Currency=USD","Period=FQ","BEST_FPERIOD_OVERRIDE=FQ","FILING_STATUS=MR","Sort=A","Dates=H","DateFormat=P","Fill=—","Direction=H","UseDPDF=Y")</f>
        <v>-0.46</v>
      </c>
      <c r="S47" s="20">
        <f>_xll.BDH("ITCI US Equity","IS_BASIC_EPS_CONT_OPS","FQ2 2023","FQ2 2023","Currency=USD","Period=FQ","BEST_FPERIOD_OVERRIDE=FQ","FILING_STATUS=MR","Sort=A","Dates=H","DateFormat=P","Fill=—","Direction=H","UseDPDF=Y")</f>
        <v>-0.45</v>
      </c>
      <c r="T47" s="20">
        <f>_xll.BDH("ITCI US Equity","IS_BASIC_EPS_CONT_OPS","FQ3 2023","FQ3 2023","Currency=USD","Period=FQ","BEST_FPERIOD_OVERRIDE=FQ","FILING_STATUS=MR","Sort=A","Dates=H","DateFormat=P","Fill=—","Direction=H","UseDPDF=Y")</f>
        <v>-0.25</v>
      </c>
      <c r="U47" s="20">
        <f>_xll.BDH("ITCI US Equity","IS_BASIC_EPS_CONT_OPS","FQ4 2023","FQ4 2023","Currency=USD","Period=FQ","BEST_FPERIOD_OVERRIDE=FQ","FILING_STATUS=MR","Sort=A","Dates=H","DateFormat=P","Fill=—","Direction=H","UseDPDF=Y")</f>
        <v>-0.3</v>
      </c>
      <c r="V47" s="20">
        <f>_xll.BDH("ITCI US Equity","IS_BASIC_EPS_CONT_OPS","FQ1 2024","FQ1 2024","Currency=USD","Period=FQ","BEST_FPERIOD_OVERRIDE=FQ","FILING_STATUS=MR","Sort=A","Dates=H","DateFormat=P","Fill=—","Direction=H","UseDPDF=Y")</f>
        <v>-0.16</v>
      </c>
      <c r="W47" s="20">
        <f>_xll.BDH("ITCI US Equity","IS_BASIC_EPS_CONT_OPS","FQ2 2024","FQ2 2024","Currency=USD","Period=FQ","BEST_FPERIOD_OVERRIDE=FQ","FILING_STATUS=MR","Sort=A","Dates=H","DateFormat=P","Fill=—","Direction=H","UseDPDF=Y")</f>
        <v>-0.16</v>
      </c>
      <c r="X47" s="20">
        <f>_xll.BDH("ITCI US Equity","IS_BASIC_EPS_CONT_OPS","FQ3 2024","FQ3 2024","Currency=USD","Period=FQ","BEST_FPERIOD_OVERRIDE=FQ","FILING_STATUS=MR","Sort=A","Dates=H","DateFormat=P","Fill=—","Direction=H","UseDPDF=Y")</f>
        <v>-0.25</v>
      </c>
      <c r="Y47" s="20">
        <f>_xll.BDH("ITCI US Equity","IS_BASIC_EPS_CONT_OPS","FQ4 2024","FQ4 2024","Currency=USD","Period=FQ","BEST_FPERIOD_OVERRIDE=FQ","FILING_STATUS=MR","Sort=A","Dates=H","DateFormat=P","Fill=—","Direction=H","UseDPDF=Y")</f>
        <v>-0.16</v>
      </c>
      <c r="Z47" s="20">
        <v>-0.10100000000000001</v>
      </c>
      <c r="AA47" s="20">
        <v>-0.02</v>
      </c>
    </row>
    <row r="48" spans="1:27" x14ac:dyDescent="0.25">
      <c r="A48" s="6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x14ac:dyDescent="0.25">
      <c r="A49" s="10" t="s">
        <v>228</v>
      </c>
      <c r="B49" s="10" t="s">
        <v>108</v>
      </c>
      <c r="C49" s="13">
        <f>_xll.BDH("ITCI US Equity","IS_SH_FOR_DILUTED_EPS","FQ2 2019","FQ2 2019","Currency=USD","Period=FQ","BEST_FPERIOD_OVERRIDE=FQ","FILING_STATUS=MR","Sort=A","Dates=H","DateFormat=P","Fill=—","Direction=H","UseDPDF=Y")</f>
        <v>55.145899999999997</v>
      </c>
      <c r="D49" s="13">
        <f>_xll.BDH("ITCI US Equity","IS_SH_FOR_DILUTED_EPS","FQ3 2019","FQ3 2019","Currency=USD","Period=FQ","BEST_FPERIOD_OVERRIDE=FQ","FILING_STATUS=MR","Sort=A","Dates=H","DateFormat=P","Fill=—","Direction=H","UseDPDF=Y")</f>
        <v>55.2074</v>
      </c>
      <c r="E49" s="13">
        <f>_xll.BDH("ITCI US Equity","IS_SH_FOR_DILUTED_EPS","FQ4 2019","FQ4 2019","Currency=USD","Period=FQ","BEST_FPERIOD_OVERRIDE=FQ","FILING_STATUS=MR","Sort=A","Dates=H","DateFormat=P","Fill=—","Direction=H","UseDPDF=Y")</f>
        <v>55.276299999999999</v>
      </c>
      <c r="F49" s="13">
        <f>_xll.BDH("ITCI US Equity","IS_SH_FOR_DILUTED_EPS","FQ1 2020","FQ1 2020","Currency=USD","Period=FQ","BEST_FPERIOD_OVERRIDE=FQ","FILING_STATUS=MR","Sort=A","Dates=H","DateFormat=P","Fill=—","Direction=H","UseDPDF=Y")</f>
        <v>65.106099999999998</v>
      </c>
      <c r="G49" s="13">
        <f>_xll.BDH("ITCI US Equity","IS_SH_FOR_DILUTED_EPS","FQ2 2020","FQ2 2020","Currency=USD","Period=FQ","BEST_FPERIOD_OVERRIDE=FQ","FILING_STATUS=MR","Sort=A","Dates=H","DateFormat=P","Fill=—","Direction=H","UseDPDF=Y")</f>
        <v>66.429400000000001</v>
      </c>
      <c r="H49" s="13">
        <f>_xll.BDH("ITCI US Equity","IS_SH_FOR_DILUTED_EPS","FQ3 2020","FQ3 2020","Currency=USD","Period=FQ","BEST_FPERIOD_OVERRIDE=FQ","FILING_STATUS=MR","Sort=A","Dates=H","DateFormat=P","Fill=—","Direction=H","UseDPDF=Y")</f>
        <v>69.53</v>
      </c>
      <c r="I49" s="13">
        <f>_xll.BDH("ITCI US Equity","IS_SH_FOR_DILUTED_EPS","FQ4 2020","FQ4 2020","Currency=USD","Period=FQ","BEST_FPERIOD_OVERRIDE=FQ","FILING_STATUS=MR","Sort=A","Dates=H","DateFormat=P","Fill=—","Direction=H","UseDPDF=Y")</f>
        <v>80.293800000000005</v>
      </c>
      <c r="J49" s="13">
        <f>_xll.BDH("ITCI US Equity","IS_SH_FOR_DILUTED_EPS","FQ1 2021","FQ1 2021","Currency=USD","Period=FQ","BEST_FPERIOD_OVERRIDE=FQ","FILING_STATUS=MR","Sort=A","Dates=H","DateFormat=P","Fill=—","Direction=H","UseDPDF=Y")</f>
        <v>80.9465</v>
      </c>
      <c r="K49" s="13">
        <f>_xll.BDH("ITCI US Equity","IS_SH_FOR_DILUTED_EPS","FQ2 2021","FQ2 2021","Currency=USD","Period=FQ","BEST_FPERIOD_OVERRIDE=FQ","FILING_STATUS=MR","Sort=A","Dates=H","DateFormat=P","Fill=—","Direction=H","UseDPDF=Y")</f>
        <v>81.229799999999997</v>
      </c>
      <c r="L49" s="13">
        <f>_xll.BDH("ITCI US Equity","IS_SH_FOR_DILUTED_EPS","FQ3 2021","FQ3 2021","Currency=USD","Period=FQ","BEST_FPERIOD_OVERRIDE=FQ","FILING_STATUS=MR","Sort=A","Dates=H","DateFormat=P","Fill=—","Direction=H","UseDPDF=Y")</f>
        <v>81.354699999999994</v>
      </c>
      <c r="M49" s="13">
        <f>_xll.BDH("ITCI US Equity","IS_SH_FOR_DILUTED_EPS","FQ4 2021","FQ4 2021","Currency=USD","Period=FQ","BEST_FPERIOD_OVERRIDE=FQ","FILING_STATUS=MR","Sort=A","Dates=H","DateFormat=P","Fill=—","Direction=H","UseDPDF=Y")</f>
        <v>81.475700000000003</v>
      </c>
      <c r="N49" s="13">
        <f>_xll.BDH("ITCI US Equity","IS_SH_FOR_DILUTED_EPS","FQ1 2022","FQ1 2022","Currency=USD","Period=FQ","BEST_FPERIOD_OVERRIDE=FQ","FILING_STATUS=MR","Sort=A","Dates=H","DateFormat=P","Fill=—","Direction=H","UseDPDF=Y")</f>
        <v>92.604299999999995</v>
      </c>
      <c r="O49" s="13">
        <f>_xll.BDH("ITCI US Equity","IS_SH_FOR_DILUTED_EPS","FQ2 2022","FQ2 2022","Currency=USD","Period=FQ","BEST_FPERIOD_OVERRIDE=FQ","FILING_STATUS=MR","Sort=A","Dates=H","DateFormat=P","Fill=—","Direction=H","UseDPDF=Y")</f>
        <v>94.2851</v>
      </c>
      <c r="P49" s="13">
        <f>_xll.BDH("ITCI US Equity","IS_SH_FOR_DILUTED_EPS","FQ3 2022","FQ3 2022","Currency=USD","Period=FQ","BEST_FPERIOD_OVERRIDE=FQ","FILING_STATUS=MR","Sort=A","Dates=H","DateFormat=P","Fill=—","Direction=H","UseDPDF=Y")</f>
        <v>94.516800000000003</v>
      </c>
      <c r="Q49" s="13">
        <f>_xll.BDH("ITCI US Equity","IS_SH_FOR_DILUTED_EPS","FQ4 2022","FQ4 2022","Currency=USD","Period=FQ","BEST_FPERIOD_OVERRIDE=FQ","FILING_STATUS=MR","Sort=A","Dates=H","DateFormat=P","Fill=—","Direction=H","UseDPDF=Y")</f>
        <v>94.751599999999996</v>
      </c>
      <c r="R49" s="13">
        <f>_xll.BDH("ITCI US Equity","IS_SH_FOR_DILUTED_EPS","FQ1 2023","FQ1 2023","Currency=USD","Period=FQ","BEST_FPERIOD_OVERRIDE=FQ","FILING_STATUS=MR","Sort=A","Dates=H","DateFormat=P","Fill=—","Direction=H","UseDPDF=Y")</f>
        <v>95.134699999999995</v>
      </c>
      <c r="S49" s="13">
        <f>_xll.BDH("ITCI US Equity","IS_SH_FOR_DILUTED_EPS","FQ2 2023","FQ2 2023","Currency=USD","Period=FQ","BEST_FPERIOD_OVERRIDE=FQ","FILING_STATUS=MR","Sort=A","Dates=H","DateFormat=P","Fill=—","Direction=H","UseDPDF=Y")</f>
        <v>95.948099999999997</v>
      </c>
      <c r="T49" s="13">
        <f>_xll.BDH("ITCI US Equity","IS_SH_FOR_DILUTED_EPS","FQ3 2023","FQ3 2023","Currency=USD","Period=FQ","BEST_FPERIOD_OVERRIDE=FQ","FILING_STATUS=MR","Sort=A","Dates=H","DateFormat=P","Fill=—","Direction=H","UseDPDF=Y")</f>
        <v>96.143100000000004</v>
      </c>
      <c r="U49" s="13">
        <f>_xll.BDH("ITCI US Equity","IS_SH_FOR_DILUTED_EPS","FQ4 2023","FQ4 2023","Currency=USD","Period=FQ","BEST_FPERIOD_OVERRIDE=FQ","FILING_STATUS=MR","Sort=A","Dates=H","DateFormat=P","Fill=—","Direction=H","UseDPDF=Y")</f>
        <v>96.285600000000002</v>
      </c>
      <c r="V49" s="13">
        <f>_xll.BDH("ITCI US Equity","IS_SH_FOR_DILUTED_EPS","FQ1 2024","FQ1 2024","Currency=USD","Period=FQ","BEST_FPERIOD_OVERRIDE=FQ","FILING_STATUS=MR","Sort=A","Dates=H","DateFormat=P","Fill=—","Direction=H","UseDPDF=Y")</f>
        <v>96.875299999999996</v>
      </c>
      <c r="W49" s="13">
        <f>_xll.BDH("ITCI US Equity","IS_SH_FOR_DILUTED_EPS","FQ2 2024","FQ2 2024","Currency=USD","Period=FQ","BEST_FPERIOD_OVERRIDE=FQ","FILING_STATUS=MR","Sort=A","Dates=H","DateFormat=P","Fill=—","Direction=H","UseDPDF=Y")</f>
        <v>103.723</v>
      </c>
      <c r="X49" s="13">
        <f>_xll.BDH("ITCI US Equity","IS_SH_FOR_DILUTED_EPS","FQ3 2024","FQ3 2024","Currency=USD","Period=FQ","BEST_FPERIOD_OVERRIDE=FQ","FILING_STATUS=MR","Sort=A","Dates=H","DateFormat=P","Fill=—","Direction=H","UseDPDF=Y")</f>
        <v>105.7684</v>
      </c>
      <c r="Y49" s="13">
        <f>_xll.BDH("ITCI US Equity","IS_SH_FOR_DILUTED_EPS","FQ4 2024","FQ4 2024","Currency=USD","Period=FQ","BEST_FPERIOD_OVERRIDE=FQ","FILING_STATUS=MR","Sort=A","Dates=H","DateFormat=P","Fill=—","Direction=H","UseDPDF=Y")</f>
        <v>106.0958</v>
      </c>
      <c r="Z49" s="13"/>
      <c r="AA49" s="13"/>
    </row>
    <row r="50" spans="1:27" x14ac:dyDescent="0.25">
      <c r="A50" s="6" t="s">
        <v>103</v>
      </c>
      <c r="B50" s="6" t="s">
        <v>104</v>
      </c>
      <c r="C50" s="20">
        <f>_xll.BDH("ITCI US Equity","IS_DILUTED_EPS","FQ2 2019","FQ2 2019","Currency=USD","Period=FQ","BEST_FPERIOD_OVERRIDE=FQ","FILING_STATUS=MR","FA_ADJUSTED=GAAP","Sort=A","Dates=H","DateFormat=P","Fill=—","Direction=H","UseDPDF=Y")</f>
        <v>-0.68</v>
      </c>
      <c r="D50" s="20">
        <f>_xll.BDH("ITCI US Equity","IS_DILUTED_EPS","FQ3 2019","FQ3 2019","Currency=USD","Period=FQ","BEST_FPERIOD_OVERRIDE=FQ","FILING_STATUS=MR","FA_ADJUSTED=GAAP","Sort=A","Dates=H","DateFormat=P","Fill=—","Direction=H","UseDPDF=Y")</f>
        <v>-0.63</v>
      </c>
      <c r="E50" s="20">
        <f>_xll.BDH("ITCI US Equity","IS_DILUTED_EPS","FQ4 2019","FQ4 2019","Currency=USD","Period=FQ","BEST_FPERIOD_OVERRIDE=FQ","FILING_STATUS=MR","FA_ADJUSTED=GAAP","Sort=A","Dates=H","DateFormat=P","Fill=—","Direction=H","UseDPDF=Y")</f>
        <v>-0.74</v>
      </c>
      <c r="F50" s="20">
        <f>_xll.BDH("ITCI US Equity","IS_DILUTED_EPS","FQ1 2020","FQ1 2020","Currency=USD","Period=FQ","BEST_FPERIOD_OVERRIDE=FQ","FILING_STATUS=MR","FA_ADJUSTED=GAAP","Sort=A","Dates=H","DateFormat=P","Fill=—","Direction=H","UseDPDF=Y")</f>
        <v>-0.73</v>
      </c>
      <c r="G50" s="20">
        <f>_xll.BDH("ITCI US Equity","IS_DILUTED_EPS","FQ2 2020","FQ2 2020","Currency=USD","Period=FQ","BEST_FPERIOD_OVERRIDE=FQ","FILING_STATUS=MR","FA_ADJUSTED=GAAP","Sort=A","Dates=H","DateFormat=P","Fill=—","Direction=H","UseDPDF=Y")</f>
        <v>-0.96</v>
      </c>
      <c r="H50" s="20">
        <f>_xll.BDH("ITCI US Equity","IS_DILUTED_EPS","FQ3 2020","FQ3 2020","Currency=USD","Period=FQ","BEST_FPERIOD_OVERRIDE=FQ","FILING_STATUS=MR","FA_ADJUSTED=GAAP","Sort=A","Dates=H","DateFormat=P","Fill=—","Direction=H","UseDPDF=Y")</f>
        <v>-0.79</v>
      </c>
      <c r="I50" s="20">
        <f>_xll.BDH("ITCI US Equity","IS_DILUTED_EPS","FQ4 2020","FQ4 2020","Currency=USD","Period=FQ","BEST_FPERIOD_OVERRIDE=FQ","FILING_STATUS=MR","FA_ADJUSTED=GAAP","Sort=A","Dates=H","DateFormat=P","Fill=—","Direction=H","UseDPDF=Y")</f>
        <v>-0.76</v>
      </c>
      <c r="J50" s="20">
        <f>_xll.BDH("ITCI US Equity","IS_DILUTED_EPS","FQ1 2021","FQ1 2021","Currency=USD","Period=FQ","BEST_FPERIOD_OVERRIDE=FQ","FILING_STATUS=MR","FA_ADJUSTED=GAAP","Sort=A","Dates=H","DateFormat=P","Fill=—","Direction=H","UseDPDF=Y")</f>
        <v>-0.65</v>
      </c>
      <c r="K50" s="20">
        <f>_xll.BDH("ITCI US Equity","IS_DILUTED_EPS","FQ2 2021","FQ2 2021","Currency=USD","Period=FQ","BEST_FPERIOD_OVERRIDE=FQ","FILING_STATUS=MR","FA_ADJUSTED=GAAP","Sort=A","Dates=H","DateFormat=P","Fill=—","Direction=H","UseDPDF=Y")</f>
        <v>-0.85</v>
      </c>
      <c r="L50" s="20">
        <f>_xll.BDH("ITCI US Equity","IS_DILUTED_EPS","FQ3 2021","FQ3 2021","Currency=USD","Period=FQ","BEST_FPERIOD_OVERRIDE=FQ","FILING_STATUS=MR","FA_ADJUSTED=GAAP","Sort=A","Dates=H","DateFormat=P","Fill=—","Direction=H","UseDPDF=Y")</f>
        <v>-0.95</v>
      </c>
      <c r="M50" s="20">
        <f>_xll.BDH("ITCI US Equity","IS_DILUTED_EPS","FQ4 2021","FQ4 2021","Currency=USD","Period=FQ","BEST_FPERIOD_OVERRIDE=FQ","FILING_STATUS=MR","FA_ADJUSTED=GAAP","Sort=A","Dates=H","DateFormat=P","Fill=—","Direction=H","UseDPDF=Y")</f>
        <v>-1.05</v>
      </c>
      <c r="N50" s="20">
        <f>_xll.BDH("ITCI US Equity","IS_DILUTED_EPS","FQ1 2022","FQ1 2022","Currency=USD","Period=FQ","BEST_FPERIOD_OVERRIDE=FQ","FILING_STATUS=MR","FA_ADJUSTED=GAAP","Sort=A","Dates=H","DateFormat=P","Fill=—","Direction=H","UseDPDF=Y")</f>
        <v>-0.78</v>
      </c>
      <c r="O50" s="20">
        <f>_xll.BDH("ITCI US Equity","IS_DILUTED_EPS","FQ2 2022","FQ2 2022","Currency=USD","Period=FQ","BEST_FPERIOD_OVERRIDE=FQ","FILING_STATUS=MR","FA_ADJUSTED=GAAP","Sort=A","Dates=H","DateFormat=P","Fill=—","Direction=H","UseDPDF=Y")</f>
        <v>-0.92</v>
      </c>
      <c r="P50" s="20">
        <f>_xll.BDH("ITCI US Equity","IS_DILUTED_EPS","FQ3 2022","FQ3 2022","Currency=USD","Period=FQ","BEST_FPERIOD_OVERRIDE=FQ","FILING_STATUS=MR","FA_ADJUSTED=GAAP","Sort=A","Dates=H","DateFormat=P","Fill=—","Direction=H","UseDPDF=Y")</f>
        <v>-0.56999999999999995</v>
      </c>
      <c r="Q50" s="20">
        <f>_xll.BDH("ITCI US Equity","IS_DILUTED_EPS","FQ4 2022","FQ4 2022","Currency=USD","Period=FQ","BEST_FPERIOD_OVERRIDE=FQ","FILING_STATUS=MR","FA_ADJUSTED=GAAP","Sort=A","Dates=H","DateFormat=P","Fill=—","Direction=H","UseDPDF=Y")</f>
        <v>-0.45</v>
      </c>
      <c r="R50" s="20">
        <f>_xll.BDH("ITCI US Equity","IS_DILUTED_EPS","FQ1 2023","FQ1 2023","Currency=USD","Period=FQ","BEST_FPERIOD_OVERRIDE=FQ","FILING_STATUS=MR","FA_ADJUSTED=GAAP","Sort=A","Dates=H","DateFormat=P","Fill=—","Direction=H","UseDPDF=Y")</f>
        <v>-0.46</v>
      </c>
      <c r="S50" s="20">
        <f>_xll.BDH("ITCI US Equity","IS_DILUTED_EPS","FQ2 2023","FQ2 2023","Currency=USD","Period=FQ","BEST_FPERIOD_OVERRIDE=FQ","FILING_STATUS=MR","FA_ADJUSTED=GAAP","Sort=A","Dates=H","DateFormat=P","Fill=—","Direction=H","UseDPDF=Y")</f>
        <v>-0.45</v>
      </c>
      <c r="T50" s="20">
        <f>_xll.BDH("ITCI US Equity","IS_DILUTED_EPS","FQ3 2023","FQ3 2023","Currency=USD","Period=FQ","BEST_FPERIOD_OVERRIDE=FQ","FILING_STATUS=MR","FA_ADJUSTED=GAAP","Sort=A","Dates=H","DateFormat=P","Fill=—","Direction=H","UseDPDF=Y")</f>
        <v>-0.25</v>
      </c>
      <c r="U50" s="20">
        <f>_xll.BDH("ITCI US Equity","IS_DILUTED_EPS","FQ4 2023","FQ4 2023","Currency=USD","Period=FQ","BEST_FPERIOD_OVERRIDE=FQ","FILING_STATUS=MR","FA_ADJUSTED=GAAP","Sort=A","Dates=H","DateFormat=P","Fill=—","Direction=H","UseDPDF=Y")</f>
        <v>-0.3</v>
      </c>
      <c r="V50" s="20">
        <f>_xll.BDH("ITCI US Equity","IS_DILUTED_EPS","FQ1 2024","FQ1 2024","Currency=USD","Period=FQ","BEST_FPERIOD_OVERRIDE=FQ","FILING_STATUS=MR","FA_ADJUSTED=GAAP","Sort=A","Dates=H","DateFormat=P","Fill=—","Direction=H","UseDPDF=Y")</f>
        <v>-0.16</v>
      </c>
      <c r="W50" s="20">
        <f>_xll.BDH("ITCI US Equity","IS_DILUTED_EPS","FQ2 2024","FQ2 2024","Currency=USD","Period=FQ","BEST_FPERIOD_OVERRIDE=FQ","FILING_STATUS=MR","FA_ADJUSTED=GAAP","Sort=A","Dates=H","DateFormat=P","Fill=—","Direction=H","UseDPDF=Y")</f>
        <v>-0.16</v>
      </c>
      <c r="X50" s="20">
        <f>_xll.BDH("ITCI US Equity","IS_DILUTED_EPS","FQ3 2024","FQ3 2024","Currency=USD","Period=FQ","BEST_FPERIOD_OVERRIDE=FQ","FILING_STATUS=MR","FA_ADJUSTED=GAAP","Sort=A","Dates=H","DateFormat=P","Fill=—","Direction=H","UseDPDF=Y")</f>
        <v>-0.25</v>
      </c>
      <c r="Y50" s="20">
        <f>_xll.BDH("ITCI US Equity","IS_DILUTED_EPS","FQ4 2024","FQ4 2024","Currency=USD","Period=FQ","BEST_FPERIOD_OVERRIDE=FQ","FILING_STATUS=MR","FA_ADJUSTED=GAAP","Sort=A","Dates=H","DateFormat=P","Fill=—","Direction=H","UseDPDF=Y")</f>
        <v>-0.16</v>
      </c>
      <c r="Z50" s="20">
        <v>-0.10100000000000001</v>
      </c>
      <c r="AA50" s="20">
        <v>-0.02</v>
      </c>
    </row>
    <row r="51" spans="1:27" x14ac:dyDescent="0.25">
      <c r="A51" s="6" t="s">
        <v>348</v>
      </c>
      <c r="B51" s="6" t="s">
        <v>241</v>
      </c>
      <c r="C51" s="20">
        <f>_xll.BDH("ITCI US Equity","IS_DIL_EPS_BEF_XO","FQ2 2019","FQ2 2019","Currency=USD","Period=FQ","BEST_FPERIOD_OVERRIDE=FQ","FILING_STATUS=MR","Sort=A","Dates=H","DateFormat=P","Fill=—","Direction=H","UseDPDF=Y")</f>
        <v>-0.68</v>
      </c>
      <c r="D51" s="20">
        <f>_xll.BDH("ITCI US Equity","IS_DIL_EPS_BEF_XO","FQ3 2019","FQ3 2019","Currency=USD","Period=FQ","BEST_FPERIOD_OVERRIDE=FQ","FILING_STATUS=MR","Sort=A","Dates=H","DateFormat=P","Fill=—","Direction=H","UseDPDF=Y")</f>
        <v>-0.63</v>
      </c>
      <c r="E51" s="20">
        <f>_xll.BDH("ITCI US Equity","IS_DIL_EPS_BEF_XO","FQ4 2019","FQ4 2019","Currency=USD","Period=FQ","BEST_FPERIOD_OVERRIDE=FQ","FILING_STATUS=MR","Sort=A","Dates=H","DateFormat=P","Fill=—","Direction=H","UseDPDF=Y")</f>
        <v>-0.74</v>
      </c>
      <c r="F51" s="20">
        <f>_xll.BDH("ITCI US Equity","IS_DIL_EPS_BEF_XO","FQ1 2020","FQ1 2020","Currency=USD","Period=FQ","BEST_FPERIOD_OVERRIDE=FQ","FILING_STATUS=MR","Sort=A","Dates=H","DateFormat=P","Fill=—","Direction=H","UseDPDF=Y")</f>
        <v>-0.73</v>
      </c>
      <c r="G51" s="20">
        <f>_xll.BDH("ITCI US Equity","IS_DIL_EPS_BEF_XO","FQ2 2020","FQ2 2020","Currency=USD","Period=FQ","BEST_FPERIOD_OVERRIDE=FQ","FILING_STATUS=MR","Sort=A","Dates=H","DateFormat=P","Fill=—","Direction=H","UseDPDF=Y")</f>
        <v>-0.96</v>
      </c>
      <c r="H51" s="20">
        <f>_xll.BDH("ITCI US Equity","IS_DIL_EPS_BEF_XO","FQ3 2020","FQ3 2020","Currency=USD","Period=FQ","BEST_FPERIOD_OVERRIDE=FQ","FILING_STATUS=MR","Sort=A","Dates=H","DateFormat=P","Fill=—","Direction=H","UseDPDF=Y")</f>
        <v>-0.79</v>
      </c>
      <c r="I51" s="20">
        <f>_xll.BDH("ITCI US Equity","IS_DIL_EPS_BEF_XO","FQ4 2020","FQ4 2020","Currency=USD","Period=FQ","BEST_FPERIOD_OVERRIDE=FQ","FILING_STATUS=MR","Sort=A","Dates=H","DateFormat=P","Fill=—","Direction=H","UseDPDF=Y")</f>
        <v>-0.76</v>
      </c>
      <c r="J51" s="20">
        <f>_xll.BDH("ITCI US Equity","IS_DIL_EPS_BEF_XO","FQ1 2021","FQ1 2021","Currency=USD","Period=FQ","BEST_FPERIOD_OVERRIDE=FQ","FILING_STATUS=MR","Sort=A","Dates=H","DateFormat=P","Fill=—","Direction=H","UseDPDF=Y")</f>
        <v>-0.65</v>
      </c>
      <c r="K51" s="20">
        <f>_xll.BDH("ITCI US Equity","IS_DIL_EPS_BEF_XO","FQ2 2021","FQ2 2021","Currency=USD","Period=FQ","BEST_FPERIOD_OVERRIDE=FQ","FILING_STATUS=MR","Sort=A","Dates=H","DateFormat=P","Fill=—","Direction=H","UseDPDF=Y")</f>
        <v>-0.85</v>
      </c>
      <c r="L51" s="20">
        <f>_xll.BDH("ITCI US Equity","IS_DIL_EPS_BEF_XO","FQ3 2021","FQ3 2021","Currency=USD","Period=FQ","BEST_FPERIOD_OVERRIDE=FQ","FILING_STATUS=MR","Sort=A","Dates=H","DateFormat=P","Fill=—","Direction=H","UseDPDF=Y")</f>
        <v>-0.95</v>
      </c>
      <c r="M51" s="20">
        <f>_xll.BDH("ITCI US Equity","IS_DIL_EPS_BEF_XO","FQ4 2021","FQ4 2021","Currency=USD","Period=FQ","BEST_FPERIOD_OVERRIDE=FQ","FILING_STATUS=MR","Sort=A","Dates=H","DateFormat=P","Fill=—","Direction=H","UseDPDF=Y")</f>
        <v>-1.05</v>
      </c>
      <c r="N51" s="20">
        <f>_xll.BDH("ITCI US Equity","IS_DIL_EPS_BEF_XO","FQ1 2022","FQ1 2022","Currency=USD","Period=FQ","BEST_FPERIOD_OVERRIDE=FQ","FILING_STATUS=MR","Sort=A","Dates=H","DateFormat=P","Fill=—","Direction=H","UseDPDF=Y")</f>
        <v>-0.78</v>
      </c>
      <c r="O51" s="20">
        <f>_xll.BDH("ITCI US Equity","IS_DIL_EPS_BEF_XO","FQ2 2022","FQ2 2022","Currency=USD","Period=FQ","BEST_FPERIOD_OVERRIDE=FQ","FILING_STATUS=MR","Sort=A","Dates=H","DateFormat=P","Fill=—","Direction=H","UseDPDF=Y")</f>
        <v>-0.92</v>
      </c>
      <c r="P51" s="20">
        <f>_xll.BDH("ITCI US Equity","IS_DIL_EPS_BEF_XO","FQ3 2022","FQ3 2022","Currency=USD","Period=FQ","BEST_FPERIOD_OVERRIDE=FQ","FILING_STATUS=MR","Sort=A","Dates=H","DateFormat=P","Fill=—","Direction=H","UseDPDF=Y")</f>
        <v>-0.56999999999999995</v>
      </c>
      <c r="Q51" s="20">
        <f>_xll.BDH("ITCI US Equity","IS_DIL_EPS_BEF_XO","FQ4 2022","FQ4 2022","Currency=USD","Period=FQ","BEST_FPERIOD_OVERRIDE=FQ","FILING_STATUS=MR","Sort=A","Dates=H","DateFormat=P","Fill=—","Direction=H","UseDPDF=Y")</f>
        <v>-0.45</v>
      </c>
      <c r="R51" s="20">
        <f>_xll.BDH("ITCI US Equity","IS_DIL_EPS_BEF_XO","FQ1 2023","FQ1 2023","Currency=USD","Period=FQ","BEST_FPERIOD_OVERRIDE=FQ","FILING_STATUS=MR","Sort=A","Dates=H","DateFormat=P","Fill=—","Direction=H","UseDPDF=Y")</f>
        <v>-0.46</v>
      </c>
      <c r="S51" s="20">
        <f>_xll.BDH("ITCI US Equity","IS_DIL_EPS_BEF_XO","FQ2 2023","FQ2 2023","Currency=USD","Period=FQ","BEST_FPERIOD_OVERRIDE=FQ","FILING_STATUS=MR","Sort=A","Dates=H","DateFormat=P","Fill=—","Direction=H","UseDPDF=Y")</f>
        <v>-0.45</v>
      </c>
      <c r="T51" s="20">
        <f>_xll.BDH("ITCI US Equity","IS_DIL_EPS_BEF_XO","FQ3 2023","FQ3 2023","Currency=USD","Period=FQ","BEST_FPERIOD_OVERRIDE=FQ","FILING_STATUS=MR","Sort=A","Dates=H","DateFormat=P","Fill=—","Direction=H","UseDPDF=Y")</f>
        <v>-0.25</v>
      </c>
      <c r="U51" s="20">
        <f>_xll.BDH("ITCI US Equity","IS_DIL_EPS_BEF_XO","FQ4 2023","FQ4 2023","Currency=USD","Period=FQ","BEST_FPERIOD_OVERRIDE=FQ","FILING_STATUS=MR","Sort=A","Dates=H","DateFormat=P","Fill=—","Direction=H","UseDPDF=Y")</f>
        <v>-0.3</v>
      </c>
      <c r="V51" s="20">
        <f>_xll.BDH("ITCI US Equity","IS_DIL_EPS_BEF_XO","FQ1 2024","FQ1 2024","Currency=USD","Period=FQ","BEST_FPERIOD_OVERRIDE=FQ","FILING_STATUS=MR","Sort=A","Dates=H","DateFormat=P","Fill=—","Direction=H","UseDPDF=Y")</f>
        <v>-0.16</v>
      </c>
      <c r="W51" s="20">
        <f>_xll.BDH("ITCI US Equity","IS_DIL_EPS_BEF_XO","FQ2 2024","FQ2 2024","Currency=USD","Period=FQ","BEST_FPERIOD_OVERRIDE=FQ","FILING_STATUS=MR","Sort=A","Dates=H","DateFormat=P","Fill=—","Direction=H","UseDPDF=Y")</f>
        <v>-0.16</v>
      </c>
      <c r="X51" s="20">
        <f>_xll.BDH("ITCI US Equity","IS_DIL_EPS_BEF_XO","FQ3 2024","FQ3 2024","Currency=USD","Period=FQ","BEST_FPERIOD_OVERRIDE=FQ","FILING_STATUS=MR","Sort=A","Dates=H","DateFormat=P","Fill=—","Direction=H","UseDPDF=Y")</f>
        <v>-0.25</v>
      </c>
      <c r="Y51" s="20">
        <f>_xll.BDH("ITCI US Equity","IS_DIL_EPS_BEF_XO","FQ4 2024","FQ4 2024","Currency=USD","Period=FQ","BEST_FPERIOD_OVERRIDE=FQ","FILING_STATUS=MR","Sort=A","Dates=H","DateFormat=P","Fill=—","Direction=H","UseDPDF=Y")</f>
        <v>-0.16</v>
      </c>
      <c r="Z51" s="20">
        <v>-0.10100000000000001</v>
      </c>
      <c r="AA51" s="20">
        <v>-0.02</v>
      </c>
    </row>
    <row r="52" spans="1:27" x14ac:dyDescent="0.25">
      <c r="A52" s="6" t="s">
        <v>349</v>
      </c>
      <c r="B52" s="6" t="s">
        <v>82</v>
      </c>
      <c r="C52" s="20">
        <f>_xll.BDH("ITCI US Equity","IS_DIL_EPS_CONT_OPS","FQ2 2019","FQ2 2019","Currency=USD","Period=FQ","BEST_FPERIOD_OVERRIDE=FQ","FILING_STATUS=MR","Sort=A","Dates=H","DateFormat=P","Fill=—","Direction=H","UseDPDF=Y")</f>
        <v>-0.68</v>
      </c>
      <c r="D52" s="20">
        <f>_xll.BDH("ITCI US Equity","IS_DIL_EPS_CONT_OPS","FQ3 2019","FQ3 2019","Currency=USD","Period=FQ","BEST_FPERIOD_OVERRIDE=FQ","FILING_STATUS=MR","Sort=A","Dates=H","DateFormat=P","Fill=—","Direction=H","UseDPDF=Y")</f>
        <v>-0.63</v>
      </c>
      <c r="E52" s="20">
        <f>_xll.BDH("ITCI US Equity","IS_DIL_EPS_CONT_OPS","FQ4 2019","FQ4 2019","Currency=USD","Period=FQ","BEST_FPERIOD_OVERRIDE=FQ","FILING_STATUS=MR","Sort=A","Dates=H","DateFormat=P","Fill=—","Direction=H","UseDPDF=Y")</f>
        <v>-0.74</v>
      </c>
      <c r="F52" s="20">
        <f>_xll.BDH("ITCI US Equity","IS_DIL_EPS_CONT_OPS","FQ1 2020","FQ1 2020","Currency=USD","Period=FQ","BEST_FPERIOD_OVERRIDE=FQ","FILING_STATUS=MR","Sort=A","Dates=H","DateFormat=P","Fill=—","Direction=H","UseDPDF=Y")</f>
        <v>-0.73</v>
      </c>
      <c r="G52" s="20">
        <f>_xll.BDH("ITCI US Equity","IS_DIL_EPS_CONT_OPS","FQ2 2020","FQ2 2020","Currency=USD","Period=FQ","BEST_FPERIOD_OVERRIDE=FQ","FILING_STATUS=MR","Sort=A","Dates=H","DateFormat=P","Fill=—","Direction=H","UseDPDF=Y")</f>
        <v>-0.96</v>
      </c>
      <c r="H52" s="20">
        <f>_xll.BDH("ITCI US Equity","IS_DIL_EPS_CONT_OPS","FQ3 2020","FQ3 2020","Currency=USD","Period=FQ","BEST_FPERIOD_OVERRIDE=FQ","FILING_STATUS=MR","Sort=A","Dates=H","DateFormat=P","Fill=—","Direction=H","UseDPDF=Y")</f>
        <v>-0.79</v>
      </c>
      <c r="I52" s="20">
        <f>_xll.BDH("ITCI US Equity","IS_DIL_EPS_CONT_OPS","FQ4 2020","FQ4 2020","Currency=USD","Period=FQ","BEST_FPERIOD_OVERRIDE=FQ","FILING_STATUS=MR","Sort=A","Dates=H","DateFormat=P","Fill=—","Direction=H","UseDPDF=Y")</f>
        <v>-0.76</v>
      </c>
      <c r="J52" s="20">
        <f>_xll.BDH("ITCI US Equity","IS_DIL_EPS_CONT_OPS","FQ1 2021","FQ1 2021","Currency=USD","Period=FQ","BEST_FPERIOD_OVERRIDE=FQ","FILING_STATUS=MR","Sort=A","Dates=H","DateFormat=P","Fill=—","Direction=H","UseDPDF=Y")</f>
        <v>-0.65</v>
      </c>
      <c r="K52" s="20">
        <f>_xll.BDH("ITCI US Equity","IS_DIL_EPS_CONT_OPS","FQ2 2021","FQ2 2021","Currency=USD","Period=FQ","BEST_FPERIOD_OVERRIDE=FQ","FILING_STATUS=MR","Sort=A","Dates=H","DateFormat=P","Fill=—","Direction=H","UseDPDF=Y")</f>
        <v>-0.85</v>
      </c>
      <c r="L52" s="20">
        <f>_xll.BDH("ITCI US Equity","IS_DIL_EPS_CONT_OPS","FQ3 2021","FQ3 2021","Currency=USD","Period=FQ","BEST_FPERIOD_OVERRIDE=FQ","FILING_STATUS=MR","Sort=A","Dates=H","DateFormat=P","Fill=—","Direction=H","UseDPDF=Y")</f>
        <v>-0.95</v>
      </c>
      <c r="M52" s="20">
        <f>_xll.BDH("ITCI US Equity","IS_DIL_EPS_CONT_OPS","FQ4 2021","FQ4 2021","Currency=USD","Period=FQ","BEST_FPERIOD_OVERRIDE=FQ","FILING_STATUS=MR","Sort=A","Dates=H","DateFormat=P","Fill=—","Direction=H","UseDPDF=Y")</f>
        <v>-1.05</v>
      </c>
      <c r="N52" s="20">
        <f>_xll.BDH("ITCI US Equity","IS_DIL_EPS_CONT_OPS","FQ1 2022","FQ1 2022","Currency=USD","Period=FQ","BEST_FPERIOD_OVERRIDE=FQ","FILING_STATUS=MR","Sort=A","Dates=H","DateFormat=P","Fill=—","Direction=H","UseDPDF=Y")</f>
        <v>-0.78</v>
      </c>
      <c r="O52" s="20">
        <f>_xll.BDH("ITCI US Equity","IS_DIL_EPS_CONT_OPS","FQ2 2022","FQ2 2022","Currency=USD","Period=FQ","BEST_FPERIOD_OVERRIDE=FQ","FILING_STATUS=MR","Sort=A","Dates=H","DateFormat=P","Fill=—","Direction=H","UseDPDF=Y")</f>
        <v>-0.92</v>
      </c>
      <c r="P52" s="20">
        <f>_xll.BDH("ITCI US Equity","IS_DIL_EPS_CONT_OPS","FQ3 2022","FQ3 2022","Currency=USD","Period=FQ","BEST_FPERIOD_OVERRIDE=FQ","FILING_STATUS=MR","Sort=A","Dates=H","DateFormat=P","Fill=—","Direction=H","UseDPDF=Y")</f>
        <v>-0.56999999999999995</v>
      </c>
      <c r="Q52" s="20">
        <f>_xll.BDH("ITCI US Equity","IS_DIL_EPS_CONT_OPS","FQ4 2022","FQ4 2022","Currency=USD","Period=FQ","BEST_FPERIOD_OVERRIDE=FQ","FILING_STATUS=MR","Sort=A","Dates=H","DateFormat=P","Fill=—","Direction=H","UseDPDF=Y")</f>
        <v>-0.45</v>
      </c>
      <c r="R52" s="20">
        <f>_xll.BDH("ITCI US Equity","IS_DIL_EPS_CONT_OPS","FQ1 2023","FQ1 2023","Currency=USD","Period=FQ","BEST_FPERIOD_OVERRIDE=FQ","FILING_STATUS=MR","Sort=A","Dates=H","DateFormat=P","Fill=—","Direction=H","UseDPDF=Y")</f>
        <v>-0.46</v>
      </c>
      <c r="S52" s="20">
        <f>_xll.BDH("ITCI US Equity","IS_DIL_EPS_CONT_OPS","FQ2 2023","FQ2 2023","Currency=USD","Period=FQ","BEST_FPERIOD_OVERRIDE=FQ","FILING_STATUS=MR","Sort=A","Dates=H","DateFormat=P","Fill=—","Direction=H","UseDPDF=Y")</f>
        <v>-0.45</v>
      </c>
      <c r="T52" s="20">
        <f>_xll.BDH("ITCI US Equity","IS_DIL_EPS_CONT_OPS","FQ3 2023","FQ3 2023","Currency=USD","Period=FQ","BEST_FPERIOD_OVERRIDE=FQ","FILING_STATUS=MR","Sort=A","Dates=H","DateFormat=P","Fill=—","Direction=H","UseDPDF=Y")</f>
        <v>-0.25</v>
      </c>
      <c r="U52" s="20">
        <f>_xll.BDH("ITCI US Equity","IS_DIL_EPS_CONT_OPS","FQ4 2023","FQ4 2023","Currency=USD","Period=FQ","BEST_FPERIOD_OVERRIDE=FQ","FILING_STATUS=MR","Sort=A","Dates=H","DateFormat=P","Fill=—","Direction=H","UseDPDF=Y")</f>
        <v>-0.3</v>
      </c>
      <c r="V52" s="20">
        <f>_xll.BDH("ITCI US Equity","IS_DIL_EPS_CONT_OPS","FQ1 2024","FQ1 2024","Currency=USD","Period=FQ","BEST_FPERIOD_OVERRIDE=FQ","FILING_STATUS=MR","Sort=A","Dates=H","DateFormat=P","Fill=—","Direction=H","UseDPDF=Y")</f>
        <v>-0.16</v>
      </c>
      <c r="W52" s="20">
        <f>_xll.BDH("ITCI US Equity","IS_DIL_EPS_CONT_OPS","FQ2 2024","FQ2 2024","Currency=USD","Period=FQ","BEST_FPERIOD_OVERRIDE=FQ","FILING_STATUS=MR","Sort=A","Dates=H","DateFormat=P","Fill=—","Direction=H","UseDPDF=Y")</f>
        <v>-0.16</v>
      </c>
      <c r="X52" s="20">
        <f>_xll.BDH("ITCI US Equity","IS_DIL_EPS_CONT_OPS","FQ3 2024","FQ3 2024","Currency=USD","Period=FQ","BEST_FPERIOD_OVERRIDE=FQ","FILING_STATUS=MR","Sort=A","Dates=H","DateFormat=P","Fill=—","Direction=H","UseDPDF=Y")</f>
        <v>-0.25</v>
      </c>
      <c r="Y52" s="20">
        <f>_xll.BDH("ITCI US Equity","IS_DIL_EPS_CONT_OPS","FQ4 2024","FQ4 2024","Currency=USD","Period=FQ","BEST_FPERIOD_OVERRIDE=FQ","FILING_STATUS=MR","Sort=A","Dates=H","DateFormat=P","Fill=—","Direction=H","UseDPDF=Y")</f>
        <v>-0.16</v>
      </c>
      <c r="Z52" s="20">
        <v>-0.10100000000000001</v>
      </c>
      <c r="AA52" s="20">
        <v>-0.02</v>
      </c>
    </row>
    <row r="53" spans="1:27" x14ac:dyDescent="0.25">
      <c r="A53" s="6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x14ac:dyDescent="0.25">
      <c r="A54" s="6" t="s">
        <v>4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x14ac:dyDescent="0.25">
      <c r="A55" s="10" t="s">
        <v>350</v>
      </c>
      <c r="B55" s="10" t="s">
        <v>351</v>
      </c>
      <c r="C55" s="12" t="s">
        <v>352</v>
      </c>
      <c r="D55" s="12" t="s">
        <v>352</v>
      </c>
      <c r="E55" s="12" t="s">
        <v>352</v>
      </c>
      <c r="F55" s="12" t="s">
        <v>352</v>
      </c>
      <c r="G55" s="12" t="s">
        <v>352</v>
      </c>
      <c r="H55" s="12" t="s">
        <v>352</v>
      </c>
      <c r="I55" s="12" t="s">
        <v>352</v>
      </c>
      <c r="J55" s="12" t="s">
        <v>352</v>
      </c>
      <c r="K55" s="12" t="s">
        <v>352</v>
      </c>
      <c r="L55" s="12" t="s">
        <v>352</v>
      </c>
      <c r="M55" s="12" t="s">
        <v>352</v>
      </c>
      <c r="N55" s="12" t="s">
        <v>352</v>
      </c>
      <c r="O55" s="12" t="s">
        <v>352</v>
      </c>
      <c r="P55" s="12" t="s">
        <v>352</v>
      </c>
      <c r="Q55" s="12" t="s">
        <v>352</v>
      </c>
      <c r="R55" s="12" t="s">
        <v>352</v>
      </c>
      <c r="S55" s="12" t="s">
        <v>352</v>
      </c>
      <c r="T55" s="12" t="s">
        <v>352</v>
      </c>
      <c r="U55" s="12" t="s">
        <v>352</v>
      </c>
      <c r="V55" s="12" t="s">
        <v>352</v>
      </c>
      <c r="W55" s="12" t="s">
        <v>352</v>
      </c>
      <c r="X55" s="12" t="s">
        <v>352</v>
      </c>
      <c r="Y55" s="12" t="s">
        <v>352</v>
      </c>
      <c r="Z55" s="12"/>
      <c r="AA55" s="12"/>
    </row>
    <row r="56" spans="1:27" x14ac:dyDescent="0.25">
      <c r="A56" s="10" t="s">
        <v>78</v>
      </c>
      <c r="B56" s="10" t="s">
        <v>78</v>
      </c>
      <c r="C56" s="13">
        <f>_xll.BDH("ITCI US Equity","EBITDA","FQ2 2019","FQ2 2019","Currency=USD","Period=FQ","BEST_FPERIOD_OVERRIDE=FQ","FILING_STATUS=MR","SCALING_FORMAT=MLN","FA_ADJUSTED=GAAP","Sort=A","Dates=H","DateFormat=P","Fill=—","Direction=H","UseDPDF=Y")</f>
        <v>-38.110100000000003</v>
      </c>
      <c r="D56" s="13">
        <f>_xll.BDH("ITCI US Equity","EBITDA","FQ3 2019","FQ3 2019","Currency=USD","Period=FQ","BEST_FPERIOD_OVERRIDE=FQ","FILING_STATUS=MR","SCALING_FORMAT=MLN","FA_ADJUSTED=GAAP","Sort=A","Dates=H","DateFormat=P","Fill=—","Direction=H","UseDPDF=Y")</f>
        <v>-35.429200000000002</v>
      </c>
      <c r="E56" s="13">
        <f>_xll.BDH("ITCI US Equity","EBITDA","FQ4 2019","FQ4 2019","Currency=USD","Period=FQ","BEST_FPERIOD_OVERRIDE=FQ","FILING_STATUS=MR","SCALING_FORMAT=MLN","FA_ADJUSTED=GAAP","Sort=A","Dates=H","DateFormat=P","Fill=—","Direction=H","UseDPDF=Y")</f>
        <v>-40.826999999999998</v>
      </c>
      <c r="F56" s="13">
        <f>_xll.BDH("ITCI US Equity","EBITDA","FQ1 2020","FQ1 2020","Currency=USD","Period=FQ","BEST_FPERIOD_OVERRIDE=FQ","FILING_STATUS=MR","SCALING_FORMAT=MLN","FA_ADJUSTED=GAAP","Sort=A","Dates=H","DateFormat=P","Fill=—","Direction=H","UseDPDF=Y")</f>
        <v>-48.118699999999997</v>
      </c>
      <c r="G56" s="13">
        <f>_xll.BDH("ITCI US Equity","EBITDA","FQ2 2020","FQ2 2020","Currency=USD","Period=FQ","BEST_FPERIOD_OVERRIDE=FQ","FILING_STATUS=MR","SCALING_FORMAT=MLN","FA_ADJUSTED=GAAP","Sort=A","Dates=H","DateFormat=P","Fill=—","Direction=H","UseDPDF=Y")</f>
        <v>-63.94</v>
      </c>
      <c r="H56" s="13">
        <f>_xll.BDH("ITCI US Equity","EBITDA","FQ3 2020","FQ3 2020","Currency=USD","Period=FQ","BEST_FPERIOD_OVERRIDE=FQ","FILING_STATUS=MR","SCALING_FORMAT=MLN","FA_ADJUSTED=GAAP","Sort=A","Dates=H","DateFormat=P","Fill=—","Direction=H","UseDPDF=Y")</f>
        <v>-55.0154</v>
      </c>
      <c r="I56" s="13">
        <f>_xll.BDH("ITCI US Equity","EBITDA","FQ4 2020","FQ4 2020","Currency=USD","Period=FQ","BEST_FPERIOD_OVERRIDE=FQ","FILING_STATUS=MR","SCALING_FORMAT=MLN","FA_ADJUSTED=GAAP","Sort=A","Dates=H","DateFormat=P","Fill=—","Direction=H","UseDPDF=Y")</f>
        <v>-60.824300000000001</v>
      </c>
      <c r="J56" s="13">
        <f>_xll.BDH("ITCI US Equity","EBITDA","FQ1 2021","FQ1 2021","Currency=USD","Period=FQ","BEST_FPERIOD_OVERRIDE=FQ","FILING_STATUS=MR","SCALING_FORMAT=MLN","FA_ADJUSTED=GAAP","Sort=A","Dates=H","DateFormat=P","Fill=—","Direction=H","UseDPDF=Y")</f>
        <v>-52.291699999999999</v>
      </c>
      <c r="K56" s="13">
        <f>_xll.BDH("ITCI US Equity","EBITDA","FQ2 2021","FQ2 2021","Currency=USD","Period=FQ","BEST_FPERIOD_OVERRIDE=FQ","FILING_STATUS=MR","SCALING_FORMAT=MLN","FA_ADJUSTED=GAAP","Sort=A","Dates=H","DateFormat=P","Fill=—","Direction=H","UseDPDF=Y")</f>
        <v>-68.215500000000006</v>
      </c>
      <c r="L56" s="13">
        <f>_xll.BDH("ITCI US Equity","EBITDA","FQ3 2021","FQ3 2021","Currency=USD","Period=FQ","BEST_FPERIOD_OVERRIDE=FQ","FILING_STATUS=MR","SCALING_FORMAT=MLN","FA_ADJUSTED=GAAP","Sort=A","Dates=H","DateFormat=P","Fill=—","Direction=H","UseDPDF=Y")</f>
        <v>-76.389899999999997</v>
      </c>
      <c r="M56" s="13">
        <f>_xll.BDH("ITCI US Equity","EBITDA","FQ4 2021","FQ4 2021","Currency=USD","Period=FQ","BEST_FPERIOD_OVERRIDE=FQ","FILING_STATUS=MR","SCALING_FORMAT=MLN","FA_ADJUSTED=GAAP","Sort=A","Dates=H","DateFormat=P","Fill=—","Direction=H","UseDPDF=Y")</f>
        <v>-84.908799999999999</v>
      </c>
      <c r="N56" s="13">
        <f>_xll.BDH("ITCI US Equity","EBITDA","FQ1 2022","FQ1 2022","Currency=USD","Period=FQ","BEST_FPERIOD_OVERRIDE=FQ","FILING_STATUS=MR","SCALING_FORMAT=MLN","FA_ADJUSTED=GAAP","Sort=A","Dates=H","DateFormat=P","Fill=—","Direction=H","UseDPDF=Y")</f>
        <v>-72.491</v>
      </c>
      <c r="O56" s="13">
        <f>_xll.BDH("ITCI US Equity","EBITDA","FQ2 2022","FQ2 2022","Currency=USD","Period=FQ","BEST_FPERIOD_OVERRIDE=FQ","FILING_STATUS=MR","SCALING_FORMAT=MLN","FA_ADJUSTED=GAAP","Sort=A","Dates=H","DateFormat=P","Fill=—","Direction=H","UseDPDF=Y")</f>
        <v>-87.751000000000005</v>
      </c>
      <c r="P56" s="13">
        <f>_xll.BDH("ITCI US Equity","EBITDA","FQ3 2022","FQ3 2022","Currency=USD","Period=FQ","BEST_FPERIOD_OVERRIDE=FQ","FILING_STATUS=MR","SCALING_FORMAT=MLN","FA_ADJUSTED=GAAP","Sort=A","Dates=H","DateFormat=P","Fill=—","Direction=H","UseDPDF=Y")</f>
        <v>-55.459000000000003</v>
      </c>
      <c r="Q56" s="13">
        <f>_xll.BDH("ITCI US Equity","EBITDA","FQ4 2022","FQ4 2022","Currency=USD","Period=FQ","BEST_FPERIOD_OVERRIDE=FQ","FILING_STATUS=MR","SCALING_FORMAT=MLN","FA_ADJUSTED=GAAP","Sort=A","Dates=H","DateFormat=P","Fill=—","Direction=H","UseDPDF=Y")</f>
        <v>-40.064999999999998</v>
      </c>
      <c r="R56" s="13">
        <f>_xll.BDH("ITCI US Equity","EBITDA","FQ1 2023","FQ1 2023","Currency=USD","Period=FQ","BEST_FPERIOD_OVERRIDE=FQ","FILING_STATUS=MR","SCALING_FORMAT=MLN","FA_ADJUSTED=GAAP","Sort=A","Dates=H","DateFormat=P","Fill=—","Direction=H","UseDPDF=Y")</f>
        <v>-47.173000000000002</v>
      </c>
      <c r="S56" s="13">
        <f>_xll.BDH("ITCI US Equity","EBITDA","FQ2 2023","FQ2 2023","Currency=USD","Period=FQ","BEST_FPERIOD_OVERRIDE=FQ","FILING_STATUS=MR","SCALING_FORMAT=MLN","FA_ADJUSTED=GAAP","Sort=A","Dates=H","DateFormat=P","Fill=—","Direction=H","UseDPDF=Y")</f>
        <v>-47.055999999999997</v>
      </c>
      <c r="T56" s="13">
        <f>_xll.BDH("ITCI US Equity","EBITDA","FQ3 2023","FQ3 2023","Currency=USD","Period=FQ","BEST_FPERIOD_OVERRIDE=FQ","FILING_STATUS=MR","SCALING_FORMAT=MLN","FA_ADJUSTED=GAAP","Sort=A","Dates=H","DateFormat=P","Fill=—","Direction=H","UseDPDF=Y")</f>
        <v>-28.66</v>
      </c>
      <c r="U56" s="13">
        <f>_xll.BDH("ITCI US Equity","EBITDA","FQ4 2023","FQ4 2023","Currency=USD","Period=FQ","BEST_FPERIOD_OVERRIDE=FQ","FILING_STATUS=MR","SCALING_FORMAT=MLN","FA_ADJUSTED=GAAP","Sort=A","Dates=H","DateFormat=P","Fill=—","Direction=H","UseDPDF=Y")</f>
        <v>-26.276</v>
      </c>
      <c r="V56" s="13">
        <f>_xll.BDH("ITCI US Equity","EBITDA","FQ1 2024","FQ1 2024","Currency=USD","Period=FQ","BEST_FPERIOD_OVERRIDE=FQ","FILING_STATUS=MR","SCALING_FORMAT=MLN","FA_ADJUSTED=GAAP","Sort=A","Dates=H","DateFormat=P","Fill=—","Direction=H","UseDPDF=Y")</f>
        <v>-19.879000000000001</v>
      </c>
      <c r="W56" s="13">
        <f>_xll.BDH("ITCI US Equity","EBITDA","FQ2 2024","FQ2 2024","Currency=USD","Period=FQ","BEST_FPERIOD_OVERRIDE=FQ","FILING_STATUS=MR","SCALING_FORMAT=MLN","FA_ADJUSTED=GAAP","Sort=A","Dates=H","DateFormat=P","Fill=—","Direction=H","UseDPDF=Y")</f>
        <v>-26.561</v>
      </c>
      <c r="X56" s="13">
        <f>_xll.BDH("ITCI US Equity","EBITDA","FQ3 2024","FQ3 2024","Currency=USD","Period=FQ","BEST_FPERIOD_OVERRIDE=FQ","FILING_STATUS=MR","SCALING_FORMAT=MLN","FA_ADJUSTED=GAAP","Sort=A","Dates=H","DateFormat=P","Fill=—","Direction=H","UseDPDF=Y")</f>
        <v>-37.658000000000001</v>
      </c>
      <c r="Y56" s="13">
        <f>_xll.BDH("ITCI US Equity","EBITDA","FQ4 2024","FQ4 2024","Currency=USD","Period=FQ","BEST_FPERIOD_OVERRIDE=FQ","FILING_STATUS=MR","SCALING_FORMAT=MLN","FA_ADJUSTED=GAAP","Sort=A","Dates=H","DateFormat=P","Fill=—","Direction=H","UseDPDF=Y")</f>
        <v>-26.981999999999999</v>
      </c>
      <c r="Z56" s="13">
        <v>-12.73</v>
      </c>
      <c r="AA56" s="13">
        <v>-4.4800000000000004</v>
      </c>
    </row>
    <row r="57" spans="1:27" x14ac:dyDescent="0.25">
      <c r="A57" s="10" t="s">
        <v>353</v>
      </c>
      <c r="B57" s="10" t="s">
        <v>354</v>
      </c>
      <c r="C57" s="14" t="str">
        <f>_xll.BDH("ITCI US Equity","EBITDA_MARGIN","FQ2 2019","FQ2 2019","Currency=USD","Period=FQ","BEST_FPERIOD_OVERRIDE=FQ","FILING_STATUS=MR","FA_ADJUSTED=GAAP","Sort=A","Dates=H","DateFormat=P","Fill=—","Direction=H","UseDPDF=Y")</f>
        <v>—</v>
      </c>
      <c r="D57" s="14" t="str">
        <f>_xll.BDH("ITCI US Equity","EBITDA_MARGIN","FQ3 2019","FQ3 2019","Currency=USD","Period=FQ","BEST_FPERIOD_OVERRIDE=FQ","FILING_STATUS=MR","FA_ADJUSTED=GAAP","Sort=A","Dates=H","DateFormat=P","Fill=—","Direction=H","UseDPDF=Y")</f>
        <v>—</v>
      </c>
      <c r="E57" s="14">
        <f>_xll.BDH("ITCI US Equity","EBITDA_MARGIN","FQ4 2019","FQ4 2019","Currency=USD","Period=FQ","BEST_FPERIOD_OVERRIDE=FQ","FILING_STATUS=MR","FA_ADJUSTED=GAAP","Sort=A","Dates=H","DateFormat=P","Fill=—","Direction=H","UseDPDF=Y")</f>
        <v>-247687.34099999999</v>
      </c>
      <c r="F57" s="14">
        <f>_xll.BDH("ITCI US Equity","EBITDA_MARGIN","FQ1 2020","FQ1 2020","Currency=USD","Period=FQ","BEST_FPERIOD_OVERRIDE=FQ","FILING_STATUS=MR","FA_ADJUSTED=GAAP","Sort=A","Dates=H","DateFormat=P","Fill=—","Direction=H","UseDPDF=Y")</f>
        <v>-14202.088900000001</v>
      </c>
      <c r="G57" s="14">
        <f>_xll.BDH("ITCI US Equity","EBITDA_MARGIN","FQ2 2020","FQ2 2020","Currency=USD","Period=FQ","BEST_FPERIOD_OVERRIDE=FQ","FILING_STATUS=MR","FA_ADJUSTED=GAAP","Sort=A","Dates=H","DateFormat=P","Fill=—","Direction=H","UseDPDF=Y")</f>
        <v>-6172.7864</v>
      </c>
      <c r="H57" s="14">
        <f>_xll.BDH("ITCI US Equity","EBITDA_MARGIN","FQ3 2020","FQ3 2020","Currency=USD","Period=FQ","BEST_FPERIOD_OVERRIDE=FQ","FILING_STATUS=MR","FA_ADJUSTED=GAAP","Sort=A","Dates=H","DateFormat=P","Fill=—","Direction=H","UseDPDF=Y")</f>
        <v>-1995.3424</v>
      </c>
      <c r="I57" s="14">
        <f>_xll.BDH("ITCI US Equity","EBITDA_MARGIN","FQ4 2020","FQ4 2020","Currency=USD","Period=FQ","BEST_FPERIOD_OVERRIDE=FQ","FILING_STATUS=MR","FA_ADJUSTED=GAAP","Sort=A","Dates=H","DateFormat=P","Fill=—","Direction=H","UseDPDF=Y")</f>
        <v>-998.98590000000002</v>
      </c>
      <c r="J57" s="14">
        <f>_xll.BDH("ITCI US Equity","EBITDA_MARGIN","FQ1 2021","FQ1 2021","Currency=USD","Period=FQ","BEST_FPERIOD_OVERRIDE=FQ","FILING_STATUS=MR","FA_ADJUSTED=GAAP","Sort=A","Dates=H","DateFormat=P","Fill=—","Direction=H","UseDPDF=Y")</f>
        <v>-617.08270000000005</v>
      </c>
      <c r="K57" s="14">
        <f>_xll.BDH("ITCI US Equity","EBITDA_MARGIN","FQ2 2021","FQ2 2021","Currency=USD","Period=FQ","BEST_FPERIOD_OVERRIDE=FQ","FILING_STATUS=MR","FA_ADJUSTED=GAAP","Sort=A","Dates=H","DateFormat=P","Fill=—","Direction=H","UseDPDF=Y")</f>
        <v>-423.95760000000001</v>
      </c>
      <c r="L57" s="14">
        <f>_xll.BDH("ITCI US Equity","EBITDA_MARGIN","FQ3 2021","FQ3 2021","Currency=USD","Period=FQ","BEST_FPERIOD_OVERRIDE=FQ","FILING_STATUS=MR","FA_ADJUSTED=GAAP","Sort=A","Dates=H","DateFormat=P","Fill=—","Direction=H","UseDPDF=Y")</f>
        <v>-365.11489999999998</v>
      </c>
      <c r="M57" s="14">
        <f>_xll.BDH("ITCI US Equity","EBITDA_MARGIN","FQ4 2021","FQ4 2021","Currency=USD","Period=FQ","BEST_FPERIOD_OVERRIDE=FQ","FILING_STATUS=MR","FA_ADJUSTED=GAAP","Sort=A","Dates=H","DateFormat=P","Fill=—","Direction=H","UseDPDF=Y")</f>
        <v>-336.27179999999998</v>
      </c>
      <c r="N57" s="14">
        <f>_xll.BDH("ITCI US Equity","EBITDA_MARGIN","FQ1 2022","FQ1 2022","Currency=USD","Period=FQ","BEST_FPERIOD_OVERRIDE=FQ","FILING_STATUS=MR","FA_ADJUSTED=GAAP","Sort=A","Dates=H","DateFormat=P","Fill=—","Direction=H","UseDPDF=Y")</f>
        <v>-293.43490000000003</v>
      </c>
      <c r="O57" s="14">
        <f>_xll.BDH("ITCI US Equity","EBITDA_MARGIN","FQ2 2022","FQ2 2022","Currency=USD","Period=FQ","BEST_FPERIOD_OVERRIDE=FQ","FILING_STATUS=MR","FA_ADJUSTED=GAAP","Sort=A","Dates=H","DateFormat=P","Fill=—","Direction=H","UseDPDF=Y")</f>
        <v>-232.238</v>
      </c>
      <c r="P57" s="14">
        <f>_xll.BDH("ITCI US Equity","EBITDA_MARGIN","FQ3 2022","FQ3 2022","Currency=USD","Period=FQ","BEST_FPERIOD_OVERRIDE=FQ","FILING_STATUS=MR","FA_ADJUSTED=GAAP","Sort=A","Dates=H","DateFormat=P","Fill=—","Direction=H","UseDPDF=Y")</f>
        <v>-159.80029999999999</v>
      </c>
      <c r="Q57" s="14">
        <f>_xll.BDH("ITCI US Equity","EBITDA_MARGIN","FQ4 2022","FQ4 2022","Currency=USD","Period=FQ","BEST_FPERIOD_OVERRIDE=FQ","FILING_STATUS=MR","FA_ADJUSTED=GAAP","Sort=A","Dates=H","DateFormat=P","Fill=—","Direction=H","UseDPDF=Y")</f>
        <v>-102.1781</v>
      </c>
      <c r="R57" s="14">
        <f>_xll.BDH("ITCI US Equity","EBITDA_MARGIN","FQ1 2023","FQ1 2023","Currency=USD","Period=FQ","BEST_FPERIOD_OVERRIDE=FQ","FILING_STATUS=MR","FA_ADJUSTED=GAAP","Sort=A","Dates=H","DateFormat=P","Fill=—","Direction=H","UseDPDF=Y")</f>
        <v>-74.188699999999997</v>
      </c>
      <c r="S57" s="14">
        <f>_xll.BDH("ITCI US Equity","EBITDA_MARGIN","FQ2 2023","FQ2 2023","Currency=USD","Period=FQ","BEST_FPERIOD_OVERRIDE=FQ","FILING_STATUS=MR","FA_ADJUSTED=GAAP","Sort=A","Dates=H","DateFormat=P","Fill=—","Direction=H","UseDPDF=Y")</f>
        <v>-51.868200000000002</v>
      </c>
      <c r="T57" s="14">
        <f>_xll.BDH("ITCI US Equity","EBITDA_MARGIN","FQ3 2023","FQ3 2023","Currency=USD","Period=FQ","BEST_FPERIOD_OVERRIDE=FQ","FILING_STATUS=MR","FA_ADJUSTED=GAAP","Sort=A","Dates=H","DateFormat=P","Fill=—","Direction=H","UseDPDF=Y")</f>
        <v>-38.785600000000002</v>
      </c>
      <c r="U57" s="14">
        <f>_xll.BDH("ITCI US Equity","EBITDA_MARGIN","FQ4 2023","FQ4 2023","Currency=USD","Period=FQ","BEST_FPERIOD_OVERRIDE=FQ","FILING_STATUS=MR","FA_ADJUSTED=GAAP","Sort=A","Dates=H","DateFormat=P","Fill=—","Direction=H","UseDPDF=Y")</f>
        <v>-32.122</v>
      </c>
      <c r="V57" s="14">
        <f>_xll.BDH("ITCI US Equity","EBITDA_MARGIN","FQ1 2024","FQ1 2024","Currency=USD","Period=FQ","BEST_FPERIOD_OVERRIDE=FQ","FILING_STATUS=MR","FA_ADJUSTED=GAAP","Sort=A","Dates=H","DateFormat=P","Fill=—","Direction=H","UseDPDF=Y")</f>
        <v>-23.7135</v>
      </c>
      <c r="W57" s="14">
        <f>_xll.BDH("ITCI US Equity","EBITDA_MARGIN","FQ2 2024","FQ2 2024","Currency=USD","Period=FQ","BEST_FPERIOD_OVERRIDE=FQ","FILING_STATUS=MR","FA_ADJUSTED=GAAP","Sort=A","Dates=H","DateFormat=P","Fill=—","Direction=H","UseDPDF=Y")</f>
        <v>-17.957699999999999</v>
      </c>
      <c r="X57" s="14">
        <f>_xll.BDH("ITCI US Equity","EBITDA_MARGIN","FQ3 2024","FQ3 2024","Currency=USD","Period=FQ","BEST_FPERIOD_OVERRIDE=FQ","FILING_STATUS=MR","FA_ADJUSTED=GAAP","Sort=A","Dates=H","DateFormat=P","Fill=—","Direction=H","UseDPDF=Y")</f>
        <v>-17.984200000000001</v>
      </c>
      <c r="Y57" s="14">
        <f>_xll.BDH("ITCI US Equity","EBITDA_MARGIN","FQ4 2024","FQ4 2024","Currency=USD","Period=FQ","BEST_FPERIOD_OVERRIDE=FQ","FILING_STATUS=MR","FA_ADJUSTED=GAAP","Sort=A","Dates=H","DateFormat=P","Fill=—","Direction=H","UseDPDF=Y")</f>
        <v>-16.314900000000002</v>
      </c>
      <c r="Z57" s="14">
        <v>-1.38240866035183</v>
      </c>
      <c r="AA57" s="14"/>
    </row>
    <row r="58" spans="1:27" x14ac:dyDescent="0.25">
      <c r="A58" s="10" t="s">
        <v>355</v>
      </c>
      <c r="B58" s="10" t="s">
        <v>355</v>
      </c>
      <c r="C58" s="13">
        <f>_xll.BDH("ITCI US Equity","EBITA","FQ2 2019","FQ2 2019","Currency=USD","Period=FQ","BEST_FPERIOD_OVERRIDE=FQ","FILING_STATUS=MR","SCALING_FORMAT=MLN","FA_ADJUSTED=GAAP","Sort=A","Dates=H","DateFormat=P","Fill=—","Direction=H","UseDPDF=Y")</f>
        <v>-38.2151</v>
      </c>
      <c r="D58" s="13">
        <f>_xll.BDH("ITCI US Equity","EBITA","FQ3 2019","FQ3 2019","Currency=USD","Period=FQ","BEST_FPERIOD_OVERRIDE=FQ","FILING_STATUS=MR","SCALING_FORMAT=MLN","FA_ADJUSTED=GAAP","Sort=A","Dates=H","DateFormat=P","Fill=—","Direction=H","UseDPDF=Y")</f>
        <v>-35.558199999999999</v>
      </c>
      <c r="E58" s="13">
        <f>_xll.BDH("ITCI US Equity","EBITA","FQ4 2019","FQ4 2019","Currency=USD","Period=FQ","BEST_FPERIOD_OVERRIDE=FQ","FILING_STATUS=MR","SCALING_FORMAT=MLN","FA_ADJUSTED=GAAP","Sort=A","Dates=H","DateFormat=P","Fill=—","Direction=H","UseDPDF=Y")</f>
        <v>-40.968699999999998</v>
      </c>
      <c r="F58" s="13">
        <f>_xll.BDH("ITCI US Equity","EBITA","FQ1 2020","FQ1 2020","Currency=USD","Period=FQ","BEST_FPERIOD_OVERRIDE=FQ","FILING_STATUS=MR","SCALING_FORMAT=MLN","FA_ADJUSTED=GAAP","Sort=A","Dates=H","DateFormat=P","Fill=—","Direction=H","UseDPDF=Y")</f>
        <v>-48.267499999999998</v>
      </c>
      <c r="G58" s="13">
        <f>_xll.BDH("ITCI US Equity","EBITA","FQ2 2020","FQ2 2020","Currency=USD","Period=FQ","BEST_FPERIOD_OVERRIDE=FQ","FILING_STATUS=MR","SCALING_FORMAT=MLN","FA_ADJUSTED=GAAP","Sort=A","Dates=H","DateFormat=P","Fill=—","Direction=H","UseDPDF=Y")</f>
        <v>-64.072299999999998</v>
      </c>
      <c r="H58" s="13">
        <f>_xll.BDH("ITCI US Equity","EBITA","FQ3 2020","FQ3 2020","Currency=USD","Period=FQ","BEST_FPERIOD_OVERRIDE=FQ","FILING_STATUS=MR","SCALING_FORMAT=MLN","FA_ADJUSTED=GAAP","Sort=A","Dates=H","DateFormat=P","Fill=—","Direction=H","UseDPDF=Y")</f>
        <v>-55.136499999999998</v>
      </c>
      <c r="I58" s="13">
        <f>_xll.BDH("ITCI US Equity","EBITA","FQ4 2020","FQ4 2020","Currency=USD","Period=FQ","BEST_FPERIOD_OVERRIDE=FQ","FILING_STATUS=MR","SCALING_FORMAT=MLN","FA_ADJUSTED=GAAP","Sort=A","Dates=H","DateFormat=P","Fill=—","Direction=H","UseDPDF=Y")</f>
        <v>-60.950299999999999</v>
      </c>
      <c r="J58" s="13">
        <f>_xll.BDH("ITCI US Equity","EBITA","FQ1 2021","FQ1 2021","Currency=USD","Period=FQ","BEST_FPERIOD_OVERRIDE=FQ","FILING_STATUS=MR","SCALING_FORMAT=MLN","FA_ADJUSTED=GAAP","Sort=A","Dates=H","DateFormat=P","Fill=—","Direction=H","UseDPDF=Y")</f>
        <v>-52.418700000000001</v>
      </c>
      <c r="K58" s="13">
        <f>_xll.BDH("ITCI US Equity","EBITA","FQ2 2021","FQ2 2021","Currency=USD","Period=FQ","BEST_FPERIOD_OVERRIDE=FQ","FILING_STATUS=MR","SCALING_FORMAT=MLN","FA_ADJUSTED=GAAP","Sort=A","Dates=H","DateFormat=P","Fill=—","Direction=H","UseDPDF=Y")</f>
        <v>-68.341099999999997</v>
      </c>
      <c r="L58" s="13">
        <f>_xll.BDH("ITCI US Equity","EBITA","FQ3 2021","FQ3 2021","Currency=USD","Period=FQ","BEST_FPERIOD_OVERRIDE=FQ","FILING_STATUS=MR","SCALING_FORMAT=MLN","FA_ADJUSTED=GAAP","Sort=A","Dates=H","DateFormat=P","Fill=—","Direction=H","UseDPDF=Y")</f>
        <v>-76.523799999999994</v>
      </c>
      <c r="M58" s="13">
        <f>_xll.BDH("ITCI US Equity","EBITA","FQ4 2021","FQ4 2021","Currency=USD","Period=FQ","BEST_FPERIOD_OVERRIDE=FQ","FILING_STATUS=MR","SCALING_FORMAT=MLN","FA_ADJUSTED=GAAP","Sort=A","Dates=H","DateFormat=P","Fill=—","Direction=H","UseDPDF=Y")</f>
        <v>-85.055700000000002</v>
      </c>
      <c r="N58" s="13">
        <f>_xll.BDH("ITCI US Equity","EBITA","FQ1 2022","FQ1 2022","Currency=USD","Period=FQ","BEST_FPERIOD_OVERRIDE=FQ","FILING_STATUS=MR","SCALING_FORMAT=MLN","FA_ADJUSTED=GAAP","Sort=A","Dates=H","DateFormat=P","Fill=—","Direction=H","UseDPDF=Y")</f>
        <v>-72.662000000000006</v>
      </c>
      <c r="O58" s="13">
        <f>_xll.BDH("ITCI US Equity","EBITA","FQ2 2022","FQ2 2022","Currency=USD","Period=FQ","BEST_FPERIOD_OVERRIDE=FQ","FILING_STATUS=MR","SCALING_FORMAT=MLN","FA_ADJUSTED=GAAP","Sort=A","Dates=H","DateFormat=P","Fill=—","Direction=H","UseDPDF=Y")</f>
        <v>-87.923000000000002</v>
      </c>
      <c r="P58" s="13">
        <f>_xll.BDH("ITCI US Equity","EBITA","FQ3 2022","FQ3 2022","Currency=USD","Period=FQ","BEST_FPERIOD_OVERRIDE=FQ","FILING_STATUS=MR","SCALING_FORMAT=MLN","FA_ADJUSTED=GAAP","Sort=A","Dates=H","DateFormat=P","Fill=—","Direction=H","UseDPDF=Y")</f>
        <v>-55.628999999999998</v>
      </c>
      <c r="Q58" s="13">
        <f>_xll.BDH("ITCI US Equity","EBITA","FQ4 2022","FQ4 2022","Currency=USD","Period=FQ","BEST_FPERIOD_OVERRIDE=FQ","FILING_STATUS=MR","SCALING_FORMAT=MLN","FA_ADJUSTED=GAAP","Sort=A","Dates=H","DateFormat=P","Fill=—","Direction=H","UseDPDF=Y")</f>
        <v>-40.207999999999998</v>
      </c>
      <c r="R58" s="13">
        <f>_xll.BDH("ITCI US Equity","EBITA","FQ1 2023","FQ1 2023","Currency=USD","Period=FQ","BEST_FPERIOD_OVERRIDE=FQ","FILING_STATUS=MR","SCALING_FORMAT=MLN","FA_ADJUSTED=GAAP","Sort=A","Dates=H","DateFormat=P","Fill=—","Direction=H","UseDPDF=Y")</f>
        <v>-47.307000000000002</v>
      </c>
      <c r="S58" s="13">
        <f>_xll.BDH("ITCI US Equity","EBITA","FQ2 2023","FQ2 2023","Currency=USD","Period=FQ","BEST_FPERIOD_OVERRIDE=FQ","FILING_STATUS=MR","SCALING_FORMAT=MLN","FA_ADJUSTED=GAAP","Sort=A","Dates=H","DateFormat=P","Fill=—","Direction=H","UseDPDF=Y")</f>
        <v>-47.179000000000002</v>
      </c>
      <c r="T58" s="13">
        <f>_xll.BDH("ITCI US Equity","EBITA","FQ3 2023","FQ3 2023","Currency=USD","Period=FQ","BEST_FPERIOD_OVERRIDE=FQ","FILING_STATUS=MR","SCALING_FORMAT=MLN","FA_ADJUSTED=GAAP","Sort=A","Dates=H","DateFormat=P","Fill=—","Direction=H","UseDPDF=Y")</f>
        <v>-28.795000000000002</v>
      </c>
      <c r="U58" s="13">
        <f>_xll.BDH("ITCI US Equity","EBITA","FQ4 2023","FQ4 2023","Currency=USD","Period=FQ","BEST_FPERIOD_OVERRIDE=FQ","FILING_STATUS=MR","SCALING_FORMAT=MLN","FA_ADJUSTED=GAAP","Sort=A","Dates=H","DateFormat=P","Fill=—","Direction=H","UseDPDF=Y")</f>
        <v>-26.411999999999999</v>
      </c>
      <c r="V58" s="13">
        <f>_xll.BDH("ITCI US Equity","EBITA","FQ1 2024","FQ1 2024","Currency=USD","Period=FQ","BEST_FPERIOD_OVERRIDE=FQ","FILING_STATUS=MR","SCALING_FORMAT=MLN","FA_ADJUSTED=GAAP","Sort=A","Dates=H","DateFormat=P","Fill=—","Direction=H","UseDPDF=Y")</f>
        <v>-20.010999999999999</v>
      </c>
      <c r="W58" s="13">
        <f>_xll.BDH("ITCI US Equity","EBITA","FQ2 2024","FQ2 2024","Currency=USD","Period=FQ","BEST_FPERIOD_OVERRIDE=FQ","FILING_STATUS=MR","SCALING_FORMAT=MLN","FA_ADJUSTED=GAAP","Sort=A","Dates=H","DateFormat=P","Fill=—","Direction=H","UseDPDF=Y")</f>
        <v>-26.69</v>
      </c>
      <c r="X58" s="13">
        <f>_xll.BDH("ITCI US Equity","EBITA","FQ3 2024","FQ3 2024","Currency=USD","Period=FQ","BEST_FPERIOD_OVERRIDE=FQ","FILING_STATUS=MR","SCALING_FORMAT=MLN","FA_ADJUSTED=GAAP","Sort=A","Dates=H","DateFormat=P","Fill=—","Direction=H","UseDPDF=Y")</f>
        <v>-37.795999999999999</v>
      </c>
      <c r="Y58" s="13">
        <f>_xll.BDH("ITCI US Equity","EBITA","FQ4 2024","FQ4 2024","Currency=USD","Period=FQ","BEST_FPERIOD_OVERRIDE=FQ","FILING_STATUS=MR","SCALING_FORMAT=MLN","FA_ADJUSTED=GAAP","Sort=A","Dates=H","DateFormat=P","Fill=—","Direction=H","UseDPDF=Y")</f>
        <v>-27.091000000000001</v>
      </c>
      <c r="Z58" s="13"/>
      <c r="AA58" s="13"/>
    </row>
    <row r="59" spans="1:27" x14ac:dyDescent="0.25">
      <c r="A59" s="10" t="s">
        <v>141</v>
      </c>
      <c r="B59" s="10" t="s">
        <v>141</v>
      </c>
      <c r="C59" s="13">
        <f>_xll.BDH("ITCI US Equity","EBIT","FQ2 2019","FQ2 2019","Currency=USD","Period=FQ","BEST_FPERIOD_OVERRIDE=FQ","FILING_STATUS=MR","SCALING_FORMAT=MLN","FA_ADJUSTED=GAAP","Sort=A","Dates=H","DateFormat=P","Fill=—","Direction=H","UseDPDF=Y")</f>
        <v>-39.171100000000003</v>
      </c>
      <c r="D59" s="13">
        <f>_xll.BDH("ITCI US Equity","EBIT","FQ3 2019","FQ3 2019","Currency=USD","Period=FQ","BEST_FPERIOD_OVERRIDE=FQ","FILING_STATUS=MR","SCALING_FORMAT=MLN","FA_ADJUSTED=GAAP","Sort=A","Dates=H","DateFormat=P","Fill=—","Direction=H","UseDPDF=Y")</f>
        <v>-36.376199999999997</v>
      </c>
      <c r="E59" s="13">
        <f>_xll.BDH("ITCI US Equity","EBIT","FQ4 2019","FQ4 2019","Currency=USD","Period=FQ","BEST_FPERIOD_OVERRIDE=FQ","FILING_STATUS=MR","SCALING_FORMAT=MLN","FA_ADJUSTED=GAAP","Sort=A","Dates=H","DateFormat=P","Fill=—","Direction=H","UseDPDF=Y")</f>
        <v>-41.768700000000003</v>
      </c>
      <c r="F59" s="13">
        <f>_xll.BDH("ITCI US Equity","EBIT","FQ1 2020","FQ1 2020","Currency=USD","Period=FQ","BEST_FPERIOD_OVERRIDE=FQ","FILING_STATUS=MR","SCALING_FORMAT=MLN","FA_ADJUSTED=GAAP","Sort=A","Dates=H","DateFormat=P","Fill=—","Direction=H","UseDPDF=Y")</f>
        <v>-49.085500000000003</v>
      </c>
      <c r="G59" s="13">
        <f>_xll.BDH("ITCI US Equity","EBIT","FQ2 2020","FQ2 2020","Currency=USD","Period=FQ","BEST_FPERIOD_OVERRIDE=FQ","FILING_STATUS=MR","SCALING_FORMAT=MLN","FA_ADJUSTED=GAAP","Sort=A","Dates=H","DateFormat=P","Fill=—","Direction=H","UseDPDF=Y")</f>
        <v>-64.872299999999996</v>
      </c>
      <c r="H59" s="13">
        <f>_xll.BDH("ITCI US Equity","EBIT","FQ3 2020","FQ3 2020","Currency=USD","Period=FQ","BEST_FPERIOD_OVERRIDE=FQ","FILING_STATUS=MR","SCALING_FORMAT=MLN","FA_ADJUSTED=GAAP","Sort=A","Dates=H","DateFormat=P","Fill=—","Direction=H","UseDPDF=Y")</f>
        <v>-55.936500000000002</v>
      </c>
      <c r="I59" s="13">
        <f>_xll.BDH("ITCI US Equity","EBIT","FQ4 2020","FQ4 2020","Currency=USD","Period=FQ","BEST_FPERIOD_OVERRIDE=FQ","FILING_STATUS=MR","SCALING_FORMAT=MLN","FA_ADJUSTED=GAAP","Sort=A","Dates=H","DateFormat=P","Fill=—","Direction=H","UseDPDF=Y")</f>
        <v>-61.333300000000001</v>
      </c>
      <c r="J59" s="13">
        <f>_xll.BDH("ITCI US Equity","EBIT","FQ1 2021","FQ1 2021","Currency=USD","Period=FQ","BEST_FPERIOD_OVERRIDE=FQ","FILING_STATUS=MR","SCALING_FORMAT=MLN","FA_ADJUSTED=GAAP","Sort=A","Dates=H","DateFormat=P","Fill=—","Direction=H","UseDPDF=Y")</f>
        <v>-53.218699999999998</v>
      </c>
      <c r="K59" s="13">
        <f>_xll.BDH("ITCI US Equity","EBIT","FQ2 2021","FQ2 2021","Currency=USD","Period=FQ","BEST_FPERIOD_OVERRIDE=FQ","FILING_STATUS=MR","SCALING_FORMAT=MLN","FA_ADJUSTED=GAAP","Sort=A","Dates=H","DateFormat=P","Fill=—","Direction=H","UseDPDF=Y")</f>
        <v>-69.141099999999994</v>
      </c>
      <c r="L59" s="13">
        <f>_xll.BDH("ITCI US Equity","EBIT","FQ3 2021","FQ3 2021","Currency=USD","Period=FQ","BEST_FPERIOD_OVERRIDE=FQ","FILING_STATUS=MR","SCALING_FORMAT=MLN","FA_ADJUSTED=GAAP","Sort=A","Dates=H","DateFormat=P","Fill=—","Direction=H","UseDPDF=Y")</f>
        <v>-77.323800000000006</v>
      </c>
      <c r="M59" s="13">
        <f>_xll.BDH("ITCI US Equity","EBIT","FQ4 2021","FQ4 2021","Currency=USD","Period=FQ","BEST_FPERIOD_OVERRIDE=FQ","FILING_STATUS=MR","SCALING_FORMAT=MLN","FA_ADJUSTED=GAAP","Sort=A","Dates=H","DateFormat=P","Fill=—","Direction=H","UseDPDF=Y")</f>
        <v>-86.004599999999996</v>
      </c>
      <c r="N59" s="13">
        <f>_xll.BDH("ITCI US Equity","EBIT","FQ1 2022","FQ1 2022","Currency=USD","Period=FQ","BEST_FPERIOD_OVERRIDE=FQ","FILING_STATUS=MR","SCALING_FORMAT=MLN","FA_ADJUSTED=GAAP","Sort=A","Dates=H","DateFormat=P","Fill=—","Direction=H","UseDPDF=Y")</f>
        <v>-72.662000000000006</v>
      </c>
      <c r="O59" s="13">
        <f>_xll.BDH("ITCI US Equity","EBIT","FQ2 2022","FQ2 2022","Currency=USD","Period=FQ","BEST_FPERIOD_OVERRIDE=FQ","FILING_STATUS=MR","SCALING_FORMAT=MLN","FA_ADJUSTED=GAAP","Sort=A","Dates=H","DateFormat=P","Fill=—","Direction=H","UseDPDF=Y")</f>
        <v>-87.923000000000002</v>
      </c>
      <c r="P59" s="13">
        <f>_xll.BDH("ITCI US Equity","EBIT","FQ3 2022","FQ3 2022","Currency=USD","Period=FQ","BEST_FPERIOD_OVERRIDE=FQ","FILING_STATUS=MR","SCALING_FORMAT=MLN","FA_ADJUSTED=GAAP","Sort=A","Dates=H","DateFormat=P","Fill=—","Direction=H","UseDPDF=Y")</f>
        <v>-55.628999999999998</v>
      </c>
      <c r="Q59" s="13">
        <f>_xll.BDH("ITCI US Equity","EBIT","FQ4 2022","FQ4 2022","Currency=USD","Period=FQ","BEST_FPERIOD_OVERRIDE=FQ","FILING_STATUS=MR","SCALING_FORMAT=MLN","FA_ADJUSTED=GAAP","Sort=A","Dates=H","DateFormat=P","Fill=—","Direction=H","UseDPDF=Y")</f>
        <v>-47.411999999999999</v>
      </c>
      <c r="R59" s="13">
        <f>_xll.BDH("ITCI US Equity","EBIT","FQ1 2023","FQ1 2023","Currency=USD","Period=FQ","BEST_FPERIOD_OVERRIDE=FQ","FILING_STATUS=MR","SCALING_FORMAT=MLN","FA_ADJUSTED=GAAP","Sort=A","Dates=H","DateFormat=P","Fill=—","Direction=H","UseDPDF=Y")</f>
        <v>-48.392000000000003</v>
      </c>
      <c r="S59" s="13">
        <f>_xll.BDH("ITCI US Equity","EBIT","FQ2 2023","FQ2 2023","Currency=USD","Period=FQ","BEST_FPERIOD_OVERRIDE=FQ","FILING_STATUS=MR","SCALING_FORMAT=MLN","FA_ADJUSTED=GAAP","Sort=A","Dates=H","DateFormat=P","Fill=—","Direction=H","UseDPDF=Y")</f>
        <v>-47.179000000000002</v>
      </c>
      <c r="T59" s="13">
        <f>_xll.BDH("ITCI US Equity","EBIT","FQ3 2023","FQ3 2023","Currency=USD","Period=FQ","BEST_FPERIOD_OVERRIDE=FQ","FILING_STATUS=MR","SCALING_FORMAT=MLN","FA_ADJUSTED=GAAP","Sort=A","Dates=H","DateFormat=P","Fill=—","Direction=H","UseDPDF=Y")</f>
        <v>-29.713000000000001</v>
      </c>
      <c r="U59" s="13">
        <f>_xll.BDH("ITCI US Equity","EBIT","FQ4 2023","FQ4 2023","Currency=USD","Period=FQ","BEST_FPERIOD_OVERRIDE=FQ","FILING_STATUS=MR","SCALING_FORMAT=MLN","FA_ADJUSTED=GAAP","Sort=A","Dates=H","DateFormat=P","Fill=—","Direction=H","UseDPDF=Y")</f>
        <v>-34.097000000000001</v>
      </c>
      <c r="V59" s="13">
        <f>_xll.BDH("ITCI US Equity","EBIT","FQ1 2024","FQ1 2024","Currency=USD","Period=FQ","BEST_FPERIOD_OVERRIDE=FQ","FILING_STATUS=MR","SCALING_FORMAT=MLN","FA_ADJUSTED=GAAP","Sort=A","Dates=H","DateFormat=P","Fill=—","Direction=H","UseDPDF=Y")</f>
        <v>-20.952000000000002</v>
      </c>
      <c r="W59" s="13">
        <f>_xll.BDH("ITCI US Equity","EBIT","FQ2 2024","FQ2 2024","Currency=USD","Period=FQ","BEST_FPERIOD_OVERRIDE=FQ","FILING_STATUS=MR","SCALING_FORMAT=MLN","FA_ADJUSTED=GAAP","Sort=A","Dates=H","DateFormat=P","Fill=—","Direction=H","UseDPDF=Y")</f>
        <v>-27.722999999999999</v>
      </c>
      <c r="X59" s="13">
        <f>_xll.BDH("ITCI US Equity","EBIT","FQ3 2024","FQ3 2024","Currency=USD","Period=FQ","BEST_FPERIOD_OVERRIDE=FQ","FILING_STATUS=MR","SCALING_FORMAT=MLN","FA_ADJUSTED=GAAP","Sort=A","Dates=H","DateFormat=P","Fill=—","Direction=H","UseDPDF=Y")</f>
        <v>-38.848999999999997</v>
      </c>
      <c r="Y59" s="13">
        <f>_xll.BDH("ITCI US Equity","EBIT","FQ4 2024","FQ4 2024","Currency=USD","Period=FQ","BEST_FPERIOD_OVERRIDE=FQ","FILING_STATUS=MR","SCALING_FORMAT=MLN","FA_ADJUSTED=GAAP","Sort=A","Dates=H","DateFormat=P","Fill=—","Direction=H","UseDPDF=Y")</f>
        <v>-29.196999999999999</v>
      </c>
      <c r="Z59" s="13">
        <v>-19.46</v>
      </c>
      <c r="AA59" s="13">
        <v>-14.603999999999999</v>
      </c>
    </row>
    <row r="60" spans="1:27" x14ac:dyDescent="0.25">
      <c r="A60" s="10" t="s">
        <v>356</v>
      </c>
      <c r="B60" s="10" t="s">
        <v>152</v>
      </c>
      <c r="C60" s="14" t="str">
        <f>_xll.BDH("ITCI US Equity","GROSS_MARGIN","FQ2 2019","FQ2 2019","Currency=USD","Period=FQ","BEST_FPERIOD_OVERRIDE=FQ","FILING_STATUS=MR","FA_ADJUSTED=GAAP","Sort=A","Dates=H","DateFormat=P","Fill=—","Direction=H","UseDPDF=Y")</f>
        <v>—</v>
      </c>
      <c r="D60" s="14" t="str">
        <f>_xll.BDH("ITCI US Equity","GROSS_MARGIN","FQ3 2019","FQ3 2019","Currency=USD","Period=FQ","BEST_FPERIOD_OVERRIDE=FQ","FILING_STATUS=MR","FA_ADJUSTED=GAAP","Sort=A","Dates=H","DateFormat=P","Fill=—","Direction=H","UseDPDF=Y")</f>
        <v>—</v>
      </c>
      <c r="E60" s="14" t="str">
        <f>_xll.BDH("ITCI US Equity","GROSS_MARGIN","FQ4 2019","FQ4 2019","Currency=USD","Period=FQ","BEST_FPERIOD_OVERRIDE=FQ","FILING_STATUS=MR","FA_ADJUSTED=GAAP","Sort=A","Dates=H","DateFormat=P","Fill=—","Direction=H","UseDPDF=Y")</f>
        <v>—</v>
      </c>
      <c r="F60" s="14">
        <f>_xll.BDH("ITCI US Equity","GROSS_MARGIN","FQ1 2020","FQ1 2020","Currency=USD","Period=FQ","BEST_FPERIOD_OVERRIDE=FQ","FILING_STATUS=MR","FA_ADJUSTED=GAAP","Sort=A","Dates=H","DateFormat=P","Fill=—","Direction=H","UseDPDF=Y")</f>
        <v>93.602900000000005</v>
      </c>
      <c r="G60" s="14">
        <f>_xll.BDH("ITCI US Equity","GROSS_MARGIN","FQ2 2020","FQ2 2020","Currency=USD","Period=FQ","BEST_FPERIOD_OVERRIDE=FQ","FILING_STATUS=MR","FA_ADJUSTED=GAAP","Sort=A","Dates=H","DateFormat=P","Fill=—","Direction=H","UseDPDF=Y")</f>
        <v>93.258300000000006</v>
      </c>
      <c r="H60" s="14">
        <f>_xll.BDH("ITCI US Equity","GROSS_MARGIN","FQ3 2020","FQ3 2020","Currency=USD","Period=FQ","BEST_FPERIOD_OVERRIDE=FQ","FILING_STATUS=MR","FA_ADJUSTED=GAAP","Sort=A","Dates=H","DateFormat=P","Fill=—","Direction=H","UseDPDF=Y")</f>
        <v>92.453000000000003</v>
      </c>
      <c r="I60" s="14">
        <f>_xll.BDH("ITCI US Equity","GROSS_MARGIN","FQ4 2020","FQ4 2020","Currency=USD","Period=FQ","BEST_FPERIOD_OVERRIDE=FQ","FILING_STATUS=MR","FA_ADJUSTED=GAAP","Sort=A","Dates=H","DateFormat=P","Fill=—","Direction=H","UseDPDF=Y")</f>
        <v>90.837900000000005</v>
      </c>
      <c r="J60" s="14">
        <f>_xll.BDH("ITCI US Equity","GROSS_MARGIN","FQ1 2021","FQ1 2021","Currency=USD","Period=FQ","BEST_FPERIOD_OVERRIDE=FQ","FILING_STATUS=MR","FA_ADJUSTED=GAAP","Sort=A","Dates=H","DateFormat=P","Fill=—","Direction=H","UseDPDF=Y")</f>
        <v>90.8352</v>
      </c>
      <c r="K60" s="14">
        <f>_xll.BDH("ITCI US Equity","GROSS_MARGIN","FQ2 2021","FQ2 2021","Currency=USD","Period=FQ","BEST_FPERIOD_OVERRIDE=FQ","FILING_STATUS=MR","FA_ADJUSTED=GAAP","Sort=A","Dates=H","DateFormat=P","Fill=—","Direction=H","UseDPDF=Y")</f>
        <v>89.823499999999996</v>
      </c>
      <c r="L60" s="14">
        <f>_xll.BDH("ITCI US Equity","GROSS_MARGIN","FQ3 2021","FQ3 2021","Currency=USD","Period=FQ","BEST_FPERIOD_OVERRIDE=FQ","FILING_STATUS=MR","FA_ADJUSTED=GAAP","Sort=A","Dates=H","DateFormat=P","Fill=—","Direction=H","UseDPDF=Y")</f>
        <v>90.988</v>
      </c>
      <c r="M60" s="14">
        <f>_xll.BDH("ITCI US Equity","GROSS_MARGIN","FQ4 2021","FQ4 2021","Currency=USD","Period=FQ","BEST_FPERIOD_OVERRIDE=FQ","FILING_STATUS=MR","FA_ADJUSTED=GAAP","Sort=A","Dates=H","DateFormat=P","Fill=—","Direction=H","UseDPDF=Y")</f>
        <v>90.113200000000006</v>
      </c>
      <c r="N60" s="14">
        <f>_xll.BDH("ITCI US Equity","GROSS_MARGIN","FQ1 2022","FQ1 2022","Currency=USD","Period=FQ","BEST_FPERIOD_OVERRIDE=FQ","FILING_STATUS=MR","FA_ADJUSTED=GAAP","Sort=A","Dates=H","DateFormat=P","Fill=—","Direction=H","UseDPDF=Y")</f>
        <v>90.984700000000004</v>
      </c>
      <c r="O60" s="14">
        <f>_xll.BDH("ITCI US Equity","GROSS_MARGIN","FQ2 2022","FQ2 2022","Currency=USD","Period=FQ","BEST_FPERIOD_OVERRIDE=FQ","FILING_STATUS=MR","FA_ADJUSTED=GAAP","Sort=A","Dates=H","DateFormat=P","Fill=—","Direction=H","UseDPDF=Y")</f>
        <v>91.633499999999998</v>
      </c>
      <c r="P60" s="14">
        <f>_xll.BDH("ITCI US Equity","GROSS_MARGIN","FQ3 2022","FQ3 2022","Currency=USD","Period=FQ","BEST_FPERIOD_OVERRIDE=FQ","FILING_STATUS=MR","FA_ADJUSTED=GAAP","Sort=A","Dates=H","DateFormat=P","Fill=—","Direction=H","UseDPDF=Y")</f>
        <v>91.860299999999995</v>
      </c>
      <c r="Q60" s="14">
        <f>_xll.BDH("ITCI US Equity","GROSS_MARGIN","FQ4 2022","FQ4 2022","Currency=USD","Period=FQ","BEST_FPERIOD_OVERRIDE=FQ","FILING_STATUS=MR","FA_ADJUSTED=GAAP","Sort=A","Dates=H","DateFormat=P","Fill=—","Direction=H","UseDPDF=Y")</f>
        <v>92.274900000000002</v>
      </c>
      <c r="R60" s="14">
        <f>_xll.BDH("ITCI US Equity","GROSS_MARGIN","FQ1 2023","FQ1 2023","Currency=USD","Period=FQ","BEST_FPERIOD_OVERRIDE=FQ","FILING_STATUS=MR","FA_ADJUSTED=GAAP","Sort=A","Dates=H","DateFormat=P","Fill=—","Direction=H","UseDPDF=Y")</f>
        <v>92.916499999999999</v>
      </c>
      <c r="S60" s="14">
        <f>_xll.BDH("ITCI US Equity","GROSS_MARGIN","FQ2 2023","FQ2 2023","Currency=USD","Period=FQ","BEST_FPERIOD_OVERRIDE=FQ","FILING_STATUS=MR","FA_ADJUSTED=GAAP","Sort=A","Dates=H","DateFormat=P","Fill=—","Direction=H","UseDPDF=Y")</f>
        <v>93.534700000000001</v>
      </c>
      <c r="T60" s="14">
        <f>_xll.BDH("ITCI US Equity","GROSS_MARGIN","FQ3 2023","FQ3 2023","Currency=USD","Period=FQ","BEST_FPERIOD_OVERRIDE=FQ","FILING_STATUS=MR","FA_ADJUSTED=GAAP","Sort=A","Dates=H","DateFormat=P","Fill=—","Direction=H","UseDPDF=Y")</f>
        <v>92.764700000000005</v>
      </c>
      <c r="U60" s="14">
        <f>_xll.BDH("ITCI US Equity","GROSS_MARGIN","FQ4 2023","FQ4 2023","Currency=USD","Period=FQ","BEST_FPERIOD_OVERRIDE=FQ","FILING_STATUS=MR","FA_ADJUSTED=GAAP","Sort=A","Dates=H","DateFormat=P","Fill=—","Direction=H","UseDPDF=Y")</f>
        <v>91.898499999999999</v>
      </c>
      <c r="V60" s="14">
        <f>_xll.BDH("ITCI US Equity","GROSS_MARGIN","FQ1 2024","FQ1 2024","Currency=USD","Period=FQ","BEST_FPERIOD_OVERRIDE=FQ","FILING_STATUS=MR","FA_ADJUSTED=GAAP","Sort=A","Dates=H","DateFormat=P","Fill=—","Direction=H","UseDPDF=Y")</f>
        <v>93.1661</v>
      </c>
      <c r="W60" s="14">
        <f>_xll.BDH("ITCI US Equity","GROSS_MARGIN","FQ2 2024","FQ2 2024","Currency=USD","Period=FQ","BEST_FPERIOD_OVERRIDE=FQ","FILING_STATUS=MR","FA_ADJUSTED=GAAP","Sort=A","Dates=H","DateFormat=P","Fill=—","Direction=H","UseDPDF=Y")</f>
        <v>92.964799999999997</v>
      </c>
      <c r="X60" s="14">
        <f>_xll.BDH("ITCI US Equity","GROSS_MARGIN","FQ3 2024","FQ3 2024","Currency=USD","Period=FQ","BEST_FPERIOD_OVERRIDE=FQ","FILING_STATUS=MR","FA_ADJUSTED=GAAP","Sort=A","Dates=H","DateFormat=P","Fill=—","Direction=H","UseDPDF=Y")</f>
        <v>91.273600000000002</v>
      </c>
      <c r="Y60" s="14">
        <f>_xll.BDH("ITCI US Equity","GROSS_MARGIN","FQ4 2024","FQ4 2024","Currency=USD","Period=FQ","BEST_FPERIOD_OVERRIDE=FQ","FILING_STATUS=MR","FA_ADJUSTED=GAAP","Sort=A","Dates=H","DateFormat=P","Fill=—","Direction=H","UseDPDF=Y")</f>
        <v>89.7577</v>
      </c>
      <c r="Z60" s="14"/>
      <c r="AA60" s="14"/>
    </row>
    <row r="61" spans="1:27" x14ac:dyDescent="0.25">
      <c r="A61" s="10" t="s">
        <v>357</v>
      </c>
      <c r="B61" s="10" t="s">
        <v>358</v>
      </c>
      <c r="C61" s="14" t="str">
        <f>_xll.BDH("ITCI US Equity","OPER_MARGIN","FQ2 2019","FQ2 2019","Currency=USD","Period=FQ","BEST_FPERIOD_OVERRIDE=FQ","FILING_STATUS=MR","FA_ADJUSTED=GAAP","Sort=A","Dates=H","DateFormat=P","Fill=—","Direction=H","UseDPDF=Y")</f>
        <v>—</v>
      </c>
      <c r="D61" s="14" t="str">
        <f>_xll.BDH("ITCI US Equity","OPER_MARGIN","FQ3 2019","FQ3 2019","Currency=USD","Period=FQ","BEST_FPERIOD_OVERRIDE=FQ","FILING_STATUS=MR","FA_ADJUSTED=GAAP","Sort=A","Dates=H","DateFormat=P","Fill=—","Direction=H","UseDPDF=Y")</f>
        <v>—</v>
      </c>
      <c r="E61" s="14">
        <f>_xll.BDH("ITCI US Equity","OPER_MARGIN","FQ4 2019","FQ4 2019","Currency=USD","Period=FQ","BEST_FPERIOD_OVERRIDE=FQ","FILING_STATUS=MR","FA_ADJUSTED=GAAP","Sort=A","Dates=H","DateFormat=P","Fill=—","Direction=H","UseDPDF=Y")</f>
        <v>-68910.397100000002</v>
      </c>
      <c r="F61" s="14">
        <f>_xll.BDH("ITCI US Equity","OPER_MARGIN","FQ1 2020","FQ1 2020","Currency=USD","Period=FQ","BEST_FPERIOD_OVERRIDE=FQ","FILING_STATUS=MR","FA_ADJUSTED=GAAP","Sort=A","Dates=H","DateFormat=P","Fill=—","Direction=H","UseDPDF=Y")</f>
        <v>-4530.3622999999998</v>
      </c>
      <c r="G61" s="14">
        <f>_xll.BDH("ITCI US Equity","OPER_MARGIN","FQ2 2020","FQ2 2020","Currency=USD","Period=FQ","BEST_FPERIOD_OVERRIDE=FQ","FILING_STATUS=MR","FA_ADJUSTED=GAAP","Sort=A","Dates=H","DateFormat=P","Fill=—","Direction=H","UseDPDF=Y")</f>
        <v>-3402.4490000000001</v>
      </c>
      <c r="H61" s="14">
        <f>_xll.BDH("ITCI US Equity","OPER_MARGIN","FQ3 2020","FQ3 2020","Currency=USD","Period=FQ","BEST_FPERIOD_OVERRIDE=FQ","FILING_STATUS=MR","FA_ADJUSTED=GAAP","Sort=A","Dates=H","DateFormat=P","Fill=—","Direction=H","UseDPDF=Y")</f>
        <v>-759.11980000000005</v>
      </c>
      <c r="I61" s="14">
        <f>_xll.BDH("ITCI US Equity","OPER_MARGIN","FQ4 2020","FQ4 2020","Currency=USD","Period=FQ","BEST_FPERIOD_OVERRIDE=FQ","FILING_STATUS=MR","FA_ADJUSTED=GAAP","Sort=A","Dates=H","DateFormat=P","Fill=—","Direction=H","UseDPDF=Y")</f>
        <v>-492.4683</v>
      </c>
      <c r="J61" s="14">
        <f>_xll.BDH("ITCI US Equity","OPER_MARGIN","FQ1 2021","FQ1 2021","Currency=USD","Period=FQ","BEST_FPERIOD_OVERRIDE=FQ","FILING_STATUS=MR","FA_ADJUSTED=GAAP","Sort=A","Dates=H","DateFormat=P","Fill=—","Direction=H","UseDPDF=Y")</f>
        <v>-335.16559999999998</v>
      </c>
      <c r="K61" s="14">
        <f>_xll.BDH("ITCI US Equity","OPER_MARGIN","FQ2 2021","FQ2 2021","Currency=USD","Period=FQ","BEST_FPERIOD_OVERRIDE=FQ","FILING_STATUS=MR","FA_ADJUSTED=GAAP","Sort=A","Dates=H","DateFormat=P","Fill=—","Direction=H","UseDPDF=Y")</f>
        <v>-344.90230000000003</v>
      </c>
      <c r="L61" s="14">
        <f>_xll.BDH("ITCI US Equity","OPER_MARGIN","FQ3 2021","FQ3 2021","Currency=USD","Period=FQ","BEST_FPERIOD_OVERRIDE=FQ","FILING_STATUS=MR","FA_ADJUSTED=GAAP","Sort=A","Dates=H","DateFormat=P","Fill=—","Direction=H","UseDPDF=Y")</f>
        <v>-348.19260000000003</v>
      </c>
      <c r="M61" s="14">
        <f>_xll.BDH("ITCI US Equity","OPER_MARGIN","FQ4 2021","FQ4 2021","Currency=USD","Period=FQ","BEST_FPERIOD_OVERRIDE=FQ","FILING_STATUS=MR","FA_ADJUSTED=GAAP","Sort=A","Dates=H","DateFormat=P","Fill=—","Direction=H","UseDPDF=Y")</f>
        <v>-335.02710000000002</v>
      </c>
      <c r="N61" s="14">
        <f>_xll.BDH("ITCI US Equity","OPER_MARGIN","FQ1 2022","FQ1 2022","Currency=USD","Period=FQ","BEST_FPERIOD_OVERRIDE=FQ","FILING_STATUS=MR","FA_ADJUSTED=GAAP","Sort=A","Dates=H","DateFormat=P","Fill=—","Direction=H","UseDPDF=Y")</f>
        <v>-207.6294</v>
      </c>
      <c r="O61" s="14">
        <f>_xll.BDH("ITCI US Equity","OPER_MARGIN","FQ2 2022","FQ2 2022","Currency=USD","Period=FQ","BEST_FPERIOD_OVERRIDE=FQ","FILING_STATUS=MR","FA_ADJUSTED=GAAP","Sort=A","Dates=H","DateFormat=P","Fill=—","Direction=H","UseDPDF=Y")</f>
        <v>-158.19460000000001</v>
      </c>
      <c r="P61" s="14">
        <f>_xll.BDH("ITCI US Equity","OPER_MARGIN","FQ3 2022","FQ3 2022","Currency=USD","Period=FQ","BEST_FPERIOD_OVERRIDE=FQ","FILING_STATUS=MR","FA_ADJUSTED=GAAP","Sort=A","Dates=H","DateFormat=P","Fill=—","Direction=H","UseDPDF=Y")</f>
        <v>-77.402299999999997</v>
      </c>
      <c r="Q61" s="14">
        <f>_xll.BDH("ITCI US Equity","OPER_MARGIN","FQ4 2022","FQ4 2022","Currency=USD","Period=FQ","BEST_FPERIOD_OVERRIDE=FQ","FILING_STATUS=MR","FA_ADJUSTED=GAAP","Sort=A","Dates=H","DateFormat=P","Fill=—","Direction=H","UseDPDF=Y")</f>
        <v>-53.957599999999999</v>
      </c>
      <c r="R61" s="14">
        <f>_xll.BDH("ITCI US Equity","OPER_MARGIN","FQ1 2023","FQ1 2023","Currency=USD","Period=FQ","BEST_FPERIOD_OVERRIDE=FQ","FILING_STATUS=MR","FA_ADJUSTED=GAAP","Sort=A","Dates=H","DateFormat=P","Fill=—","Direction=H","UseDPDF=Y")</f>
        <v>-50.775399999999998</v>
      </c>
      <c r="S61" s="14">
        <f>_xll.BDH("ITCI US Equity","OPER_MARGIN","FQ2 2023","FQ2 2023","Currency=USD","Period=FQ","BEST_FPERIOD_OVERRIDE=FQ","FILING_STATUS=MR","FA_ADJUSTED=GAAP","Sort=A","Dates=H","DateFormat=P","Fill=—","Direction=H","UseDPDF=Y")</f>
        <v>-42.583399999999997</v>
      </c>
      <c r="T61" s="14">
        <f>_xll.BDH("ITCI US Equity","OPER_MARGIN","FQ3 2023","FQ3 2023","Currency=USD","Period=FQ","BEST_FPERIOD_OVERRIDE=FQ","FILING_STATUS=MR","FA_ADJUSTED=GAAP","Sort=A","Dates=H","DateFormat=P","Fill=—","Direction=H","UseDPDF=Y")</f>
        <v>-23.549399999999999</v>
      </c>
      <c r="U61" s="14">
        <f>_xll.BDH("ITCI US Equity","OPER_MARGIN","FQ4 2023","FQ4 2023","Currency=USD","Period=FQ","BEST_FPERIOD_OVERRIDE=FQ","FILING_STATUS=MR","FA_ADJUSTED=GAAP","Sort=A","Dates=H","DateFormat=P","Fill=—","Direction=H","UseDPDF=Y")</f>
        <v>-25.811699999999998</v>
      </c>
      <c r="V61" s="14">
        <f>_xll.BDH("ITCI US Equity","OPER_MARGIN","FQ1 2024","FQ1 2024","Currency=USD","Period=FQ","BEST_FPERIOD_OVERRIDE=FQ","FILING_STATUS=MR","FA_ADJUSTED=GAAP","Sort=A","Dates=H","DateFormat=P","Fill=—","Direction=H","UseDPDF=Y")</f>
        <v>-14.462999999999999</v>
      </c>
      <c r="W61" s="14">
        <f>_xll.BDH("ITCI US Equity","OPER_MARGIN","FQ2 2024","FQ2 2024","Currency=USD","Period=FQ","BEST_FPERIOD_OVERRIDE=FQ","FILING_STATUS=MR","FA_ADJUSTED=GAAP","Sort=A","Dates=H","DateFormat=P","Fill=—","Direction=H","UseDPDF=Y")</f>
        <v>-17.177900000000001</v>
      </c>
      <c r="X61" s="14">
        <f>_xll.BDH("ITCI US Equity","OPER_MARGIN","FQ3 2024","FQ3 2024","Currency=USD","Period=FQ","BEST_FPERIOD_OVERRIDE=FQ","FILING_STATUS=MR","FA_ADJUSTED=GAAP","Sort=A","Dates=H","DateFormat=P","Fill=—","Direction=H","UseDPDF=Y")</f>
        <v>-22.152000000000001</v>
      </c>
      <c r="Y61" s="14">
        <f>_xll.BDH("ITCI US Equity","OPER_MARGIN","FQ4 2024","FQ4 2024","Currency=USD","Period=FQ","BEST_FPERIOD_OVERRIDE=FQ","FILING_STATUS=MR","FA_ADJUSTED=GAAP","Sort=A","Dates=H","DateFormat=P","Fill=—","Direction=H","UseDPDF=Y")</f>
        <v>-14.6554</v>
      </c>
      <c r="Z61" s="14">
        <v>-9.5450643776823991</v>
      </c>
      <c r="AA61" s="14">
        <v>-6.6684931506849301</v>
      </c>
    </row>
    <row r="62" spans="1:27" x14ac:dyDescent="0.25">
      <c r="A62" s="10" t="s">
        <v>359</v>
      </c>
      <c r="B62" s="10" t="s">
        <v>360</v>
      </c>
      <c r="C62" s="14" t="str">
        <f>_xll.BDH("ITCI US Equity","PROF_MARGIN","FQ2 2019","FQ2 2019","Currency=USD","Period=FQ","BEST_FPERIOD_OVERRIDE=FQ","FILING_STATUS=MR","FA_ADJUSTED=GAAP","Sort=A","Dates=H","DateFormat=P","Fill=—","Direction=H","UseDPDF=Y")</f>
        <v>—</v>
      </c>
      <c r="D62" s="14" t="str">
        <f>_xll.BDH("ITCI US Equity","PROF_MARGIN","FQ3 2019","FQ3 2019","Currency=USD","Period=FQ","BEST_FPERIOD_OVERRIDE=FQ","FILING_STATUS=MR","FA_ADJUSTED=GAAP","Sort=A","Dates=H","DateFormat=P","Fill=—","Direction=H","UseDPDF=Y")</f>
        <v>—</v>
      </c>
      <c r="E62" s="14">
        <f>_xll.BDH("ITCI US Equity","PROF_MARGIN","FQ4 2019","FQ4 2019","Currency=USD","Period=FQ","BEST_FPERIOD_OVERRIDE=FQ","FILING_STATUS=MR","FA_ADJUSTED=GAAP","Sort=A","Dates=H","DateFormat=P","Fill=—","Direction=H","UseDPDF=Y")</f>
        <v>-66954.037899999996</v>
      </c>
      <c r="F62" s="14">
        <f>_xll.BDH("ITCI US Equity","PROF_MARGIN","FQ1 2020","FQ1 2020","Currency=USD","Period=FQ","BEST_FPERIOD_OVERRIDE=FQ","FILING_STATUS=MR","FA_ADJUSTED=GAAP","Sort=A","Dates=H","DateFormat=P","Fill=—","Direction=H","UseDPDF=Y")</f>
        <v>-4375.7749000000003</v>
      </c>
      <c r="G62" s="14">
        <f>_xll.BDH("ITCI US Equity","PROF_MARGIN","FQ2 2020","FQ2 2020","Currency=USD","Period=FQ","BEST_FPERIOD_OVERRIDE=FQ","FILING_STATUS=MR","FA_ADJUSTED=GAAP","Sort=A","Dates=H","DateFormat=P","Fill=—","Direction=H","UseDPDF=Y")</f>
        <v>-3341.6057000000001</v>
      </c>
      <c r="H62" s="14">
        <f>_xll.BDH("ITCI US Equity","PROF_MARGIN","FQ3 2020","FQ3 2020","Currency=USD","Period=FQ","BEST_FPERIOD_OVERRIDE=FQ","FILING_STATUS=MR","FA_ADJUSTED=GAAP","Sort=A","Dates=H","DateFormat=P","Fill=—","Direction=H","UseDPDF=Y")</f>
        <v>-748.90300000000002</v>
      </c>
      <c r="I62" s="14">
        <f>_xll.BDH("ITCI US Equity","PROF_MARGIN","FQ4 2020","FQ4 2020","Currency=USD","Period=FQ","BEST_FPERIOD_OVERRIDE=FQ","FILING_STATUS=MR","FA_ADJUSTED=GAAP","Sort=A","Dates=H","DateFormat=P","Fill=—","Direction=H","UseDPDF=Y")</f>
        <v>-487.37639999999999</v>
      </c>
      <c r="J62" s="14">
        <f>_xll.BDH("ITCI US Equity","PROF_MARGIN","FQ1 2021","FQ1 2021","Currency=USD","Period=FQ","BEST_FPERIOD_OVERRIDE=FQ","FILING_STATUS=MR","FA_ADJUSTED=GAAP","Sort=A","Dates=H","DateFormat=P","Fill=—","Direction=H","UseDPDF=Y")</f>
        <v>-332.15050000000002</v>
      </c>
      <c r="K62" s="14">
        <f>_xll.BDH("ITCI US Equity","PROF_MARGIN","FQ2 2021","FQ2 2021","Currency=USD","Period=FQ","BEST_FPERIOD_OVERRIDE=FQ","FILING_STATUS=MR","FA_ADJUSTED=GAAP","Sort=A","Dates=H","DateFormat=P","Fill=—","Direction=H","UseDPDF=Y")</f>
        <v>-342.92059999999998</v>
      </c>
      <c r="L62" s="14">
        <f>_xll.BDH("ITCI US Equity","PROF_MARGIN","FQ3 2021","FQ3 2021","Currency=USD","Period=FQ","BEST_FPERIOD_OVERRIDE=FQ","FILING_STATUS=MR","FA_ADJUSTED=GAAP","Sort=A","Dates=H","DateFormat=P","Fill=—","Direction=H","UseDPDF=Y")</f>
        <v>-346.32010000000002</v>
      </c>
      <c r="M62" s="14">
        <f>_xll.BDH("ITCI US Equity","PROF_MARGIN","FQ4 2021","FQ4 2021","Currency=USD","Period=FQ","BEST_FPERIOD_OVERRIDE=FQ","FILING_STATUS=MR","FA_ADJUSTED=GAAP","Sort=A","Dates=H","DateFormat=P","Fill=—","Direction=H","UseDPDF=Y")</f>
        <v>-333.97289999999998</v>
      </c>
      <c r="N62" s="14">
        <f>_xll.BDH("ITCI US Equity","PROF_MARGIN","FQ1 2022","FQ1 2022","Currency=USD","Period=FQ","BEST_FPERIOD_OVERRIDE=FQ","FILING_STATUS=MR","FA_ADJUSTED=GAAP","Sort=A","Dates=H","DateFormat=P","Fill=—","Direction=H","UseDPDF=Y")</f>
        <v>-206.0778</v>
      </c>
      <c r="O62" s="14">
        <f>_xll.BDH("ITCI US Equity","PROF_MARGIN","FQ2 2022","FQ2 2022","Currency=USD","Period=FQ","BEST_FPERIOD_OVERRIDE=FQ","FILING_STATUS=MR","FA_ADJUSTED=GAAP","Sort=A","Dates=H","DateFormat=P","Fill=—","Direction=H","UseDPDF=Y")</f>
        <v>-155.81960000000001</v>
      </c>
      <c r="P62" s="14">
        <f>_xll.BDH("ITCI US Equity","PROF_MARGIN","FQ3 2022","FQ3 2022","Currency=USD","Period=FQ","BEST_FPERIOD_OVERRIDE=FQ","FILING_STATUS=MR","FA_ADJUSTED=GAAP","Sort=A","Dates=H","DateFormat=P","Fill=—","Direction=H","UseDPDF=Y")</f>
        <v>-74.451099999999997</v>
      </c>
      <c r="Q62" s="14">
        <f>_xll.BDH("ITCI US Equity","PROF_MARGIN","FQ4 2022","FQ4 2022","Currency=USD","Period=FQ","BEST_FPERIOD_OVERRIDE=FQ","FILING_STATUS=MR","FA_ADJUSTED=GAAP","Sort=A","Dates=H","DateFormat=P","Fill=—","Direction=H","UseDPDF=Y")</f>
        <v>-50.104100000000003</v>
      </c>
      <c r="R62" s="14">
        <f>_xll.BDH("ITCI US Equity","PROF_MARGIN","FQ1 2023","FQ1 2023","Currency=USD","Period=FQ","BEST_FPERIOD_OVERRIDE=FQ","FILING_STATUS=MR","FA_ADJUSTED=GAAP","Sort=A","Dates=H","DateFormat=P","Fill=—","Direction=H","UseDPDF=Y")</f>
        <v>-46.222700000000003</v>
      </c>
      <c r="S62" s="14">
        <f>_xll.BDH("ITCI US Equity","PROF_MARGIN","FQ2 2023","FQ2 2023","Currency=USD","Period=FQ","BEST_FPERIOD_OVERRIDE=FQ","FILING_STATUS=MR","FA_ADJUSTED=GAAP","Sort=A","Dates=H","DateFormat=P","Fill=—","Direction=H","UseDPDF=Y")</f>
        <v>-38.616500000000002</v>
      </c>
      <c r="T62" s="14">
        <f>_xll.BDH("ITCI US Equity","PROF_MARGIN","FQ3 2023","FQ3 2023","Currency=USD","Period=FQ","BEST_FPERIOD_OVERRIDE=FQ","FILING_STATUS=MR","FA_ADJUSTED=GAAP","Sort=A","Dates=H","DateFormat=P","Fill=—","Direction=H","UseDPDF=Y")</f>
        <v>-19.225999999999999</v>
      </c>
      <c r="U62" s="14">
        <f>_xll.BDH("ITCI US Equity","PROF_MARGIN","FQ4 2023","FQ4 2023","Currency=USD","Period=FQ","BEST_FPERIOD_OVERRIDE=FQ","FILING_STATUS=MR","FA_ADJUSTED=GAAP","Sort=A","Dates=H","DateFormat=P","Fill=—","Direction=H","UseDPDF=Y")</f>
        <v>-21.634499999999999</v>
      </c>
      <c r="V62" s="14">
        <f>_xll.BDH("ITCI US Equity","PROF_MARGIN","FQ1 2024","FQ1 2024","Currency=USD","Period=FQ","BEST_FPERIOD_OVERRIDE=FQ","FILING_STATUS=MR","FA_ADJUSTED=GAAP","Sort=A","Dates=H","DateFormat=P","Fill=—","Direction=H","UseDPDF=Y")</f>
        <v>-10.524900000000001</v>
      </c>
      <c r="W62" s="14">
        <f>_xll.BDH("ITCI US Equity","PROF_MARGIN","FQ2 2024","FQ2 2024","Currency=USD","Period=FQ","BEST_FPERIOD_OVERRIDE=FQ","FILING_STATUS=MR","FA_ADJUSTED=GAAP","Sort=A","Dates=H","DateFormat=P","Fill=—","Direction=H","UseDPDF=Y")</f>
        <v>-10.0503</v>
      </c>
      <c r="X62" s="14">
        <f>_xll.BDH("ITCI US Equity","PROF_MARGIN","FQ3 2024","FQ3 2024","Currency=USD","Period=FQ","BEST_FPERIOD_OVERRIDE=FQ","FILING_STATUS=MR","FA_ADJUSTED=GAAP","Sort=A","Dates=H","DateFormat=P","Fill=—","Direction=H","UseDPDF=Y")</f>
        <v>-15.0101</v>
      </c>
      <c r="Y62" s="14">
        <f>_xll.BDH("ITCI US Equity","PROF_MARGIN","FQ4 2024","FQ4 2024","Currency=USD","Period=FQ","BEST_FPERIOD_OVERRIDE=FQ","FILING_STATUS=MR","FA_ADJUSTED=GAAP","Sort=A","Dates=H","DateFormat=P","Fill=—","Direction=H","UseDPDF=Y")</f>
        <v>-8.4754000000000005</v>
      </c>
      <c r="Z62" s="14">
        <v>-5.60392397302269</v>
      </c>
      <c r="AA62" s="14">
        <v>-1.4689497716894999</v>
      </c>
    </row>
    <row r="63" spans="1:27" x14ac:dyDescent="0.25">
      <c r="A63" s="10" t="s">
        <v>361</v>
      </c>
      <c r="B63" s="10" t="s">
        <v>362</v>
      </c>
      <c r="C63" s="14" t="str">
        <f>_xll.BDH("ITCI US Equity","ACTUAL_SALES_PER_EMPL","FQ2 2019","FQ2 2019","Currency=USD","Period=FQ","BEST_FPERIOD_OVERRIDE=FQ","FILING_STATUS=MR","FA_ADJUSTED=GAAP","Sort=A","Dates=H","DateFormat=P","Fill=—","Direction=H","UseDPDF=Y")</f>
        <v>—</v>
      </c>
      <c r="D63" s="14" t="str">
        <f>_xll.BDH("ITCI US Equity","ACTUAL_SALES_PER_EMPL","FQ3 2019","FQ3 2019","Currency=USD","Period=FQ","BEST_FPERIOD_OVERRIDE=FQ","FILING_STATUS=MR","FA_ADJUSTED=GAAP","Sort=A","Dates=H","DateFormat=P","Fill=—","Direction=H","UseDPDF=Y")</f>
        <v>—</v>
      </c>
      <c r="E63" s="14">
        <f>_xll.BDH("ITCI US Equity","ACTUAL_SALES_PER_EMPL","FQ4 2019","FQ4 2019","Currency=USD","Period=FQ","BEST_FPERIOD_OVERRIDE=FQ","FILING_STATUS=MR","FA_ADJUSTED=GAAP","Sort=A","Dates=H","DateFormat=P","Fill=—","Direction=H","UseDPDF=Y")</f>
        <v>202.04329999999999</v>
      </c>
      <c r="F63" s="14" t="str">
        <f>_xll.BDH("ITCI US Equity","ACTUAL_SALES_PER_EMPL","FQ1 2020","FQ1 2020","Currency=USD","Period=FQ","BEST_FPERIOD_OVERRIDE=FQ","FILING_STATUS=MR","FA_ADJUSTED=GAAP","Sort=A","Dates=H","DateFormat=P","Fill=—","Direction=H","UseDPDF=Y")</f>
        <v>—</v>
      </c>
      <c r="G63" s="14" t="str">
        <f>_xll.BDH("ITCI US Equity","ACTUAL_SALES_PER_EMPL","FQ2 2020","FQ2 2020","Currency=USD","Period=FQ","BEST_FPERIOD_OVERRIDE=FQ","FILING_STATUS=MR","FA_ADJUSTED=GAAP","Sort=A","Dates=H","DateFormat=P","Fill=—","Direction=H","UseDPDF=Y")</f>
        <v>—</v>
      </c>
      <c r="H63" s="14" t="str">
        <f>_xll.BDH("ITCI US Equity","ACTUAL_SALES_PER_EMPL","FQ3 2020","FQ3 2020","Currency=USD","Period=FQ","BEST_FPERIOD_OVERRIDE=FQ","FILING_STATUS=MR","FA_ADJUSTED=GAAP","Sort=A","Dates=H","DateFormat=P","Fill=—","Direction=H","UseDPDF=Y")</f>
        <v>—</v>
      </c>
      <c r="I63" s="14">
        <f>_xll.BDH("ITCI US Equity","ACTUAL_SALES_PER_EMPL","FQ4 2020","FQ4 2020","Currency=USD","Period=FQ","BEST_FPERIOD_OVERRIDE=FQ","FILING_STATUS=MR","FA_ADJUSTED=GAAP","Sort=A","Dates=H","DateFormat=P","Fill=—","Direction=H","UseDPDF=Y")</f>
        <v>32517.676200000002</v>
      </c>
      <c r="J63" s="14" t="str">
        <f>_xll.BDH("ITCI US Equity","ACTUAL_SALES_PER_EMPL","FQ1 2021","FQ1 2021","Currency=USD","Period=FQ","BEST_FPERIOD_OVERRIDE=FQ","FILING_STATUS=MR","FA_ADJUSTED=GAAP","Sort=A","Dates=H","DateFormat=P","Fill=—","Direction=H","UseDPDF=Y")</f>
        <v>—</v>
      </c>
      <c r="K63" s="14" t="str">
        <f>_xll.BDH("ITCI US Equity","ACTUAL_SALES_PER_EMPL","FQ2 2021","FQ2 2021","Currency=USD","Period=FQ","BEST_FPERIOD_OVERRIDE=FQ","FILING_STATUS=MR","FA_ADJUSTED=GAAP","Sort=A","Dates=H","DateFormat=P","Fill=—","Direction=H","UseDPDF=Y")</f>
        <v>—</v>
      </c>
      <c r="L63" s="14" t="str">
        <f>_xll.BDH("ITCI US Equity","ACTUAL_SALES_PER_EMPL","FQ3 2021","FQ3 2021","Currency=USD","Period=FQ","BEST_FPERIOD_OVERRIDE=FQ","FILING_STATUS=MR","FA_ADJUSTED=GAAP","Sort=A","Dates=H","DateFormat=P","Fill=—","Direction=H","UseDPDF=Y")</f>
        <v>—</v>
      </c>
      <c r="M63" s="14">
        <f>_xll.BDH("ITCI US Equity","ACTUAL_SALES_PER_EMPL","FQ4 2021","FQ4 2021","Currency=USD","Period=FQ","BEST_FPERIOD_OVERRIDE=FQ","FILING_STATUS=MR","FA_ADJUSTED=GAAP","Sort=A","Dates=H","DateFormat=P","Fill=—","Direction=H","UseDPDF=Y")</f>
        <v>50138.527300000002</v>
      </c>
      <c r="N63" s="14" t="str">
        <f>_xll.BDH("ITCI US Equity","ACTUAL_SALES_PER_EMPL","FQ1 2022","FQ1 2022","Currency=USD","Period=FQ","BEST_FPERIOD_OVERRIDE=FQ","FILING_STATUS=MR","FA_ADJUSTED=GAAP","Sort=A","Dates=H","DateFormat=P","Fill=—","Direction=H","UseDPDF=Y")</f>
        <v>—</v>
      </c>
      <c r="O63" s="14" t="str">
        <f>_xll.BDH("ITCI US Equity","ACTUAL_SALES_PER_EMPL","FQ2 2022","FQ2 2022","Currency=USD","Period=FQ","BEST_FPERIOD_OVERRIDE=FQ","FILING_STATUS=MR","FA_ADJUSTED=GAAP","Sort=A","Dates=H","DateFormat=P","Fill=—","Direction=H","UseDPDF=Y")</f>
        <v>—</v>
      </c>
      <c r="P63" s="14" t="str">
        <f>_xll.BDH("ITCI US Equity","ACTUAL_SALES_PER_EMPL","FQ3 2022","FQ3 2022","Currency=USD","Period=FQ","BEST_FPERIOD_OVERRIDE=FQ","FILING_STATUS=MR","FA_ADJUSTED=GAAP","Sort=A","Dates=H","DateFormat=P","Fill=—","Direction=H","UseDPDF=Y")</f>
        <v>—</v>
      </c>
      <c r="Q63" s="14">
        <f>_xll.BDH("ITCI US Equity","ACTUAL_SALES_PER_EMPL","FQ4 2022","FQ4 2022","Currency=USD","Period=FQ","BEST_FPERIOD_OVERRIDE=FQ","FILING_STATUS=MR","FA_ADJUSTED=GAAP","Sort=A","Dates=H","DateFormat=P","Fill=—","Direction=H","UseDPDF=Y")</f>
        <v>156629.2335</v>
      </c>
      <c r="R63" s="14" t="str">
        <f>_xll.BDH("ITCI US Equity","ACTUAL_SALES_PER_EMPL","FQ1 2023","FQ1 2023","Currency=USD","Period=FQ","BEST_FPERIOD_OVERRIDE=FQ","FILING_STATUS=MR","FA_ADJUSTED=GAAP","Sort=A","Dates=H","DateFormat=P","Fill=—","Direction=H","UseDPDF=Y")</f>
        <v>—</v>
      </c>
      <c r="S63" s="14" t="str">
        <f>_xll.BDH("ITCI US Equity","ACTUAL_SALES_PER_EMPL","FQ2 2023","FQ2 2023","Currency=USD","Period=FQ","BEST_FPERIOD_OVERRIDE=FQ","FILING_STATUS=MR","FA_ADJUSTED=GAAP","Sort=A","Dates=H","DateFormat=P","Fill=—","Direction=H","UseDPDF=Y")</f>
        <v>—</v>
      </c>
      <c r="T63" s="14" t="str">
        <f>_xll.BDH("ITCI US Equity","ACTUAL_SALES_PER_EMPL","FQ3 2023","FQ3 2023","Currency=USD","Period=FQ","BEST_FPERIOD_OVERRIDE=FQ","FILING_STATUS=MR","FA_ADJUSTED=GAAP","Sort=A","Dates=H","DateFormat=P","Fill=—","Direction=H","UseDPDF=Y")</f>
        <v>—</v>
      </c>
      <c r="U63" s="14" t="str">
        <f>_xll.BDH("ITCI US Equity","ACTUAL_SALES_PER_EMPL","FQ4 2023","FQ4 2023","Currency=USD","Period=FQ","BEST_FPERIOD_OVERRIDE=FQ","FILING_STATUS=MR","FA_ADJUSTED=GAAP","Sort=A","Dates=H","DateFormat=P","Fill=—","Direction=H","UseDPDF=Y")</f>
        <v>—</v>
      </c>
      <c r="V63" s="14" t="str">
        <f>_xll.BDH("ITCI US Equity","ACTUAL_SALES_PER_EMPL","FQ1 2024","FQ1 2024","Currency=USD","Period=FQ","BEST_FPERIOD_OVERRIDE=FQ","FILING_STATUS=MR","FA_ADJUSTED=GAAP","Sort=A","Dates=H","DateFormat=P","Fill=—","Direction=H","UseDPDF=Y")</f>
        <v>—</v>
      </c>
      <c r="W63" s="14" t="str">
        <f>_xll.BDH("ITCI US Equity","ACTUAL_SALES_PER_EMPL","FQ2 2024","FQ2 2024","Currency=USD","Period=FQ","BEST_FPERIOD_OVERRIDE=FQ","FILING_STATUS=MR","FA_ADJUSTED=GAAP","Sort=A","Dates=H","DateFormat=P","Fill=—","Direction=H","UseDPDF=Y")</f>
        <v>—</v>
      </c>
      <c r="X63" s="14" t="str">
        <f>_xll.BDH("ITCI US Equity","ACTUAL_SALES_PER_EMPL","FQ3 2024","FQ3 2024","Currency=USD","Period=FQ","BEST_FPERIOD_OVERRIDE=FQ","FILING_STATUS=MR","FA_ADJUSTED=GAAP","Sort=A","Dates=H","DateFormat=P","Fill=—","Direction=H","UseDPDF=Y")</f>
        <v>—</v>
      </c>
      <c r="Y63" s="14">
        <f>_xll.BDH("ITCI US Equity","ACTUAL_SALES_PER_EMPL","FQ4 2024","FQ4 2024","Currency=USD","Period=FQ","BEST_FPERIOD_OVERRIDE=FQ","FILING_STATUS=MR","FA_ADJUSTED=GAAP","Sort=A","Dates=H","DateFormat=P","Fill=—","Direction=H","UseDPDF=Y")</f>
        <v>231654.65119999999</v>
      </c>
      <c r="Z63" s="14"/>
      <c r="AA63" s="14"/>
    </row>
    <row r="64" spans="1:27" x14ac:dyDescent="0.25">
      <c r="A64" s="10" t="s">
        <v>363</v>
      </c>
      <c r="B64" s="10" t="s">
        <v>244</v>
      </c>
      <c r="C64" s="14">
        <f>_xll.BDH("ITCI US Equity","EQY_DPS","FQ2 2019","FQ2 2019","Currency=USD","Period=FQ","BEST_FPERIOD_OVERRIDE=FQ","FILING_STATUS=MR","Sort=A","Dates=H","DateFormat=P","Fill=—","Direction=H","UseDPDF=Y")</f>
        <v>0</v>
      </c>
      <c r="D64" s="14">
        <f>_xll.BDH("ITCI US Equity","EQY_DPS","FQ3 2019","FQ3 2019","Currency=USD","Period=FQ","BEST_FPERIOD_OVERRIDE=FQ","FILING_STATUS=MR","Sort=A","Dates=H","DateFormat=P","Fill=—","Direction=H","UseDPDF=Y")</f>
        <v>0</v>
      </c>
      <c r="E64" s="14">
        <f>_xll.BDH("ITCI US Equity","EQY_DPS","FQ4 2019","FQ4 2019","Currency=USD","Period=FQ","BEST_FPERIOD_OVERRIDE=FQ","FILING_STATUS=MR","Sort=A","Dates=H","DateFormat=P","Fill=—","Direction=H","UseDPDF=Y")</f>
        <v>0</v>
      </c>
      <c r="F64" s="14">
        <f>_xll.BDH("ITCI US Equity","EQY_DPS","FQ1 2020","FQ1 2020","Currency=USD","Period=FQ","BEST_FPERIOD_OVERRIDE=FQ","FILING_STATUS=MR","Sort=A","Dates=H","DateFormat=P","Fill=—","Direction=H","UseDPDF=Y")</f>
        <v>0</v>
      </c>
      <c r="G64" s="14">
        <f>_xll.BDH("ITCI US Equity","EQY_DPS","FQ2 2020","FQ2 2020","Currency=USD","Period=FQ","BEST_FPERIOD_OVERRIDE=FQ","FILING_STATUS=MR","Sort=A","Dates=H","DateFormat=P","Fill=—","Direction=H","UseDPDF=Y")</f>
        <v>0</v>
      </c>
      <c r="H64" s="14">
        <f>_xll.BDH("ITCI US Equity","EQY_DPS","FQ3 2020","FQ3 2020","Currency=USD","Period=FQ","BEST_FPERIOD_OVERRIDE=FQ","FILING_STATUS=MR","Sort=A","Dates=H","DateFormat=P","Fill=—","Direction=H","UseDPDF=Y")</f>
        <v>0</v>
      </c>
      <c r="I64" s="14">
        <f>_xll.BDH("ITCI US Equity","EQY_DPS","FQ4 2020","FQ4 2020","Currency=USD","Period=FQ","BEST_FPERIOD_OVERRIDE=FQ","FILING_STATUS=MR","Sort=A","Dates=H","DateFormat=P","Fill=—","Direction=H","UseDPDF=Y")</f>
        <v>0</v>
      </c>
      <c r="J64" s="14">
        <f>_xll.BDH("ITCI US Equity","EQY_DPS","FQ1 2021","FQ1 2021","Currency=USD","Period=FQ","BEST_FPERIOD_OVERRIDE=FQ","FILING_STATUS=MR","Sort=A","Dates=H","DateFormat=P","Fill=—","Direction=H","UseDPDF=Y")</f>
        <v>0</v>
      </c>
      <c r="K64" s="14">
        <f>_xll.BDH("ITCI US Equity","EQY_DPS","FQ2 2021","FQ2 2021","Currency=USD","Period=FQ","BEST_FPERIOD_OVERRIDE=FQ","FILING_STATUS=MR","Sort=A","Dates=H","DateFormat=P","Fill=—","Direction=H","UseDPDF=Y")</f>
        <v>0</v>
      </c>
      <c r="L64" s="14">
        <f>_xll.BDH("ITCI US Equity","EQY_DPS","FQ3 2021","FQ3 2021","Currency=USD","Period=FQ","BEST_FPERIOD_OVERRIDE=FQ","FILING_STATUS=MR","Sort=A","Dates=H","DateFormat=P","Fill=—","Direction=H","UseDPDF=Y")</f>
        <v>0</v>
      </c>
      <c r="M64" s="14">
        <f>_xll.BDH("ITCI US Equity","EQY_DPS","FQ4 2021","FQ4 2021","Currency=USD","Period=FQ","BEST_FPERIOD_OVERRIDE=FQ","FILING_STATUS=MR","Sort=A","Dates=H","DateFormat=P","Fill=—","Direction=H","UseDPDF=Y")</f>
        <v>0</v>
      </c>
      <c r="N64" s="14">
        <f>_xll.BDH("ITCI US Equity","EQY_DPS","FQ1 2022","FQ1 2022","Currency=USD","Period=FQ","BEST_FPERIOD_OVERRIDE=FQ","FILING_STATUS=MR","Sort=A","Dates=H","DateFormat=P","Fill=—","Direction=H","UseDPDF=Y")</f>
        <v>0</v>
      </c>
      <c r="O64" s="14">
        <f>_xll.BDH("ITCI US Equity","EQY_DPS","FQ2 2022","FQ2 2022","Currency=USD","Period=FQ","BEST_FPERIOD_OVERRIDE=FQ","FILING_STATUS=MR","Sort=A","Dates=H","DateFormat=P","Fill=—","Direction=H","UseDPDF=Y")</f>
        <v>0</v>
      </c>
      <c r="P64" s="14">
        <f>_xll.BDH("ITCI US Equity","EQY_DPS","FQ3 2022","FQ3 2022","Currency=USD","Period=FQ","BEST_FPERIOD_OVERRIDE=FQ","FILING_STATUS=MR","Sort=A","Dates=H","DateFormat=P","Fill=—","Direction=H","UseDPDF=Y")</f>
        <v>0</v>
      </c>
      <c r="Q64" s="14">
        <f>_xll.BDH("ITCI US Equity","EQY_DPS","FQ4 2022","FQ4 2022","Currency=USD","Period=FQ","BEST_FPERIOD_OVERRIDE=FQ","FILING_STATUS=MR","Sort=A","Dates=H","DateFormat=P","Fill=—","Direction=H","UseDPDF=Y")</f>
        <v>0</v>
      </c>
      <c r="R64" s="14">
        <f>_xll.BDH("ITCI US Equity","EQY_DPS","FQ1 2023","FQ1 2023","Currency=USD","Period=FQ","BEST_FPERIOD_OVERRIDE=FQ","FILING_STATUS=MR","Sort=A","Dates=H","DateFormat=P","Fill=—","Direction=H","UseDPDF=Y")</f>
        <v>0</v>
      </c>
      <c r="S64" s="14">
        <f>_xll.BDH("ITCI US Equity","EQY_DPS","FQ2 2023","FQ2 2023","Currency=USD","Period=FQ","BEST_FPERIOD_OVERRIDE=FQ","FILING_STATUS=MR","Sort=A","Dates=H","DateFormat=P","Fill=—","Direction=H","UseDPDF=Y")</f>
        <v>0</v>
      </c>
      <c r="T64" s="14">
        <f>_xll.BDH("ITCI US Equity","EQY_DPS","FQ3 2023","FQ3 2023","Currency=USD","Period=FQ","BEST_FPERIOD_OVERRIDE=FQ","FILING_STATUS=MR","Sort=A","Dates=H","DateFormat=P","Fill=—","Direction=H","UseDPDF=Y")</f>
        <v>0</v>
      </c>
      <c r="U64" s="14">
        <f>_xll.BDH("ITCI US Equity","EQY_DPS","FQ4 2023","FQ4 2023","Currency=USD","Period=FQ","BEST_FPERIOD_OVERRIDE=FQ","FILING_STATUS=MR","Sort=A","Dates=H","DateFormat=P","Fill=—","Direction=H","UseDPDF=Y")</f>
        <v>0</v>
      </c>
      <c r="V64" s="14">
        <f>_xll.BDH("ITCI US Equity","EQY_DPS","FQ1 2024","FQ1 2024","Currency=USD","Period=FQ","BEST_FPERIOD_OVERRIDE=FQ","FILING_STATUS=MR","Sort=A","Dates=H","DateFormat=P","Fill=—","Direction=H","UseDPDF=Y")</f>
        <v>0</v>
      </c>
      <c r="W64" s="14">
        <f>_xll.BDH("ITCI US Equity","EQY_DPS","FQ2 2024","FQ2 2024","Currency=USD","Period=FQ","BEST_FPERIOD_OVERRIDE=FQ","FILING_STATUS=MR","Sort=A","Dates=H","DateFormat=P","Fill=—","Direction=H","UseDPDF=Y")</f>
        <v>0</v>
      </c>
      <c r="X64" s="14">
        <f>_xll.BDH("ITCI US Equity","EQY_DPS","FQ3 2024","FQ3 2024","Currency=USD","Period=FQ","BEST_FPERIOD_OVERRIDE=FQ","FILING_STATUS=MR","Sort=A","Dates=H","DateFormat=P","Fill=—","Direction=H","UseDPDF=Y")</f>
        <v>0</v>
      </c>
      <c r="Y64" s="14">
        <f>_xll.BDH("ITCI US Equity","EQY_DPS","FQ4 2024","FQ4 2024","Currency=USD","Period=FQ","BEST_FPERIOD_OVERRIDE=FQ","FILING_STATUS=MR","Sort=A","Dates=H","DateFormat=P","Fill=—","Direction=H","UseDPDF=Y")</f>
        <v>0</v>
      </c>
      <c r="Z64" s="14"/>
      <c r="AA64" s="14"/>
    </row>
    <row r="65" spans="1:27" x14ac:dyDescent="0.25">
      <c r="A65" s="10" t="s">
        <v>364</v>
      </c>
      <c r="B65" s="10" t="s">
        <v>365</v>
      </c>
      <c r="C65" s="13">
        <f>_xll.BDH("ITCI US Equity","IS_TOT_CASH_COM_DVD","FQ2 2019","FQ2 2019","Currency=USD","Period=FQ","BEST_FPERIOD_OVERRIDE=FQ","FILING_STATUS=MR","SCALING_FORMAT=MLN","Sort=A","Dates=H","DateFormat=P","Fill=—","Direction=H","UseDPDF=Y")</f>
        <v>0</v>
      </c>
      <c r="D65" s="13">
        <f>_xll.BDH("ITCI US Equity","IS_TOT_CASH_COM_DVD","FQ3 2019","FQ3 2019","Currency=USD","Period=FQ","BEST_FPERIOD_OVERRIDE=FQ","FILING_STATUS=MR","SCALING_FORMAT=MLN","Sort=A","Dates=H","DateFormat=P","Fill=—","Direction=H","UseDPDF=Y")</f>
        <v>0</v>
      </c>
      <c r="E65" s="13">
        <f>_xll.BDH("ITCI US Equity","IS_TOT_CASH_COM_DVD","FQ4 2019","FQ4 2019","Currency=USD","Period=FQ","BEST_FPERIOD_OVERRIDE=FQ","FILING_STATUS=MR","SCALING_FORMAT=MLN","Sort=A","Dates=H","DateFormat=P","Fill=—","Direction=H","UseDPDF=Y")</f>
        <v>0</v>
      </c>
      <c r="F65" s="13">
        <f>_xll.BDH("ITCI US Equity","IS_TOT_CASH_COM_DVD","FQ1 2020","FQ1 2020","Currency=USD","Period=FQ","BEST_FPERIOD_OVERRIDE=FQ","FILING_STATUS=MR","SCALING_FORMAT=MLN","Sort=A","Dates=H","DateFormat=P","Fill=—","Direction=H","UseDPDF=Y")</f>
        <v>0</v>
      </c>
      <c r="G65" s="13">
        <f>_xll.BDH("ITCI US Equity","IS_TOT_CASH_COM_DVD","FQ2 2020","FQ2 2020","Currency=USD","Period=FQ","BEST_FPERIOD_OVERRIDE=FQ","FILING_STATUS=MR","SCALING_FORMAT=MLN","Sort=A","Dates=H","DateFormat=P","Fill=—","Direction=H","UseDPDF=Y")</f>
        <v>0</v>
      </c>
      <c r="H65" s="13">
        <f>_xll.BDH("ITCI US Equity","IS_TOT_CASH_COM_DVD","FQ3 2020","FQ3 2020","Currency=USD","Period=FQ","BEST_FPERIOD_OVERRIDE=FQ","FILING_STATUS=MR","SCALING_FORMAT=MLN","Sort=A","Dates=H","DateFormat=P","Fill=—","Direction=H","UseDPDF=Y")</f>
        <v>0</v>
      </c>
      <c r="I65" s="13">
        <f>_xll.BDH("ITCI US Equity","IS_TOT_CASH_COM_DVD","FQ4 2020","FQ4 2020","Currency=USD","Period=FQ","BEST_FPERIOD_OVERRIDE=FQ","FILING_STATUS=MR","SCALING_FORMAT=MLN","Sort=A","Dates=H","DateFormat=P","Fill=—","Direction=H","UseDPDF=Y")</f>
        <v>0</v>
      </c>
      <c r="J65" s="13">
        <f>_xll.BDH("ITCI US Equity","IS_TOT_CASH_COM_DVD","FQ1 2021","FQ1 2021","Currency=USD","Period=FQ","BEST_FPERIOD_OVERRIDE=FQ","FILING_STATUS=MR","SCALING_FORMAT=MLN","Sort=A","Dates=H","DateFormat=P","Fill=—","Direction=H","UseDPDF=Y")</f>
        <v>0</v>
      </c>
      <c r="K65" s="13">
        <f>_xll.BDH("ITCI US Equity","IS_TOT_CASH_COM_DVD","FQ2 2021","FQ2 2021","Currency=USD","Period=FQ","BEST_FPERIOD_OVERRIDE=FQ","FILING_STATUS=MR","SCALING_FORMAT=MLN","Sort=A","Dates=H","DateFormat=P","Fill=—","Direction=H","UseDPDF=Y")</f>
        <v>0</v>
      </c>
      <c r="L65" s="13">
        <f>_xll.BDH("ITCI US Equity","IS_TOT_CASH_COM_DVD","FQ3 2021","FQ3 2021","Currency=USD","Period=FQ","BEST_FPERIOD_OVERRIDE=FQ","FILING_STATUS=MR","SCALING_FORMAT=MLN","Sort=A","Dates=H","DateFormat=P","Fill=—","Direction=H","UseDPDF=Y")</f>
        <v>0</v>
      </c>
      <c r="M65" s="13">
        <f>_xll.BDH("ITCI US Equity","IS_TOT_CASH_COM_DVD","FQ4 2021","FQ4 2021","Currency=USD","Period=FQ","BEST_FPERIOD_OVERRIDE=FQ","FILING_STATUS=MR","SCALING_FORMAT=MLN","Sort=A","Dates=H","DateFormat=P","Fill=—","Direction=H","UseDPDF=Y")</f>
        <v>0</v>
      </c>
      <c r="N65" s="13">
        <f>_xll.BDH("ITCI US Equity","IS_TOT_CASH_COM_DVD","FQ1 2022","FQ1 2022","Currency=USD","Period=FQ","BEST_FPERIOD_OVERRIDE=FQ","FILING_STATUS=MR","SCALING_FORMAT=MLN","Sort=A","Dates=H","DateFormat=P","Fill=—","Direction=H","UseDPDF=Y")</f>
        <v>0</v>
      </c>
      <c r="O65" s="13">
        <f>_xll.BDH("ITCI US Equity","IS_TOT_CASH_COM_DVD","FQ2 2022","FQ2 2022","Currency=USD","Period=FQ","BEST_FPERIOD_OVERRIDE=FQ","FILING_STATUS=MR","SCALING_FORMAT=MLN","Sort=A","Dates=H","DateFormat=P","Fill=—","Direction=H","UseDPDF=Y")</f>
        <v>0</v>
      </c>
      <c r="P65" s="13">
        <f>_xll.BDH("ITCI US Equity","IS_TOT_CASH_COM_DVD","FQ3 2022","FQ3 2022","Currency=USD","Period=FQ","BEST_FPERIOD_OVERRIDE=FQ","FILING_STATUS=MR","SCALING_FORMAT=MLN","Sort=A","Dates=H","DateFormat=P","Fill=—","Direction=H","UseDPDF=Y")</f>
        <v>0</v>
      </c>
      <c r="Q65" s="13">
        <f>_xll.BDH("ITCI US Equity","IS_TOT_CASH_COM_DVD","FQ4 2022","FQ4 2022","Currency=USD","Period=FQ","BEST_FPERIOD_OVERRIDE=FQ","FILING_STATUS=MR","SCALING_FORMAT=MLN","Sort=A","Dates=H","DateFormat=P","Fill=—","Direction=H","UseDPDF=Y")</f>
        <v>0</v>
      </c>
      <c r="R65" s="13">
        <f>_xll.BDH("ITCI US Equity","IS_TOT_CASH_COM_DVD","FQ1 2023","FQ1 2023","Currency=USD","Period=FQ","BEST_FPERIOD_OVERRIDE=FQ","FILING_STATUS=MR","SCALING_FORMAT=MLN","Sort=A","Dates=H","DateFormat=P","Fill=—","Direction=H","UseDPDF=Y")</f>
        <v>0</v>
      </c>
      <c r="S65" s="13">
        <f>_xll.BDH("ITCI US Equity","IS_TOT_CASH_COM_DVD","FQ2 2023","FQ2 2023","Currency=USD","Period=FQ","BEST_FPERIOD_OVERRIDE=FQ","FILING_STATUS=MR","SCALING_FORMAT=MLN","Sort=A","Dates=H","DateFormat=P","Fill=—","Direction=H","UseDPDF=Y")</f>
        <v>0</v>
      </c>
      <c r="T65" s="13">
        <f>_xll.BDH("ITCI US Equity","IS_TOT_CASH_COM_DVD","FQ3 2023","FQ3 2023","Currency=USD","Period=FQ","BEST_FPERIOD_OVERRIDE=FQ","FILING_STATUS=MR","SCALING_FORMAT=MLN","Sort=A","Dates=H","DateFormat=P","Fill=—","Direction=H","UseDPDF=Y")</f>
        <v>0</v>
      </c>
      <c r="U65" s="13">
        <f>_xll.BDH("ITCI US Equity","IS_TOT_CASH_COM_DVD","FQ4 2023","FQ4 2023","Currency=USD","Period=FQ","BEST_FPERIOD_OVERRIDE=FQ","FILING_STATUS=MR","SCALING_FORMAT=MLN","Sort=A","Dates=H","DateFormat=P","Fill=—","Direction=H","UseDPDF=Y")</f>
        <v>0</v>
      </c>
      <c r="V65" s="13">
        <f>_xll.BDH("ITCI US Equity","IS_TOT_CASH_COM_DVD","FQ1 2024","FQ1 2024","Currency=USD","Period=FQ","BEST_FPERIOD_OVERRIDE=FQ","FILING_STATUS=MR","SCALING_FORMAT=MLN","Sort=A","Dates=H","DateFormat=P","Fill=—","Direction=H","UseDPDF=Y")</f>
        <v>0</v>
      </c>
      <c r="W65" s="13">
        <f>_xll.BDH("ITCI US Equity","IS_TOT_CASH_COM_DVD","FQ2 2024","FQ2 2024","Currency=USD","Period=FQ","BEST_FPERIOD_OVERRIDE=FQ","FILING_STATUS=MR","SCALING_FORMAT=MLN","Sort=A","Dates=H","DateFormat=P","Fill=—","Direction=H","UseDPDF=Y")</f>
        <v>0</v>
      </c>
      <c r="X65" s="13">
        <f>_xll.BDH("ITCI US Equity","IS_TOT_CASH_COM_DVD","FQ3 2024","FQ3 2024","Currency=USD","Period=FQ","BEST_FPERIOD_OVERRIDE=FQ","FILING_STATUS=MR","SCALING_FORMAT=MLN","Sort=A","Dates=H","DateFormat=P","Fill=—","Direction=H","UseDPDF=Y")</f>
        <v>0</v>
      </c>
      <c r="Y65" s="13">
        <f>_xll.BDH("ITCI US Equity","IS_TOT_CASH_COM_DVD","FQ4 2024","FQ4 2024","Currency=USD","Period=FQ","BEST_FPERIOD_OVERRIDE=FQ","FILING_STATUS=MR","SCALING_FORMAT=MLN","Sort=A","Dates=H","DateFormat=P","Fill=—","Direction=H","UseDPDF=Y")</f>
        <v>0</v>
      </c>
      <c r="Z65" s="13"/>
      <c r="AA65" s="13"/>
    </row>
    <row r="66" spans="1:27" x14ac:dyDescent="0.25">
      <c r="A66" s="10" t="s">
        <v>366</v>
      </c>
      <c r="B66" s="10" t="s">
        <v>367</v>
      </c>
      <c r="C66" s="13" t="str">
        <f>_xll.BDH("ITCI US Equity","IS_CAP_INT_EXP","FQ2 2019","FQ2 2019","Currency=USD","Period=FQ","BEST_FPERIOD_OVERRIDE=FQ","FILING_STATUS=MR","SCALING_FORMAT=MLN","Sort=A","Dates=H","DateFormat=P","Fill=—","Direction=H","UseDPDF=Y")</f>
        <v>—</v>
      </c>
      <c r="D66" s="13">
        <f>_xll.BDH("ITCI US Equity","IS_CAP_INT_EXP","FQ3 2019","FQ3 2019","Currency=USD","Period=FQ","BEST_FPERIOD_OVERRIDE=FQ","FILING_STATUS=MR","SCALING_FORMAT=MLN","Sort=A","Dates=H","DateFormat=P","Fill=—","Direction=H","UseDPDF=Y")</f>
        <v>0</v>
      </c>
      <c r="E66" s="13" t="str">
        <f>_xll.BDH("ITCI US Equity","IS_CAP_INT_EXP","FQ4 2019","FQ4 2019","Currency=USD","Period=FQ","BEST_FPERIOD_OVERRIDE=FQ","FILING_STATUS=MR","SCALING_FORMAT=MLN","Sort=A","Dates=H","DateFormat=P","Fill=—","Direction=H","UseDPDF=Y")</f>
        <v>—</v>
      </c>
      <c r="F66" s="13" t="str">
        <f>_xll.BDH("ITCI US Equity","IS_CAP_INT_EXP","FQ1 2020","FQ1 2020","Currency=USD","Period=FQ","BEST_FPERIOD_OVERRIDE=FQ","FILING_STATUS=MR","SCALING_FORMAT=MLN","Sort=A","Dates=H","DateFormat=P","Fill=—","Direction=H","UseDPDF=Y")</f>
        <v>—</v>
      </c>
      <c r="G66" s="13" t="str">
        <f>_xll.BDH("ITCI US Equity","IS_CAP_INT_EXP","FQ2 2020","FQ2 2020","Currency=USD","Period=FQ","BEST_FPERIOD_OVERRIDE=FQ","FILING_STATUS=MR","SCALING_FORMAT=MLN","Sort=A","Dates=H","DateFormat=P","Fill=—","Direction=H","UseDPDF=Y")</f>
        <v>—</v>
      </c>
      <c r="H66" s="13">
        <f>_xll.BDH("ITCI US Equity","IS_CAP_INT_EXP","FQ3 2020","FQ3 2020","Currency=USD","Period=FQ","BEST_FPERIOD_OVERRIDE=FQ","FILING_STATUS=MR","SCALING_FORMAT=MLN","Sort=A","Dates=H","DateFormat=P","Fill=—","Direction=H","UseDPDF=Y")</f>
        <v>0</v>
      </c>
      <c r="I66" s="13">
        <f>_xll.BDH("ITCI US Equity","IS_CAP_INT_EXP","FQ4 2020","FQ4 2020","Currency=USD","Period=FQ","BEST_FPERIOD_OVERRIDE=FQ","FILING_STATUS=MR","SCALING_FORMAT=MLN","Sort=A","Dates=H","DateFormat=P","Fill=—","Direction=H","UseDPDF=Y")</f>
        <v>0</v>
      </c>
      <c r="J66" s="13" t="str">
        <f>_xll.BDH("ITCI US Equity","IS_CAP_INT_EXP","FQ1 2021","FQ1 2021","Currency=USD","Period=FQ","BEST_FPERIOD_OVERRIDE=FQ","FILING_STATUS=MR","SCALING_FORMAT=MLN","Sort=A","Dates=H","DateFormat=P","Fill=—","Direction=H","UseDPDF=Y")</f>
        <v>—</v>
      </c>
      <c r="K66" s="13" t="str">
        <f>_xll.BDH("ITCI US Equity","IS_CAP_INT_EXP","FQ2 2021","FQ2 2021","Currency=USD","Period=FQ","BEST_FPERIOD_OVERRIDE=FQ","FILING_STATUS=MR","SCALING_FORMAT=MLN","Sort=A","Dates=H","DateFormat=P","Fill=—","Direction=H","UseDPDF=Y")</f>
        <v>—</v>
      </c>
      <c r="L66" s="13" t="str">
        <f>_xll.BDH("ITCI US Equity","IS_CAP_INT_EXP","FQ3 2021","FQ3 2021","Currency=USD","Period=FQ","BEST_FPERIOD_OVERRIDE=FQ","FILING_STATUS=MR","SCALING_FORMAT=MLN","Sort=A","Dates=H","DateFormat=P","Fill=—","Direction=H","UseDPDF=Y")</f>
        <v>—</v>
      </c>
      <c r="M66" s="13">
        <f>_xll.BDH("ITCI US Equity","IS_CAP_INT_EXP","FQ4 2021","FQ4 2021","Currency=USD","Period=FQ","BEST_FPERIOD_OVERRIDE=FQ","FILING_STATUS=MR","SCALING_FORMAT=MLN","Sort=A","Dates=H","DateFormat=P","Fill=—","Direction=H","UseDPDF=Y")</f>
        <v>0</v>
      </c>
      <c r="N66" s="13" t="str">
        <f>_xll.BDH("ITCI US Equity","IS_CAP_INT_EXP","FQ1 2022","FQ1 2022","Currency=USD","Period=FQ","BEST_FPERIOD_OVERRIDE=FQ","FILING_STATUS=MR","SCALING_FORMAT=MLN","Sort=A","Dates=H","DateFormat=P","Fill=—","Direction=H","UseDPDF=Y")</f>
        <v>—</v>
      </c>
      <c r="O66" s="13" t="str">
        <f>_xll.BDH("ITCI US Equity","IS_CAP_INT_EXP","FQ2 2022","FQ2 2022","Currency=USD","Period=FQ","BEST_FPERIOD_OVERRIDE=FQ","FILING_STATUS=MR","SCALING_FORMAT=MLN","Sort=A","Dates=H","DateFormat=P","Fill=—","Direction=H","UseDPDF=Y")</f>
        <v>—</v>
      </c>
      <c r="P66" s="13" t="str">
        <f>_xll.BDH("ITCI US Equity","IS_CAP_INT_EXP","FQ3 2022","FQ3 2022","Currency=USD","Period=FQ","BEST_FPERIOD_OVERRIDE=FQ","FILING_STATUS=MR","SCALING_FORMAT=MLN","Sort=A","Dates=H","DateFormat=P","Fill=—","Direction=H","UseDPDF=Y")</f>
        <v>—</v>
      </c>
      <c r="Q66" s="13">
        <f>_xll.BDH("ITCI US Equity","IS_CAP_INT_EXP","FQ4 2022","FQ4 2022","Currency=USD","Period=FQ","BEST_FPERIOD_OVERRIDE=FQ","FILING_STATUS=MR","SCALING_FORMAT=MLN","Sort=A","Dates=H","DateFormat=P","Fill=—","Direction=H","UseDPDF=Y")</f>
        <v>0</v>
      </c>
      <c r="R66" s="13" t="str">
        <f>_xll.BDH("ITCI US Equity","IS_CAP_INT_EXP","FQ1 2023","FQ1 2023","Currency=USD","Period=FQ","BEST_FPERIOD_OVERRIDE=FQ","FILING_STATUS=MR","SCALING_FORMAT=MLN","Sort=A","Dates=H","DateFormat=P","Fill=—","Direction=H","UseDPDF=Y")</f>
        <v>—</v>
      </c>
      <c r="S66" s="13" t="str">
        <f>_xll.BDH("ITCI US Equity","IS_CAP_INT_EXP","FQ2 2023","FQ2 2023","Currency=USD","Period=FQ","BEST_FPERIOD_OVERRIDE=FQ","FILING_STATUS=MR","SCALING_FORMAT=MLN","Sort=A","Dates=H","DateFormat=P","Fill=—","Direction=H","UseDPDF=Y")</f>
        <v>—</v>
      </c>
      <c r="T66" s="13" t="str">
        <f>_xll.BDH("ITCI US Equity","IS_CAP_INT_EXP","FQ3 2023","FQ3 2023","Currency=USD","Period=FQ","BEST_FPERIOD_OVERRIDE=FQ","FILING_STATUS=MR","SCALING_FORMAT=MLN","Sort=A","Dates=H","DateFormat=P","Fill=—","Direction=H","UseDPDF=Y")</f>
        <v>—</v>
      </c>
      <c r="U66" s="13">
        <f>_xll.BDH("ITCI US Equity","IS_CAP_INT_EXP","FQ4 2023","FQ4 2023","Currency=USD","Period=FQ","BEST_FPERIOD_OVERRIDE=FQ","FILING_STATUS=MR","SCALING_FORMAT=MLN","Sort=A","Dates=H","DateFormat=P","Fill=—","Direction=H","UseDPDF=Y")</f>
        <v>0</v>
      </c>
      <c r="V66" s="13" t="str">
        <f>_xll.BDH("ITCI US Equity","IS_CAP_INT_EXP","FQ1 2024","FQ1 2024","Currency=USD","Period=FQ","BEST_FPERIOD_OVERRIDE=FQ","FILING_STATUS=MR","SCALING_FORMAT=MLN","Sort=A","Dates=H","DateFormat=P","Fill=—","Direction=H","UseDPDF=Y")</f>
        <v>—</v>
      </c>
      <c r="W66" s="13" t="str">
        <f>_xll.BDH("ITCI US Equity","IS_CAP_INT_EXP","FQ2 2024","FQ2 2024","Currency=USD","Period=FQ","BEST_FPERIOD_OVERRIDE=FQ","FILING_STATUS=MR","SCALING_FORMAT=MLN","Sort=A","Dates=H","DateFormat=P","Fill=—","Direction=H","UseDPDF=Y")</f>
        <v>—</v>
      </c>
      <c r="X66" s="13" t="str">
        <f>_xll.BDH("ITCI US Equity","IS_CAP_INT_EXP","FQ3 2024","FQ3 2024","Currency=USD","Period=FQ","BEST_FPERIOD_OVERRIDE=FQ","FILING_STATUS=MR","SCALING_FORMAT=MLN","Sort=A","Dates=H","DateFormat=P","Fill=—","Direction=H","UseDPDF=Y")</f>
        <v>—</v>
      </c>
      <c r="Y66" s="13">
        <f>_xll.BDH("ITCI US Equity","IS_CAP_INT_EXP","FQ4 2024","FQ4 2024","Currency=USD","Period=FQ","BEST_FPERIOD_OVERRIDE=FQ","FILING_STATUS=MR","SCALING_FORMAT=MLN","Sort=A","Dates=H","DateFormat=P","Fill=—","Direction=H","UseDPDF=Y")</f>
        <v>0</v>
      </c>
      <c r="Z66" s="13"/>
      <c r="AA66" s="13"/>
    </row>
    <row r="67" spans="1:27" x14ac:dyDescent="0.25">
      <c r="A67" s="10" t="s">
        <v>368</v>
      </c>
      <c r="B67" s="10" t="s">
        <v>369</v>
      </c>
      <c r="C67" s="13">
        <f>_xll.BDH("ITCI US Equity","IS_DEPR_EXP","FQ2 2019","FQ2 2019","Currency=USD","Period=FQ","BEST_FPERIOD_OVERRIDE=FQ","FILING_STATUS=MR","SCALING_FORMAT=MLN","Sort=A","Dates=H","DateFormat=P","Fill=—","Direction=H","UseDPDF=Y")</f>
        <v>0.1051</v>
      </c>
      <c r="D67" s="13">
        <f>_xll.BDH("ITCI US Equity","IS_DEPR_EXP","FQ3 2019","FQ3 2019","Currency=USD","Period=FQ","BEST_FPERIOD_OVERRIDE=FQ","FILING_STATUS=MR","SCALING_FORMAT=MLN","Sort=A","Dates=H","DateFormat=P","Fill=—","Direction=H","UseDPDF=Y")</f>
        <v>0.12909999999999999</v>
      </c>
      <c r="E67" s="13">
        <f>_xll.BDH("ITCI US Equity","IS_DEPR_EXP","FQ4 2019","FQ4 2019","Currency=USD","Period=FQ","BEST_FPERIOD_OVERRIDE=FQ","FILING_STATUS=MR","SCALING_FORMAT=MLN","Sort=A","Dates=H","DateFormat=P","Fill=—","Direction=H","UseDPDF=Y")</f>
        <v>0.14169999999999999</v>
      </c>
      <c r="F67" s="13">
        <f>_xll.BDH("ITCI US Equity","IS_DEPR_EXP","FQ1 2020","FQ1 2020","Currency=USD","Period=FQ","BEST_FPERIOD_OVERRIDE=FQ","FILING_STATUS=MR","SCALING_FORMAT=MLN","Sort=A","Dates=H","DateFormat=P","Fill=—","Direction=H","UseDPDF=Y")</f>
        <v>0.14879999999999999</v>
      </c>
      <c r="G67" s="13">
        <f>_xll.BDH("ITCI US Equity","IS_DEPR_EXP","FQ2 2020","FQ2 2020","Currency=USD","Period=FQ","BEST_FPERIOD_OVERRIDE=FQ","FILING_STATUS=MR","SCALING_FORMAT=MLN","Sort=A","Dates=H","DateFormat=P","Fill=—","Direction=H","UseDPDF=Y")</f>
        <v>0.1323</v>
      </c>
      <c r="H67" s="13">
        <f>_xll.BDH("ITCI US Equity","IS_DEPR_EXP","FQ3 2020","FQ3 2020","Currency=USD","Period=FQ","BEST_FPERIOD_OVERRIDE=FQ","FILING_STATUS=MR","SCALING_FORMAT=MLN","Sort=A","Dates=H","DateFormat=P","Fill=—","Direction=H","UseDPDF=Y")</f>
        <v>0.121</v>
      </c>
      <c r="I67" s="13">
        <f>_xll.BDH("ITCI US Equity","IS_DEPR_EXP","FQ4 2020","FQ4 2020","Currency=USD","Period=FQ","BEST_FPERIOD_OVERRIDE=FQ","FILING_STATUS=MR","SCALING_FORMAT=MLN","Sort=A","Dates=H","DateFormat=P","Fill=—","Direction=H","UseDPDF=Y")</f>
        <v>0.126</v>
      </c>
      <c r="J67" s="13">
        <f>_xll.BDH("ITCI US Equity","IS_DEPR_EXP","FQ1 2021","FQ1 2021","Currency=USD","Period=FQ","BEST_FPERIOD_OVERRIDE=FQ","FILING_STATUS=MR","SCALING_FORMAT=MLN","Sort=A","Dates=H","DateFormat=P","Fill=—","Direction=H","UseDPDF=Y")</f>
        <v>0.127</v>
      </c>
      <c r="K67" s="13">
        <f>_xll.BDH("ITCI US Equity","IS_DEPR_EXP","FQ2 2021","FQ2 2021","Currency=USD","Period=FQ","BEST_FPERIOD_OVERRIDE=FQ","FILING_STATUS=MR","SCALING_FORMAT=MLN","Sort=A","Dates=H","DateFormat=P","Fill=—","Direction=H","UseDPDF=Y")</f>
        <v>0.12559999999999999</v>
      </c>
      <c r="L67" s="13">
        <f>_xll.BDH("ITCI US Equity","IS_DEPR_EXP","FQ3 2021","FQ3 2021","Currency=USD","Period=FQ","BEST_FPERIOD_OVERRIDE=FQ","FILING_STATUS=MR","SCALING_FORMAT=MLN","Sort=A","Dates=H","DateFormat=P","Fill=—","Direction=H","UseDPDF=Y")</f>
        <v>0.13389999999999999</v>
      </c>
      <c r="M67" s="13">
        <f>_xll.BDH("ITCI US Equity","IS_DEPR_EXP","FQ4 2021","FQ4 2021","Currency=USD","Period=FQ","BEST_FPERIOD_OVERRIDE=FQ","FILING_STATUS=MR","SCALING_FORMAT=MLN","Sort=A","Dates=H","DateFormat=P","Fill=—","Direction=H","UseDPDF=Y")</f>
        <v>0.14680000000000001</v>
      </c>
      <c r="N67" s="13">
        <f>_xll.BDH("ITCI US Equity","IS_DEPR_EXP","FQ1 2022","FQ1 2022","Currency=USD","Period=FQ","BEST_FPERIOD_OVERRIDE=FQ","FILING_STATUS=MR","SCALING_FORMAT=MLN","Sort=A","Dates=H","DateFormat=P","Fill=—","Direction=H","UseDPDF=Y")</f>
        <v>0.17100000000000001</v>
      </c>
      <c r="O67" s="13">
        <f>_xll.BDH("ITCI US Equity","IS_DEPR_EXP","FQ2 2022","FQ2 2022","Currency=USD","Period=FQ","BEST_FPERIOD_OVERRIDE=FQ","FILING_STATUS=MR","SCALING_FORMAT=MLN","Sort=A","Dates=H","DateFormat=P","Fill=—","Direction=H","UseDPDF=Y")</f>
        <v>0.17199999999999999</v>
      </c>
      <c r="P67" s="13">
        <f>_xll.BDH("ITCI US Equity","IS_DEPR_EXP","FQ3 2022","FQ3 2022","Currency=USD","Period=FQ","BEST_FPERIOD_OVERRIDE=FQ","FILING_STATUS=MR","SCALING_FORMAT=MLN","Sort=A","Dates=H","DateFormat=P","Fill=—","Direction=H","UseDPDF=Y")</f>
        <v>0.17</v>
      </c>
      <c r="Q67" s="13">
        <f>_xll.BDH("ITCI US Equity","IS_DEPR_EXP","FQ4 2022","FQ4 2022","Currency=USD","Period=FQ","BEST_FPERIOD_OVERRIDE=FQ","FILING_STATUS=MR","SCALING_FORMAT=MLN","Sort=A","Dates=H","DateFormat=P","Fill=—","Direction=H","UseDPDF=Y")</f>
        <v>0.14299999999999999</v>
      </c>
      <c r="R67" s="13">
        <f>_xll.BDH("ITCI US Equity","IS_DEPR_EXP","FQ1 2023","FQ1 2023","Currency=USD","Period=FQ","BEST_FPERIOD_OVERRIDE=FQ","FILING_STATUS=MR","SCALING_FORMAT=MLN","Sort=A","Dates=H","DateFormat=P","Fill=—","Direction=H","UseDPDF=Y")</f>
        <v>0.13400000000000001</v>
      </c>
      <c r="S67" s="13">
        <f>_xll.BDH("ITCI US Equity","IS_DEPR_EXP","FQ2 2023","FQ2 2023","Currency=USD","Period=FQ","BEST_FPERIOD_OVERRIDE=FQ","FILING_STATUS=MR","SCALING_FORMAT=MLN","Sort=A","Dates=H","DateFormat=P","Fill=—","Direction=H","UseDPDF=Y")</f>
        <v>0.123</v>
      </c>
      <c r="T67" s="13">
        <f>_xll.BDH("ITCI US Equity","IS_DEPR_EXP","FQ3 2023","FQ3 2023","Currency=USD","Period=FQ","BEST_FPERIOD_OVERRIDE=FQ","FILING_STATUS=MR","SCALING_FORMAT=MLN","Sort=A","Dates=H","DateFormat=P","Fill=—","Direction=H","UseDPDF=Y")</f>
        <v>0.13500000000000001</v>
      </c>
      <c r="U67" s="13">
        <f>_xll.BDH("ITCI US Equity","IS_DEPR_EXP","FQ4 2023","FQ4 2023","Currency=USD","Period=FQ","BEST_FPERIOD_OVERRIDE=FQ","FILING_STATUS=MR","SCALING_FORMAT=MLN","Sort=A","Dates=H","DateFormat=P","Fill=—","Direction=H","UseDPDF=Y")</f>
        <v>0.13600000000000001</v>
      </c>
      <c r="V67" s="13">
        <f>_xll.BDH("ITCI US Equity","IS_DEPR_EXP","FQ1 2024","FQ1 2024","Currency=USD","Period=FQ","BEST_FPERIOD_OVERRIDE=FQ","FILING_STATUS=MR","SCALING_FORMAT=MLN","Sort=A","Dates=H","DateFormat=P","Fill=—","Direction=H","UseDPDF=Y")</f>
        <v>0.13200000000000001</v>
      </c>
      <c r="W67" s="13">
        <f>_xll.BDH("ITCI US Equity","IS_DEPR_EXP","FQ2 2024","FQ2 2024","Currency=USD","Period=FQ","BEST_FPERIOD_OVERRIDE=FQ","FILING_STATUS=MR","SCALING_FORMAT=MLN","Sort=A","Dates=H","DateFormat=P","Fill=—","Direction=H","UseDPDF=Y")</f>
        <v>0.129</v>
      </c>
      <c r="X67" s="13">
        <f>_xll.BDH("ITCI US Equity","IS_DEPR_EXP","FQ3 2024","FQ3 2024","Currency=USD","Period=FQ","BEST_FPERIOD_OVERRIDE=FQ","FILING_STATUS=MR","SCALING_FORMAT=MLN","Sort=A","Dates=H","DateFormat=P","Fill=—","Direction=H","UseDPDF=Y")</f>
        <v>0.13800000000000001</v>
      </c>
      <c r="Y67" s="13">
        <f>_xll.BDH("ITCI US Equity","IS_DEPR_EXP","FQ4 2024","FQ4 2024","Currency=USD","Period=FQ","BEST_FPERIOD_OVERRIDE=FQ","FILING_STATUS=MR","SCALING_FORMAT=MLN","Sort=A","Dates=H","DateFormat=P","Fill=—","Direction=H","UseDPDF=Y")</f>
        <v>0.109</v>
      </c>
      <c r="Z67" s="13"/>
      <c r="AA67" s="13"/>
    </row>
    <row r="68" spans="1:27" x14ac:dyDescent="0.25">
      <c r="A68" s="10" t="s">
        <v>370</v>
      </c>
      <c r="B68" s="10" t="s">
        <v>371</v>
      </c>
      <c r="C68" s="13">
        <f>_xll.BDH("ITCI US Equity","BS_CURR_RENTAL_EXPENSE","FQ2 2019","FQ2 2019","Currency=USD","Period=FQ","BEST_FPERIOD_OVERRIDE=FQ","FILING_STATUS=MR","SCALING_FORMAT=MLN","Sort=A","Dates=H","DateFormat=P","Fill=—","Direction=H","UseDPDF=Y")</f>
        <v>0.95599999999999996</v>
      </c>
      <c r="D68" s="13">
        <f>_xll.BDH("ITCI US Equity","BS_CURR_RENTAL_EXPENSE","FQ3 2019","FQ3 2019","Currency=USD","Period=FQ","BEST_FPERIOD_OVERRIDE=FQ","FILING_STATUS=MR","SCALING_FORMAT=MLN","Sort=A","Dates=H","DateFormat=P","Fill=—","Direction=H","UseDPDF=Y")</f>
        <v>0.81799999999999995</v>
      </c>
      <c r="E68" s="13">
        <f>_xll.BDH("ITCI US Equity","BS_CURR_RENTAL_EXPENSE","FQ4 2019","FQ4 2019","Currency=USD","Period=FQ","BEST_FPERIOD_OVERRIDE=FQ","FILING_STATUS=MR","SCALING_FORMAT=MLN","Sort=A","Dates=H","DateFormat=P","Fill=—","Direction=H","UseDPDF=Y")</f>
        <v>0.8</v>
      </c>
      <c r="F68" s="13">
        <f>_xll.BDH("ITCI US Equity","BS_CURR_RENTAL_EXPENSE","FQ1 2020","FQ1 2020","Currency=USD","Period=FQ","BEST_FPERIOD_OVERRIDE=FQ","FILING_STATUS=MR","SCALING_FORMAT=MLN","Sort=A","Dates=H","DateFormat=P","Fill=—","Direction=H","UseDPDF=Y")</f>
        <v>0.81799999999999995</v>
      </c>
      <c r="G68" s="13">
        <f>_xll.BDH("ITCI US Equity","BS_CURR_RENTAL_EXPENSE","FQ2 2020","FQ2 2020","Currency=USD","Period=FQ","BEST_FPERIOD_OVERRIDE=FQ","FILING_STATUS=MR","SCALING_FORMAT=MLN","Sort=A","Dates=H","DateFormat=P","Fill=—","Direction=H","UseDPDF=Y")</f>
        <v>0.8</v>
      </c>
      <c r="H68" s="13">
        <f>_xll.BDH("ITCI US Equity","BS_CURR_RENTAL_EXPENSE","FQ3 2020","FQ3 2020","Currency=USD","Period=FQ","BEST_FPERIOD_OVERRIDE=FQ","FILING_STATUS=MR","SCALING_FORMAT=MLN","Sort=A","Dates=H","DateFormat=P","Fill=—","Direction=H","UseDPDF=Y")</f>
        <v>0.8</v>
      </c>
      <c r="I68" s="13">
        <f>_xll.BDH("ITCI US Equity","BS_CURR_RENTAL_EXPENSE","FQ4 2020","FQ4 2020","Currency=USD","Period=FQ","BEST_FPERIOD_OVERRIDE=FQ","FILING_STATUS=MR","SCALING_FORMAT=MLN","Sort=A","Dates=H","DateFormat=P","Fill=—","Direction=H","UseDPDF=Y")</f>
        <v>0.3831</v>
      </c>
      <c r="J68" s="13">
        <f>_xll.BDH("ITCI US Equity","BS_CURR_RENTAL_EXPENSE","FQ1 2021","FQ1 2021","Currency=USD","Period=FQ","BEST_FPERIOD_OVERRIDE=FQ","FILING_STATUS=MR","SCALING_FORMAT=MLN","Sort=A","Dates=H","DateFormat=P","Fill=—","Direction=H","UseDPDF=Y")</f>
        <v>0.8</v>
      </c>
      <c r="K68" s="13">
        <f>_xll.BDH("ITCI US Equity","BS_CURR_RENTAL_EXPENSE","FQ2 2021","FQ2 2021","Currency=USD","Period=FQ","BEST_FPERIOD_OVERRIDE=FQ","FILING_STATUS=MR","SCALING_FORMAT=MLN","Sort=A","Dates=H","DateFormat=P","Fill=—","Direction=H","UseDPDF=Y")</f>
        <v>0.8</v>
      </c>
      <c r="L68" s="13">
        <f>_xll.BDH("ITCI US Equity","BS_CURR_RENTAL_EXPENSE","FQ3 2021","FQ3 2021","Currency=USD","Period=FQ","BEST_FPERIOD_OVERRIDE=FQ","FILING_STATUS=MR","SCALING_FORMAT=MLN","Sort=A","Dates=H","DateFormat=P","Fill=—","Direction=H","UseDPDF=Y")</f>
        <v>0.8</v>
      </c>
      <c r="M68" s="13">
        <f>_xll.BDH("ITCI US Equity","BS_CURR_RENTAL_EXPENSE","FQ4 2021","FQ4 2021","Currency=USD","Period=FQ","BEST_FPERIOD_OVERRIDE=FQ","FILING_STATUS=MR","SCALING_FORMAT=MLN","Sort=A","Dates=H","DateFormat=P","Fill=—","Direction=H","UseDPDF=Y")</f>
        <v>0.94889999999999997</v>
      </c>
      <c r="N68" s="13" t="str">
        <f>_xll.BDH("ITCI US Equity","BS_CURR_RENTAL_EXPENSE","FQ1 2022","FQ1 2022","Currency=USD","Period=FQ","BEST_FPERIOD_OVERRIDE=FQ","FILING_STATUS=MR","SCALING_FORMAT=MLN","Sort=A","Dates=H","DateFormat=P","Fill=—","Direction=H","UseDPDF=Y")</f>
        <v>—</v>
      </c>
      <c r="O68" s="13" t="str">
        <f>_xll.BDH("ITCI US Equity","BS_CURR_RENTAL_EXPENSE","FQ2 2022","FQ2 2022","Currency=USD","Period=FQ","BEST_FPERIOD_OVERRIDE=FQ","FILING_STATUS=MR","SCALING_FORMAT=MLN","Sort=A","Dates=H","DateFormat=P","Fill=—","Direction=H","UseDPDF=Y")</f>
        <v>—</v>
      </c>
      <c r="P68" s="13" t="str">
        <f>_xll.BDH("ITCI US Equity","BS_CURR_RENTAL_EXPENSE","FQ3 2022","FQ3 2022","Currency=USD","Period=FQ","BEST_FPERIOD_OVERRIDE=FQ","FILING_STATUS=MR","SCALING_FORMAT=MLN","Sort=A","Dates=H","DateFormat=P","Fill=—","Direction=H","UseDPDF=Y")</f>
        <v>—</v>
      </c>
      <c r="Q68" s="13">
        <f>_xll.BDH("ITCI US Equity","BS_CURR_RENTAL_EXPENSE","FQ4 2022","FQ4 2022","Currency=USD","Period=FQ","BEST_FPERIOD_OVERRIDE=FQ","FILING_STATUS=MR","SCALING_FORMAT=MLN","Sort=A","Dates=H","DateFormat=P","Fill=—","Direction=H","UseDPDF=Y")</f>
        <v>7.2039999999999997</v>
      </c>
      <c r="R68" s="13">
        <f>_xll.BDH("ITCI US Equity","BS_CURR_RENTAL_EXPENSE","FQ1 2023","FQ1 2023","Currency=USD","Period=FQ","BEST_FPERIOD_OVERRIDE=FQ","FILING_STATUS=MR","SCALING_FORMAT=MLN","Sort=A","Dates=H","DateFormat=P","Fill=—","Direction=H","UseDPDF=Y")</f>
        <v>2.161</v>
      </c>
      <c r="S68" s="13" t="str">
        <f>_xll.BDH("ITCI US Equity","BS_CURR_RENTAL_EXPENSE","FQ2 2023","FQ2 2023","Currency=USD","Period=FQ","BEST_FPERIOD_OVERRIDE=FQ","FILING_STATUS=MR","SCALING_FORMAT=MLN","Sort=A","Dates=H","DateFormat=P","Fill=—","Direction=H","UseDPDF=Y")</f>
        <v>—</v>
      </c>
      <c r="T68" s="13">
        <f>_xll.BDH("ITCI US Equity","BS_CURR_RENTAL_EXPENSE","FQ3 2023","FQ3 2023","Currency=USD","Period=FQ","BEST_FPERIOD_OVERRIDE=FQ","FILING_STATUS=MR","SCALING_FORMAT=MLN","Sort=A","Dates=H","DateFormat=P","Fill=—","Direction=H","UseDPDF=Y")</f>
        <v>2.4820000000000002</v>
      </c>
      <c r="U68" s="13">
        <f>_xll.BDH("ITCI US Equity","BS_CURR_RENTAL_EXPENSE","FQ4 2023","FQ4 2023","Currency=USD","Period=FQ","BEST_FPERIOD_OVERRIDE=FQ","FILING_STATUS=MR","SCALING_FORMAT=MLN","Sort=A","Dates=H","DateFormat=P","Fill=—","Direction=H","UseDPDF=Y")</f>
        <v>7.6849999999999996</v>
      </c>
      <c r="V68" s="13">
        <f>_xll.BDH("ITCI US Equity","BS_CURR_RENTAL_EXPENSE","FQ1 2024","FQ1 2024","Currency=USD","Period=FQ","BEST_FPERIOD_OVERRIDE=FQ","FILING_STATUS=MR","SCALING_FORMAT=MLN","Sort=A","Dates=H","DateFormat=P","Fill=—","Direction=H","UseDPDF=Y")</f>
        <v>1.8879999999999999</v>
      </c>
      <c r="W68" s="13">
        <f>_xll.BDH("ITCI US Equity","BS_CURR_RENTAL_EXPENSE","FQ2 2024","FQ2 2024","Currency=USD","Period=FQ","BEST_FPERIOD_OVERRIDE=FQ","FILING_STATUS=MR","SCALING_FORMAT=MLN","Sort=A","Dates=H","DateFormat=P","Fill=—","Direction=H","UseDPDF=Y")</f>
        <v>2.1459999999999999</v>
      </c>
      <c r="X68" s="13">
        <f>_xll.BDH("ITCI US Equity","BS_CURR_RENTAL_EXPENSE","FQ3 2024","FQ3 2024","Currency=USD","Period=FQ","BEST_FPERIOD_OVERRIDE=FQ","FILING_STATUS=MR","SCALING_FORMAT=MLN","Sort=A","Dates=H","DateFormat=P","Fill=—","Direction=H","UseDPDF=Y")</f>
        <v>2.101</v>
      </c>
      <c r="Y68" s="13">
        <f>_xll.BDH("ITCI US Equity","BS_CURR_RENTAL_EXPENSE","FQ4 2024","FQ4 2024","Currency=USD","Period=FQ","BEST_FPERIOD_OVERRIDE=FQ","FILING_STATUS=MR","SCALING_FORMAT=MLN","Sort=A","Dates=H","DateFormat=P","Fill=—","Direction=H","UseDPDF=Y")</f>
        <v>2.1059999999999999</v>
      </c>
      <c r="Z68" s="13"/>
      <c r="AA68" s="13"/>
    </row>
    <row r="69" spans="1:27" x14ac:dyDescent="0.25">
      <c r="A69" s="7" t="s">
        <v>90</v>
      </c>
      <c r="B69" s="7"/>
      <c r="C69" s="7" t="s">
        <v>5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68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378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6" t="s">
        <v>379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380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381</v>
      </c>
      <c r="B8" s="10" t="s">
        <v>382</v>
      </c>
      <c r="C8" s="13" t="str">
        <f>_xll.BDH("ITCI US Equity","ARD_REVENUES","FQ4 2018","FQ4 2018","Currency=USD","Period=FQ","BEST_FPERIOD_OVERRIDE=FQ","FILING_STATUS=MR","SCALING_FORMAT=MLN","Sort=A","Dates=H","DateFormat=P","Fill=—","Direction=H","UseDPDF=Y")</f>
        <v>—</v>
      </c>
      <c r="D8" s="13">
        <f>_xll.BDH("ITCI US Equity","ARD_REVENUES","FQ1 2019","FQ1 2019","Currency=USD","Period=FQ","BEST_FPERIOD_OVERRIDE=FQ","FILING_STATUS=MR","SCALING_FORMAT=MLN","Sort=A","Dates=H","DateFormat=P","Fill=—","Direction=H","UseDPDF=Y")</f>
        <v>0</v>
      </c>
      <c r="E8" s="13">
        <f>_xll.BDH("ITCI US Equity","ARD_REVENUES","FQ2 2019","FQ2 2019","Currency=USD","Period=FQ","BEST_FPERIOD_OVERRIDE=FQ","FILING_STATUS=MR","SCALING_FORMAT=MLN","Sort=A","Dates=H","DateFormat=P","Fill=—","Direction=H","UseDPDF=Y")</f>
        <v>0</v>
      </c>
      <c r="F8" s="13" t="str">
        <f>_xll.BDH("ITCI US Equity","ARD_REVENUES","FQ3 2019","FQ3 2019","Currency=USD","Period=FQ","BEST_FPERIOD_OVERRIDE=FQ","FILING_STATUS=MR","SCALING_FORMAT=MLN","Sort=A","Dates=H","DateFormat=P","Fill=—","Direction=H","UseDPDF=Y")</f>
        <v>—</v>
      </c>
      <c r="G8" s="13" t="str">
        <f>_xll.BDH("ITCI US Equity","ARD_REVENUES","FQ4 2019","FQ4 2019","Currency=USD","Period=FQ","BEST_FPERIOD_OVERRIDE=FQ","FILING_STATUS=MR","SCALING_FORMAT=MLN","Sort=A","Dates=H","DateFormat=P","Fill=—","Direction=H","UseDPDF=Y")</f>
        <v>—</v>
      </c>
      <c r="H8" s="13" t="str">
        <f>_xll.BDH("ITCI US Equity","ARD_REVENUES","FQ1 2020","FQ1 2020","Currency=USD","Period=FQ","BEST_FPERIOD_OVERRIDE=FQ","FILING_STATUS=MR","SCALING_FORMAT=MLN","Sort=A","Dates=H","DateFormat=P","Fill=—","Direction=H","UseDPDF=Y")</f>
        <v>—</v>
      </c>
      <c r="I8" s="13" t="str">
        <f>_xll.BDH("ITCI US Equity","ARD_REVENUES","FQ2 2020","FQ2 2020","Currency=USD","Period=FQ","BEST_FPERIOD_OVERRIDE=FQ","FILING_STATUS=MR","SCALING_FORMAT=MLN","Sort=A","Dates=H","DateFormat=P","Fill=—","Direction=H","UseDPDF=Y")</f>
        <v>—</v>
      </c>
      <c r="J8" s="13" t="str">
        <f>_xll.BDH("ITCI US Equity","ARD_REVENUES","FQ3 2020","FQ3 2020","Currency=USD","Period=FQ","BEST_FPERIOD_OVERRIDE=FQ","FILING_STATUS=MR","SCALING_FORMAT=MLN","Sort=A","Dates=H","DateFormat=P","Fill=—","Direction=H","UseDPDF=Y")</f>
        <v>—</v>
      </c>
      <c r="K8" s="13" t="str">
        <f>_xll.BDH("ITCI US Equity","ARD_REVENUES","FQ4 2020","FQ4 2020","Currency=USD","Period=FQ","BEST_FPERIOD_OVERRIDE=FQ","FILING_STATUS=MR","SCALING_FORMAT=MLN","Sort=A","Dates=H","DateFormat=P","Fill=—","Direction=H","UseDPDF=Y")</f>
        <v>—</v>
      </c>
      <c r="L8" s="13" t="str">
        <f>_xll.BDH("ITCI US Equity","ARD_REVENUES","FQ1 2021","FQ1 2021","Currency=USD","Period=FQ","BEST_FPERIOD_OVERRIDE=FQ","FILING_STATUS=MR","SCALING_FORMAT=MLN","Sort=A","Dates=H","DateFormat=P","Fill=—","Direction=H","UseDPDF=Y")</f>
        <v>—</v>
      </c>
      <c r="M8" s="13" t="str">
        <f>_xll.BDH("ITCI US Equity","ARD_REVENUES","FQ2 2021","FQ2 2021","Currency=USD","Period=FQ","BEST_FPERIOD_OVERRIDE=FQ","FILING_STATUS=MR","SCALING_FORMAT=MLN","Sort=A","Dates=H","DateFormat=P","Fill=—","Direction=H","UseDPDF=Y")</f>
        <v>—</v>
      </c>
      <c r="N8" s="13" t="str">
        <f>_xll.BDH("ITCI US Equity","ARD_REVENUES","FQ3 2021","FQ3 2021","Currency=USD","Period=FQ","BEST_FPERIOD_OVERRIDE=FQ","FILING_STATUS=MR","SCALING_FORMAT=MLN","Sort=A","Dates=H","DateFormat=P","Fill=—","Direction=H","UseDPDF=Y")</f>
        <v>—</v>
      </c>
      <c r="O8" s="13" t="str">
        <f>_xll.BDH("ITCI US Equity","ARD_REVENUES","FQ4 2021","FQ4 2021","Currency=USD","Period=FQ","BEST_FPERIOD_OVERRIDE=FQ","FILING_STATUS=MR","SCALING_FORMAT=MLN","Sort=A","Dates=H","DateFormat=P","Fill=—","Direction=H","UseDPDF=Y")</f>
        <v>—</v>
      </c>
      <c r="P8" s="13" t="str">
        <f>_xll.BDH("ITCI US Equity","ARD_REVENUES","FQ1 2022","FQ1 2022","Currency=USD","Period=FQ","BEST_FPERIOD_OVERRIDE=FQ","FILING_STATUS=MR","SCALING_FORMAT=MLN","Sort=A","Dates=H","DateFormat=P","Fill=—","Direction=H","UseDPDF=Y")</f>
        <v>—</v>
      </c>
      <c r="Q8" s="13" t="str">
        <f>_xll.BDH("ITCI US Equity","ARD_REVENUES","FQ2 2022","FQ2 2022","Currency=USD","Period=FQ","BEST_FPERIOD_OVERRIDE=FQ","FILING_STATUS=MR","SCALING_FORMAT=MLN","Sort=A","Dates=H","DateFormat=P","Fill=—","Direction=H","UseDPDF=Y")</f>
        <v>—</v>
      </c>
      <c r="R8" s="13" t="str">
        <f>_xll.BDH("ITCI US Equity","ARD_REVENUES","FQ3 2022","FQ3 2022","Currency=USD","Period=FQ","BEST_FPERIOD_OVERRIDE=FQ","FILING_STATUS=MR","SCALING_FORMAT=MLN","Sort=A","Dates=H","DateFormat=P","Fill=—","Direction=H","UseDPDF=Y")</f>
        <v>—</v>
      </c>
      <c r="S8" s="13" t="str">
        <f>_xll.BDH("ITCI US Equity","ARD_REVENUES","FQ4 2022","FQ4 2022","Currency=USD","Period=FQ","BEST_FPERIOD_OVERRIDE=FQ","FILING_STATUS=MR","SCALING_FORMAT=MLN","Sort=A","Dates=H","DateFormat=P","Fill=—","Direction=H","UseDPDF=Y")</f>
        <v>—</v>
      </c>
      <c r="T8" s="13" t="str">
        <f>_xll.BDH("ITCI US Equity","ARD_REVENUES","FQ1 2023","FQ1 2023","Currency=USD","Period=FQ","BEST_FPERIOD_OVERRIDE=FQ","FILING_STATUS=MR","SCALING_FORMAT=MLN","Sort=A","Dates=H","DateFormat=P","Fill=—","Direction=H","UseDPDF=Y")</f>
        <v>—</v>
      </c>
      <c r="U8" s="13" t="str">
        <f>_xll.BDH("ITCI US Equity","ARD_REVENUES","FQ2 2023","FQ2 2023","Currency=USD","Period=FQ","BEST_FPERIOD_OVERRIDE=FQ","FILING_STATUS=MR","SCALING_FORMAT=MLN","Sort=A","Dates=H","DateFormat=P","Fill=—","Direction=H","UseDPDF=Y")</f>
        <v>—</v>
      </c>
      <c r="V8" s="13" t="str">
        <f>_xll.BDH("ITCI US Equity","ARD_REVENUES","FQ3 2023","FQ3 2023","Currency=USD","Period=FQ","BEST_FPERIOD_OVERRIDE=FQ","FILING_STATUS=MR","SCALING_FORMAT=MLN","Sort=A","Dates=H","DateFormat=P","Fill=—","Direction=H","UseDPDF=Y")</f>
        <v>—</v>
      </c>
      <c r="W8" s="13" t="str">
        <f>_xll.BDH("ITCI US Equity","ARD_REVENUES","FQ4 2023","FQ4 2023","Currency=USD","Period=FQ","BEST_FPERIOD_OVERRIDE=FQ","FILING_STATUS=MR","SCALING_FORMAT=MLN","Sort=A","Dates=H","DateFormat=P","Fill=—","Direction=H","UseDPDF=Y")</f>
        <v>—</v>
      </c>
      <c r="X8" s="13" t="str">
        <f>_xll.BDH("ITCI US Equity","ARD_REVENUES","FQ1 2024","FQ1 2024","Currency=USD","Period=FQ","BEST_FPERIOD_OVERRIDE=FQ","FILING_STATUS=MR","SCALING_FORMAT=MLN","Sort=A","Dates=H","DateFormat=P","Fill=—","Direction=H","UseDPDF=Y")</f>
        <v>—</v>
      </c>
      <c r="Y8" s="13" t="str">
        <f>_xll.BDH("ITCI US Equity","ARD_REVENUES","FQ2 2024","FQ2 2024","Currency=USD","Period=FQ","BEST_FPERIOD_OVERRIDE=FQ","FILING_STATUS=MR","SCALING_FORMAT=MLN","Sort=A","Dates=H","DateFormat=P","Fill=—","Direction=H","UseDPDF=Y")</f>
        <v>—</v>
      </c>
      <c r="Z8" s="13" t="str">
        <f>_xll.BDH("ITCI US Equity","ARD_REVENUES","FQ3 2024","FQ3 2024","Currency=USD","Period=FQ","BEST_FPERIOD_OVERRIDE=FQ","FILING_STATUS=MR","SCALING_FORMAT=MLN","Sort=A","Dates=H","DateFormat=P","Fill=—","Direction=H","UseDPDF=Y")</f>
        <v>—</v>
      </c>
      <c r="AA8" s="13" t="str">
        <f>_xll.BDH("ITCI US Equity","ARD_REVENUES","FQ4 2024","FQ4 2024","Currency=USD","Period=FQ","BEST_FPERIOD_OVERRIDE=FQ","FILING_STATUS=MR","SCALING_FORMAT=MLN","Sort=A","Dates=H","DateFormat=P","Fill=—","Direction=H","UseDPDF=Y")</f>
        <v>—</v>
      </c>
    </row>
    <row r="9" spans="1:27" x14ac:dyDescent="0.25">
      <c r="A9" s="10" t="s">
        <v>383</v>
      </c>
      <c r="B9" s="10" t="s">
        <v>384</v>
      </c>
      <c r="C9" s="13" t="str">
        <f>_xll.BDH("ITCI US Equity","ARD_OTHER_REV","FQ4 2018","FQ4 2018","Currency=USD","Period=FQ","BEST_FPERIOD_OVERRIDE=FQ","FILING_STATUS=MR","SCALING_FORMAT=MLN","Sort=A","Dates=H","DateFormat=P","Fill=—","Direction=H","UseDPDF=Y")</f>
        <v>—</v>
      </c>
      <c r="D9" s="13" t="str">
        <f>_xll.BDH("ITCI US Equity","ARD_OTHER_REV","FQ1 2019","FQ1 2019","Currency=USD","Period=FQ","BEST_FPERIOD_OVERRIDE=FQ","FILING_STATUS=MR","SCALING_FORMAT=MLN","Sort=A","Dates=H","DateFormat=P","Fill=—","Direction=H","UseDPDF=Y")</f>
        <v>—</v>
      </c>
      <c r="E9" s="13" t="str">
        <f>_xll.BDH("ITCI US Equity","ARD_OTHER_REV","FQ2 2019","FQ2 2019","Currency=USD","Period=FQ","BEST_FPERIOD_OVERRIDE=FQ","FILING_STATUS=MR","SCALING_FORMAT=MLN","Sort=A","Dates=H","DateFormat=P","Fill=—","Direction=H","UseDPDF=Y")</f>
        <v>—</v>
      </c>
      <c r="F9" s="13" t="str">
        <f>_xll.BDH("ITCI US Equity","ARD_OTHER_REV","FQ3 2019","FQ3 2019","Currency=USD","Period=FQ","BEST_FPERIOD_OVERRIDE=FQ","FILING_STATUS=MR","SCALING_FORMAT=MLN","Sort=A","Dates=H","DateFormat=P","Fill=—","Direction=H","UseDPDF=Y")</f>
        <v>—</v>
      </c>
      <c r="G9" s="13" t="str">
        <f>_xll.BDH("ITCI US Equity","ARD_OTHER_REV","FQ4 2019","FQ4 2019","Currency=USD","Period=FQ","BEST_FPERIOD_OVERRIDE=FQ","FILING_STATUS=MR","SCALING_FORMAT=MLN","Sort=A","Dates=H","DateFormat=P","Fill=—","Direction=H","UseDPDF=Y")</f>
        <v>—</v>
      </c>
      <c r="H9" s="13">
        <f>_xll.BDH("ITCI US Equity","ARD_OTHER_REV","FQ1 2020","FQ1 2020","Currency=USD","Period=FQ","BEST_FPERIOD_OVERRIDE=FQ","FILING_STATUS=MR","SCALING_FORMAT=MLN","Sort=A","Dates=H","DateFormat=P","Fill=—","Direction=H","UseDPDF=Y")</f>
        <v>0.20100000000000001</v>
      </c>
      <c r="I9" s="13">
        <f>_xll.BDH("ITCI US Equity","ARD_OTHER_REV","FQ2 2020","FQ2 2020","Currency=USD","Period=FQ","BEST_FPERIOD_OVERRIDE=FQ","FILING_STATUS=MR","SCALING_FORMAT=MLN","Sort=A","Dates=H","DateFormat=P","Fill=—","Direction=H","UseDPDF=Y")</f>
        <v>3.0700000000000002E-2</v>
      </c>
      <c r="J9" s="13">
        <f>_xll.BDH("ITCI US Equity","ARD_OTHER_REV","FQ3 2020","FQ3 2020","Currency=USD","Period=FQ","BEST_FPERIOD_OVERRIDE=FQ","FILING_STATUS=MR","SCALING_FORMAT=MLN","Sort=A","Dates=H","DateFormat=P","Fill=—","Direction=H","UseDPDF=Y")</f>
        <v>0</v>
      </c>
      <c r="K9" s="13">
        <f>_xll.BDH("ITCI US Equity","ARD_OTHER_REV","FQ4 2020","FQ4 2020","Currency=USD","Period=FQ","BEST_FPERIOD_OVERRIDE=FQ","FILING_STATUS=MR","SCALING_FORMAT=MLN","Sort=A","Dates=H","DateFormat=P","Fill=—","Direction=H","UseDPDF=Y")</f>
        <v>5.0500000000000003E-2</v>
      </c>
      <c r="L9" s="13">
        <f>_xll.BDH("ITCI US Equity","ARD_OTHER_REV","FQ1 2021","FQ1 2021","Currency=USD","Period=FQ","BEST_FPERIOD_OVERRIDE=FQ","FILING_STATUS=MR","SCALING_FORMAT=MLN","Sort=A","Dates=H","DateFormat=P","Fill=—","Direction=H","UseDPDF=Y")</f>
        <v>0.2994</v>
      </c>
      <c r="M9" s="13">
        <f>_xll.BDH("ITCI US Equity","ARD_OTHER_REV","FQ2 2021","FQ2 2021","Currency=USD","Period=FQ","BEST_FPERIOD_OVERRIDE=FQ","FILING_STATUS=MR","SCALING_FORMAT=MLN","Sort=A","Dates=H","DateFormat=P","Fill=—","Direction=H","UseDPDF=Y")</f>
        <v>1.0398000000000001</v>
      </c>
      <c r="N9" s="13">
        <f>_xll.BDH("ITCI US Equity","ARD_OTHER_REV","FQ3 2021","FQ3 2021","Currency=USD","Period=FQ","BEST_FPERIOD_OVERRIDE=FQ","FILING_STATUS=MR","SCALING_FORMAT=MLN","Sort=A","Dates=H","DateFormat=P","Fill=—","Direction=H","UseDPDF=Y")</f>
        <v>0.60099999999999998</v>
      </c>
      <c r="O9" s="13">
        <f>_xll.BDH("ITCI US Equity","ARD_OTHER_REV","FQ4 2021","FQ4 2021","Currency=USD","Period=FQ","BEST_FPERIOD_OVERRIDE=FQ","FILING_STATUS=MR","SCALING_FORMAT=MLN","Sort=A","Dates=H","DateFormat=P","Fill=—","Direction=H","UseDPDF=Y")</f>
        <v>0.15490000000000001</v>
      </c>
      <c r="P9" s="13">
        <f>_xll.BDH("ITCI US Equity","ARD_OTHER_REV","FQ1 2022","FQ1 2022","Currency=USD","Period=FQ","BEST_FPERIOD_OVERRIDE=FQ","FILING_STATUS=MR","SCALING_FORMAT=MLN","Sort=A","Dates=H","DateFormat=P","Fill=—","Direction=H","UseDPDF=Y")</f>
        <v>0.24099999999999999</v>
      </c>
      <c r="Q9" s="13">
        <f>_xll.BDH("ITCI US Equity","ARD_OTHER_REV","FQ2 2022","FQ2 2022","Currency=USD","Period=FQ","BEST_FPERIOD_OVERRIDE=FQ","FILING_STATUS=MR","SCALING_FORMAT=MLN","Sort=A","Dates=H","DateFormat=P","Fill=—","Direction=H","UseDPDF=Y")</f>
        <v>0.505</v>
      </c>
      <c r="R9" s="13">
        <f>_xll.BDH("ITCI US Equity","ARD_OTHER_REV","FQ3 2022","FQ3 2022","Currency=USD","Period=FQ","BEST_FPERIOD_OVERRIDE=FQ","FILING_STATUS=MR","SCALING_FORMAT=MLN","Sort=A","Dates=H","DateFormat=P","Fill=—","Direction=H","UseDPDF=Y")</f>
        <v>0</v>
      </c>
      <c r="S9" s="13">
        <f>_xll.BDH("ITCI US Equity","ARD_OTHER_REV","FQ4 2022","FQ4 2022","Currency=USD","Period=FQ","BEST_FPERIOD_OVERRIDE=FQ","FILING_STATUS=MR","SCALING_FORMAT=MLN","Sort=A","Dates=H","DateFormat=P","Fill=—","Direction=H","UseDPDF=Y")</f>
        <v>0.436</v>
      </c>
      <c r="T9" s="13">
        <f>_xll.BDH("ITCI US Equity","ARD_OTHER_REV","FQ1 2023","FQ1 2023","Currency=USD","Period=FQ","BEST_FPERIOD_OVERRIDE=FQ","FILING_STATUS=MR","SCALING_FORMAT=MLN","Sort=A","Dates=H","DateFormat=P","Fill=—","Direction=H","UseDPDF=Y")</f>
        <v>0.57499999999999996</v>
      </c>
      <c r="U9" s="13">
        <f>_xll.BDH("ITCI US Equity","ARD_OTHER_REV","FQ2 2023","FQ2 2023","Currency=USD","Period=FQ","BEST_FPERIOD_OVERRIDE=FQ","FILING_STATUS=MR","SCALING_FORMAT=MLN","Sort=A","Dates=H","DateFormat=P","Fill=—","Direction=H","UseDPDF=Y")</f>
        <v>0.66400000000000003</v>
      </c>
      <c r="V9" s="13">
        <f>_xll.BDH("ITCI US Equity","ARD_OTHER_REV","FQ3 2023","FQ3 2023","Currency=USD","Period=FQ","BEST_FPERIOD_OVERRIDE=FQ","FILING_STATUS=MR","SCALING_FORMAT=MLN","Sort=A","Dates=H","DateFormat=P","Fill=—","Direction=H","UseDPDF=Y")</f>
        <v>0.36299999999999999</v>
      </c>
      <c r="W9" s="13">
        <f>_xll.BDH("ITCI US Equity","ARD_OTHER_REV","FQ4 2023","FQ4 2023","Currency=USD","Period=FQ","BEST_FPERIOD_OVERRIDE=FQ","FILING_STATUS=MR","SCALING_FORMAT=MLN","Sort=A","Dates=H","DateFormat=P","Fill=—","Direction=H","UseDPDF=Y")</f>
        <v>0.59299999999999997</v>
      </c>
      <c r="X9" s="13">
        <f>_xll.BDH("ITCI US Equity","ARD_OTHER_REV","FQ1 2024","FQ1 2024","Currency=USD","Period=FQ","BEST_FPERIOD_OVERRIDE=FQ","FILING_STATUS=MR","SCALING_FORMAT=MLN","Sort=A","Dates=H","DateFormat=P","Fill=—","Direction=H","UseDPDF=Y")</f>
        <v>2.3E-2</v>
      </c>
      <c r="Y9" s="13">
        <f>_xll.BDH("ITCI US Equity","ARD_OTHER_REV","FQ2 2024","FQ2 2024","Currency=USD","Period=FQ","BEST_FPERIOD_OVERRIDE=FQ","FILING_STATUS=MR","SCALING_FORMAT=MLN","Sort=A","Dates=H","DateFormat=P","Fill=—","Direction=H","UseDPDF=Y")</f>
        <v>0.112</v>
      </c>
      <c r="Z9" s="13">
        <f>_xll.BDH("ITCI US Equity","ARD_OTHER_REV","FQ3 2024","FQ3 2024","Currency=USD","Period=FQ","BEST_FPERIOD_OVERRIDE=FQ","FILING_STATUS=MR","SCALING_FORMAT=MLN","Sort=A","Dates=H","DateFormat=P","Fill=—","Direction=H","UseDPDF=Y")</f>
        <v>0.216</v>
      </c>
      <c r="AA9" s="13">
        <f>_xll.BDH("ITCI US Equity","ARD_OTHER_REV","FQ4 2024","FQ4 2024","Currency=USD","Period=FQ","BEST_FPERIOD_OVERRIDE=FQ","FILING_STATUS=MR","SCALING_FORMAT=MLN","Sort=A","Dates=H","DateFormat=P","Fill=—","Direction=H","UseDPDF=Y")</f>
        <v>0</v>
      </c>
    </row>
    <row r="10" spans="1:27" x14ac:dyDescent="0.25">
      <c r="A10" s="10" t="s">
        <v>385</v>
      </c>
      <c r="B10" s="10" t="s">
        <v>386</v>
      </c>
      <c r="C10" s="13" t="str">
        <f>_xll.BDH("ITCI US Equity","ARD_PRODUCT_REVENUE","FQ4 2018","FQ4 2018","Currency=USD","Period=FQ","BEST_FPERIOD_OVERRIDE=FQ","FILING_STATUS=MR","SCALING_FORMAT=MLN","Sort=A","Dates=H","DateFormat=P","Fill=—","Direction=H","UseDPDF=Y")</f>
        <v>—</v>
      </c>
      <c r="D10" s="13" t="str">
        <f>_xll.BDH("ITCI US Equity","ARD_PRODUCT_REVENUE","FQ1 2019","FQ1 2019","Currency=USD","Period=FQ","BEST_FPERIOD_OVERRIDE=FQ","FILING_STATUS=MR","SCALING_FORMAT=MLN","Sort=A","Dates=H","DateFormat=P","Fill=—","Direction=H","UseDPDF=Y")</f>
        <v>—</v>
      </c>
      <c r="E10" s="13" t="str">
        <f>_xll.BDH("ITCI US Equity","ARD_PRODUCT_REVENUE","FQ2 2019","FQ2 2019","Currency=USD","Period=FQ","BEST_FPERIOD_OVERRIDE=FQ","FILING_STATUS=MR","SCALING_FORMAT=MLN","Sort=A","Dates=H","DateFormat=P","Fill=—","Direction=H","UseDPDF=Y")</f>
        <v>—</v>
      </c>
      <c r="F10" s="13" t="str">
        <f>_xll.BDH("ITCI US Equity","ARD_PRODUCT_REVENUE","FQ3 2019","FQ3 2019","Currency=USD","Period=FQ","BEST_FPERIOD_OVERRIDE=FQ","FILING_STATUS=MR","SCALING_FORMAT=MLN","Sort=A","Dates=H","DateFormat=P","Fill=—","Direction=H","UseDPDF=Y")</f>
        <v>—</v>
      </c>
      <c r="G10" s="13" t="str">
        <f>_xll.BDH("ITCI US Equity","ARD_PRODUCT_REVENUE","FQ4 2019","FQ4 2019","Currency=USD","Period=FQ","BEST_FPERIOD_OVERRIDE=FQ","FILING_STATUS=MR","SCALING_FORMAT=MLN","Sort=A","Dates=H","DateFormat=P","Fill=—","Direction=H","UseDPDF=Y")</f>
        <v>—</v>
      </c>
      <c r="H10" s="13">
        <f>_xll.BDH("ITCI US Equity","ARD_PRODUCT_REVENUE","FQ1 2020","FQ1 2020","Currency=USD","Period=FQ","BEST_FPERIOD_OVERRIDE=FQ","FILING_STATUS=MR","SCALING_FORMAT=MLN","Sort=A","Dates=H","DateFormat=P","Fill=—","Direction=H","UseDPDF=Y")</f>
        <v>0.88249999999999995</v>
      </c>
      <c r="I10" s="13">
        <f>_xll.BDH("ITCI US Equity","ARD_PRODUCT_REVENUE","FQ2 2020","FQ2 2020","Currency=USD","Period=FQ","BEST_FPERIOD_OVERRIDE=FQ","FILING_STATUS=MR","SCALING_FORMAT=MLN","Sort=A","Dates=H","DateFormat=P","Fill=—","Direction=H","UseDPDF=Y")</f>
        <v>1.8758999999999999</v>
      </c>
      <c r="J10" s="13">
        <f>_xll.BDH("ITCI US Equity","ARD_PRODUCT_REVENUE","FQ3 2020","FQ3 2020","Currency=USD","Period=FQ","BEST_FPERIOD_OVERRIDE=FQ","FILING_STATUS=MR","SCALING_FORMAT=MLN","Sort=A","Dates=H","DateFormat=P","Fill=—","Direction=H","UseDPDF=Y")</f>
        <v>7.3685999999999998</v>
      </c>
      <c r="K10" s="13">
        <f>_xll.BDH("ITCI US Equity","ARD_PRODUCT_REVENUE","FQ4 2020","FQ4 2020","Currency=USD","Period=FQ","BEST_FPERIOD_OVERRIDE=FQ","FILING_STATUS=MR","SCALING_FORMAT=MLN","Sort=A","Dates=H","DateFormat=P","Fill=—","Direction=H","UseDPDF=Y")</f>
        <v>12.4038</v>
      </c>
      <c r="L10" s="13">
        <f>_xll.BDH("ITCI US Equity","ARD_PRODUCT_REVENUE","FQ1 2021","FQ1 2021","Currency=USD","Period=FQ","BEST_FPERIOD_OVERRIDE=FQ","FILING_STATUS=MR","SCALING_FORMAT=MLN","Sort=A","Dates=H","DateFormat=P","Fill=—","Direction=H","UseDPDF=Y")</f>
        <v>15.578900000000001</v>
      </c>
      <c r="M10" s="13">
        <f>_xll.BDH("ITCI US Equity","ARD_PRODUCT_REVENUE","FQ2 2021","FQ2 2021","Currency=USD","Period=FQ","BEST_FPERIOD_OVERRIDE=FQ","FILING_STATUS=MR","SCALING_FORMAT=MLN","Sort=A","Dates=H","DateFormat=P","Fill=—","Direction=H","UseDPDF=Y")</f>
        <v>19.006799999999998</v>
      </c>
      <c r="N10" s="13">
        <f>_xll.BDH("ITCI US Equity","ARD_PRODUCT_REVENUE","FQ3 2021","FQ3 2021","Currency=USD","Period=FQ","BEST_FPERIOD_OVERRIDE=FQ","FILING_STATUS=MR","SCALING_FORMAT=MLN","Sort=A","Dates=H","DateFormat=P","Fill=—","Direction=H","UseDPDF=Y")</f>
        <v>21.606200000000001</v>
      </c>
      <c r="O10" s="13">
        <f>_xll.BDH("ITCI US Equity","ARD_PRODUCT_REVENUE","FQ4 2021","FQ4 2021","Currency=USD","Period=FQ","BEST_FPERIOD_OVERRIDE=FQ","FILING_STATUS=MR","SCALING_FORMAT=MLN","Sort=A","Dates=H","DateFormat=P","Fill=—","Direction=H","UseDPDF=Y")</f>
        <v>25.515999999999998</v>
      </c>
      <c r="P10" s="13">
        <f>_xll.BDH("ITCI US Equity","ARD_PRODUCT_REVENUE","FQ1 2022","FQ1 2022","Currency=USD","Period=FQ","BEST_FPERIOD_OVERRIDE=FQ","FILING_STATUS=MR","SCALING_FORMAT=MLN","Sort=A","Dates=H","DateFormat=P","Fill=—","Direction=H","UseDPDF=Y")</f>
        <v>34.755000000000003</v>
      </c>
      <c r="Q10" s="13">
        <f>_xll.BDH("ITCI US Equity","ARD_PRODUCT_REVENUE","FQ2 2022","FQ2 2022","Currency=USD","Period=FQ","BEST_FPERIOD_OVERRIDE=FQ","FILING_STATUS=MR","SCALING_FORMAT=MLN","Sort=A","Dates=H","DateFormat=P","Fill=—","Direction=H","UseDPDF=Y")</f>
        <v>55.073999999999998</v>
      </c>
      <c r="R10" s="13">
        <f>_xll.BDH("ITCI US Equity","ARD_PRODUCT_REVENUE","FQ3 2022","FQ3 2022","Currency=USD","Period=FQ","BEST_FPERIOD_OVERRIDE=FQ","FILING_STATUS=MR","SCALING_FORMAT=MLN","Sort=A","Dates=H","DateFormat=P","Fill=—","Direction=H","UseDPDF=Y")</f>
        <v>71.87</v>
      </c>
      <c r="S10" s="13">
        <f>_xll.BDH("ITCI US Equity","ARD_PRODUCT_REVENUE","FQ4 2022","FQ4 2022","Currency=USD","Period=FQ","BEST_FPERIOD_OVERRIDE=FQ","FILING_STATUS=MR","SCALING_FORMAT=MLN","Sort=A","Dates=H","DateFormat=P","Fill=—","Direction=H","UseDPDF=Y")</f>
        <v>87.433000000000007</v>
      </c>
      <c r="T10" s="13">
        <f>_xll.BDH("ITCI US Equity","ARD_PRODUCT_REVENUE","FQ1 2023","FQ1 2023","Currency=USD","Period=FQ","BEST_FPERIOD_OVERRIDE=FQ","FILING_STATUS=MR","SCALING_FORMAT=MLN","Sort=A","Dates=H","DateFormat=P","Fill=—","Direction=H","UseDPDF=Y")</f>
        <v>94.730999999999995</v>
      </c>
      <c r="U10" s="13">
        <f>_xll.BDH("ITCI US Equity","ARD_PRODUCT_REVENUE","FQ2 2023","FQ2 2023","Currency=USD","Period=FQ","BEST_FPERIOD_OVERRIDE=FQ","FILING_STATUS=MR","SCALING_FORMAT=MLN","Sort=A","Dates=H","DateFormat=P","Fill=—","Direction=H","UseDPDF=Y")</f>
        <v>110.128</v>
      </c>
      <c r="V10" s="13">
        <f>_xll.BDH("ITCI US Equity","ARD_PRODUCT_REVENUE","FQ3 2023","FQ3 2023","Currency=USD","Period=FQ","BEST_FPERIOD_OVERRIDE=FQ","FILING_STATUS=MR","SCALING_FORMAT=MLN","Sort=A","Dates=H","DateFormat=P","Fill=—","Direction=H","UseDPDF=Y")</f>
        <v>125.81</v>
      </c>
      <c r="W10" s="13">
        <f>_xll.BDH("ITCI US Equity","ARD_PRODUCT_REVENUE","FQ4 2023","FQ4 2023","Currency=USD","Period=FQ","BEST_FPERIOD_OVERRIDE=FQ","FILING_STATUS=MR","SCALING_FORMAT=MLN","Sort=A","Dates=H","DateFormat=P","Fill=—","Direction=H","UseDPDF=Y")</f>
        <v>131.506</v>
      </c>
      <c r="X10" s="13">
        <f>_xll.BDH("ITCI US Equity","ARD_PRODUCT_REVENUE","FQ1 2024","FQ1 2024","Currency=USD","Period=FQ","BEST_FPERIOD_OVERRIDE=FQ","FILING_STATUS=MR","SCALING_FORMAT=MLN","Sort=A","Dates=H","DateFormat=P","Fill=—","Direction=H","UseDPDF=Y")</f>
        <v>144.84299999999999</v>
      </c>
      <c r="Y10" s="13">
        <f>_xll.BDH("ITCI US Equity","ARD_PRODUCT_REVENUE","FQ2 2024","FQ2 2024","Currency=USD","Period=FQ","BEST_FPERIOD_OVERRIDE=FQ","FILING_STATUS=MR","SCALING_FORMAT=MLN","Sort=A","Dates=H","DateFormat=P","Fill=—","Direction=H","UseDPDF=Y")</f>
        <v>161.27600000000001</v>
      </c>
      <c r="Z10" s="13">
        <f>_xll.BDH("ITCI US Equity","ARD_PRODUCT_REVENUE","FQ3 2024","FQ3 2024","Currency=USD","Period=FQ","BEST_FPERIOD_OVERRIDE=FQ","FILING_STATUS=MR","SCALING_FORMAT=MLN","Sort=A","Dates=H","DateFormat=P","Fill=—","Direction=H","UseDPDF=Y")</f>
        <v>175.15899999999999</v>
      </c>
      <c r="AA10" s="13">
        <f>_xll.BDH("ITCI US Equity","ARD_PRODUCT_REVENUE","FQ4 2024","FQ4 2024","Currency=USD","Period=FQ","BEST_FPERIOD_OVERRIDE=FQ","FILING_STATUS=MR","SCALING_FORMAT=MLN","Sort=A","Dates=H","DateFormat=P","Fill=—","Direction=H","UseDPDF=Y")</f>
        <v>199.22300000000001</v>
      </c>
    </row>
    <row r="11" spans="1:27" x14ac:dyDescent="0.25">
      <c r="A11" s="6" t="s">
        <v>1</v>
      </c>
      <c r="B11" s="6" t="s">
        <v>387</v>
      </c>
      <c r="C11" s="19">
        <f>_xll.BDH("ITCI US Equity","ARD_TOTAL_REVENUES","FQ4 2018","FQ4 2018","Currency=USD","Period=FQ","BEST_FPERIOD_OVERRIDE=FQ","FILING_STATUS=MR","SCALING_FORMAT=MLN","Sort=A","Dates=H","DateFormat=P","Fill=—","Direction=H","UseDPDF=Y")</f>
        <v>0</v>
      </c>
      <c r="D11" s="19">
        <f>_xll.BDH("ITCI US Equity","ARD_TOTAL_REVENUES","FQ1 2019","FQ1 2019","Currency=USD","Period=FQ","BEST_FPERIOD_OVERRIDE=FQ","FILING_STATUS=MR","SCALING_FORMAT=MLN","Sort=A","Dates=H","DateFormat=P","Fill=—","Direction=H","UseDPDF=Y")</f>
        <v>0</v>
      </c>
      <c r="E11" s="19">
        <f>_xll.BDH("ITCI US Equity","ARD_TOTAL_REVENUES","FQ2 2019","FQ2 2019","Currency=USD","Period=FQ","BEST_FPERIOD_OVERRIDE=FQ","FILING_STATUS=MR","SCALING_FORMAT=MLN","Sort=A","Dates=H","DateFormat=P","Fill=—","Direction=H","UseDPDF=Y")</f>
        <v>0</v>
      </c>
      <c r="F11" s="19">
        <f>_xll.BDH("ITCI US Equity","ARD_TOTAL_REVENUES","FQ3 2019","FQ3 2019","Currency=USD","Period=FQ","BEST_FPERIOD_OVERRIDE=FQ","FILING_STATUS=MR","SCALING_FORMAT=MLN","Sort=A","Dates=H","DateFormat=P","Fill=—","Direction=H","UseDPDF=Y")</f>
        <v>0</v>
      </c>
      <c r="G11" s="19">
        <f>_xll.BDH("ITCI US Equity","ARD_TOTAL_REVENUES","FQ4 2019","FQ4 2019","Currency=USD","Period=FQ","BEST_FPERIOD_OVERRIDE=FQ","FILING_STATUS=MR","SCALING_FORMAT=MLN","Sort=A","Dates=H","DateFormat=P","Fill=—","Direction=H","UseDPDF=Y")</f>
        <v>6.0600000000000001E-2</v>
      </c>
      <c r="H11" s="19">
        <f>_xll.BDH("ITCI US Equity","ARD_TOTAL_REVENUES","FQ1 2020","FQ1 2020","Currency=USD","Period=FQ","BEST_FPERIOD_OVERRIDE=FQ","FILING_STATUS=MR","SCALING_FORMAT=MLN","Sort=A","Dates=H","DateFormat=P","Fill=—","Direction=H","UseDPDF=Y")</f>
        <v>1.0834999999999999</v>
      </c>
      <c r="I11" s="19">
        <f>_xll.BDH("ITCI US Equity","ARD_TOTAL_REVENUES","FQ2 2020","FQ2 2020","Currency=USD","Period=FQ","BEST_FPERIOD_OVERRIDE=FQ","FILING_STATUS=MR","SCALING_FORMAT=MLN","Sort=A","Dates=H","DateFormat=P","Fill=—","Direction=H","UseDPDF=Y")</f>
        <v>1.9066000000000001</v>
      </c>
      <c r="J11" s="19">
        <f>_xll.BDH("ITCI US Equity","ARD_TOTAL_REVENUES","FQ3 2020","FQ3 2020","Currency=USD","Period=FQ","BEST_FPERIOD_OVERRIDE=FQ","FILING_STATUS=MR","SCALING_FORMAT=MLN","Sort=A","Dates=H","DateFormat=P","Fill=—","Direction=H","UseDPDF=Y")</f>
        <v>7.3685999999999998</v>
      </c>
      <c r="K11" s="19">
        <f>_xll.BDH("ITCI US Equity","ARD_TOTAL_REVENUES","FQ4 2020","FQ4 2020","Currency=USD","Period=FQ","BEST_FPERIOD_OVERRIDE=FQ","FILING_STATUS=MR","SCALING_FORMAT=MLN","Sort=A","Dates=H","DateFormat=P","Fill=—","Direction=H","UseDPDF=Y")</f>
        <v>12.4543</v>
      </c>
      <c r="L11" s="19">
        <f>_xll.BDH("ITCI US Equity","ARD_TOTAL_REVENUES","FQ1 2021","FQ1 2021","Currency=USD","Period=FQ","BEST_FPERIOD_OVERRIDE=FQ","FILING_STATUS=MR","SCALING_FORMAT=MLN","Sort=A","Dates=H","DateFormat=P","Fill=—","Direction=H","UseDPDF=Y")</f>
        <v>15.878299999999999</v>
      </c>
      <c r="M11" s="19">
        <f>_xll.BDH("ITCI US Equity","ARD_TOTAL_REVENUES","FQ2 2021","FQ2 2021","Currency=USD","Period=FQ","BEST_FPERIOD_OVERRIDE=FQ","FILING_STATUS=MR","SCALING_FORMAT=MLN","Sort=A","Dates=H","DateFormat=P","Fill=—","Direction=H","UseDPDF=Y")</f>
        <v>20.046600000000002</v>
      </c>
      <c r="N11" s="19">
        <f>_xll.BDH("ITCI US Equity","ARD_TOTAL_REVENUES","FQ3 2021","FQ3 2021","Currency=USD","Period=FQ","BEST_FPERIOD_OVERRIDE=FQ","FILING_STATUS=MR","SCALING_FORMAT=MLN","Sort=A","Dates=H","DateFormat=P","Fill=—","Direction=H","UseDPDF=Y")</f>
        <v>22.2072</v>
      </c>
      <c r="O11" s="19">
        <f>_xll.BDH("ITCI US Equity","ARD_TOTAL_REVENUES","FQ4 2021","FQ4 2021","Currency=USD","Period=FQ","BEST_FPERIOD_OVERRIDE=FQ","FILING_STATUS=MR","SCALING_FORMAT=MLN","Sort=A","Dates=H","DateFormat=P","Fill=—","Direction=H","UseDPDF=Y")</f>
        <v>25.6709</v>
      </c>
      <c r="P11" s="19">
        <f>_xll.BDH("ITCI US Equity","ARD_TOTAL_REVENUES","FQ1 2022","FQ1 2022","Currency=USD","Period=FQ","BEST_FPERIOD_OVERRIDE=FQ","FILING_STATUS=MR","SCALING_FORMAT=MLN","Sort=A","Dates=H","DateFormat=P","Fill=—","Direction=H","UseDPDF=Y")</f>
        <v>34.996000000000002</v>
      </c>
      <c r="Q11" s="19">
        <f>_xll.BDH("ITCI US Equity","ARD_TOTAL_REVENUES","FQ2 2022","FQ2 2022","Currency=USD","Period=FQ","BEST_FPERIOD_OVERRIDE=FQ","FILING_STATUS=MR","SCALING_FORMAT=MLN","Sort=A","Dates=H","DateFormat=P","Fill=—","Direction=H","UseDPDF=Y")</f>
        <v>55.579000000000001</v>
      </c>
      <c r="R11" s="19">
        <f>_xll.BDH("ITCI US Equity","ARD_TOTAL_REVENUES","FQ3 2022","FQ3 2022","Currency=USD","Period=FQ","BEST_FPERIOD_OVERRIDE=FQ","FILING_STATUS=MR","SCALING_FORMAT=MLN","Sort=A","Dates=H","DateFormat=P","Fill=—","Direction=H","UseDPDF=Y")</f>
        <v>71.87</v>
      </c>
      <c r="S11" s="19">
        <f>_xll.BDH("ITCI US Equity","ARD_TOTAL_REVENUES","FQ4 2022","FQ4 2022","Currency=USD","Period=FQ","BEST_FPERIOD_OVERRIDE=FQ","FILING_STATUS=MR","SCALING_FORMAT=MLN","Sort=A","Dates=H","DateFormat=P","Fill=—","Direction=H","UseDPDF=Y")</f>
        <v>87.869</v>
      </c>
      <c r="T11" s="19">
        <f>_xll.BDH("ITCI US Equity","ARD_TOTAL_REVENUES","FQ1 2023","FQ1 2023","Currency=USD","Period=FQ","BEST_FPERIOD_OVERRIDE=FQ","FILING_STATUS=MR","SCALING_FORMAT=MLN","Sort=A","Dates=H","DateFormat=P","Fill=—","Direction=H","UseDPDF=Y")</f>
        <v>95.305999999999997</v>
      </c>
      <c r="U11" s="19">
        <f>_xll.BDH("ITCI US Equity","ARD_TOTAL_REVENUES","FQ2 2023","FQ2 2023","Currency=USD","Period=FQ","BEST_FPERIOD_OVERRIDE=FQ","FILING_STATUS=MR","SCALING_FORMAT=MLN","Sort=A","Dates=H","DateFormat=P","Fill=—","Direction=H","UseDPDF=Y")</f>
        <v>110.792</v>
      </c>
      <c r="V11" s="19">
        <f>_xll.BDH("ITCI US Equity","ARD_TOTAL_REVENUES","FQ3 2023","FQ3 2023","Currency=USD","Period=FQ","BEST_FPERIOD_OVERRIDE=FQ","FILING_STATUS=MR","SCALING_FORMAT=MLN","Sort=A","Dates=H","DateFormat=P","Fill=—","Direction=H","UseDPDF=Y")</f>
        <v>126.173</v>
      </c>
      <c r="W11" s="19">
        <f>_xll.BDH("ITCI US Equity","ARD_TOTAL_REVENUES","FQ4 2023","FQ4 2023","Currency=USD","Period=FQ","BEST_FPERIOD_OVERRIDE=FQ","FILING_STATUS=MR","SCALING_FORMAT=MLN","Sort=A","Dates=H","DateFormat=P","Fill=—","Direction=H","UseDPDF=Y")</f>
        <v>132.09899999999999</v>
      </c>
      <c r="X11" s="19">
        <f>_xll.BDH("ITCI US Equity","ARD_TOTAL_REVENUES","FQ1 2024","FQ1 2024","Currency=USD","Period=FQ","BEST_FPERIOD_OVERRIDE=FQ","FILING_STATUS=MR","SCALING_FORMAT=MLN","Sort=A","Dates=H","DateFormat=P","Fill=—","Direction=H","UseDPDF=Y")</f>
        <v>144.86600000000001</v>
      </c>
      <c r="Y11" s="19">
        <f>_xll.BDH("ITCI US Equity","ARD_TOTAL_REVENUES","FQ2 2024","FQ2 2024","Currency=USD","Period=FQ","BEST_FPERIOD_OVERRIDE=FQ","FILING_STATUS=MR","SCALING_FORMAT=MLN","Sort=A","Dates=H","DateFormat=P","Fill=—","Direction=H","UseDPDF=Y")</f>
        <v>161.38800000000001</v>
      </c>
      <c r="Z11" s="19">
        <f>_xll.BDH("ITCI US Equity","ARD_TOTAL_REVENUES","FQ3 2024","FQ3 2024","Currency=USD","Period=FQ","BEST_FPERIOD_OVERRIDE=FQ","FILING_STATUS=MR","SCALING_FORMAT=MLN","Sort=A","Dates=H","DateFormat=P","Fill=—","Direction=H","UseDPDF=Y")</f>
        <v>175.375</v>
      </c>
      <c r="AA11" s="19">
        <f>_xll.BDH("ITCI US Equity","ARD_TOTAL_REVENUES","FQ4 2024","FQ4 2024","Currency=USD","Period=FQ","BEST_FPERIOD_OVERRIDE=FQ","FILING_STATUS=MR","SCALING_FORMAT=MLN","Sort=A","Dates=H","DateFormat=P","Fill=—","Direction=H","UseDPDF=Y")</f>
        <v>199.22300000000001</v>
      </c>
    </row>
    <row r="12" spans="1:27" x14ac:dyDescent="0.25">
      <c r="A12" s="10" t="s">
        <v>388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25">
      <c r="A13" s="10" t="s">
        <v>389</v>
      </c>
      <c r="B13" s="10" t="s">
        <v>390</v>
      </c>
      <c r="C13" s="13">
        <f>_xll.BDH("ITCI US Equity","ARD_TOTAL_OPERATING_EXPENSES","FQ4 2018","FQ4 2018","Currency=USD","Period=FQ","BEST_FPERIOD_OVERRIDE=FQ","FILING_STATUS=MR","SCALING_FORMAT=MLN","Sort=A","Dates=H","DateFormat=P","Fill=—","Direction=H","UseDPDF=Y")</f>
        <v>42.622900000000001</v>
      </c>
      <c r="D13" s="13">
        <f>_xll.BDH("ITCI US Equity","ARD_TOTAL_OPERATING_EXPENSES","FQ1 2019","FQ1 2019","Currency=USD","Period=FQ","BEST_FPERIOD_OVERRIDE=FQ","FILING_STATUS=MR","SCALING_FORMAT=MLN","Sort=A","Dates=H","DateFormat=P","Fill=—","Direction=H","UseDPDF=Y")</f>
        <v>36.695799999999998</v>
      </c>
      <c r="E13" s="13">
        <f>_xll.BDH("ITCI US Equity","ARD_TOTAL_OPERATING_EXPENSES","FQ2 2019","FQ2 2019","Currency=USD","Period=FQ","BEST_FPERIOD_OVERRIDE=FQ","FILING_STATUS=MR","SCALING_FORMAT=MLN","Sort=A","Dates=H","DateFormat=P","Fill=—","Direction=H","UseDPDF=Y")</f>
        <v>39.171100000000003</v>
      </c>
      <c r="F13" s="13">
        <f>_xll.BDH("ITCI US Equity","ARD_TOTAL_OPERATING_EXPENSES","FQ3 2019","FQ3 2019","Currency=USD","Period=FQ","BEST_FPERIOD_OVERRIDE=FQ","FILING_STATUS=MR","SCALING_FORMAT=MLN","Sort=A","Dates=H","DateFormat=P","Fill=—","Direction=H","UseDPDF=Y")</f>
        <v>36.376199999999997</v>
      </c>
      <c r="G13" s="13">
        <f>_xll.BDH("ITCI US Equity","ARD_TOTAL_OPERATING_EXPENSES","FQ4 2019","FQ4 2019","Currency=USD","Period=FQ","BEST_FPERIOD_OVERRIDE=FQ","FILING_STATUS=MR","SCALING_FORMAT=MLN","Sort=A","Dates=H","DateFormat=P","Fill=—","Direction=H","UseDPDF=Y")</f>
        <v>154.07249999999999</v>
      </c>
      <c r="H13" s="13">
        <f>_xll.BDH("ITCI US Equity","ARD_TOTAL_OPERATING_EXPENSES","FQ1 2020","FQ1 2020","Currency=USD","Period=FQ","BEST_FPERIOD_OVERRIDE=FQ","FILING_STATUS=MR","SCALING_FORMAT=MLN","Sort=A","Dates=H","DateFormat=P","Fill=—","Direction=H","UseDPDF=Y")</f>
        <v>50.168999999999997</v>
      </c>
      <c r="I13" s="13">
        <f>_xll.BDH("ITCI US Equity","ARD_TOTAL_OPERATING_EXPENSES","FQ2 2020","FQ2 2020","Currency=USD","Period=FQ","BEST_FPERIOD_OVERRIDE=FQ","FILING_STATUS=MR","SCALING_FORMAT=MLN","Sort=A","Dates=H","DateFormat=P","Fill=—","Direction=H","UseDPDF=Y")</f>
        <v>66.778999999999996</v>
      </c>
      <c r="J13" s="13">
        <f>_xll.BDH("ITCI US Equity","ARD_TOTAL_OPERATING_EXPENSES","FQ3 2020","FQ3 2020","Currency=USD","Period=FQ","BEST_FPERIOD_OVERRIDE=FQ","FILING_STATUS=MR","SCALING_FORMAT=MLN","Sort=A","Dates=H","DateFormat=P","Fill=—","Direction=H","UseDPDF=Y")</f>
        <v>63.305</v>
      </c>
      <c r="K13" s="13">
        <f>_xll.BDH("ITCI US Equity","ARD_TOTAL_OPERATING_EXPENSES","FQ4 2020","FQ4 2020","Currency=USD","Period=FQ","BEST_FPERIOD_OVERRIDE=FQ","FILING_STATUS=MR","SCALING_FORMAT=MLN","Sort=A","Dates=H","DateFormat=P","Fill=—","Direction=H","UseDPDF=Y")</f>
        <v>73.787599999999998</v>
      </c>
      <c r="L13" s="13">
        <f>_xll.BDH("ITCI US Equity","ARD_TOTAL_OPERATING_EXPENSES","FQ1 2021","FQ1 2021","Currency=USD","Period=FQ","BEST_FPERIOD_OVERRIDE=FQ","FILING_STATUS=MR","SCALING_FORMAT=MLN","Sort=A","Dates=H","DateFormat=P","Fill=—","Direction=H","UseDPDF=Y")</f>
        <v>69.096999999999994</v>
      </c>
      <c r="M13" s="13">
        <f>_xll.BDH("ITCI US Equity","ARD_TOTAL_OPERATING_EXPENSES","FQ2 2021","FQ2 2021","Currency=USD","Period=FQ","BEST_FPERIOD_OVERRIDE=FQ","FILING_STATUS=MR","SCALING_FORMAT=MLN","Sort=A","Dates=H","DateFormat=P","Fill=—","Direction=H","UseDPDF=Y")</f>
        <v>89.187600000000003</v>
      </c>
      <c r="N13" s="13">
        <f>_xll.BDH("ITCI US Equity","ARD_TOTAL_OPERATING_EXPENSES","FQ3 2021","FQ3 2021","Currency=USD","Period=FQ","BEST_FPERIOD_OVERRIDE=FQ","FILING_STATUS=MR","SCALING_FORMAT=MLN","Sort=A","Dates=H","DateFormat=P","Fill=—","Direction=H","UseDPDF=Y")</f>
        <v>99.531000000000006</v>
      </c>
      <c r="O13" s="13">
        <f>_xll.BDH("ITCI US Equity","ARD_TOTAL_OPERATING_EXPENSES","FQ4 2021","FQ4 2021","Currency=USD","Period=FQ","BEST_FPERIOD_OVERRIDE=FQ","FILING_STATUS=MR","SCALING_FORMAT=MLN","Sort=A","Dates=H","DateFormat=P","Fill=—","Direction=H","UseDPDF=Y")</f>
        <v>111.6755</v>
      </c>
      <c r="P13" s="13">
        <f>_xll.BDH("ITCI US Equity","ARD_TOTAL_OPERATING_EXPENSES","FQ1 2022","FQ1 2022","Currency=USD","Period=FQ","BEST_FPERIOD_OVERRIDE=FQ","FILING_STATUS=MR","SCALING_FORMAT=MLN","Sort=A","Dates=H","DateFormat=P","Fill=—","Direction=H","UseDPDF=Y")</f>
        <v>107.658</v>
      </c>
      <c r="Q13" s="13">
        <f>_xll.BDH("ITCI US Equity","ARD_TOTAL_OPERATING_EXPENSES","FQ2 2022","FQ2 2022","Currency=USD","Period=FQ","BEST_FPERIOD_OVERRIDE=FQ","FILING_STATUS=MR","SCALING_FORMAT=MLN","Sort=A","Dates=H","DateFormat=P","Fill=—","Direction=H","UseDPDF=Y")</f>
        <v>143.50200000000001</v>
      </c>
      <c r="R13" s="13">
        <f>_xll.BDH("ITCI US Equity","ARD_TOTAL_OPERATING_EXPENSES","FQ3 2022","FQ3 2022","Currency=USD","Period=FQ","BEST_FPERIOD_OVERRIDE=FQ","FILING_STATUS=MR","SCALING_FORMAT=MLN","Sort=A","Dates=H","DateFormat=P","Fill=—","Direction=H","UseDPDF=Y")</f>
        <v>127.499</v>
      </c>
      <c r="S13" s="13">
        <f>_xll.BDH("ITCI US Equity","ARD_TOTAL_OPERATING_EXPENSES","FQ4 2022","FQ4 2022","Currency=USD","Period=FQ","BEST_FPERIOD_OVERRIDE=FQ","FILING_STATUS=MR","SCALING_FORMAT=MLN","Sort=A","Dates=H","DateFormat=P","Fill=—","Direction=H","UseDPDF=Y")</f>
        <v>135.28100000000001</v>
      </c>
      <c r="T13" s="13">
        <f>_xll.BDH("ITCI US Equity","ARD_TOTAL_OPERATING_EXPENSES","FQ1 2023","FQ1 2023","Currency=USD","Period=FQ","BEST_FPERIOD_OVERRIDE=FQ","FILING_STATUS=MR","SCALING_FORMAT=MLN","Sort=A","Dates=H","DateFormat=P","Fill=—","Direction=H","UseDPDF=Y")</f>
        <v>143.69800000000001</v>
      </c>
      <c r="U13" s="13">
        <f>_xll.BDH("ITCI US Equity","ARD_TOTAL_OPERATING_EXPENSES","FQ2 2023","FQ2 2023","Currency=USD","Period=FQ","BEST_FPERIOD_OVERRIDE=FQ","FILING_STATUS=MR","SCALING_FORMAT=MLN","Sort=A","Dates=H","DateFormat=P","Fill=—","Direction=H","UseDPDF=Y")</f>
        <v>157.971</v>
      </c>
      <c r="V13" s="13">
        <f>_xll.BDH("ITCI US Equity","ARD_TOTAL_OPERATING_EXPENSES","FQ3 2023","FQ3 2023","Currency=USD","Period=FQ","BEST_FPERIOD_OVERRIDE=FQ","FILING_STATUS=MR","SCALING_FORMAT=MLN","Sort=A","Dates=H","DateFormat=P","Fill=—","Direction=H","UseDPDF=Y")</f>
        <v>155.886</v>
      </c>
      <c r="W13" s="13">
        <f>_xll.BDH("ITCI US Equity","ARD_TOTAL_OPERATING_EXPENSES","FQ4 2023","FQ4 2023","Currency=USD","Period=FQ","BEST_FPERIOD_OVERRIDE=FQ","FILING_STATUS=MR","SCALING_FORMAT=MLN","Sort=A","Dates=H","DateFormat=P","Fill=—","Direction=H","UseDPDF=Y")</f>
        <v>166.196</v>
      </c>
      <c r="X13" s="13">
        <f>_xll.BDH("ITCI US Equity","ARD_TOTAL_OPERATING_EXPENSES","FQ1 2024","FQ1 2024","Currency=USD","Period=FQ","BEST_FPERIOD_OVERRIDE=FQ","FILING_STATUS=MR","SCALING_FORMAT=MLN","Sort=A","Dates=H","DateFormat=P","Fill=—","Direction=H","UseDPDF=Y")</f>
        <v>165.81800000000001</v>
      </c>
      <c r="Y13" s="13">
        <f>_xll.BDH("ITCI US Equity","ARD_TOTAL_OPERATING_EXPENSES","FQ2 2024","FQ2 2024","Currency=USD","Period=FQ","BEST_FPERIOD_OVERRIDE=FQ","FILING_STATUS=MR","SCALING_FORMAT=MLN","Sort=A","Dates=H","DateFormat=P","Fill=—","Direction=H","UseDPDF=Y")</f>
        <v>189.11099999999999</v>
      </c>
      <c r="Z13" s="13">
        <f>_xll.BDH("ITCI US Equity","ARD_TOTAL_OPERATING_EXPENSES","FQ3 2024","FQ3 2024","Currency=USD","Period=FQ","BEST_FPERIOD_OVERRIDE=FQ","FILING_STATUS=MR","SCALING_FORMAT=MLN","Sort=A","Dates=H","DateFormat=P","Fill=—","Direction=H","UseDPDF=Y")</f>
        <v>214.22399999999999</v>
      </c>
      <c r="AA13" s="13">
        <f>_xll.BDH("ITCI US Equity","ARD_TOTAL_OPERATING_EXPENSES","FQ4 2024","FQ4 2024","Currency=USD","Period=FQ","BEST_FPERIOD_OVERRIDE=FQ","FILING_STATUS=MR","SCALING_FORMAT=MLN","Sort=A","Dates=H","DateFormat=P","Fill=—","Direction=H","UseDPDF=Y")</f>
        <v>228.42</v>
      </c>
    </row>
    <row r="14" spans="1:27" x14ac:dyDescent="0.25">
      <c r="A14" s="10" t="s">
        <v>391</v>
      </c>
      <c r="B14" s="10" t="s">
        <v>392</v>
      </c>
      <c r="C14" s="13">
        <f>_xll.BDH("ITCI US Equity","ARD_R&amp;D_EXPENDITURES","FQ4 2018","FQ4 2018","Currency=USD","Period=FQ","BEST_FPERIOD_OVERRIDE=FQ","FILING_STATUS=MR","SCALING_FORMAT=MLN","Sort=A","Dates=H","DateFormat=P","Fill=—","Direction=H","UseDPDF=Y")</f>
        <v>33.605600000000003</v>
      </c>
      <c r="D14" s="13">
        <f>_xll.BDH("ITCI US Equity","ARD_R&amp;D_EXPENDITURES","FQ1 2019","FQ1 2019","Currency=USD","Period=FQ","BEST_FPERIOD_OVERRIDE=FQ","FILING_STATUS=MR","SCALING_FORMAT=MLN","Sort=A","Dates=H","DateFormat=P","Fill=—","Direction=H","UseDPDF=Y")</f>
        <v>24.9909</v>
      </c>
      <c r="E14" s="13">
        <f>_xll.BDH("ITCI US Equity","ARD_R&amp;D_EXPENDITURES","FQ2 2019","FQ2 2019","Currency=USD","Period=FQ","BEST_FPERIOD_OVERRIDE=FQ","FILING_STATUS=MR","SCALING_FORMAT=MLN","Sort=A","Dates=H","DateFormat=P","Fill=—","Direction=H","UseDPDF=Y")</f>
        <v>23.7285</v>
      </c>
      <c r="F14" s="13">
        <f>_xll.BDH("ITCI US Equity","ARD_R&amp;D_EXPENDITURES","FQ3 2019","FQ3 2019","Currency=USD","Period=FQ","BEST_FPERIOD_OVERRIDE=FQ","FILING_STATUS=MR","SCALING_FORMAT=MLN","Sort=A","Dates=H","DateFormat=P","Fill=—","Direction=H","UseDPDF=Y")</f>
        <v>21.3398</v>
      </c>
      <c r="G14" s="13">
        <f>_xll.BDH("ITCI US Equity","ARD_R&amp;D_EXPENDITURES","FQ4 2019","FQ4 2019","Currency=USD","Period=FQ","BEST_FPERIOD_OVERRIDE=FQ","FILING_STATUS=MR","SCALING_FORMAT=MLN","Sort=A","Dates=H","DateFormat=P","Fill=—","Direction=H","UseDPDF=Y")</f>
        <v>19.0657</v>
      </c>
      <c r="H14" s="13">
        <f>_xll.BDH("ITCI US Equity","ARD_R&amp;D_EXPENDITURES","FQ1 2020","FQ1 2020","Currency=USD","Period=FQ","BEST_FPERIOD_OVERRIDE=FQ","FILING_STATUS=MR","SCALING_FORMAT=MLN","Sort=A","Dates=H","DateFormat=P","Fill=—","Direction=H","UseDPDF=Y")</f>
        <v>16.003299999999999</v>
      </c>
      <c r="I14" s="13">
        <f>_xll.BDH("ITCI US Equity","ARD_R&amp;D_EXPENDITURES","FQ2 2020","FQ2 2020","Currency=USD","Period=FQ","BEST_FPERIOD_OVERRIDE=FQ","FILING_STATUS=MR","SCALING_FORMAT=MLN","Sort=A","Dates=H","DateFormat=P","Fill=—","Direction=H","UseDPDF=Y")</f>
        <v>25.204899999999999</v>
      </c>
      <c r="J14" s="13">
        <f>_xll.BDH("ITCI US Equity","ARD_R&amp;D_EXPENDITURES","FQ3 2020","FQ3 2020","Currency=USD","Period=FQ","BEST_FPERIOD_OVERRIDE=FQ","FILING_STATUS=MR","SCALING_FORMAT=MLN","Sort=A","Dates=H","DateFormat=P","Fill=—","Direction=H","UseDPDF=Y")</f>
        <v>10.275399999999999</v>
      </c>
      <c r="K14" s="13">
        <f>_xll.BDH("ITCI US Equity","ARD_R&amp;D_EXPENDITURES","FQ4 2020","FQ4 2020","Currency=USD","Period=FQ","BEST_FPERIOD_OVERRIDE=FQ","FILING_STATUS=MR","SCALING_FORMAT=MLN","Sort=A","Dates=H","DateFormat=P","Fill=—","Direction=H","UseDPDF=Y")</f>
        <v>14.2986</v>
      </c>
      <c r="L14" s="13">
        <f>_xll.BDH("ITCI US Equity","ARD_R&amp;D_EXPENDITURES","FQ1 2021","FQ1 2021","Currency=USD","Period=FQ","BEST_FPERIOD_OVERRIDE=FQ","FILING_STATUS=MR","SCALING_FORMAT=MLN","Sort=A","Dates=H","DateFormat=P","Fill=—","Direction=H","UseDPDF=Y")</f>
        <v>15.058199999999999</v>
      </c>
      <c r="M14" s="13">
        <f>_xll.BDH("ITCI US Equity","ARD_R&amp;D_EXPENDITURES","FQ2 2021","FQ2 2021","Currency=USD","Period=FQ","BEST_FPERIOD_OVERRIDE=FQ","FILING_STATUS=MR","SCALING_FORMAT=MLN","Sort=A","Dates=H","DateFormat=P","Fill=—","Direction=H","UseDPDF=Y")</f>
        <v>17.296399999999998</v>
      </c>
      <c r="N14" s="13">
        <f>_xll.BDH("ITCI US Equity","ARD_R&amp;D_EXPENDITURES","FQ3 2021","FQ3 2021","Currency=USD","Period=FQ","BEST_FPERIOD_OVERRIDE=FQ","FILING_STATUS=MR","SCALING_FORMAT=MLN","Sort=A","Dates=H","DateFormat=P","Fill=—","Direction=H","UseDPDF=Y")</f>
        <v>27.0318</v>
      </c>
      <c r="O14" s="13">
        <f>_xll.BDH("ITCI US Equity","ARD_R&amp;D_EXPENDITURES","FQ4 2021","FQ4 2021","Currency=USD","Period=FQ","BEST_FPERIOD_OVERRIDE=FQ","FILING_STATUS=MR","SCALING_FORMAT=MLN","Sort=A","Dates=H","DateFormat=P","Fill=—","Direction=H","UseDPDF=Y")</f>
        <v>29.459099999999999</v>
      </c>
      <c r="P14" s="13">
        <f>_xll.BDH("ITCI US Equity","ARD_R&amp;D_EXPENDITURES","FQ1 2022","FQ1 2022","Currency=USD","Period=FQ","BEST_FPERIOD_OVERRIDE=FQ","FILING_STATUS=MR","SCALING_FORMAT=MLN","Sort=A","Dates=H","DateFormat=P","Fill=—","Direction=H","UseDPDF=Y")</f>
        <v>29.042999999999999</v>
      </c>
      <c r="Q14" s="13">
        <f>_xll.BDH("ITCI US Equity","ARD_R&amp;D_EXPENDITURES","FQ2 2022","FQ2 2022","Currency=USD","Period=FQ","BEST_FPERIOD_OVERRIDE=FQ","FILING_STATUS=MR","SCALING_FORMAT=MLN","Sort=A","Dates=H","DateFormat=P","Fill=—","Direction=H","UseDPDF=Y")</f>
        <v>38.536000000000001</v>
      </c>
      <c r="R14" s="13">
        <f>_xll.BDH("ITCI US Equity","ARD_R&amp;D_EXPENDITURES","FQ3 2022","FQ3 2022","Currency=USD","Period=FQ","BEST_FPERIOD_OVERRIDE=FQ","FILING_STATUS=MR","SCALING_FORMAT=MLN","Sort=A","Dates=H","DateFormat=P","Fill=—","Direction=H","UseDPDF=Y")</f>
        <v>33.274000000000001</v>
      </c>
      <c r="S14" s="13">
        <f>_xll.BDH("ITCI US Equity","ARD_R&amp;D_EXPENDITURES","FQ4 2022","FQ4 2022","Currency=USD","Period=FQ","BEST_FPERIOD_OVERRIDE=FQ","FILING_STATUS=MR","SCALING_FORMAT=MLN","Sort=A","Dates=H","DateFormat=P","Fill=—","Direction=H","UseDPDF=Y")</f>
        <v>33.862000000000002</v>
      </c>
      <c r="T14" s="13">
        <f>_xll.BDH("ITCI US Equity","ARD_R&amp;D_EXPENDITURES","FQ1 2023","FQ1 2023","Currency=USD","Period=FQ","BEST_FPERIOD_OVERRIDE=FQ","FILING_STATUS=MR","SCALING_FORMAT=MLN","Sort=A","Dates=H","DateFormat=P","Fill=—","Direction=H","UseDPDF=Y")</f>
        <v>38.024000000000001</v>
      </c>
      <c r="U14" s="13">
        <f>_xll.BDH("ITCI US Equity","ARD_R&amp;D_EXPENDITURES","FQ2 2023","FQ2 2023","Currency=USD","Period=FQ","BEST_FPERIOD_OVERRIDE=FQ","FILING_STATUS=MR","SCALING_FORMAT=MLN","Sort=A","Dates=H","DateFormat=P","Fill=—","Direction=H","UseDPDF=Y")</f>
        <v>49.793999999999997</v>
      </c>
      <c r="V14" s="13">
        <f>_xll.BDH("ITCI US Equity","ARD_R&amp;D_EXPENDITURES","FQ3 2023","FQ3 2023","Currency=USD","Period=FQ","BEST_FPERIOD_OVERRIDE=FQ","FILING_STATUS=MR","SCALING_FORMAT=MLN","Sort=A","Dates=H","DateFormat=P","Fill=—","Direction=H","UseDPDF=Y")</f>
        <v>41.55</v>
      </c>
      <c r="W14" s="13">
        <f>_xll.BDH("ITCI US Equity","ARD_R&amp;D_EXPENDITURES","FQ4 2023","FQ4 2023","Currency=USD","Period=FQ","BEST_FPERIOD_OVERRIDE=FQ","FILING_STATUS=MR","SCALING_FORMAT=MLN","Sort=A","Dates=H","DateFormat=P","Fill=—","Direction=H","UseDPDF=Y")</f>
        <v>50.774000000000001</v>
      </c>
      <c r="X14" s="13">
        <f>_xll.BDH("ITCI US Equity","ARD_R&amp;D_EXPENDITURES","FQ1 2024","FQ1 2024","Currency=USD","Period=FQ","BEST_FPERIOD_OVERRIDE=FQ","FILING_STATUS=MR","SCALING_FORMAT=MLN","Sort=A","Dates=H","DateFormat=P","Fill=—","Direction=H","UseDPDF=Y")</f>
        <v>42.832999999999998</v>
      </c>
      <c r="Y14" s="13">
        <f>_xll.BDH("ITCI US Equity","ARD_R&amp;D_EXPENDITURES","FQ2 2024","FQ2 2024","Currency=USD","Period=FQ","BEST_FPERIOD_OVERRIDE=FQ","FILING_STATUS=MR","SCALING_FORMAT=MLN","Sort=A","Dates=H","DateFormat=P","Fill=—","Direction=H","UseDPDF=Y")</f>
        <v>56.183</v>
      </c>
      <c r="Z14" s="13">
        <f>_xll.BDH("ITCI US Equity","ARD_R&amp;D_EXPENDITURES","FQ3 2024","FQ3 2024","Currency=USD","Period=FQ","BEST_FPERIOD_OVERRIDE=FQ","FILING_STATUS=MR","SCALING_FORMAT=MLN","Sort=A","Dates=H","DateFormat=P","Fill=—","Direction=H","UseDPDF=Y")</f>
        <v>66.819000000000003</v>
      </c>
      <c r="AA14" s="13">
        <f>_xll.BDH("ITCI US Equity","ARD_R&amp;D_EXPENDITURES","FQ4 2024","FQ4 2024","Currency=USD","Period=FQ","BEST_FPERIOD_OVERRIDE=FQ","FILING_STATUS=MR","SCALING_FORMAT=MLN","Sort=A","Dates=H","DateFormat=P","Fill=—","Direction=H","UseDPDF=Y")</f>
        <v>70.286000000000001</v>
      </c>
    </row>
    <row r="15" spans="1:27" x14ac:dyDescent="0.25">
      <c r="A15" s="10" t="s">
        <v>393</v>
      </c>
      <c r="B15" s="10" t="s">
        <v>394</v>
      </c>
      <c r="C15" s="13" t="str">
        <f>_xll.BDH("ITCI US Equity","ARD_SELLING_GENERAL_ADMIN_EXP","FQ4 2018","FQ4 2018","Currency=USD","Period=FQ","BEST_FPERIOD_OVERRIDE=FQ","FILING_STATUS=MR","SCALING_FORMAT=MLN","Sort=A","Dates=H","DateFormat=P","Fill=—","Direction=H","UseDPDF=Y")</f>
        <v>—</v>
      </c>
      <c r="D15" s="13">
        <f>_xll.BDH("ITCI US Equity","ARD_SELLING_GENERAL_ADMIN_EXP","FQ1 2019","FQ1 2019","Currency=USD","Period=FQ","BEST_FPERIOD_OVERRIDE=FQ","FILING_STATUS=MR","SCALING_FORMAT=MLN","Sort=A","Dates=H","DateFormat=P","Fill=—","Direction=H","UseDPDF=Y")</f>
        <v>11.705</v>
      </c>
      <c r="E15" s="13">
        <f>_xll.BDH("ITCI US Equity","ARD_SELLING_GENERAL_ADMIN_EXP","FQ2 2019","FQ2 2019","Currency=USD","Period=FQ","BEST_FPERIOD_OVERRIDE=FQ","FILING_STATUS=MR","SCALING_FORMAT=MLN","Sort=A","Dates=H","DateFormat=P","Fill=—","Direction=H","UseDPDF=Y")</f>
        <v>15.4427</v>
      </c>
      <c r="F15" s="13">
        <f>_xll.BDH("ITCI US Equity","ARD_SELLING_GENERAL_ADMIN_EXP","FQ3 2019","FQ3 2019","Currency=USD","Period=FQ","BEST_FPERIOD_OVERRIDE=FQ","FILING_STATUS=MR","SCALING_FORMAT=MLN","Sort=A","Dates=H","DateFormat=P","Fill=—","Direction=H","UseDPDF=Y")</f>
        <v>15.0364</v>
      </c>
      <c r="G15" s="13">
        <f>_xll.BDH("ITCI US Equity","ARD_SELLING_GENERAL_ADMIN_EXP","FQ4 2019","FQ4 2019","Currency=USD","Period=FQ","BEST_FPERIOD_OVERRIDE=FQ","FILING_STATUS=MR","SCALING_FORMAT=MLN","Sort=A","Dates=H","DateFormat=P","Fill=—","Direction=H","UseDPDF=Y")</f>
        <v>22.763500000000001</v>
      </c>
      <c r="H15" s="13">
        <f>_xll.BDH("ITCI US Equity","ARD_SELLING_GENERAL_ADMIN_EXP","FQ1 2020","FQ1 2020","Currency=USD","Period=FQ","BEST_FPERIOD_OVERRIDE=FQ","FILING_STATUS=MR","SCALING_FORMAT=MLN","Sort=A","Dates=H","DateFormat=P","Fill=—","Direction=H","UseDPDF=Y")</f>
        <v>34.096400000000003</v>
      </c>
      <c r="I15" s="13">
        <f>_xll.BDH("ITCI US Equity","ARD_SELLING_GENERAL_ADMIN_EXP","FQ2 2020","FQ2 2020","Currency=USD","Period=FQ","BEST_FPERIOD_OVERRIDE=FQ","FILING_STATUS=MR","SCALING_FORMAT=MLN","Sort=A","Dates=H","DateFormat=P","Fill=—","Direction=H","UseDPDF=Y")</f>
        <v>41.445599999999999</v>
      </c>
      <c r="J15" s="13">
        <f>_xll.BDH("ITCI US Equity","ARD_SELLING_GENERAL_ADMIN_EXP","FQ3 2020","FQ3 2020","Currency=USD","Period=FQ","BEST_FPERIOD_OVERRIDE=FQ","FILING_STATUS=MR","SCALING_FORMAT=MLN","Sort=A","Dates=H","DateFormat=P","Fill=—","Direction=H","UseDPDF=Y")</f>
        <v>52.473599999999998</v>
      </c>
      <c r="K15" s="13">
        <f>_xll.BDH("ITCI US Equity","ARD_SELLING_GENERAL_ADMIN_EXP","FQ4 2020","FQ4 2020","Currency=USD","Period=FQ","BEST_FPERIOD_OVERRIDE=FQ","FILING_STATUS=MR","SCALING_FORMAT=MLN","Sort=A","Dates=H","DateFormat=P","Fill=—","Direction=H","UseDPDF=Y")</f>
        <v>58.347900000000003</v>
      </c>
      <c r="L15" s="13">
        <f>_xll.BDH("ITCI US Equity","ARD_SELLING_GENERAL_ADMIN_EXP","FQ1 2021","FQ1 2021","Currency=USD","Period=FQ","BEST_FPERIOD_OVERRIDE=FQ","FILING_STATUS=MR","SCALING_FORMAT=MLN","Sort=A","Dates=H","DateFormat=P","Fill=—","Direction=H","UseDPDF=Y")</f>
        <v>52.583599999999997</v>
      </c>
      <c r="M15" s="13">
        <f>_xll.BDH("ITCI US Equity","ARD_SELLING_GENERAL_ADMIN_EXP","FQ2 2021","FQ2 2021","Currency=USD","Period=FQ","BEST_FPERIOD_OVERRIDE=FQ","FILING_STATUS=MR","SCALING_FORMAT=MLN","Sort=A","Dates=H","DateFormat=P","Fill=—","Direction=H","UseDPDF=Y")</f>
        <v>69.851200000000006</v>
      </c>
      <c r="N15" s="13">
        <f>_xll.BDH("ITCI US Equity","ARD_SELLING_GENERAL_ADMIN_EXP","FQ3 2021","FQ3 2021","Currency=USD","Period=FQ","BEST_FPERIOD_OVERRIDE=FQ","FILING_STATUS=MR","SCALING_FORMAT=MLN","Sort=A","Dates=H","DateFormat=P","Fill=—","Direction=H","UseDPDF=Y")</f>
        <v>70.497900000000001</v>
      </c>
      <c r="O15" s="13">
        <f>_xll.BDH("ITCI US Equity","ARD_SELLING_GENERAL_ADMIN_EXP","FQ4 2021","FQ4 2021","Currency=USD","Period=FQ","BEST_FPERIOD_OVERRIDE=FQ","FILING_STATUS=MR","SCALING_FORMAT=MLN","Sort=A","Dates=H","DateFormat=P","Fill=—","Direction=H","UseDPDF=Y")</f>
        <v>79.678399999999996</v>
      </c>
      <c r="P15" s="13">
        <f>_xll.BDH("ITCI US Equity","ARD_SELLING_GENERAL_ADMIN_EXP","FQ1 2022","FQ1 2022","Currency=USD","Period=FQ","BEST_FPERIOD_OVERRIDE=FQ","FILING_STATUS=MR","SCALING_FORMAT=MLN","Sort=A","Dates=H","DateFormat=P","Fill=—","Direction=H","UseDPDF=Y")</f>
        <v>75.459999999999994</v>
      </c>
      <c r="Q15" s="13">
        <f>_xll.BDH("ITCI US Equity","ARD_SELLING_GENERAL_ADMIN_EXP","FQ2 2022","FQ2 2022","Currency=USD","Period=FQ","BEST_FPERIOD_OVERRIDE=FQ","FILING_STATUS=MR","SCALING_FORMAT=MLN","Sort=A","Dates=H","DateFormat=P","Fill=—","Direction=H","UseDPDF=Y")</f>
        <v>100.316</v>
      </c>
      <c r="R15" s="13">
        <f>_xll.BDH("ITCI US Equity","ARD_SELLING_GENERAL_ADMIN_EXP","FQ3 2022","FQ3 2022","Currency=USD","Period=FQ","BEST_FPERIOD_OVERRIDE=FQ","FILING_STATUS=MR","SCALING_FORMAT=MLN","Sort=A","Dates=H","DateFormat=P","Fill=—","Direction=H","UseDPDF=Y")</f>
        <v>88.375</v>
      </c>
      <c r="S15" s="13">
        <f>_xll.BDH("ITCI US Equity","ARD_SELLING_GENERAL_ADMIN_EXP","FQ4 2022","FQ4 2022","Currency=USD","Period=FQ","BEST_FPERIOD_OVERRIDE=FQ","FILING_STATUS=MR","SCALING_FORMAT=MLN","Sort=A","Dates=H","DateFormat=P","Fill=—","Direction=H","UseDPDF=Y")</f>
        <v>94.631</v>
      </c>
      <c r="T15" s="13">
        <f>_xll.BDH("ITCI US Equity","ARD_SELLING_GENERAL_ADMIN_EXP","FQ1 2023","FQ1 2023","Currency=USD","Period=FQ","BEST_FPERIOD_OVERRIDE=FQ","FILING_STATUS=MR","SCALING_FORMAT=MLN","Sort=A","Dates=H","DateFormat=P","Fill=—","Direction=H","UseDPDF=Y")</f>
        <v>98.923000000000002</v>
      </c>
      <c r="U15" s="13">
        <f>_xll.BDH("ITCI US Equity","ARD_SELLING_GENERAL_ADMIN_EXP","FQ2 2023","FQ2 2023","Currency=USD","Period=FQ","BEST_FPERIOD_OVERRIDE=FQ","FILING_STATUS=MR","SCALING_FORMAT=MLN","Sort=A","Dates=H","DateFormat=P","Fill=—","Direction=H","UseDPDF=Y")</f>
        <v>101.014</v>
      </c>
      <c r="V15" s="13">
        <f>_xll.BDH("ITCI US Equity","ARD_SELLING_GENERAL_ADMIN_EXP","FQ3 2023","FQ3 2023","Currency=USD","Period=FQ","BEST_FPERIOD_OVERRIDE=FQ","FILING_STATUS=MR","SCALING_FORMAT=MLN","Sort=A","Dates=H","DateFormat=P","Fill=—","Direction=H","UseDPDF=Y")</f>
        <v>105.20699999999999</v>
      </c>
      <c r="W15" s="13">
        <f>_xll.BDH("ITCI US Equity","ARD_SELLING_GENERAL_ADMIN_EXP","FQ4 2023","FQ4 2023","Currency=USD","Period=FQ","BEST_FPERIOD_OVERRIDE=FQ","FILING_STATUS=MR","SCALING_FORMAT=MLN","Sort=A","Dates=H","DateFormat=P","Fill=—","Direction=H","UseDPDF=Y")</f>
        <v>104.72</v>
      </c>
      <c r="X15" s="13">
        <f>_xll.BDH("ITCI US Equity","ARD_SELLING_GENERAL_ADMIN_EXP","FQ1 2024","FQ1 2024","Currency=USD","Period=FQ","BEST_FPERIOD_OVERRIDE=FQ","FILING_STATUS=MR","SCALING_FORMAT=MLN","Sort=A","Dates=H","DateFormat=P","Fill=—","Direction=H","UseDPDF=Y")</f>
        <v>113.08499999999999</v>
      </c>
      <c r="Y15" s="13">
        <f>_xll.BDH("ITCI US Equity","ARD_SELLING_GENERAL_ADMIN_EXP","FQ2 2024","FQ2 2024","Currency=USD","Period=FQ","BEST_FPERIOD_OVERRIDE=FQ","FILING_STATUS=MR","SCALING_FORMAT=MLN","Sort=A","Dates=H","DateFormat=P","Fill=—","Direction=H","UseDPDF=Y")</f>
        <v>121.574</v>
      </c>
      <c r="Z15" s="13">
        <f>_xll.BDH("ITCI US Equity","ARD_SELLING_GENERAL_ADMIN_EXP","FQ3 2024","FQ3 2024","Currency=USD","Period=FQ","BEST_FPERIOD_OVERRIDE=FQ","FILING_STATUS=MR","SCALING_FORMAT=MLN","Sort=A","Dates=H","DateFormat=P","Fill=—","Direction=H","UseDPDF=Y")</f>
        <v>132.101</v>
      </c>
      <c r="AA15" s="13">
        <f>_xll.BDH("ITCI US Equity","ARD_SELLING_GENERAL_ADMIN_EXP","FQ4 2024","FQ4 2024","Currency=USD","Period=FQ","BEST_FPERIOD_OVERRIDE=FQ","FILING_STATUS=MR","SCALING_FORMAT=MLN","Sort=A","Dates=H","DateFormat=P","Fill=—","Direction=H","UseDPDF=Y")</f>
        <v>137.72900000000001</v>
      </c>
    </row>
    <row r="16" spans="1:27" x14ac:dyDescent="0.25">
      <c r="A16" s="10" t="s">
        <v>395</v>
      </c>
      <c r="B16" s="10" t="s">
        <v>396</v>
      </c>
      <c r="C16" s="13">
        <f>_xll.BDH("ITCI US Equity","ARD_GENERAL_ADMINISTRATIVE_EXP","FQ4 2018","FQ4 2018","Currency=USD","Period=FQ","BEST_FPERIOD_OVERRIDE=FQ","FILING_STATUS=MR","SCALING_FORMAT=MLN","Sort=A","Dates=H","DateFormat=P","Fill=—","Direction=H","UseDPDF=Y")</f>
        <v>9.0173000000000005</v>
      </c>
      <c r="D16" s="13" t="str">
        <f>_xll.BDH("ITCI US Equity","ARD_GENERAL_ADMINISTRATIVE_EXP","FQ1 2019","FQ1 2019","Currency=USD","Period=FQ","BEST_FPERIOD_OVERRIDE=FQ","FILING_STATUS=MR","SCALING_FORMAT=MLN","Sort=A","Dates=H","DateFormat=P","Fill=—","Direction=H","UseDPDF=Y")</f>
        <v>—</v>
      </c>
      <c r="E16" s="13" t="str">
        <f>_xll.BDH("ITCI US Equity","ARD_GENERAL_ADMINISTRATIVE_EXP","FQ2 2019","FQ2 2019","Currency=USD","Period=FQ","BEST_FPERIOD_OVERRIDE=FQ","FILING_STATUS=MR","SCALING_FORMAT=MLN","Sort=A","Dates=H","DateFormat=P","Fill=—","Direction=H","UseDPDF=Y")</f>
        <v>—</v>
      </c>
      <c r="F16" s="13" t="str">
        <f>_xll.BDH("ITCI US Equity","ARD_GENERAL_ADMINISTRATIVE_EXP","FQ3 2019","FQ3 2019","Currency=USD","Period=FQ","BEST_FPERIOD_OVERRIDE=FQ","FILING_STATUS=MR","SCALING_FORMAT=MLN","Sort=A","Dates=H","DateFormat=P","Fill=—","Direction=H","UseDPDF=Y")</f>
        <v>—</v>
      </c>
      <c r="G16" s="13" t="str">
        <f>_xll.BDH("ITCI US Equity","ARD_GENERAL_ADMINISTRATIVE_EXP","FQ4 2019","FQ4 2019","Currency=USD","Period=FQ","BEST_FPERIOD_OVERRIDE=FQ","FILING_STATUS=MR","SCALING_FORMAT=MLN","Sort=A","Dates=H","DateFormat=P","Fill=—","Direction=H","UseDPDF=Y")</f>
        <v>—</v>
      </c>
      <c r="H16" s="13" t="str">
        <f>_xll.BDH("ITCI US Equity","ARD_GENERAL_ADMINISTRATIVE_EXP","FQ1 2020","FQ1 2020","Currency=USD","Period=FQ","BEST_FPERIOD_OVERRIDE=FQ","FILING_STATUS=MR","SCALING_FORMAT=MLN","Sort=A","Dates=H","DateFormat=P","Fill=—","Direction=H","UseDPDF=Y")</f>
        <v>—</v>
      </c>
      <c r="I16" s="13" t="str">
        <f>_xll.BDH("ITCI US Equity","ARD_GENERAL_ADMINISTRATIVE_EXP","FQ2 2020","FQ2 2020","Currency=USD","Period=FQ","BEST_FPERIOD_OVERRIDE=FQ","FILING_STATUS=MR","SCALING_FORMAT=MLN","Sort=A","Dates=H","DateFormat=P","Fill=—","Direction=H","UseDPDF=Y")</f>
        <v>—</v>
      </c>
      <c r="J16" s="13" t="str">
        <f>_xll.BDH("ITCI US Equity","ARD_GENERAL_ADMINISTRATIVE_EXP","FQ3 2020","FQ3 2020","Currency=USD","Period=FQ","BEST_FPERIOD_OVERRIDE=FQ","FILING_STATUS=MR","SCALING_FORMAT=MLN","Sort=A","Dates=H","DateFormat=P","Fill=—","Direction=H","UseDPDF=Y")</f>
        <v>—</v>
      </c>
      <c r="K16" s="13" t="str">
        <f>_xll.BDH("ITCI US Equity","ARD_GENERAL_ADMINISTRATIVE_EXP","FQ4 2020","FQ4 2020","Currency=USD","Period=FQ","BEST_FPERIOD_OVERRIDE=FQ","FILING_STATUS=MR","SCALING_FORMAT=MLN","Sort=A","Dates=H","DateFormat=P","Fill=—","Direction=H","UseDPDF=Y")</f>
        <v>—</v>
      </c>
      <c r="L16" s="13" t="str">
        <f>_xll.BDH("ITCI US Equity","ARD_GENERAL_ADMINISTRATIVE_EXP","FQ1 2021","FQ1 2021","Currency=USD","Period=FQ","BEST_FPERIOD_OVERRIDE=FQ","FILING_STATUS=MR","SCALING_FORMAT=MLN","Sort=A","Dates=H","DateFormat=P","Fill=—","Direction=H","UseDPDF=Y")</f>
        <v>—</v>
      </c>
      <c r="M16" s="13" t="str">
        <f>_xll.BDH("ITCI US Equity","ARD_GENERAL_ADMINISTRATIVE_EXP","FQ2 2021","FQ2 2021","Currency=USD","Period=FQ","BEST_FPERIOD_OVERRIDE=FQ","FILING_STATUS=MR","SCALING_FORMAT=MLN","Sort=A","Dates=H","DateFormat=P","Fill=—","Direction=H","UseDPDF=Y")</f>
        <v>—</v>
      </c>
      <c r="N16" s="13" t="str">
        <f>_xll.BDH("ITCI US Equity","ARD_GENERAL_ADMINISTRATIVE_EXP","FQ3 2021","FQ3 2021","Currency=USD","Period=FQ","BEST_FPERIOD_OVERRIDE=FQ","FILING_STATUS=MR","SCALING_FORMAT=MLN","Sort=A","Dates=H","DateFormat=P","Fill=—","Direction=H","UseDPDF=Y")</f>
        <v>—</v>
      </c>
      <c r="O16" s="13" t="str">
        <f>_xll.BDH("ITCI US Equity","ARD_GENERAL_ADMINISTRATIVE_EXP","FQ4 2021","FQ4 2021","Currency=USD","Period=FQ","BEST_FPERIOD_OVERRIDE=FQ","FILING_STATUS=MR","SCALING_FORMAT=MLN","Sort=A","Dates=H","DateFormat=P","Fill=—","Direction=H","UseDPDF=Y")</f>
        <v>—</v>
      </c>
      <c r="P16" s="13" t="str">
        <f>_xll.BDH("ITCI US Equity","ARD_GENERAL_ADMINISTRATIVE_EXP","FQ1 2022","FQ1 2022","Currency=USD","Period=FQ","BEST_FPERIOD_OVERRIDE=FQ","FILING_STATUS=MR","SCALING_FORMAT=MLN","Sort=A","Dates=H","DateFormat=P","Fill=—","Direction=H","UseDPDF=Y")</f>
        <v>—</v>
      </c>
      <c r="Q16" s="13" t="str">
        <f>_xll.BDH("ITCI US Equity","ARD_GENERAL_ADMINISTRATIVE_EXP","FQ2 2022","FQ2 2022","Currency=USD","Period=FQ","BEST_FPERIOD_OVERRIDE=FQ","FILING_STATUS=MR","SCALING_FORMAT=MLN","Sort=A","Dates=H","DateFormat=P","Fill=—","Direction=H","UseDPDF=Y")</f>
        <v>—</v>
      </c>
      <c r="R16" s="13" t="str">
        <f>_xll.BDH("ITCI US Equity","ARD_GENERAL_ADMINISTRATIVE_EXP","FQ3 2022","FQ3 2022","Currency=USD","Period=FQ","BEST_FPERIOD_OVERRIDE=FQ","FILING_STATUS=MR","SCALING_FORMAT=MLN","Sort=A","Dates=H","DateFormat=P","Fill=—","Direction=H","UseDPDF=Y")</f>
        <v>—</v>
      </c>
      <c r="S16" s="13" t="str">
        <f>_xll.BDH("ITCI US Equity","ARD_GENERAL_ADMINISTRATIVE_EXP","FQ4 2022","FQ4 2022","Currency=USD","Period=FQ","BEST_FPERIOD_OVERRIDE=FQ","FILING_STATUS=MR","SCALING_FORMAT=MLN","Sort=A","Dates=H","DateFormat=P","Fill=—","Direction=H","UseDPDF=Y")</f>
        <v>—</v>
      </c>
      <c r="T16" s="13" t="str">
        <f>_xll.BDH("ITCI US Equity","ARD_GENERAL_ADMINISTRATIVE_EXP","FQ1 2023","FQ1 2023","Currency=USD","Period=FQ","BEST_FPERIOD_OVERRIDE=FQ","FILING_STATUS=MR","SCALING_FORMAT=MLN","Sort=A","Dates=H","DateFormat=P","Fill=—","Direction=H","UseDPDF=Y")</f>
        <v>—</v>
      </c>
      <c r="U16" s="13" t="str">
        <f>_xll.BDH("ITCI US Equity","ARD_GENERAL_ADMINISTRATIVE_EXP","FQ2 2023","FQ2 2023","Currency=USD","Period=FQ","BEST_FPERIOD_OVERRIDE=FQ","FILING_STATUS=MR","SCALING_FORMAT=MLN","Sort=A","Dates=H","DateFormat=P","Fill=—","Direction=H","UseDPDF=Y")</f>
        <v>—</v>
      </c>
      <c r="V16" s="13" t="str">
        <f>_xll.BDH("ITCI US Equity","ARD_GENERAL_ADMINISTRATIVE_EXP","FQ3 2023","FQ3 2023","Currency=USD","Period=FQ","BEST_FPERIOD_OVERRIDE=FQ","FILING_STATUS=MR","SCALING_FORMAT=MLN","Sort=A","Dates=H","DateFormat=P","Fill=—","Direction=H","UseDPDF=Y")</f>
        <v>—</v>
      </c>
      <c r="W16" s="13" t="str">
        <f>_xll.BDH("ITCI US Equity","ARD_GENERAL_ADMINISTRATIVE_EXP","FQ4 2023","FQ4 2023","Currency=USD","Period=FQ","BEST_FPERIOD_OVERRIDE=FQ","FILING_STATUS=MR","SCALING_FORMAT=MLN","Sort=A","Dates=H","DateFormat=P","Fill=—","Direction=H","UseDPDF=Y")</f>
        <v>—</v>
      </c>
      <c r="X16" s="13" t="str">
        <f>_xll.BDH("ITCI US Equity","ARD_GENERAL_ADMINISTRATIVE_EXP","FQ1 2024","FQ1 2024","Currency=USD","Period=FQ","BEST_FPERIOD_OVERRIDE=FQ","FILING_STATUS=MR","SCALING_FORMAT=MLN","Sort=A","Dates=H","DateFormat=P","Fill=—","Direction=H","UseDPDF=Y")</f>
        <v>—</v>
      </c>
      <c r="Y16" s="13" t="str">
        <f>_xll.BDH("ITCI US Equity","ARD_GENERAL_ADMINISTRATIVE_EXP","FQ2 2024","FQ2 2024","Currency=USD","Period=FQ","BEST_FPERIOD_OVERRIDE=FQ","FILING_STATUS=MR","SCALING_FORMAT=MLN","Sort=A","Dates=H","DateFormat=P","Fill=—","Direction=H","UseDPDF=Y")</f>
        <v>—</v>
      </c>
      <c r="Z16" s="13" t="str">
        <f>_xll.BDH("ITCI US Equity","ARD_GENERAL_ADMINISTRATIVE_EXP","FQ3 2024","FQ3 2024","Currency=USD","Period=FQ","BEST_FPERIOD_OVERRIDE=FQ","FILING_STATUS=MR","SCALING_FORMAT=MLN","Sort=A","Dates=H","DateFormat=P","Fill=—","Direction=H","UseDPDF=Y")</f>
        <v>—</v>
      </c>
      <c r="AA16" s="13" t="str">
        <f>_xll.BDH("ITCI US Equity","ARD_GENERAL_ADMINISTRATIVE_EXP","FQ4 2024","FQ4 2024","Currency=USD","Period=FQ","BEST_FPERIOD_OVERRIDE=FQ","FILING_STATUS=MR","SCALING_FORMAT=MLN","Sort=A","Dates=H","DateFormat=P","Fill=—","Direction=H","UseDPDF=Y")</f>
        <v>—</v>
      </c>
    </row>
    <row r="17" spans="1:27" x14ac:dyDescent="0.25">
      <c r="A17" s="10" t="s">
        <v>98</v>
      </c>
      <c r="B17" s="10" t="s">
        <v>397</v>
      </c>
      <c r="C17" s="13">
        <f>_xll.BDH("ITCI US Equity","ARD_OPERATING_INCOME","FQ4 2018","FQ4 2018","Currency=USD","Period=FQ","BEST_FPERIOD_OVERRIDE=FQ","FILING_STATUS=MR","SCALING_FORMAT=MLN","Sort=A","Dates=H","DateFormat=P","Fill=—","Direction=H","UseDPDF=Y")</f>
        <v>-42.622900000000001</v>
      </c>
      <c r="D17" s="13">
        <f>_xll.BDH("ITCI US Equity","ARD_OPERATING_INCOME","FQ1 2019","FQ1 2019","Currency=USD","Period=FQ","BEST_FPERIOD_OVERRIDE=FQ","FILING_STATUS=MR","SCALING_FORMAT=MLN","Sort=A","Dates=H","DateFormat=P","Fill=—","Direction=H","UseDPDF=Y")</f>
        <v>-36.695799999999998</v>
      </c>
      <c r="E17" s="13">
        <f>_xll.BDH("ITCI US Equity","ARD_OPERATING_INCOME","FQ2 2019","FQ2 2019","Currency=USD","Period=FQ","BEST_FPERIOD_OVERRIDE=FQ","FILING_STATUS=MR","SCALING_FORMAT=MLN","Sort=A","Dates=H","DateFormat=P","Fill=—","Direction=H","UseDPDF=Y")</f>
        <v>-39.171100000000003</v>
      </c>
      <c r="F17" s="13">
        <f>_xll.BDH("ITCI US Equity","ARD_OPERATING_INCOME","FQ3 2019","FQ3 2019","Currency=USD","Period=FQ","BEST_FPERIOD_OVERRIDE=FQ","FILING_STATUS=MR","SCALING_FORMAT=MLN","Sort=A","Dates=H","DateFormat=P","Fill=—","Direction=H","UseDPDF=Y")</f>
        <v>-36.376199999999997</v>
      </c>
      <c r="G17" s="13">
        <f>_xll.BDH("ITCI US Equity","ARD_OPERATING_INCOME","FQ4 2019","FQ4 2019","Currency=USD","Period=FQ","BEST_FPERIOD_OVERRIDE=FQ","FILING_STATUS=MR","SCALING_FORMAT=MLN","Sort=A","Dates=H","DateFormat=P","Fill=—","Direction=H","UseDPDF=Y")</f>
        <v>-41.768700000000003</v>
      </c>
      <c r="H17" s="13">
        <f>_xll.BDH("ITCI US Equity","ARD_OPERATING_INCOME","FQ1 2020","FQ1 2020","Currency=USD","Period=FQ","BEST_FPERIOD_OVERRIDE=FQ","FILING_STATUS=MR","SCALING_FORMAT=MLN","Sort=A","Dates=H","DateFormat=P","Fill=—","Direction=H","UseDPDF=Y")</f>
        <v>-49.085500000000003</v>
      </c>
      <c r="I17" s="13">
        <f>_xll.BDH("ITCI US Equity","ARD_OPERATING_INCOME","FQ2 2020","FQ2 2020","Currency=USD","Period=FQ","BEST_FPERIOD_OVERRIDE=FQ","FILING_STATUS=MR","SCALING_FORMAT=MLN","Sort=A","Dates=H","DateFormat=P","Fill=—","Direction=H","UseDPDF=Y")</f>
        <v>-64.872299999999996</v>
      </c>
      <c r="J17" s="13">
        <f>_xll.BDH("ITCI US Equity","ARD_OPERATING_INCOME","FQ3 2020","FQ3 2020","Currency=USD","Period=FQ","BEST_FPERIOD_OVERRIDE=FQ","FILING_STATUS=MR","SCALING_FORMAT=MLN","Sort=A","Dates=H","DateFormat=P","Fill=—","Direction=H","UseDPDF=Y")</f>
        <v>-55.936500000000002</v>
      </c>
      <c r="K17" s="13">
        <f>_xll.BDH("ITCI US Equity","ARD_OPERATING_INCOME","FQ4 2020","FQ4 2020","Currency=USD","Period=FQ","BEST_FPERIOD_OVERRIDE=FQ","FILING_STATUS=MR","SCALING_FORMAT=MLN","Sort=A","Dates=H","DateFormat=P","Fill=—","Direction=H","UseDPDF=Y")</f>
        <v>-61.333300000000001</v>
      </c>
      <c r="L17" s="13">
        <f>_xll.BDH("ITCI US Equity","ARD_OPERATING_INCOME","FQ1 2021","FQ1 2021","Currency=USD","Period=FQ","BEST_FPERIOD_OVERRIDE=FQ","FILING_STATUS=MR","SCALING_FORMAT=MLN","Sort=A","Dates=H","DateFormat=P","Fill=—","Direction=H","UseDPDF=Y")</f>
        <v>-53.218699999999998</v>
      </c>
      <c r="M17" s="13">
        <f>_xll.BDH("ITCI US Equity","ARD_OPERATING_INCOME","FQ2 2021","FQ2 2021","Currency=USD","Period=FQ","BEST_FPERIOD_OVERRIDE=FQ","FILING_STATUS=MR","SCALING_FORMAT=MLN","Sort=A","Dates=H","DateFormat=P","Fill=—","Direction=H","UseDPDF=Y")</f>
        <v>-69.141099999999994</v>
      </c>
      <c r="N17" s="13">
        <f>_xll.BDH("ITCI US Equity","ARD_OPERATING_INCOME","FQ3 2021","FQ3 2021","Currency=USD","Period=FQ","BEST_FPERIOD_OVERRIDE=FQ","FILING_STATUS=MR","SCALING_FORMAT=MLN","Sort=A","Dates=H","DateFormat=P","Fill=—","Direction=H","UseDPDF=Y")</f>
        <v>-77.323800000000006</v>
      </c>
      <c r="O17" s="13">
        <f>_xll.BDH("ITCI US Equity","ARD_OPERATING_INCOME","FQ4 2021","FQ4 2021","Currency=USD","Period=FQ","BEST_FPERIOD_OVERRIDE=FQ","FILING_STATUS=MR","SCALING_FORMAT=MLN","Sort=A","Dates=H","DateFormat=P","Fill=—","Direction=H","UseDPDF=Y")</f>
        <v>-86.004599999999996</v>
      </c>
      <c r="P17" s="13">
        <f>_xll.BDH("ITCI US Equity","ARD_OPERATING_INCOME","FQ1 2022","FQ1 2022","Currency=USD","Period=FQ","BEST_FPERIOD_OVERRIDE=FQ","FILING_STATUS=MR","SCALING_FORMAT=MLN","Sort=A","Dates=H","DateFormat=P","Fill=—","Direction=H","UseDPDF=Y")</f>
        <v>-72.662000000000006</v>
      </c>
      <c r="Q17" s="13">
        <f>_xll.BDH("ITCI US Equity","ARD_OPERATING_INCOME","FQ2 2022","FQ2 2022","Currency=USD","Period=FQ","BEST_FPERIOD_OVERRIDE=FQ","FILING_STATUS=MR","SCALING_FORMAT=MLN","Sort=A","Dates=H","DateFormat=P","Fill=—","Direction=H","UseDPDF=Y")</f>
        <v>-87.923000000000002</v>
      </c>
      <c r="R17" s="13">
        <f>_xll.BDH("ITCI US Equity","ARD_OPERATING_INCOME","FQ3 2022","FQ3 2022","Currency=USD","Period=FQ","BEST_FPERIOD_OVERRIDE=FQ","FILING_STATUS=MR","SCALING_FORMAT=MLN","Sort=A","Dates=H","DateFormat=P","Fill=—","Direction=H","UseDPDF=Y")</f>
        <v>-55.628999999999998</v>
      </c>
      <c r="S17" s="13">
        <f>_xll.BDH("ITCI US Equity","ARD_OPERATING_INCOME","FQ4 2022","FQ4 2022","Currency=USD","Period=FQ","BEST_FPERIOD_OVERRIDE=FQ","FILING_STATUS=MR","SCALING_FORMAT=MLN","Sort=A","Dates=H","DateFormat=P","Fill=—","Direction=H","UseDPDF=Y")</f>
        <v>-47.411999999999999</v>
      </c>
      <c r="T17" s="13">
        <f>_xll.BDH("ITCI US Equity","ARD_OPERATING_INCOME","FQ1 2023","FQ1 2023","Currency=USD","Period=FQ","BEST_FPERIOD_OVERRIDE=FQ","FILING_STATUS=MR","SCALING_FORMAT=MLN","Sort=A","Dates=H","DateFormat=P","Fill=—","Direction=H","UseDPDF=Y")</f>
        <v>-48.392000000000003</v>
      </c>
      <c r="U17" s="13">
        <f>_xll.BDH("ITCI US Equity","ARD_OPERATING_INCOME","FQ2 2023","FQ2 2023","Currency=USD","Period=FQ","BEST_FPERIOD_OVERRIDE=FQ","FILING_STATUS=MR","SCALING_FORMAT=MLN","Sort=A","Dates=H","DateFormat=P","Fill=—","Direction=H","UseDPDF=Y")</f>
        <v>-47.179000000000002</v>
      </c>
      <c r="V17" s="13">
        <f>_xll.BDH("ITCI US Equity","ARD_OPERATING_INCOME","FQ3 2023","FQ3 2023","Currency=USD","Period=FQ","BEST_FPERIOD_OVERRIDE=FQ","FILING_STATUS=MR","SCALING_FORMAT=MLN","Sort=A","Dates=H","DateFormat=P","Fill=—","Direction=H","UseDPDF=Y")</f>
        <v>-29.713000000000001</v>
      </c>
      <c r="W17" s="13">
        <f>_xll.BDH("ITCI US Equity","ARD_OPERATING_INCOME","FQ4 2023","FQ4 2023","Currency=USD","Period=FQ","BEST_FPERIOD_OVERRIDE=FQ","FILING_STATUS=MR","SCALING_FORMAT=MLN","Sort=A","Dates=H","DateFormat=P","Fill=—","Direction=H","UseDPDF=Y")</f>
        <v>-34.097000000000001</v>
      </c>
      <c r="X17" s="13">
        <f>_xll.BDH("ITCI US Equity","ARD_OPERATING_INCOME","FQ1 2024","FQ1 2024","Currency=USD","Period=FQ","BEST_FPERIOD_OVERRIDE=FQ","FILING_STATUS=MR","SCALING_FORMAT=MLN","Sort=A","Dates=H","DateFormat=P","Fill=—","Direction=H","UseDPDF=Y")</f>
        <v>-20.952000000000002</v>
      </c>
      <c r="Y17" s="13">
        <f>_xll.BDH("ITCI US Equity","ARD_OPERATING_INCOME","FQ2 2024","FQ2 2024","Currency=USD","Period=FQ","BEST_FPERIOD_OVERRIDE=FQ","FILING_STATUS=MR","SCALING_FORMAT=MLN","Sort=A","Dates=H","DateFormat=P","Fill=—","Direction=H","UseDPDF=Y")</f>
        <v>-27.722999999999999</v>
      </c>
      <c r="Z17" s="13">
        <f>_xll.BDH("ITCI US Equity","ARD_OPERATING_INCOME","FQ3 2024","FQ3 2024","Currency=USD","Period=FQ","BEST_FPERIOD_OVERRIDE=FQ","FILING_STATUS=MR","SCALING_FORMAT=MLN","Sort=A","Dates=H","DateFormat=P","Fill=—","Direction=H","UseDPDF=Y")</f>
        <v>-38.848999999999997</v>
      </c>
      <c r="AA17" s="13">
        <f>_xll.BDH("ITCI US Equity","ARD_OPERATING_INCOME","FQ4 2024","FQ4 2024","Currency=USD","Period=FQ","BEST_FPERIOD_OVERRIDE=FQ","FILING_STATUS=MR","SCALING_FORMAT=MLN","Sort=A","Dates=H","DateFormat=P","Fill=—","Direction=H","UseDPDF=Y")</f>
        <v>-29.196999999999999</v>
      </c>
    </row>
    <row r="18" spans="1:27" x14ac:dyDescent="0.25">
      <c r="A18" s="10" t="s">
        <v>398</v>
      </c>
      <c r="B18" s="10" t="s">
        <v>399</v>
      </c>
      <c r="C18" s="13" t="str">
        <f>_xll.BDH("ITCI US Equity","ARD_COST_OF_PRODUCTS_SOLD","FQ4 2018","FQ4 2018","Currency=USD","Period=FQ","BEST_FPERIOD_OVERRIDE=FQ","FILING_STATUS=MR","SCALING_FORMAT=MLN","Sort=A","Dates=H","DateFormat=P","Fill=—","Direction=H","UseDPDF=Y")</f>
        <v>—</v>
      </c>
      <c r="D18" s="13" t="str">
        <f>_xll.BDH("ITCI US Equity","ARD_COST_OF_PRODUCTS_SOLD","FQ1 2019","FQ1 2019","Currency=USD","Period=FQ","BEST_FPERIOD_OVERRIDE=FQ","FILING_STATUS=MR","SCALING_FORMAT=MLN","Sort=A","Dates=H","DateFormat=P","Fill=—","Direction=H","UseDPDF=Y")</f>
        <v>—</v>
      </c>
      <c r="E18" s="13" t="str">
        <f>_xll.BDH("ITCI US Equity","ARD_COST_OF_PRODUCTS_SOLD","FQ2 2019","FQ2 2019","Currency=USD","Period=FQ","BEST_FPERIOD_OVERRIDE=FQ","FILING_STATUS=MR","SCALING_FORMAT=MLN","Sort=A","Dates=H","DateFormat=P","Fill=—","Direction=H","UseDPDF=Y")</f>
        <v>—</v>
      </c>
      <c r="F18" s="13" t="str">
        <f>_xll.BDH("ITCI US Equity","ARD_COST_OF_PRODUCTS_SOLD","FQ3 2019","FQ3 2019","Currency=USD","Period=FQ","BEST_FPERIOD_OVERRIDE=FQ","FILING_STATUS=MR","SCALING_FORMAT=MLN","Sort=A","Dates=H","DateFormat=P","Fill=—","Direction=H","UseDPDF=Y")</f>
        <v>—</v>
      </c>
      <c r="G18" s="13" t="str">
        <f>_xll.BDH("ITCI US Equity","ARD_COST_OF_PRODUCTS_SOLD","FQ4 2019","FQ4 2019","Currency=USD","Period=FQ","BEST_FPERIOD_OVERRIDE=FQ","FILING_STATUS=MR","SCALING_FORMAT=MLN","Sort=A","Dates=H","DateFormat=P","Fill=—","Direction=H","UseDPDF=Y")</f>
        <v>—</v>
      </c>
      <c r="H18" s="13">
        <f>_xll.BDH("ITCI US Equity","ARD_COST_OF_PRODUCTS_SOLD","FQ1 2020","FQ1 2020","Currency=USD","Period=FQ","BEST_FPERIOD_OVERRIDE=FQ","FILING_STATUS=MR","SCALING_FORMAT=MLN","Sort=A","Dates=H","DateFormat=P","Fill=—","Direction=H","UseDPDF=Y")</f>
        <v>6.93E-2</v>
      </c>
      <c r="I18" s="13">
        <f>_xll.BDH("ITCI US Equity","ARD_COST_OF_PRODUCTS_SOLD","FQ2 2020","FQ2 2020","Currency=USD","Period=FQ","BEST_FPERIOD_OVERRIDE=FQ","FILING_STATUS=MR","SCALING_FORMAT=MLN","Sort=A","Dates=H","DateFormat=P","Fill=—","Direction=H","UseDPDF=Y")</f>
        <v>0.1285</v>
      </c>
      <c r="J18" s="13">
        <f>_xll.BDH("ITCI US Equity","ARD_COST_OF_PRODUCTS_SOLD","FQ3 2020","FQ3 2020","Currency=USD","Period=FQ","BEST_FPERIOD_OVERRIDE=FQ","FILING_STATUS=MR","SCALING_FORMAT=MLN","Sort=A","Dates=H","DateFormat=P","Fill=—","Direction=H","UseDPDF=Y")</f>
        <v>0.55610000000000004</v>
      </c>
      <c r="K18" s="13">
        <f>_xll.BDH("ITCI US Equity","ARD_COST_OF_PRODUCTS_SOLD","FQ4 2020","FQ4 2020","Currency=USD","Period=FQ","BEST_FPERIOD_OVERRIDE=FQ","FILING_STATUS=MR","SCALING_FORMAT=MLN","Sort=A","Dates=H","DateFormat=P","Fill=—","Direction=H","UseDPDF=Y")</f>
        <v>1.1411</v>
      </c>
      <c r="L18" s="13">
        <f>_xll.BDH("ITCI US Equity","ARD_COST_OF_PRODUCTS_SOLD","FQ1 2021","FQ1 2021","Currency=USD","Period=FQ","BEST_FPERIOD_OVERRIDE=FQ","FILING_STATUS=MR","SCALING_FORMAT=MLN","Sort=A","Dates=H","DateFormat=P","Fill=—","Direction=H","UseDPDF=Y")</f>
        <v>1.4552</v>
      </c>
      <c r="M18" s="13">
        <f>_xll.BDH("ITCI US Equity","ARD_COST_OF_PRODUCTS_SOLD","FQ2 2021","FQ2 2021","Currency=USD","Period=FQ","BEST_FPERIOD_OVERRIDE=FQ","FILING_STATUS=MR","SCALING_FORMAT=MLN","Sort=A","Dates=H","DateFormat=P","Fill=—","Direction=H","UseDPDF=Y")</f>
        <v>2.04</v>
      </c>
      <c r="N18" s="13">
        <f>_xll.BDH("ITCI US Equity","ARD_COST_OF_PRODUCTS_SOLD","FQ3 2021","FQ3 2021","Currency=USD","Period=FQ","BEST_FPERIOD_OVERRIDE=FQ","FILING_STATUS=MR","SCALING_FORMAT=MLN","Sort=A","Dates=H","DateFormat=P","Fill=—","Direction=H","UseDPDF=Y")</f>
        <v>2.0013000000000001</v>
      </c>
      <c r="O18" s="13">
        <f>_xll.BDH("ITCI US Equity","ARD_COST_OF_PRODUCTS_SOLD","FQ4 2021","FQ4 2021","Currency=USD","Period=FQ","BEST_FPERIOD_OVERRIDE=FQ","FILING_STATUS=MR","SCALING_FORMAT=MLN","Sort=A","Dates=H","DateFormat=P","Fill=—","Direction=H","UseDPDF=Y")</f>
        <v>2.5379999999999998</v>
      </c>
      <c r="P18" s="13">
        <f>_xll.BDH("ITCI US Equity","ARD_COST_OF_PRODUCTS_SOLD","FQ1 2022","FQ1 2022","Currency=USD","Period=FQ","BEST_FPERIOD_OVERRIDE=FQ","FILING_STATUS=MR","SCALING_FORMAT=MLN","Sort=A","Dates=H","DateFormat=P","Fill=—","Direction=H","UseDPDF=Y")</f>
        <v>3.1549999999999998</v>
      </c>
      <c r="Q18" s="13">
        <f>_xll.BDH("ITCI US Equity","ARD_COST_OF_PRODUCTS_SOLD","FQ2 2022","FQ2 2022","Currency=USD","Period=FQ","BEST_FPERIOD_OVERRIDE=FQ","FILING_STATUS=MR","SCALING_FORMAT=MLN","Sort=A","Dates=H","DateFormat=P","Fill=—","Direction=H","UseDPDF=Y")</f>
        <v>4.6500000000000004</v>
      </c>
      <c r="R18" s="13">
        <f>_xll.BDH("ITCI US Equity","ARD_COST_OF_PRODUCTS_SOLD","FQ3 2022","FQ3 2022","Currency=USD","Period=FQ","BEST_FPERIOD_OVERRIDE=FQ","FILING_STATUS=MR","SCALING_FORMAT=MLN","Sort=A","Dates=H","DateFormat=P","Fill=—","Direction=H","UseDPDF=Y")</f>
        <v>5.85</v>
      </c>
      <c r="S18" s="13">
        <f>_xll.BDH("ITCI US Equity","ARD_COST_OF_PRODUCTS_SOLD","FQ4 2022","FQ4 2022","Currency=USD","Period=FQ","BEST_FPERIOD_OVERRIDE=FQ","FILING_STATUS=MR","SCALING_FORMAT=MLN","Sort=A","Dates=H","DateFormat=P","Fill=—","Direction=H","UseDPDF=Y")</f>
        <v>6.7880000000000003</v>
      </c>
      <c r="T18" s="13">
        <f>_xll.BDH("ITCI US Equity","ARD_COST_OF_PRODUCTS_SOLD","FQ1 2023","FQ1 2023","Currency=USD","Period=FQ","BEST_FPERIOD_OVERRIDE=FQ","FILING_STATUS=MR","SCALING_FORMAT=MLN","Sort=A","Dates=H","DateFormat=P","Fill=—","Direction=H","UseDPDF=Y")</f>
        <v>6.7510000000000003</v>
      </c>
      <c r="U18" s="13">
        <f>_xll.BDH("ITCI US Equity","ARD_COST_OF_PRODUCTS_SOLD","FQ2 2023","FQ2 2023","Currency=USD","Period=FQ","BEST_FPERIOD_OVERRIDE=FQ","FILING_STATUS=MR","SCALING_FORMAT=MLN","Sort=A","Dates=H","DateFormat=P","Fill=—","Direction=H","UseDPDF=Y")</f>
        <v>7.1630000000000003</v>
      </c>
      <c r="V18" s="13">
        <f>_xll.BDH("ITCI US Equity","ARD_COST_OF_PRODUCTS_SOLD","FQ3 2023","FQ3 2023","Currency=USD","Period=FQ","BEST_FPERIOD_OVERRIDE=FQ","FILING_STATUS=MR","SCALING_FORMAT=MLN","Sort=A","Dates=H","DateFormat=P","Fill=—","Direction=H","UseDPDF=Y")</f>
        <v>9.1289999999999996</v>
      </c>
      <c r="W18" s="13">
        <f>_xll.BDH("ITCI US Equity","ARD_COST_OF_PRODUCTS_SOLD","FQ4 2023","FQ4 2023","Currency=USD","Period=FQ","BEST_FPERIOD_OVERRIDE=FQ","FILING_STATUS=MR","SCALING_FORMAT=MLN","Sort=A","Dates=H","DateFormat=P","Fill=—","Direction=H","UseDPDF=Y")</f>
        <v>10.702</v>
      </c>
      <c r="X18" s="13">
        <f>_xll.BDH("ITCI US Equity","ARD_COST_OF_PRODUCTS_SOLD","FQ1 2024","FQ1 2024","Currency=USD","Period=FQ","BEST_FPERIOD_OVERRIDE=FQ","FILING_STATUS=MR","SCALING_FORMAT=MLN","Sort=A","Dates=H","DateFormat=P","Fill=—","Direction=H","UseDPDF=Y")</f>
        <v>9.9</v>
      </c>
      <c r="Y18" s="13">
        <f>_xll.BDH("ITCI US Equity","ARD_COST_OF_PRODUCTS_SOLD","FQ2 2024","FQ2 2024","Currency=USD","Period=FQ","BEST_FPERIOD_OVERRIDE=FQ","FILING_STATUS=MR","SCALING_FORMAT=MLN","Sort=A","Dates=H","DateFormat=P","Fill=—","Direction=H","UseDPDF=Y")</f>
        <v>11.353999999999999</v>
      </c>
      <c r="Z18" s="13">
        <f>_xll.BDH("ITCI US Equity","ARD_COST_OF_PRODUCTS_SOLD","FQ3 2024","FQ3 2024","Currency=USD","Period=FQ","BEST_FPERIOD_OVERRIDE=FQ","FILING_STATUS=MR","SCALING_FORMAT=MLN","Sort=A","Dates=H","DateFormat=P","Fill=—","Direction=H","UseDPDF=Y")</f>
        <v>15.304</v>
      </c>
      <c r="AA18" s="13">
        <f>_xll.BDH("ITCI US Equity","ARD_COST_OF_PRODUCTS_SOLD","FQ4 2024","FQ4 2024","Currency=USD","Period=FQ","BEST_FPERIOD_OVERRIDE=FQ","FILING_STATUS=MR","SCALING_FORMAT=MLN","Sort=A","Dates=H","DateFormat=P","Fill=—","Direction=H","UseDPDF=Y")</f>
        <v>20.405000000000001</v>
      </c>
    </row>
    <row r="19" spans="1:27" x14ac:dyDescent="0.25">
      <c r="A19" s="10" t="s">
        <v>400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5">
      <c r="A20" s="10" t="s">
        <v>401</v>
      </c>
      <c r="B20" s="10" t="s">
        <v>402</v>
      </c>
      <c r="C20" s="13">
        <f>_xll.BDH("ITCI US Equity","ARD_INT_INCOME","FQ4 2018","FQ4 2018","Currency=USD","Period=FQ","BEST_FPERIOD_OVERRIDE=FQ","FILING_STATUS=MR","SCALING_FORMAT=MLN","Sort=A","Dates=H","DateFormat=P","Fill=—","Direction=H","UseDPDF=Y")</f>
        <v>-1.8749</v>
      </c>
      <c r="D20" s="13">
        <f>_xll.BDH("ITCI US Equity","ARD_INT_INCOME","FQ1 2019","FQ1 2019","Currency=USD","Period=FQ","BEST_FPERIOD_OVERRIDE=FQ","FILING_STATUS=MR","SCALING_FORMAT=MLN","Sort=A","Dates=H","DateFormat=P","Fill=—","Direction=H","UseDPDF=Y")</f>
        <v>-1.8601000000000001</v>
      </c>
      <c r="E20" s="13">
        <f>_xll.BDH("ITCI US Equity","ARD_INT_INCOME","FQ2 2019","FQ2 2019","Currency=USD","Period=FQ","BEST_FPERIOD_OVERRIDE=FQ","FILING_STATUS=MR","SCALING_FORMAT=MLN","Sort=A","Dates=H","DateFormat=P","Fill=—","Direction=H","UseDPDF=Y")</f>
        <v>-1.7316</v>
      </c>
      <c r="F20" s="13">
        <f>_xll.BDH("ITCI US Equity","ARD_INT_INCOME","FQ3 2019","FQ3 2019","Currency=USD","Period=FQ","BEST_FPERIOD_OVERRIDE=FQ","FILING_STATUS=MR","SCALING_FORMAT=MLN","Sort=A","Dates=H","DateFormat=P","Fill=—","Direction=H","UseDPDF=Y")</f>
        <v>-1.5138</v>
      </c>
      <c r="G20" s="13">
        <f>_xll.BDH("ITCI US Equity","ARD_INT_INCOME","FQ4 2019","FQ4 2019","Currency=USD","Period=FQ","BEST_FPERIOD_OVERRIDE=FQ","FILING_STATUS=MR","SCALING_FORMAT=MLN","Sort=A","Dates=H","DateFormat=P","Fill=—","Direction=H","UseDPDF=Y")</f>
        <v>-1.1858</v>
      </c>
      <c r="H20" s="13">
        <f>_xll.BDH("ITCI US Equity","ARD_INT_INCOME","FQ1 2020","FQ1 2020","Currency=USD","Period=FQ","BEST_FPERIOD_OVERRIDE=FQ","FILING_STATUS=MR","SCALING_FORMAT=MLN","Sort=A","Dates=H","DateFormat=P","Fill=—","Direction=H","UseDPDF=Y")</f>
        <v>-1.6781999999999999</v>
      </c>
      <c r="I20" s="13">
        <f>_xll.BDH("ITCI US Equity","ARD_INT_INCOME","FQ2 2020","FQ2 2020","Currency=USD","Period=FQ","BEST_FPERIOD_OVERRIDE=FQ","FILING_STATUS=MR","SCALING_FORMAT=MLN","Sort=A","Dates=H","DateFormat=P","Fill=—","Direction=H","UseDPDF=Y")</f>
        <v>-1.1600999999999999</v>
      </c>
      <c r="J20" s="13">
        <f>_xll.BDH("ITCI US Equity","ARD_INT_INCOME","FQ3 2020","FQ3 2020","Currency=USD","Period=FQ","BEST_FPERIOD_OVERRIDE=FQ","FILING_STATUS=MR","SCALING_FORMAT=MLN","Sort=A","Dates=H","DateFormat=P","Fill=—","Direction=H","UseDPDF=Y")</f>
        <v>-0.75280000000000002</v>
      </c>
      <c r="K20" s="13">
        <f>_xll.BDH("ITCI US Equity","ARD_INT_INCOME","FQ4 2020","FQ4 2020","Currency=USD","Period=FQ","BEST_FPERIOD_OVERRIDE=FQ","FILING_STATUS=MR","SCALING_FORMAT=MLN","Sort=A","Dates=H","DateFormat=P","Fill=—","Direction=H","UseDPDF=Y")</f>
        <v>-0.64439999999999997</v>
      </c>
      <c r="L20" s="13">
        <f>_xll.BDH("ITCI US Equity","ARD_INT_INCOME","FQ1 2021","FQ1 2021","Currency=USD","Period=FQ","BEST_FPERIOD_OVERRIDE=FQ","FILING_STATUS=MR","SCALING_FORMAT=MLN","Sort=A","Dates=H","DateFormat=P","Fill=—","Direction=H","UseDPDF=Y")</f>
        <v>-0.48380000000000001</v>
      </c>
      <c r="M20" s="13">
        <f>_xll.BDH("ITCI US Equity","ARD_INT_INCOME","FQ2 2021","FQ2 2021","Currency=USD","Period=FQ","BEST_FPERIOD_OVERRIDE=FQ","FILING_STATUS=MR","SCALING_FORMAT=MLN","Sort=A","Dates=H","DateFormat=P","Fill=—","Direction=H","UseDPDF=Y")</f>
        <v>-0.42099999999999999</v>
      </c>
      <c r="N20" s="13">
        <f>_xll.BDH("ITCI US Equity","ARD_INT_INCOME","FQ3 2021","FQ3 2021","Currency=USD","Period=FQ","BEST_FPERIOD_OVERRIDE=FQ","FILING_STATUS=MR","SCALING_FORMAT=MLN","Sort=A","Dates=H","DateFormat=P","Fill=—","Direction=H","UseDPDF=Y")</f>
        <v>-0.39269999999999999</v>
      </c>
      <c r="O20" s="13">
        <f>_xll.BDH("ITCI US Equity","ARD_INT_INCOME","FQ4 2021","FQ4 2021","Currency=USD","Period=FQ","BEST_FPERIOD_OVERRIDE=FQ","FILING_STATUS=MR","SCALING_FORMAT=MLN","Sort=A","Dates=H","DateFormat=P","Fill=—","Direction=H","UseDPDF=Y")</f>
        <v>-0.27060000000000001</v>
      </c>
      <c r="P20" s="13">
        <f>_xll.BDH("ITCI US Equity","ARD_INT_INCOME","FQ1 2022","FQ1 2022","Currency=USD","Period=FQ","BEST_FPERIOD_OVERRIDE=FQ","FILING_STATUS=MR","SCALING_FORMAT=MLN","Sort=A","Dates=H","DateFormat=P","Fill=—","Direction=H","UseDPDF=Y")</f>
        <v>-0.54800000000000004</v>
      </c>
      <c r="Q20" s="13">
        <f>_xll.BDH("ITCI US Equity","ARD_INT_INCOME","FQ2 2022","FQ2 2022","Currency=USD","Period=FQ","BEST_FPERIOD_OVERRIDE=FQ","FILING_STATUS=MR","SCALING_FORMAT=MLN","Sort=A","Dates=H","DateFormat=P","Fill=—","Direction=H","UseDPDF=Y")</f>
        <v>-1.32</v>
      </c>
      <c r="R20" s="13">
        <f>_xll.BDH("ITCI US Equity","ARD_INT_INCOME","FQ3 2022","FQ3 2022","Currency=USD","Period=FQ","BEST_FPERIOD_OVERRIDE=FQ","FILING_STATUS=MR","SCALING_FORMAT=MLN","Sort=A","Dates=H","DateFormat=P","Fill=—","Direction=H","UseDPDF=Y")</f>
        <v>-2.1219999999999999</v>
      </c>
      <c r="S20" s="13">
        <f>_xll.BDH("ITCI US Equity","ARD_INT_INCOME","FQ4 2022","FQ4 2022","Currency=USD","Period=FQ","BEST_FPERIOD_OVERRIDE=FQ","FILING_STATUS=MR","SCALING_FORMAT=MLN","Sort=A","Dates=H","DateFormat=P","Fill=—","Direction=H","UseDPDF=Y")</f>
        <v>-3.3860000000000001</v>
      </c>
      <c r="T20" s="13">
        <f>_xll.BDH("ITCI US Equity","ARD_INT_INCOME","FQ1 2023","FQ1 2023","Currency=USD","Period=FQ","BEST_FPERIOD_OVERRIDE=FQ","FILING_STATUS=MR","SCALING_FORMAT=MLN","Sort=A","Dates=H","DateFormat=P","Fill=—","Direction=H","UseDPDF=Y")</f>
        <v>-4.3490000000000002</v>
      </c>
      <c r="U20" s="13">
        <f>_xll.BDH("ITCI US Equity","ARD_INT_INCOME","FQ2 2023","FQ2 2023","Currency=USD","Period=FQ","BEST_FPERIOD_OVERRIDE=FQ","FILING_STATUS=MR","SCALING_FORMAT=MLN","Sort=A","Dates=H","DateFormat=P","Fill=—","Direction=H","UseDPDF=Y")</f>
        <v>-4.53</v>
      </c>
      <c r="V20" s="13">
        <f>_xll.BDH("ITCI US Equity","ARD_INT_INCOME","FQ3 2023","FQ3 2023","Currency=USD","Period=FQ","BEST_FPERIOD_OVERRIDE=FQ","FILING_STATUS=MR","SCALING_FORMAT=MLN","Sort=A","Dates=H","DateFormat=P","Fill=—","Direction=H","UseDPDF=Y")</f>
        <v>-5.4980000000000002</v>
      </c>
      <c r="W20" s="13">
        <f>_xll.BDH("ITCI US Equity","ARD_INT_INCOME","FQ4 2023","FQ4 2023","Currency=USD","Period=FQ","BEST_FPERIOD_OVERRIDE=FQ","FILING_STATUS=MR","SCALING_FORMAT=MLN","Sort=A","Dates=H","DateFormat=P","Fill=—","Direction=H","UseDPDF=Y")</f>
        <v>-5.9660000000000002</v>
      </c>
      <c r="X20" s="13">
        <f>_xll.BDH("ITCI US Equity","ARD_INT_INCOME","FQ1 2024","FQ1 2024","Currency=USD","Period=FQ","BEST_FPERIOD_OVERRIDE=FQ","FILING_STATUS=MR","SCALING_FORMAT=MLN","Sort=A","Dates=H","DateFormat=P","Fill=—","Direction=H","UseDPDF=Y")</f>
        <v>-6.0640000000000001</v>
      </c>
      <c r="Y20" s="13">
        <f>_xll.BDH("ITCI US Equity","ARD_INT_INCOME","FQ2 2024","FQ2 2024","Currency=USD","Period=FQ","BEST_FPERIOD_OVERRIDE=FQ","FILING_STATUS=MR","SCALING_FORMAT=MLN","Sort=A","Dates=H","DateFormat=P","Fill=—","Direction=H","UseDPDF=Y")</f>
        <v>-11.56</v>
      </c>
      <c r="Z20" s="13">
        <f>_xll.BDH("ITCI US Equity","ARD_INT_INCOME","FQ3 2024","FQ3 2024","Currency=USD","Period=FQ","BEST_FPERIOD_OVERRIDE=FQ","FILING_STATUS=MR","SCALING_FORMAT=MLN","Sort=A","Dates=H","DateFormat=P","Fill=—","Direction=H","UseDPDF=Y")</f>
        <v>-12.898999999999999</v>
      </c>
      <c r="AA20" s="13">
        <f>_xll.BDH("ITCI US Equity","ARD_INT_INCOME","FQ4 2024","FQ4 2024","Currency=USD","Period=FQ","BEST_FPERIOD_OVERRIDE=FQ","FILING_STATUS=MR","SCALING_FORMAT=MLN","Sort=A","Dates=H","DateFormat=P","Fill=—","Direction=H","UseDPDF=Y")</f>
        <v>-11.994999999999999</v>
      </c>
    </row>
    <row r="21" spans="1:27" x14ac:dyDescent="0.25">
      <c r="A21" s="10" t="s">
        <v>403</v>
      </c>
      <c r="B21" s="10" t="s">
        <v>404</v>
      </c>
      <c r="C21" s="13">
        <f>_xll.BDH("ITCI US Equity","ARD_INCOME_TAX_EXP_BENEFIT","FQ4 2018","FQ4 2018","Currency=USD","Period=FQ","BEST_FPERIOD_OVERRIDE=FQ","FILING_STATUS=MR","SCALING_FORMAT=MLN","Sort=A","Dates=H","DateFormat=P","Fill=—","Direction=H","UseDPDF=Y")</f>
        <v>0</v>
      </c>
      <c r="D21" s="13" t="str">
        <f>_xll.BDH("ITCI US Equity","ARD_INCOME_TAX_EXP_BENEFIT","FQ1 2019","FQ1 2019","Currency=USD","Period=FQ","BEST_FPERIOD_OVERRIDE=FQ","FILING_STATUS=MR","SCALING_FORMAT=MLN","Sort=A","Dates=H","DateFormat=P","Fill=—","Direction=H","UseDPDF=Y")</f>
        <v>—</v>
      </c>
      <c r="E21" s="13">
        <f>_xll.BDH("ITCI US Equity","ARD_INCOME_TAX_EXP_BENEFIT","FQ2 2019","FQ2 2019","Currency=USD","Period=FQ","BEST_FPERIOD_OVERRIDE=FQ","FILING_STATUS=MR","SCALING_FORMAT=MLN","Sort=A","Dates=H","DateFormat=P","Fill=—","Direction=H","UseDPDF=Y")</f>
        <v>1.6000000000000001E-3</v>
      </c>
      <c r="F21" s="13">
        <f>_xll.BDH("ITCI US Equity","ARD_INCOME_TAX_EXP_BENEFIT","FQ3 2019","FQ3 2019","Currency=USD","Period=FQ","BEST_FPERIOD_OVERRIDE=FQ","FILING_STATUS=MR","SCALING_FORMAT=MLN","Sort=A","Dates=H","DateFormat=P","Fill=—","Direction=H","UseDPDF=Y")</f>
        <v>0</v>
      </c>
      <c r="G21" s="13">
        <f>_xll.BDH("ITCI US Equity","ARD_INCOME_TAX_EXP_BENEFIT","FQ4 2019","FQ4 2019","Currency=USD","Period=FQ","BEST_FPERIOD_OVERRIDE=FQ","FILING_STATUS=MR","SCALING_FORMAT=MLN","Sort=A","Dates=H","DateFormat=P","Fill=—","Direction=H","UseDPDF=Y")</f>
        <v>0</v>
      </c>
      <c r="H21" s="13">
        <f>_xll.BDH("ITCI US Equity","ARD_INCOME_TAX_EXP_BENEFIT","FQ1 2020","FQ1 2020","Currency=USD","Period=FQ","BEST_FPERIOD_OVERRIDE=FQ","FILING_STATUS=MR","SCALING_FORMAT=MLN","Sort=A","Dates=H","DateFormat=P","Fill=—","Direction=H","UseDPDF=Y")</f>
        <v>3.3E-3</v>
      </c>
      <c r="I21" s="13">
        <f>_xll.BDH("ITCI US Equity","ARD_INCOME_TAX_EXP_BENEFIT","FQ2 2020","FQ2 2020","Currency=USD","Period=FQ","BEST_FPERIOD_OVERRIDE=FQ","FILING_STATUS=MR","SCALING_FORMAT=MLN","Sort=A","Dates=H","DateFormat=P","Fill=—","Direction=H","UseDPDF=Y")</f>
        <v>0</v>
      </c>
      <c r="J21" s="13">
        <f>_xll.BDH("ITCI US Equity","ARD_INCOME_TAX_EXP_BENEFIT","FQ3 2020","FQ3 2020","Currency=USD","Period=FQ","BEST_FPERIOD_OVERRIDE=FQ","FILING_STATUS=MR","SCALING_FORMAT=MLN","Sort=A","Dates=H","DateFormat=P","Fill=—","Direction=H","UseDPDF=Y")</f>
        <v>0</v>
      </c>
      <c r="K21" s="13">
        <f>_xll.BDH("ITCI US Equity","ARD_INCOME_TAX_EXP_BENEFIT","FQ4 2020","FQ4 2020","Currency=USD","Period=FQ","BEST_FPERIOD_OVERRIDE=FQ","FILING_STATUS=MR","SCALING_FORMAT=MLN","Sort=A","Dates=H","DateFormat=P","Fill=—","Direction=H","UseDPDF=Y")</f>
        <v>1.0200000000000001E-2</v>
      </c>
      <c r="L21" s="13">
        <f>_xll.BDH("ITCI US Equity","ARD_INCOME_TAX_EXP_BENEFIT","FQ1 2021","FQ1 2021","Currency=USD","Period=FQ","BEST_FPERIOD_OVERRIDE=FQ","FILING_STATUS=MR","SCALING_FORMAT=MLN","Sort=A","Dates=H","DateFormat=P","Fill=—","Direction=H","UseDPDF=Y")</f>
        <v>5.0000000000000001E-3</v>
      </c>
      <c r="M21" s="13">
        <f>_xll.BDH("ITCI US Equity","ARD_INCOME_TAX_EXP_BENEFIT","FQ2 2021","FQ2 2021","Currency=USD","Period=FQ","BEST_FPERIOD_OVERRIDE=FQ","FILING_STATUS=MR","SCALING_FORMAT=MLN","Sort=A","Dates=H","DateFormat=P","Fill=—","Direction=H","UseDPDF=Y")</f>
        <v>2.3800000000000002E-2</v>
      </c>
      <c r="N21" s="13">
        <f>_xll.BDH("ITCI US Equity","ARD_INCOME_TAX_EXP_BENEFIT","FQ3 2021","FQ3 2021","Currency=USD","Period=FQ","BEST_FPERIOD_OVERRIDE=FQ","FILING_STATUS=MR","SCALING_FORMAT=MLN","Sort=A","Dates=H","DateFormat=P","Fill=—","Direction=H","UseDPDF=Y")</f>
        <v>-2.3099999999999999E-2</v>
      </c>
      <c r="O21" s="13">
        <f>_xll.BDH("ITCI US Equity","ARD_INCOME_TAX_EXP_BENEFIT","FQ4 2021","FQ4 2021","Currency=USD","Period=FQ","BEST_FPERIOD_OVERRIDE=FQ","FILING_STATUS=MR","SCALING_FORMAT=MLN","Sort=A","Dates=H","DateFormat=P","Fill=—","Direction=H","UseDPDF=Y")</f>
        <v>0</v>
      </c>
      <c r="P21" s="13">
        <f>_xll.BDH("ITCI US Equity","ARD_INCOME_TAX_EXP_BENEFIT","FQ1 2022","FQ1 2022","Currency=USD","Period=FQ","BEST_FPERIOD_OVERRIDE=FQ","FILING_STATUS=MR","SCALING_FORMAT=MLN","Sort=A","Dates=H","DateFormat=P","Fill=—","Direction=H","UseDPDF=Y")</f>
        <v>5.0000000000000001E-3</v>
      </c>
      <c r="Q21" s="13">
        <f>_xll.BDH("ITCI US Equity","ARD_INCOME_TAX_EXP_BENEFIT","FQ2 2022","FQ2 2022","Currency=USD","Period=FQ","BEST_FPERIOD_OVERRIDE=FQ","FILING_STATUS=MR","SCALING_FORMAT=MLN","Sort=A","Dates=H","DateFormat=P","Fill=—","Direction=H","UseDPDF=Y")</f>
        <v>0</v>
      </c>
      <c r="R21" s="13">
        <f>_xll.BDH("ITCI US Equity","ARD_INCOME_TAX_EXP_BENEFIT","FQ3 2022","FQ3 2022","Currency=USD","Period=FQ","BEST_FPERIOD_OVERRIDE=FQ","FILING_STATUS=MR","SCALING_FORMAT=MLN","Sort=A","Dates=H","DateFormat=P","Fill=—","Direction=H","UseDPDF=Y")</f>
        <v>1E-3</v>
      </c>
      <c r="S21" s="13">
        <f>_xll.BDH("ITCI US Equity","ARD_INCOME_TAX_EXP_BENEFIT","FQ4 2022","FQ4 2022","Currency=USD","Period=FQ","BEST_FPERIOD_OVERRIDE=FQ","FILING_STATUS=MR","SCALING_FORMAT=MLN","Sort=A","Dates=H","DateFormat=P","Fill=—","Direction=H","UseDPDF=Y")</f>
        <v>0</v>
      </c>
      <c r="T21" s="13">
        <f>_xll.BDH("ITCI US Equity","ARD_INCOME_TAX_EXP_BENEFIT","FQ1 2023","FQ1 2023","Currency=USD","Period=FQ","BEST_FPERIOD_OVERRIDE=FQ","FILING_STATUS=MR","SCALING_FORMAT=MLN","Sort=A","Dates=H","DateFormat=P","Fill=—","Direction=H","UseDPDF=Y")</f>
        <v>0.01</v>
      </c>
      <c r="U21" s="13">
        <f>_xll.BDH("ITCI US Equity","ARD_INCOME_TAX_EXP_BENEFIT","FQ2 2023","FQ2 2023","Currency=USD","Period=FQ","BEST_FPERIOD_OVERRIDE=FQ","FILING_STATUS=MR","SCALING_FORMAT=MLN","Sort=A","Dates=H","DateFormat=P","Fill=—","Direction=H","UseDPDF=Y")</f>
        <v>0.13500000000000001</v>
      </c>
      <c r="V21" s="13">
        <f>_xll.BDH("ITCI US Equity","ARD_INCOME_TAX_EXP_BENEFIT","FQ3 2023","FQ3 2023","Currency=USD","Period=FQ","BEST_FPERIOD_OVERRIDE=FQ","FILING_STATUS=MR","SCALING_FORMAT=MLN","Sort=A","Dates=H","DateFormat=P","Fill=—","Direction=H","UseDPDF=Y")</f>
        <v>4.2999999999999997E-2</v>
      </c>
      <c r="W21" s="13">
        <f>_xll.BDH("ITCI US Equity","ARD_INCOME_TAX_EXP_BENEFIT","FQ4 2023","FQ4 2023","Currency=USD","Period=FQ","BEST_FPERIOD_OVERRIDE=FQ","FILING_STATUS=MR","SCALING_FORMAT=MLN","Sort=A","Dates=H","DateFormat=P","Fill=—","Direction=H","UseDPDF=Y")</f>
        <v>0.44800000000000001</v>
      </c>
      <c r="X21" s="13">
        <f>_xll.BDH("ITCI US Equity","ARD_INCOME_TAX_EXP_BENEFIT","FQ1 2024","FQ1 2024","Currency=USD","Period=FQ","BEST_FPERIOD_OVERRIDE=FQ","FILING_STATUS=MR","SCALING_FORMAT=MLN","Sort=A","Dates=H","DateFormat=P","Fill=—","Direction=H","UseDPDF=Y")</f>
        <v>0.35899999999999999</v>
      </c>
      <c r="Y21" s="13">
        <f>_xll.BDH("ITCI US Equity","ARD_INCOME_TAX_EXP_BENEFIT","FQ2 2024","FQ2 2024","Currency=USD","Period=FQ","BEST_FPERIOD_OVERRIDE=FQ","FILING_STATUS=MR","SCALING_FORMAT=MLN","Sort=A","Dates=H","DateFormat=P","Fill=—","Direction=H","UseDPDF=Y")</f>
        <v>5.7000000000000002E-2</v>
      </c>
      <c r="Z21" s="13">
        <f>_xll.BDH("ITCI US Equity","ARD_INCOME_TAX_EXP_BENEFIT","FQ3 2024","FQ3 2024","Currency=USD","Period=FQ","BEST_FPERIOD_OVERRIDE=FQ","FILING_STATUS=MR","SCALING_FORMAT=MLN","Sort=A","Dates=H","DateFormat=P","Fill=—","Direction=H","UseDPDF=Y")</f>
        <v>0.374</v>
      </c>
      <c r="AA21" s="13">
        <f>_xll.BDH("ITCI US Equity","ARD_INCOME_TAX_EXP_BENEFIT","FQ4 2024","FQ4 2024","Currency=USD","Period=FQ","BEST_FPERIOD_OVERRIDE=FQ","FILING_STATUS=MR","SCALING_FORMAT=MLN","Sort=A","Dates=H","DateFormat=P","Fill=—","Direction=H","UseDPDF=Y")</f>
        <v>-0.317</v>
      </c>
    </row>
    <row r="22" spans="1:27" x14ac:dyDescent="0.25">
      <c r="A22" s="10" t="s">
        <v>405</v>
      </c>
      <c r="B22" s="10" t="s">
        <v>406</v>
      </c>
      <c r="C22" s="13" t="str">
        <f>_xll.BDH("ITCI US Equity","ARD_INCOME_BEFORE_INCOME_TAXES","FQ4 2018","FQ4 2018","Currency=USD","Period=FQ","BEST_FPERIOD_OVERRIDE=FQ","FILING_STATUS=MR","SCALING_FORMAT=MLN","Sort=A","Dates=H","DateFormat=P","Fill=—","Direction=H","UseDPDF=Y")</f>
        <v>—</v>
      </c>
      <c r="D22" s="13">
        <f>_xll.BDH("ITCI US Equity","ARD_INCOME_BEFORE_INCOME_TAXES","FQ1 2019","FQ1 2019","Currency=USD","Period=FQ","BEST_FPERIOD_OVERRIDE=FQ","FILING_STATUS=MR","SCALING_FORMAT=MLN","Sort=A","Dates=H","DateFormat=P","Fill=—","Direction=H","UseDPDF=Y")</f>
        <v>-34.835799999999999</v>
      </c>
      <c r="E22" s="13">
        <f>_xll.BDH("ITCI US Equity","ARD_INCOME_BEFORE_INCOME_TAXES","FQ2 2019","FQ2 2019","Currency=USD","Period=FQ","BEST_FPERIOD_OVERRIDE=FQ","FILING_STATUS=MR","SCALING_FORMAT=MLN","Sort=A","Dates=H","DateFormat=P","Fill=—","Direction=H","UseDPDF=Y")</f>
        <v>-37.439599999999999</v>
      </c>
      <c r="F22" s="13">
        <f>_xll.BDH("ITCI US Equity","ARD_INCOME_BEFORE_INCOME_TAXES","FQ3 2019","FQ3 2019","Currency=USD","Period=FQ","BEST_FPERIOD_OVERRIDE=FQ","FILING_STATUS=MR","SCALING_FORMAT=MLN","Sort=A","Dates=H","DateFormat=P","Fill=—","Direction=H","UseDPDF=Y")</f>
        <v>-34.862400000000001</v>
      </c>
      <c r="G22" s="13" t="str">
        <f>_xll.BDH("ITCI US Equity","ARD_INCOME_BEFORE_INCOME_TAXES","FQ4 2019","FQ4 2019","Currency=USD","Period=FQ","BEST_FPERIOD_OVERRIDE=FQ","FILING_STATUS=MR","SCALING_FORMAT=MLN","Sort=A","Dates=H","DateFormat=P","Fill=—","Direction=H","UseDPDF=Y")</f>
        <v>—</v>
      </c>
      <c r="H22" s="13">
        <f>_xll.BDH("ITCI US Equity","ARD_INCOME_BEFORE_INCOME_TAXES","FQ1 2020","FQ1 2020","Currency=USD","Period=FQ","BEST_FPERIOD_OVERRIDE=FQ","FILING_STATUS=MR","SCALING_FORMAT=MLN","Sort=A","Dates=H","DateFormat=P","Fill=—","Direction=H","UseDPDF=Y")</f>
        <v>-47.407299999999999</v>
      </c>
      <c r="I22" s="13">
        <f>_xll.BDH("ITCI US Equity","ARD_INCOME_BEFORE_INCOME_TAXES","FQ2 2020","FQ2 2020","Currency=USD","Period=FQ","BEST_FPERIOD_OVERRIDE=FQ","FILING_STATUS=MR","SCALING_FORMAT=MLN","Sort=A","Dates=H","DateFormat=P","Fill=—","Direction=H","UseDPDF=Y")</f>
        <v>-63.712299999999999</v>
      </c>
      <c r="J22" s="13">
        <f>_xll.BDH("ITCI US Equity","ARD_INCOME_BEFORE_INCOME_TAXES","FQ3 2020","FQ3 2020","Currency=USD","Period=FQ","BEST_FPERIOD_OVERRIDE=FQ","FILING_STATUS=MR","SCALING_FORMAT=MLN","Sort=A","Dates=H","DateFormat=P","Fill=—","Direction=H","UseDPDF=Y")</f>
        <v>-55.183599999999998</v>
      </c>
      <c r="K22" s="13">
        <f>_xll.BDH("ITCI US Equity","ARD_INCOME_BEFORE_INCOME_TAXES","FQ4 2020","FQ4 2020","Currency=USD","Period=FQ","BEST_FPERIOD_OVERRIDE=FQ","FILING_STATUS=MR","SCALING_FORMAT=MLN","Sort=A","Dates=H","DateFormat=P","Fill=—","Direction=H","UseDPDF=Y")</f>
        <v>-60.688899999999997</v>
      </c>
      <c r="L22" s="13">
        <f>_xll.BDH("ITCI US Equity","ARD_INCOME_BEFORE_INCOME_TAXES","FQ1 2021","FQ1 2021","Currency=USD","Period=FQ","BEST_FPERIOD_OVERRIDE=FQ","FILING_STATUS=MR","SCALING_FORMAT=MLN","Sort=A","Dates=H","DateFormat=P","Fill=—","Direction=H","UseDPDF=Y")</f>
        <v>-52.734900000000003</v>
      </c>
      <c r="M22" s="13">
        <f>_xll.BDH("ITCI US Equity","ARD_INCOME_BEFORE_INCOME_TAXES","FQ2 2021","FQ2 2021","Currency=USD","Period=FQ","BEST_FPERIOD_OVERRIDE=FQ","FILING_STATUS=MR","SCALING_FORMAT=MLN","Sort=A","Dates=H","DateFormat=P","Fill=—","Direction=H","UseDPDF=Y")</f>
        <v>-68.72</v>
      </c>
      <c r="N22" s="13">
        <f>_xll.BDH("ITCI US Equity","ARD_INCOME_BEFORE_INCOME_TAXES","FQ3 2021","FQ3 2021","Currency=USD","Period=FQ","BEST_FPERIOD_OVERRIDE=FQ","FILING_STATUS=MR","SCALING_FORMAT=MLN","Sort=A","Dates=H","DateFormat=P","Fill=—","Direction=H","UseDPDF=Y")</f>
        <v>-76.931100000000001</v>
      </c>
      <c r="O22" s="13">
        <f>_xll.BDH("ITCI US Equity","ARD_INCOME_BEFORE_INCOME_TAXES","FQ4 2021","FQ4 2021","Currency=USD","Period=FQ","BEST_FPERIOD_OVERRIDE=FQ","FILING_STATUS=MR","SCALING_FORMAT=MLN","Sort=A","Dates=H","DateFormat=P","Fill=—","Direction=H","UseDPDF=Y")</f>
        <v>-85.733900000000006</v>
      </c>
      <c r="P22" s="13">
        <f>_xll.BDH("ITCI US Equity","ARD_INCOME_BEFORE_INCOME_TAXES","FQ1 2022","FQ1 2022","Currency=USD","Period=FQ","BEST_FPERIOD_OVERRIDE=FQ","FILING_STATUS=MR","SCALING_FORMAT=MLN","Sort=A","Dates=H","DateFormat=P","Fill=—","Direction=H","UseDPDF=Y")</f>
        <v>-72.114000000000004</v>
      </c>
      <c r="Q22" s="13">
        <f>_xll.BDH("ITCI US Equity","ARD_INCOME_BEFORE_INCOME_TAXES","FQ2 2022","FQ2 2022","Currency=USD","Period=FQ","BEST_FPERIOD_OVERRIDE=FQ","FILING_STATUS=MR","SCALING_FORMAT=MLN","Sort=A","Dates=H","DateFormat=P","Fill=—","Direction=H","UseDPDF=Y")</f>
        <v>-86.602999999999994</v>
      </c>
      <c r="R22" s="13">
        <f>_xll.BDH("ITCI US Equity","ARD_INCOME_BEFORE_INCOME_TAXES","FQ3 2022","FQ3 2022","Currency=USD","Period=FQ","BEST_FPERIOD_OVERRIDE=FQ","FILING_STATUS=MR","SCALING_FORMAT=MLN","Sort=A","Dates=H","DateFormat=P","Fill=—","Direction=H","UseDPDF=Y")</f>
        <v>-53.506999999999998</v>
      </c>
      <c r="S22" s="13">
        <f>_xll.BDH("ITCI US Equity","ARD_INCOME_BEFORE_INCOME_TAXES","FQ4 2022","FQ4 2022","Currency=USD","Period=FQ","BEST_FPERIOD_OVERRIDE=FQ","FILING_STATUS=MR","SCALING_FORMAT=MLN","Sort=A","Dates=H","DateFormat=P","Fill=—","Direction=H","UseDPDF=Y")</f>
        <v>-44.026000000000003</v>
      </c>
      <c r="T22" s="13">
        <f>_xll.BDH("ITCI US Equity","ARD_INCOME_BEFORE_INCOME_TAXES","FQ1 2023","FQ1 2023","Currency=USD","Period=FQ","BEST_FPERIOD_OVERRIDE=FQ","FILING_STATUS=MR","SCALING_FORMAT=MLN","Sort=A","Dates=H","DateFormat=P","Fill=—","Direction=H","UseDPDF=Y")</f>
        <v>-44.042999999999999</v>
      </c>
      <c r="U22" s="13">
        <f>_xll.BDH("ITCI US Equity","ARD_INCOME_BEFORE_INCOME_TAXES","FQ2 2023","FQ2 2023","Currency=USD","Period=FQ","BEST_FPERIOD_OVERRIDE=FQ","FILING_STATUS=MR","SCALING_FORMAT=MLN","Sort=A","Dates=H","DateFormat=P","Fill=—","Direction=H","UseDPDF=Y")</f>
        <v>-42.649000000000001</v>
      </c>
      <c r="V22" s="13">
        <f>_xll.BDH("ITCI US Equity","ARD_INCOME_BEFORE_INCOME_TAXES","FQ3 2023","FQ3 2023","Currency=USD","Period=FQ","BEST_FPERIOD_OVERRIDE=FQ","FILING_STATUS=MR","SCALING_FORMAT=MLN","Sort=A","Dates=H","DateFormat=P","Fill=—","Direction=H","UseDPDF=Y")</f>
        <v>-24.215</v>
      </c>
      <c r="W22" s="13">
        <f>_xll.BDH("ITCI US Equity","ARD_INCOME_BEFORE_INCOME_TAXES","FQ4 2023","FQ4 2023","Currency=USD","Period=FQ","BEST_FPERIOD_OVERRIDE=FQ","FILING_STATUS=MR","SCALING_FORMAT=MLN","Sort=A","Dates=H","DateFormat=P","Fill=—","Direction=H","UseDPDF=Y")</f>
        <v>-28.131</v>
      </c>
      <c r="X22" s="13">
        <f>_xll.BDH("ITCI US Equity","ARD_INCOME_BEFORE_INCOME_TAXES","FQ1 2024","FQ1 2024","Currency=USD","Period=FQ","BEST_FPERIOD_OVERRIDE=FQ","FILING_STATUS=MR","SCALING_FORMAT=MLN","Sort=A","Dates=H","DateFormat=P","Fill=—","Direction=H","UseDPDF=Y")</f>
        <v>-14.888</v>
      </c>
      <c r="Y22" s="13">
        <f>_xll.BDH("ITCI US Equity","ARD_INCOME_BEFORE_INCOME_TAXES","FQ2 2024","FQ2 2024","Currency=USD","Period=FQ","BEST_FPERIOD_OVERRIDE=FQ","FILING_STATUS=MR","SCALING_FORMAT=MLN","Sort=A","Dates=H","DateFormat=P","Fill=—","Direction=H","UseDPDF=Y")</f>
        <v>-16.163</v>
      </c>
      <c r="Z22" s="13">
        <f>_xll.BDH("ITCI US Equity","ARD_INCOME_BEFORE_INCOME_TAXES","FQ3 2024","FQ3 2024","Currency=USD","Period=FQ","BEST_FPERIOD_OVERRIDE=FQ","FILING_STATUS=MR","SCALING_FORMAT=MLN","Sort=A","Dates=H","DateFormat=P","Fill=—","Direction=H","UseDPDF=Y")</f>
        <v>-25.95</v>
      </c>
      <c r="AA22" s="13">
        <f>_xll.BDH("ITCI US Equity","ARD_INCOME_BEFORE_INCOME_TAXES","FQ4 2024","FQ4 2024","Currency=USD","Period=FQ","BEST_FPERIOD_OVERRIDE=FQ","FILING_STATUS=MR","SCALING_FORMAT=MLN","Sort=A","Dates=H","DateFormat=P","Fill=—","Direction=H","UseDPDF=Y")</f>
        <v>-17.202000000000002</v>
      </c>
    </row>
    <row r="23" spans="1:27" x14ac:dyDescent="0.25">
      <c r="A23" s="10" t="s">
        <v>407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5">
      <c r="A24" s="10" t="s">
        <v>408</v>
      </c>
      <c r="B24" s="10" t="s">
        <v>409</v>
      </c>
      <c r="C24" s="14" t="str">
        <f>_xll.BDH("ITCI US Equity","ARD_BASIC_EPS","FQ4 2018","FQ4 2018","Currency=USD","Period=FQ","BEST_FPERIOD_OVERRIDE=FQ","FILING_STATUS=MR","Sort=A","Dates=H","DateFormat=P","Fill=—","Direction=H","UseDPDF=Y")</f>
        <v>—</v>
      </c>
      <c r="D24" s="14" t="str">
        <f>_xll.BDH("ITCI US Equity","ARD_BASIC_EPS","FQ1 2019","FQ1 2019","Currency=USD","Period=FQ","BEST_FPERIOD_OVERRIDE=FQ","FILING_STATUS=MR","Sort=A","Dates=H","DateFormat=P","Fill=—","Direction=H","UseDPDF=Y")</f>
        <v>—</v>
      </c>
      <c r="E24" s="14" t="str">
        <f>_xll.BDH("ITCI US Equity","ARD_BASIC_EPS","FQ2 2019","FQ2 2019","Currency=USD","Period=FQ","BEST_FPERIOD_OVERRIDE=FQ","FILING_STATUS=MR","Sort=A","Dates=H","DateFormat=P","Fill=—","Direction=H","UseDPDF=Y")</f>
        <v>—</v>
      </c>
      <c r="F24" s="14" t="str">
        <f>_xll.BDH("ITCI US Equity","ARD_BASIC_EPS","FQ3 2019","FQ3 2019","Currency=USD","Period=FQ","BEST_FPERIOD_OVERRIDE=FQ","FILING_STATUS=MR","Sort=A","Dates=H","DateFormat=P","Fill=—","Direction=H","UseDPDF=Y")</f>
        <v>—</v>
      </c>
      <c r="G24" s="14" t="str">
        <f>_xll.BDH("ITCI US Equity","ARD_BASIC_EPS","FQ4 2019","FQ4 2019","Currency=USD","Period=FQ","BEST_FPERIOD_OVERRIDE=FQ","FILING_STATUS=MR","Sort=A","Dates=H","DateFormat=P","Fill=—","Direction=H","UseDPDF=Y")</f>
        <v>—</v>
      </c>
      <c r="H24" s="14" t="str">
        <f>_xll.BDH("ITCI US Equity","ARD_BASIC_EPS","FQ1 2020","FQ1 2020","Currency=USD","Period=FQ","BEST_FPERIOD_OVERRIDE=FQ","FILING_STATUS=MR","Sort=A","Dates=H","DateFormat=P","Fill=—","Direction=H","UseDPDF=Y")</f>
        <v>—</v>
      </c>
      <c r="I24" s="14" t="str">
        <f>_xll.BDH("ITCI US Equity","ARD_BASIC_EPS","FQ2 2020","FQ2 2020","Currency=USD","Period=FQ","BEST_FPERIOD_OVERRIDE=FQ","FILING_STATUS=MR","Sort=A","Dates=H","DateFormat=P","Fill=—","Direction=H","UseDPDF=Y")</f>
        <v>—</v>
      </c>
      <c r="J24" s="14" t="str">
        <f>_xll.BDH("ITCI US Equity","ARD_BASIC_EPS","FQ3 2020","FQ3 2020","Currency=USD","Period=FQ","BEST_FPERIOD_OVERRIDE=FQ","FILING_STATUS=MR","Sort=A","Dates=H","DateFormat=P","Fill=—","Direction=H","UseDPDF=Y")</f>
        <v>—</v>
      </c>
      <c r="K24" s="14" t="str">
        <f>_xll.BDH("ITCI US Equity","ARD_BASIC_EPS","FQ4 2020","FQ4 2020","Currency=USD","Period=FQ","BEST_FPERIOD_OVERRIDE=FQ","FILING_STATUS=MR","Sort=A","Dates=H","DateFormat=P","Fill=—","Direction=H","UseDPDF=Y")</f>
        <v>—</v>
      </c>
      <c r="L24" s="14" t="str">
        <f>_xll.BDH("ITCI US Equity","ARD_BASIC_EPS","FQ1 2021","FQ1 2021","Currency=USD","Period=FQ","BEST_FPERIOD_OVERRIDE=FQ","FILING_STATUS=MR","Sort=A","Dates=H","DateFormat=P","Fill=—","Direction=H","UseDPDF=Y")</f>
        <v>—</v>
      </c>
      <c r="M24" s="14" t="str">
        <f>_xll.BDH("ITCI US Equity","ARD_BASIC_EPS","FQ2 2021","FQ2 2021","Currency=USD","Period=FQ","BEST_FPERIOD_OVERRIDE=FQ","FILING_STATUS=MR","Sort=A","Dates=H","DateFormat=P","Fill=—","Direction=H","UseDPDF=Y")</f>
        <v>—</v>
      </c>
      <c r="N24" s="14" t="str">
        <f>_xll.BDH("ITCI US Equity","ARD_BASIC_EPS","FQ3 2021","FQ3 2021","Currency=USD","Period=FQ","BEST_FPERIOD_OVERRIDE=FQ","FILING_STATUS=MR","Sort=A","Dates=H","DateFormat=P","Fill=—","Direction=H","UseDPDF=Y")</f>
        <v>—</v>
      </c>
      <c r="O24" s="14" t="str">
        <f>_xll.BDH("ITCI US Equity","ARD_BASIC_EPS","FQ4 2021","FQ4 2021","Currency=USD","Period=FQ","BEST_FPERIOD_OVERRIDE=FQ","FILING_STATUS=MR","Sort=A","Dates=H","DateFormat=P","Fill=—","Direction=H","UseDPDF=Y")</f>
        <v>—</v>
      </c>
      <c r="P24" s="14" t="str">
        <f>_xll.BDH("ITCI US Equity","ARD_BASIC_EPS","FQ1 2022","FQ1 2022","Currency=USD","Period=FQ","BEST_FPERIOD_OVERRIDE=FQ","FILING_STATUS=MR","Sort=A","Dates=H","DateFormat=P","Fill=—","Direction=H","UseDPDF=Y")</f>
        <v>—</v>
      </c>
      <c r="Q24" s="14" t="str">
        <f>_xll.BDH("ITCI US Equity","ARD_BASIC_EPS","FQ2 2022","FQ2 2022","Currency=USD","Period=FQ","BEST_FPERIOD_OVERRIDE=FQ","FILING_STATUS=MR","Sort=A","Dates=H","DateFormat=P","Fill=—","Direction=H","UseDPDF=Y")</f>
        <v>—</v>
      </c>
      <c r="R24" s="14" t="str">
        <f>_xll.BDH("ITCI US Equity","ARD_BASIC_EPS","FQ3 2022","FQ3 2022","Currency=USD","Period=FQ","BEST_FPERIOD_OVERRIDE=FQ","FILING_STATUS=MR","Sort=A","Dates=H","DateFormat=P","Fill=—","Direction=H","UseDPDF=Y")</f>
        <v>—</v>
      </c>
      <c r="S24" s="14" t="str">
        <f>_xll.BDH("ITCI US Equity","ARD_BASIC_EPS","FQ4 2022","FQ4 2022","Currency=USD","Period=FQ","BEST_FPERIOD_OVERRIDE=FQ","FILING_STATUS=MR","Sort=A","Dates=H","DateFormat=P","Fill=—","Direction=H","UseDPDF=Y")</f>
        <v>—</v>
      </c>
      <c r="T24" s="14" t="str">
        <f>_xll.BDH("ITCI US Equity","ARD_BASIC_EPS","FQ1 2023","FQ1 2023","Currency=USD","Period=FQ","BEST_FPERIOD_OVERRIDE=FQ","FILING_STATUS=MR","Sort=A","Dates=H","DateFormat=P","Fill=—","Direction=H","UseDPDF=Y")</f>
        <v>—</v>
      </c>
      <c r="U24" s="14" t="str">
        <f>_xll.BDH("ITCI US Equity","ARD_BASIC_EPS","FQ2 2023","FQ2 2023","Currency=USD","Period=FQ","BEST_FPERIOD_OVERRIDE=FQ","FILING_STATUS=MR","Sort=A","Dates=H","DateFormat=P","Fill=—","Direction=H","UseDPDF=Y")</f>
        <v>—</v>
      </c>
      <c r="V24" s="14" t="str">
        <f>_xll.BDH("ITCI US Equity","ARD_BASIC_EPS","FQ3 2023","FQ3 2023","Currency=USD","Period=FQ","BEST_FPERIOD_OVERRIDE=FQ","FILING_STATUS=MR","Sort=A","Dates=H","DateFormat=P","Fill=—","Direction=H","UseDPDF=Y")</f>
        <v>—</v>
      </c>
      <c r="W24" s="14">
        <f>_xll.BDH("ITCI US Equity","ARD_BASIC_EPS","FQ4 2023","FQ4 2023","Currency=USD","Period=FQ","BEST_FPERIOD_OVERRIDE=FQ","FILING_STATUS=MR","Sort=A","Dates=H","DateFormat=P","Fill=—","Direction=H","UseDPDF=Y")</f>
        <v>-0.3</v>
      </c>
      <c r="X24" s="14">
        <f>_xll.BDH("ITCI US Equity","ARD_BASIC_EPS","FQ1 2024","FQ1 2024","Currency=USD","Period=FQ","BEST_FPERIOD_OVERRIDE=FQ","FILING_STATUS=MR","Sort=A","Dates=H","DateFormat=P","Fill=—","Direction=H","UseDPDF=Y")</f>
        <v>-0.16</v>
      </c>
      <c r="Y24" s="14" t="str">
        <f>_xll.BDH("ITCI US Equity","ARD_BASIC_EPS","FQ2 2024","FQ2 2024","Currency=USD","Period=FQ","BEST_FPERIOD_OVERRIDE=FQ","FILING_STATUS=MR","Sort=A","Dates=H","DateFormat=P","Fill=—","Direction=H","UseDPDF=Y")</f>
        <v>—</v>
      </c>
      <c r="Z24" s="14" t="str">
        <f>_xll.BDH("ITCI US Equity","ARD_BASIC_EPS","FQ3 2024","FQ3 2024","Currency=USD","Period=FQ","BEST_FPERIOD_OVERRIDE=FQ","FILING_STATUS=MR","Sort=A","Dates=H","DateFormat=P","Fill=—","Direction=H","UseDPDF=Y")</f>
        <v>—</v>
      </c>
      <c r="AA24" s="14">
        <f>_xll.BDH("ITCI US Equity","ARD_BASIC_EPS","FQ4 2024","FQ4 2024","Currency=USD","Period=FQ","BEST_FPERIOD_OVERRIDE=FQ","FILING_STATUS=MR","Sort=A","Dates=H","DateFormat=P","Fill=—","Direction=H","UseDPDF=Y")</f>
        <v>-0.16</v>
      </c>
    </row>
    <row r="25" spans="1:27" x14ac:dyDescent="0.25">
      <c r="A25" s="10" t="s">
        <v>410</v>
      </c>
      <c r="B25" s="10" t="s">
        <v>411</v>
      </c>
      <c r="C25" s="13" t="str">
        <f>_xll.BDH("ITCI US Equity","ARD_WEIGHTED_AVG_SHARES_BASIC","FQ4 2018","FQ4 2018","Currency=USD","Period=FQ","BEST_FPERIOD_OVERRIDE=FQ","FILING_STATUS=MR","Sort=A","Dates=H","DateFormat=P","Fill=—","Direction=H","UseDPDF=Y")</f>
        <v>—</v>
      </c>
      <c r="D25" s="13" t="str">
        <f>_xll.BDH("ITCI US Equity","ARD_WEIGHTED_AVG_SHARES_BASIC","FQ1 2019","FQ1 2019","Currency=USD","Period=FQ","BEST_FPERIOD_OVERRIDE=FQ","FILING_STATUS=MR","Sort=A","Dates=H","DateFormat=P","Fill=—","Direction=H","UseDPDF=Y")</f>
        <v>—</v>
      </c>
      <c r="E25" s="13" t="str">
        <f>_xll.BDH("ITCI US Equity","ARD_WEIGHTED_AVG_SHARES_BASIC","FQ2 2019","FQ2 2019","Currency=USD","Period=FQ","BEST_FPERIOD_OVERRIDE=FQ","FILING_STATUS=MR","Sort=A","Dates=H","DateFormat=P","Fill=—","Direction=H","UseDPDF=Y")</f>
        <v>—</v>
      </c>
      <c r="F25" s="13" t="str">
        <f>_xll.BDH("ITCI US Equity","ARD_WEIGHTED_AVG_SHARES_BASIC","FQ3 2019","FQ3 2019","Currency=USD","Period=FQ","BEST_FPERIOD_OVERRIDE=FQ","FILING_STATUS=MR","Sort=A","Dates=H","DateFormat=P","Fill=—","Direction=H","UseDPDF=Y")</f>
        <v>—</v>
      </c>
      <c r="G25" s="13" t="str">
        <f>_xll.BDH("ITCI US Equity","ARD_WEIGHTED_AVG_SHARES_BASIC","FQ4 2019","FQ4 2019","Currency=USD","Period=FQ","BEST_FPERIOD_OVERRIDE=FQ","FILING_STATUS=MR","Sort=A","Dates=H","DateFormat=P","Fill=—","Direction=H","UseDPDF=Y")</f>
        <v>—</v>
      </c>
      <c r="H25" s="13" t="str">
        <f>_xll.BDH("ITCI US Equity","ARD_WEIGHTED_AVG_SHARES_BASIC","FQ1 2020","FQ1 2020","Currency=USD","Period=FQ","BEST_FPERIOD_OVERRIDE=FQ","FILING_STATUS=MR","Sort=A","Dates=H","DateFormat=P","Fill=—","Direction=H","UseDPDF=Y")</f>
        <v>—</v>
      </c>
      <c r="I25" s="13" t="str">
        <f>_xll.BDH("ITCI US Equity","ARD_WEIGHTED_AVG_SHARES_BASIC","FQ2 2020","FQ2 2020","Currency=USD","Period=FQ","BEST_FPERIOD_OVERRIDE=FQ","FILING_STATUS=MR","Sort=A","Dates=H","DateFormat=P","Fill=—","Direction=H","UseDPDF=Y")</f>
        <v>—</v>
      </c>
      <c r="J25" s="13" t="str">
        <f>_xll.BDH("ITCI US Equity","ARD_WEIGHTED_AVG_SHARES_BASIC","FQ3 2020","FQ3 2020","Currency=USD","Period=FQ","BEST_FPERIOD_OVERRIDE=FQ","FILING_STATUS=MR","Sort=A","Dates=H","DateFormat=P","Fill=—","Direction=H","UseDPDF=Y")</f>
        <v>—</v>
      </c>
      <c r="K25" s="13" t="str">
        <f>_xll.BDH("ITCI US Equity","ARD_WEIGHTED_AVG_SHARES_BASIC","FQ4 2020","FQ4 2020","Currency=USD","Period=FQ","BEST_FPERIOD_OVERRIDE=FQ","FILING_STATUS=MR","Sort=A","Dates=H","DateFormat=P","Fill=—","Direction=H","UseDPDF=Y")</f>
        <v>—</v>
      </c>
      <c r="L25" s="13" t="str">
        <f>_xll.BDH("ITCI US Equity","ARD_WEIGHTED_AVG_SHARES_BASIC","FQ1 2021","FQ1 2021","Currency=USD","Period=FQ","BEST_FPERIOD_OVERRIDE=FQ","FILING_STATUS=MR","Sort=A","Dates=H","DateFormat=P","Fill=—","Direction=H","UseDPDF=Y")</f>
        <v>—</v>
      </c>
      <c r="M25" s="13" t="str">
        <f>_xll.BDH("ITCI US Equity","ARD_WEIGHTED_AVG_SHARES_BASIC","FQ2 2021","FQ2 2021","Currency=USD","Period=FQ","BEST_FPERIOD_OVERRIDE=FQ","FILING_STATUS=MR","Sort=A","Dates=H","DateFormat=P","Fill=—","Direction=H","UseDPDF=Y")</f>
        <v>—</v>
      </c>
      <c r="N25" s="13" t="str">
        <f>_xll.BDH("ITCI US Equity","ARD_WEIGHTED_AVG_SHARES_BASIC","FQ3 2021","FQ3 2021","Currency=USD","Period=FQ","BEST_FPERIOD_OVERRIDE=FQ","FILING_STATUS=MR","Sort=A","Dates=H","DateFormat=P","Fill=—","Direction=H","UseDPDF=Y")</f>
        <v>—</v>
      </c>
      <c r="O25" s="13" t="str">
        <f>_xll.BDH("ITCI US Equity","ARD_WEIGHTED_AVG_SHARES_BASIC","FQ4 2021","FQ4 2021","Currency=USD","Period=FQ","BEST_FPERIOD_OVERRIDE=FQ","FILING_STATUS=MR","Sort=A","Dates=H","DateFormat=P","Fill=—","Direction=H","UseDPDF=Y")</f>
        <v>—</v>
      </c>
      <c r="P25" s="13" t="str">
        <f>_xll.BDH("ITCI US Equity","ARD_WEIGHTED_AVG_SHARES_BASIC","FQ1 2022","FQ1 2022","Currency=USD","Period=FQ","BEST_FPERIOD_OVERRIDE=FQ","FILING_STATUS=MR","Sort=A","Dates=H","DateFormat=P","Fill=—","Direction=H","UseDPDF=Y")</f>
        <v>—</v>
      </c>
      <c r="Q25" s="13" t="str">
        <f>_xll.BDH("ITCI US Equity","ARD_WEIGHTED_AVG_SHARES_BASIC","FQ2 2022","FQ2 2022","Currency=USD","Period=FQ","BEST_FPERIOD_OVERRIDE=FQ","FILING_STATUS=MR","Sort=A","Dates=H","DateFormat=P","Fill=—","Direction=H","UseDPDF=Y")</f>
        <v>—</v>
      </c>
      <c r="R25" s="13" t="str">
        <f>_xll.BDH("ITCI US Equity","ARD_WEIGHTED_AVG_SHARES_BASIC","FQ3 2022","FQ3 2022","Currency=USD","Period=FQ","BEST_FPERIOD_OVERRIDE=FQ","FILING_STATUS=MR","Sort=A","Dates=H","DateFormat=P","Fill=—","Direction=H","UseDPDF=Y")</f>
        <v>—</v>
      </c>
      <c r="S25" s="13" t="str">
        <f>_xll.BDH("ITCI US Equity","ARD_WEIGHTED_AVG_SHARES_BASIC","FQ4 2022","FQ4 2022","Currency=USD","Period=FQ","BEST_FPERIOD_OVERRIDE=FQ","FILING_STATUS=MR","Sort=A","Dates=H","DateFormat=P","Fill=—","Direction=H","UseDPDF=Y")</f>
        <v>—</v>
      </c>
      <c r="T25" s="13" t="str">
        <f>_xll.BDH("ITCI US Equity","ARD_WEIGHTED_AVG_SHARES_BASIC","FQ1 2023","FQ1 2023","Currency=USD","Period=FQ","BEST_FPERIOD_OVERRIDE=FQ","FILING_STATUS=MR","Sort=A","Dates=H","DateFormat=P","Fill=—","Direction=H","UseDPDF=Y")</f>
        <v>—</v>
      </c>
      <c r="U25" s="13" t="str">
        <f>_xll.BDH("ITCI US Equity","ARD_WEIGHTED_AVG_SHARES_BASIC","FQ2 2023","FQ2 2023","Currency=USD","Period=FQ","BEST_FPERIOD_OVERRIDE=FQ","FILING_STATUS=MR","Sort=A","Dates=H","DateFormat=P","Fill=—","Direction=H","UseDPDF=Y")</f>
        <v>—</v>
      </c>
      <c r="V25" s="13" t="str">
        <f>_xll.BDH("ITCI US Equity","ARD_WEIGHTED_AVG_SHARES_BASIC","FQ3 2023","FQ3 2023","Currency=USD","Period=FQ","BEST_FPERIOD_OVERRIDE=FQ","FILING_STATUS=MR","Sort=A","Dates=H","DateFormat=P","Fill=—","Direction=H","UseDPDF=Y")</f>
        <v>—</v>
      </c>
      <c r="W25" s="13">
        <f>_xll.BDH("ITCI US Equity","ARD_WEIGHTED_AVG_SHARES_BASIC","FQ4 2023","FQ4 2023","Currency=USD","Period=FQ","BEST_FPERIOD_OVERRIDE=FQ","FILING_STATUS=MR","Sort=A","Dates=H","DateFormat=P","Fill=—","Direction=H","UseDPDF=Y")</f>
        <v>96.285600000000002</v>
      </c>
      <c r="X25" s="13">
        <f>_xll.BDH("ITCI US Equity","ARD_WEIGHTED_AVG_SHARES_BASIC","FQ1 2024","FQ1 2024","Currency=USD","Period=FQ","BEST_FPERIOD_OVERRIDE=FQ","FILING_STATUS=MR","Sort=A","Dates=H","DateFormat=P","Fill=—","Direction=H","UseDPDF=Y")</f>
        <v>96.875299999999996</v>
      </c>
      <c r="Y25" s="13" t="str">
        <f>_xll.BDH("ITCI US Equity","ARD_WEIGHTED_AVG_SHARES_BASIC","FQ2 2024","FQ2 2024","Currency=USD","Period=FQ","BEST_FPERIOD_OVERRIDE=FQ","FILING_STATUS=MR","Sort=A","Dates=H","DateFormat=P","Fill=—","Direction=H","UseDPDF=Y")</f>
        <v>—</v>
      </c>
      <c r="Z25" s="13" t="str">
        <f>_xll.BDH("ITCI US Equity","ARD_WEIGHTED_AVG_SHARES_BASIC","FQ3 2024","FQ3 2024","Currency=USD","Period=FQ","BEST_FPERIOD_OVERRIDE=FQ","FILING_STATUS=MR","Sort=A","Dates=H","DateFormat=P","Fill=—","Direction=H","UseDPDF=Y")</f>
        <v>—</v>
      </c>
      <c r="AA25" s="13">
        <f>_xll.BDH("ITCI US Equity","ARD_WEIGHTED_AVG_SHARES_BASIC","FQ4 2024","FQ4 2024","Currency=USD","Period=FQ","BEST_FPERIOD_OVERRIDE=FQ","FILING_STATUS=MR","Sort=A","Dates=H","DateFormat=P","Fill=—","Direction=H","UseDPDF=Y")</f>
        <v>106.0958</v>
      </c>
    </row>
    <row r="26" spans="1:27" x14ac:dyDescent="0.25">
      <c r="A26" s="10" t="s">
        <v>412</v>
      </c>
      <c r="B26" s="10" t="s">
        <v>413</v>
      </c>
      <c r="C26" s="14" t="str">
        <f>_xll.BDH("ITCI US Equity","ARD_DILUTED_EPS","FQ4 2018","FQ4 2018","Currency=USD","Period=FQ","BEST_FPERIOD_OVERRIDE=FQ","FILING_STATUS=MR","Sort=A","Dates=H","DateFormat=P","Fill=—","Direction=H","UseDPDF=Y")</f>
        <v>—</v>
      </c>
      <c r="D26" s="14" t="str">
        <f>_xll.BDH("ITCI US Equity","ARD_DILUTED_EPS","FQ1 2019","FQ1 2019","Currency=USD","Period=FQ","BEST_FPERIOD_OVERRIDE=FQ","FILING_STATUS=MR","Sort=A","Dates=H","DateFormat=P","Fill=—","Direction=H","UseDPDF=Y")</f>
        <v>—</v>
      </c>
      <c r="E26" s="14" t="str">
        <f>_xll.BDH("ITCI US Equity","ARD_DILUTED_EPS","FQ2 2019","FQ2 2019","Currency=USD","Period=FQ","BEST_FPERIOD_OVERRIDE=FQ","FILING_STATUS=MR","Sort=A","Dates=H","DateFormat=P","Fill=—","Direction=H","UseDPDF=Y")</f>
        <v>—</v>
      </c>
      <c r="F26" s="14" t="str">
        <f>_xll.BDH("ITCI US Equity","ARD_DILUTED_EPS","FQ3 2019","FQ3 2019","Currency=USD","Period=FQ","BEST_FPERIOD_OVERRIDE=FQ","FILING_STATUS=MR","Sort=A","Dates=H","DateFormat=P","Fill=—","Direction=H","UseDPDF=Y")</f>
        <v>—</v>
      </c>
      <c r="G26" s="14" t="str">
        <f>_xll.BDH("ITCI US Equity","ARD_DILUTED_EPS","FQ4 2019","FQ4 2019","Currency=USD","Period=FQ","BEST_FPERIOD_OVERRIDE=FQ","FILING_STATUS=MR","Sort=A","Dates=H","DateFormat=P","Fill=—","Direction=H","UseDPDF=Y")</f>
        <v>—</v>
      </c>
      <c r="H26" s="14" t="str">
        <f>_xll.BDH("ITCI US Equity","ARD_DILUTED_EPS","FQ1 2020","FQ1 2020","Currency=USD","Period=FQ","BEST_FPERIOD_OVERRIDE=FQ","FILING_STATUS=MR","Sort=A","Dates=H","DateFormat=P","Fill=—","Direction=H","UseDPDF=Y")</f>
        <v>—</v>
      </c>
      <c r="I26" s="14" t="str">
        <f>_xll.BDH("ITCI US Equity","ARD_DILUTED_EPS","FQ2 2020","FQ2 2020","Currency=USD","Period=FQ","BEST_FPERIOD_OVERRIDE=FQ","FILING_STATUS=MR","Sort=A","Dates=H","DateFormat=P","Fill=—","Direction=H","UseDPDF=Y")</f>
        <v>—</v>
      </c>
      <c r="J26" s="14" t="str">
        <f>_xll.BDH("ITCI US Equity","ARD_DILUTED_EPS","FQ3 2020","FQ3 2020","Currency=USD","Period=FQ","BEST_FPERIOD_OVERRIDE=FQ","FILING_STATUS=MR","Sort=A","Dates=H","DateFormat=P","Fill=—","Direction=H","UseDPDF=Y")</f>
        <v>—</v>
      </c>
      <c r="K26" s="14" t="str">
        <f>_xll.BDH("ITCI US Equity","ARD_DILUTED_EPS","FQ4 2020","FQ4 2020","Currency=USD","Period=FQ","BEST_FPERIOD_OVERRIDE=FQ","FILING_STATUS=MR","Sort=A","Dates=H","DateFormat=P","Fill=—","Direction=H","UseDPDF=Y")</f>
        <v>—</v>
      </c>
      <c r="L26" s="14" t="str">
        <f>_xll.BDH("ITCI US Equity","ARD_DILUTED_EPS","FQ1 2021","FQ1 2021","Currency=USD","Period=FQ","BEST_FPERIOD_OVERRIDE=FQ","FILING_STATUS=MR","Sort=A","Dates=H","DateFormat=P","Fill=—","Direction=H","UseDPDF=Y")</f>
        <v>—</v>
      </c>
      <c r="M26" s="14" t="str">
        <f>_xll.BDH("ITCI US Equity","ARD_DILUTED_EPS","FQ2 2021","FQ2 2021","Currency=USD","Period=FQ","BEST_FPERIOD_OVERRIDE=FQ","FILING_STATUS=MR","Sort=A","Dates=H","DateFormat=P","Fill=—","Direction=H","UseDPDF=Y")</f>
        <v>—</v>
      </c>
      <c r="N26" s="14" t="str">
        <f>_xll.BDH("ITCI US Equity","ARD_DILUTED_EPS","FQ3 2021","FQ3 2021","Currency=USD","Period=FQ","BEST_FPERIOD_OVERRIDE=FQ","FILING_STATUS=MR","Sort=A","Dates=H","DateFormat=P","Fill=—","Direction=H","UseDPDF=Y")</f>
        <v>—</v>
      </c>
      <c r="O26" s="14" t="str">
        <f>_xll.BDH("ITCI US Equity","ARD_DILUTED_EPS","FQ4 2021","FQ4 2021","Currency=USD","Period=FQ","BEST_FPERIOD_OVERRIDE=FQ","FILING_STATUS=MR","Sort=A","Dates=H","DateFormat=P","Fill=—","Direction=H","UseDPDF=Y")</f>
        <v>—</v>
      </c>
      <c r="P26" s="14" t="str">
        <f>_xll.BDH("ITCI US Equity","ARD_DILUTED_EPS","FQ1 2022","FQ1 2022","Currency=USD","Period=FQ","BEST_FPERIOD_OVERRIDE=FQ","FILING_STATUS=MR","Sort=A","Dates=H","DateFormat=P","Fill=—","Direction=H","UseDPDF=Y")</f>
        <v>—</v>
      </c>
      <c r="Q26" s="14" t="str">
        <f>_xll.BDH("ITCI US Equity","ARD_DILUTED_EPS","FQ2 2022","FQ2 2022","Currency=USD","Period=FQ","BEST_FPERIOD_OVERRIDE=FQ","FILING_STATUS=MR","Sort=A","Dates=H","DateFormat=P","Fill=—","Direction=H","UseDPDF=Y")</f>
        <v>—</v>
      </c>
      <c r="R26" s="14" t="str">
        <f>_xll.BDH("ITCI US Equity","ARD_DILUTED_EPS","FQ3 2022","FQ3 2022","Currency=USD","Period=FQ","BEST_FPERIOD_OVERRIDE=FQ","FILING_STATUS=MR","Sort=A","Dates=H","DateFormat=P","Fill=—","Direction=H","UseDPDF=Y")</f>
        <v>—</v>
      </c>
      <c r="S26" s="14" t="str">
        <f>_xll.BDH("ITCI US Equity","ARD_DILUTED_EPS","FQ4 2022","FQ4 2022","Currency=USD","Period=FQ","BEST_FPERIOD_OVERRIDE=FQ","FILING_STATUS=MR","Sort=A","Dates=H","DateFormat=P","Fill=—","Direction=H","UseDPDF=Y")</f>
        <v>—</v>
      </c>
      <c r="T26" s="14" t="str">
        <f>_xll.BDH("ITCI US Equity","ARD_DILUTED_EPS","FQ1 2023","FQ1 2023","Currency=USD","Period=FQ","BEST_FPERIOD_OVERRIDE=FQ","FILING_STATUS=MR","Sort=A","Dates=H","DateFormat=P","Fill=—","Direction=H","UseDPDF=Y")</f>
        <v>—</v>
      </c>
      <c r="U26" s="14" t="str">
        <f>_xll.BDH("ITCI US Equity","ARD_DILUTED_EPS","FQ2 2023","FQ2 2023","Currency=USD","Period=FQ","BEST_FPERIOD_OVERRIDE=FQ","FILING_STATUS=MR","Sort=A","Dates=H","DateFormat=P","Fill=—","Direction=H","UseDPDF=Y")</f>
        <v>—</v>
      </c>
      <c r="V26" s="14" t="str">
        <f>_xll.BDH("ITCI US Equity","ARD_DILUTED_EPS","FQ3 2023","FQ3 2023","Currency=USD","Period=FQ","BEST_FPERIOD_OVERRIDE=FQ","FILING_STATUS=MR","Sort=A","Dates=H","DateFormat=P","Fill=—","Direction=H","UseDPDF=Y")</f>
        <v>—</v>
      </c>
      <c r="W26" s="14">
        <f>_xll.BDH("ITCI US Equity","ARD_DILUTED_EPS","FQ4 2023","FQ4 2023","Currency=USD","Period=FQ","BEST_FPERIOD_OVERRIDE=FQ","FILING_STATUS=MR","Sort=A","Dates=H","DateFormat=P","Fill=—","Direction=H","UseDPDF=Y")</f>
        <v>-0.3</v>
      </c>
      <c r="X26" s="14">
        <f>_xll.BDH("ITCI US Equity","ARD_DILUTED_EPS","FQ1 2024","FQ1 2024","Currency=USD","Period=FQ","BEST_FPERIOD_OVERRIDE=FQ","FILING_STATUS=MR","Sort=A","Dates=H","DateFormat=P","Fill=—","Direction=H","UseDPDF=Y")</f>
        <v>-0.16</v>
      </c>
      <c r="Y26" s="14" t="str">
        <f>_xll.BDH("ITCI US Equity","ARD_DILUTED_EPS","FQ2 2024","FQ2 2024","Currency=USD","Period=FQ","BEST_FPERIOD_OVERRIDE=FQ","FILING_STATUS=MR","Sort=A","Dates=H","DateFormat=P","Fill=—","Direction=H","UseDPDF=Y")</f>
        <v>—</v>
      </c>
      <c r="Z26" s="14" t="str">
        <f>_xll.BDH("ITCI US Equity","ARD_DILUTED_EPS","FQ3 2024","FQ3 2024","Currency=USD","Period=FQ","BEST_FPERIOD_OVERRIDE=FQ","FILING_STATUS=MR","Sort=A","Dates=H","DateFormat=P","Fill=—","Direction=H","UseDPDF=Y")</f>
        <v>—</v>
      </c>
      <c r="AA26" s="14">
        <f>_xll.BDH("ITCI US Equity","ARD_DILUTED_EPS","FQ4 2024","FQ4 2024","Currency=USD","Period=FQ","BEST_FPERIOD_OVERRIDE=FQ","FILING_STATUS=MR","Sort=A","Dates=H","DateFormat=P","Fill=—","Direction=H","UseDPDF=Y")</f>
        <v>-0.16</v>
      </c>
    </row>
    <row r="27" spans="1:27" x14ac:dyDescent="0.25">
      <c r="A27" s="10" t="s">
        <v>414</v>
      </c>
      <c r="B27" s="10" t="s">
        <v>415</v>
      </c>
      <c r="C27" s="13" t="str">
        <f>_xll.BDH("ITCI US Equity","ARD_WEIGHTED_AVG_SHARE_DILUTED","FQ4 2018","FQ4 2018","Currency=USD","Period=FQ","BEST_FPERIOD_OVERRIDE=FQ","FILING_STATUS=MR","Sort=A","Dates=H","DateFormat=P","Fill=—","Direction=H","UseDPDF=Y")</f>
        <v>—</v>
      </c>
      <c r="D27" s="13" t="str">
        <f>_xll.BDH("ITCI US Equity","ARD_WEIGHTED_AVG_SHARE_DILUTED","FQ1 2019","FQ1 2019","Currency=USD","Period=FQ","BEST_FPERIOD_OVERRIDE=FQ","FILING_STATUS=MR","Sort=A","Dates=H","DateFormat=P","Fill=—","Direction=H","UseDPDF=Y")</f>
        <v>—</v>
      </c>
      <c r="E27" s="13" t="str">
        <f>_xll.BDH("ITCI US Equity","ARD_WEIGHTED_AVG_SHARE_DILUTED","FQ2 2019","FQ2 2019","Currency=USD","Period=FQ","BEST_FPERIOD_OVERRIDE=FQ","FILING_STATUS=MR","Sort=A","Dates=H","DateFormat=P","Fill=—","Direction=H","UseDPDF=Y")</f>
        <v>—</v>
      </c>
      <c r="F27" s="13" t="str">
        <f>_xll.BDH("ITCI US Equity","ARD_WEIGHTED_AVG_SHARE_DILUTED","FQ3 2019","FQ3 2019","Currency=USD","Period=FQ","BEST_FPERIOD_OVERRIDE=FQ","FILING_STATUS=MR","Sort=A","Dates=H","DateFormat=P","Fill=—","Direction=H","UseDPDF=Y")</f>
        <v>—</v>
      </c>
      <c r="G27" s="13" t="str">
        <f>_xll.BDH("ITCI US Equity","ARD_WEIGHTED_AVG_SHARE_DILUTED","FQ4 2019","FQ4 2019","Currency=USD","Period=FQ","BEST_FPERIOD_OVERRIDE=FQ","FILING_STATUS=MR","Sort=A","Dates=H","DateFormat=P","Fill=—","Direction=H","UseDPDF=Y")</f>
        <v>—</v>
      </c>
      <c r="H27" s="13" t="str">
        <f>_xll.BDH("ITCI US Equity","ARD_WEIGHTED_AVG_SHARE_DILUTED","FQ1 2020","FQ1 2020","Currency=USD","Period=FQ","BEST_FPERIOD_OVERRIDE=FQ","FILING_STATUS=MR","Sort=A","Dates=H","DateFormat=P","Fill=—","Direction=H","UseDPDF=Y")</f>
        <v>—</v>
      </c>
      <c r="I27" s="13" t="str">
        <f>_xll.BDH("ITCI US Equity","ARD_WEIGHTED_AVG_SHARE_DILUTED","FQ2 2020","FQ2 2020","Currency=USD","Period=FQ","BEST_FPERIOD_OVERRIDE=FQ","FILING_STATUS=MR","Sort=A","Dates=H","DateFormat=P","Fill=—","Direction=H","UseDPDF=Y")</f>
        <v>—</v>
      </c>
      <c r="J27" s="13" t="str">
        <f>_xll.BDH("ITCI US Equity","ARD_WEIGHTED_AVG_SHARE_DILUTED","FQ3 2020","FQ3 2020","Currency=USD","Period=FQ","BEST_FPERIOD_OVERRIDE=FQ","FILING_STATUS=MR","Sort=A","Dates=H","DateFormat=P","Fill=—","Direction=H","UseDPDF=Y")</f>
        <v>—</v>
      </c>
      <c r="K27" s="13" t="str">
        <f>_xll.BDH("ITCI US Equity","ARD_WEIGHTED_AVG_SHARE_DILUTED","FQ4 2020","FQ4 2020","Currency=USD","Period=FQ","BEST_FPERIOD_OVERRIDE=FQ","FILING_STATUS=MR","Sort=A","Dates=H","DateFormat=P","Fill=—","Direction=H","UseDPDF=Y")</f>
        <v>—</v>
      </c>
      <c r="L27" s="13" t="str">
        <f>_xll.BDH("ITCI US Equity","ARD_WEIGHTED_AVG_SHARE_DILUTED","FQ1 2021","FQ1 2021","Currency=USD","Period=FQ","BEST_FPERIOD_OVERRIDE=FQ","FILING_STATUS=MR","Sort=A","Dates=H","DateFormat=P","Fill=—","Direction=H","UseDPDF=Y")</f>
        <v>—</v>
      </c>
      <c r="M27" s="13" t="str">
        <f>_xll.BDH("ITCI US Equity","ARD_WEIGHTED_AVG_SHARE_DILUTED","FQ2 2021","FQ2 2021","Currency=USD","Period=FQ","BEST_FPERIOD_OVERRIDE=FQ","FILING_STATUS=MR","Sort=A","Dates=H","DateFormat=P","Fill=—","Direction=H","UseDPDF=Y")</f>
        <v>—</v>
      </c>
      <c r="N27" s="13" t="str">
        <f>_xll.BDH("ITCI US Equity","ARD_WEIGHTED_AVG_SHARE_DILUTED","FQ3 2021","FQ3 2021","Currency=USD","Period=FQ","BEST_FPERIOD_OVERRIDE=FQ","FILING_STATUS=MR","Sort=A","Dates=H","DateFormat=P","Fill=—","Direction=H","UseDPDF=Y")</f>
        <v>—</v>
      </c>
      <c r="O27" s="13" t="str">
        <f>_xll.BDH("ITCI US Equity","ARD_WEIGHTED_AVG_SHARE_DILUTED","FQ4 2021","FQ4 2021","Currency=USD","Period=FQ","BEST_FPERIOD_OVERRIDE=FQ","FILING_STATUS=MR","Sort=A","Dates=H","DateFormat=P","Fill=—","Direction=H","UseDPDF=Y")</f>
        <v>—</v>
      </c>
      <c r="P27" s="13" t="str">
        <f>_xll.BDH("ITCI US Equity","ARD_WEIGHTED_AVG_SHARE_DILUTED","FQ1 2022","FQ1 2022","Currency=USD","Period=FQ","BEST_FPERIOD_OVERRIDE=FQ","FILING_STATUS=MR","Sort=A","Dates=H","DateFormat=P","Fill=—","Direction=H","UseDPDF=Y")</f>
        <v>—</v>
      </c>
      <c r="Q27" s="13" t="str">
        <f>_xll.BDH("ITCI US Equity","ARD_WEIGHTED_AVG_SHARE_DILUTED","FQ2 2022","FQ2 2022","Currency=USD","Period=FQ","BEST_FPERIOD_OVERRIDE=FQ","FILING_STATUS=MR","Sort=A","Dates=H","DateFormat=P","Fill=—","Direction=H","UseDPDF=Y")</f>
        <v>—</v>
      </c>
      <c r="R27" s="13" t="str">
        <f>_xll.BDH("ITCI US Equity","ARD_WEIGHTED_AVG_SHARE_DILUTED","FQ3 2022","FQ3 2022","Currency=USD","Period=FQ","BEST_FPERIOD_OVERRIDE=FQ","FILING_STATUS=MR","Sort=A","Dates=H","DateFormat=P","Fill=—","Direction=H","UseDPDF=Y")</f>
        <v>—</v>
      </c>
      <c r="S27" s="13" t="str">
        <f>_xll.BDH("ITCI US Equity","ARD_WEIGHTED_AVG_SHARE_DILUTED","FQ4 2022","FQ4 2022","Currency=USD","Period=FQ","BEST_FPERIOD_OVERRIDE=FQ","FILING_STATUS=MR","Sort=A","Dates=H","DateFormat=P","Fill=—","Direction=H","UseDPDF=Y")</f>
        <v>—</v>
      </c>
      <c r="T27" s="13" t="str">
        <f>_xll.BDH("ITCI US Equity","ARD_WEIGHTED_AVG_SHARE_DILUTED","FQ1 2023","FQ1 2023","Currency=USD","Period=FQ","BEST_FPERIOD_OVERRIDE=FQ","FILING_STATUS=MR","Sort=A","Dates=H","DateFormat=P","Fill=—","Direction=H","UseDPDF=Y")</f>
        <v>—</v>
      </c>
      <c r="U27" s="13" t="str">
        <f>_xll.BDH("ITCI US Equity","ARD_WEIGHTED_AVG_SHARE_DILUTED","FQ2 2023","FQ2 2023","Currency=USD","Period=FQ","BEST_FPERIOD_OVERRIDE=FQ","FILING_STATUS=MR","Sort=A","Dates=H","DateFormat=P","Fill=—","Direction=H","UseDPDF=Y")</f>
        <v>—</v>
      </c>
      <c r="V27" s="13" t="str">
        <f>_xll.BDH("ITCI US Equity","ARD_WEIGHTED_AVG_SHARE_DILUTED","FQ3 2023","FQ3 2023","Currency=USD","Period=FQ","BEST_FPERIOD_OVERRIDE=FQ","FILING_STATUS=MR","Sort=A","Dates=H","DateFormat=P","Fill=—","Direction=H","UseDPDF=Y")</f>
        <v>—</v>
      </c>
      <c r="W27" s="13">
        <f>_xll.BDH("ITCI US Equity","ARD_WEIGHTED_AVG_SHARE_DILUTED","FQ4 2023","FQ4 2023","Currency=USD","Period=FQ","BEST_FPERIOD_OVERRIDE=FQ","FILING_STATUS=MR","Sort=A","Dates=H","DateFormat=P","Fill=—","Direction=H","UseDPDF=Y")</f>
        <v>96.285600000000002</v>
      </c>
      <c r="X27" s="13">
        <f>_xll.BDH("ITCI US Equity","ARD_WEIGHTED_AVG_SHARE_DILUTED","FQ1 2024","FQ1 2024","Currency=USD","Period=FQ","BEST_FPERIOD_OVERRIDE=FQ","FILING_STATUS=MR","Sort=A","Dates=H","DateFormat=P","Fill=—","Direction=H","UseDPDF=Y")</f>
        <v>96.875299999999996</v>
      </c>
      <c r="Y27" s="13" t="str">
        <f>_xll.BDH("ITCI US Equity","ARD_WEIGHTED_AVG_SHARE_DILUTED","FQ2 2024","FQ2 2024","Currency=USD","Period=FQ","BEST_FPERIOD_OVERRIDE=FQ","FILING_STATUS=MR","Sort=A","Dates=H","DateFormat=P","Fill=—","Direction=H","UseDPDF=Y")</f>
        <v>—</v>
      </c>
      <c r="Z27" s="13" t="str">
        <f>_xll.BDH("ITCI US Equity","ARD_WEIGHTED_AVG_SHARE_DILUTED","FQ3 2024","FQ3 2024","Currency=USD","Period=FQ","BEST_FPERIOD_OVERRIDE=FQ","FILING_STATUS=MR","Sort=A","Dates=H","DateFormat=P","Fill=—","Direction=H","UseDPDF=Y")</f>
        <v>—</v>
      </c>
      <c r="AA27" s="13">
        <f>_xll.BDH("ITCI US Equity","ARD_WEIGHTED_AVG_SHARE_DILUTED","FQ4 2024","FQ4 2024","Currency=USD","Period=FQ","BEST_FPERIOD_OVERRIDE=FQ","FILING_STATUS=MR","Sort=A","Dates=H","DateFormat=P","Fill=—","Direction=H","UseDPDF=Y")</f>
        <v>106.0958</v>
      </c>
    </row>
    <row r="28" spans="1:27" x14ac:dyDescent="0.25">
      <c r="A28" s="10" t="s">
        <v>416</v>
      </c>
      <c r="B28" s="10" t="s">
        <v>417</v>
      </c>
      <c r="C28" s="14">
        <f>_xll.BDH("ITCI US Equity","ARD_BASIC_AND_DILUTED_EPS","FQ4 2018","FQ4 2018","Currency=USD","Period=FQ","BEST_FPERIOD_OVERRIDE=FQ","FILING_STATUS=MR","Sort=A","Dates=H","DateFormat=P","Fill=—","Direction=H","UseDPDF=Y")</f>
        <v>-0.75</v>
      </c>
      <c r="D28" s="14">
        <f>_xll.BDH("ITCI US Equity","ARD_BASIC_AND_DILUTED_EPS","FQ1 2019","FQ1 2019","Currency=USD","Period=FQ","BEST_FPERIOD_OVERRIDE=FQ","FILING_STATUS=MR","Sort=A","Dates=H","DateFormat=P","Fill=—","Direction=H","UseDPDF=Y")</f>
        <v>-0.63</v>
      </c>
      <c r="E28" s="14">
        <f>_xll.BDH("ITCI US Equity","ARD_BASIC_AND_DILUTED_EPS","FQ2 2019","FQ2 2019","Currency=USD","Period=FQ","BEST_FPERIOD_OVERRIDE=FQ","FILING_STATUS=MR","Sort=A","Dates=H","DateFormat=P","Fill=—","Direction=H","UseDPDF=Y")</f>
        <v>-0.68</v>
      </c>
      <c r="F28" s="14">
        <f>_xll.BDH("ITCI US Equity","ARD_BASIC_AND_DILUTED_EPS","FQ3 2019","FQ3 2019","Currency=USD","Period=FQ","BEST_FPERIOD_OVERRIDE=FQ","FILING_STATUS=MR","Sort=A","Dates=H","DateFormat=P","Fill=—","Direction=H","UseDPDF=Y")</f>
        <v>-0.63</v>
      </c>
      <c r="G28" s="14">
        <f>_xll.BDH("ITCI US Equity","ARD_BASIC_AND_DILUTED_EPS","FQ4 2019","FQ4 2019","Currency=USD","Period=FQ","BEST_FPERIOD_OVERRIDE=FQ","FILING_STATUS=MR","Sort=A","Dates=H","DateFormat=P","Fill=—","Direction=H","UseDPDF=Y")</f>
        <v>-0.74</v>
      </c>
      <c r="H28" s="14">
        <f>_xll.BDH("ITCI US Equity","ARD_BASIC_AND_DILUTED_EPS","FQ1 2020","FQ1 2020","Currency=USD","Period=FQ","BEST_FPERIOD_OVERRIDE=FQ","FILING_STATUS=MR","Sort=A","Dates=H","DateFormat=P","Fill=—","Direction=H","UseDPDF=Y")</f>
        <v>-0.73</v>
      </c>
      <c r="I28" s="14">
        <f>_xll.BDH("ITCI US Equity","ARD_BASIC_AND_DILUTED_EPS","FQ2 2020","FQ2 2020","Currency=USD","Period=FQ","BEST_FPERIOD_OVERRIDE=FQ","FILING_STATUS=MR","Sort=A","Dates=H","DateFormat=P","Fill=—","Direction=H","UseDPDF=Y")</f>
        <v>-0.96</v>
      </c>
      <c r="J28" s="14">
        <f>_xll.BDH("ITCI US Equity","ARD_BASIC_AND_DILUTED_EPS","FQ3 2020","FQ3 2020","Currency=USD","Period=FQ","BEST_FPERIOD_OVERRIDE=FQ","FILING_STATUS=MR","Sort=A","Dates=H","DateFormat=P","Fill=—","Direction=H","UseDPDF=Y")</f>
        <v>-0.79</v>
      </c>
      <c r="K28" s="14">
        <f>_xll.BDH("ITCI US Equity","ARD_BASIC_AND_DILUTED_EPS","FQ4 2020","FQ4 2020","Currency=USD","Period=FQ","BEST_FPERIOD_OVERRIDE=FQ","FILING_STATUS=MR","Sort=A","Dates=H","DateFormat=P","Fill=—","Direction=H","UseDPDF=Y")</f>
        <v>-0.76</v>
      </c>
      <c r="L28" s="14">
        <f>_xll.BDH("ITCI US Equity","ARD_BASIC_AND_DILUTED_EPS","FQ1 2021","FQ1 2021","Currency=USD","Period=FQ","BEST_FPERIOD_OVERRIDE=FQ","FILING_STATUS=MR","Sort=A","Dates=H","DateFormat=P","Fill=—","Direction=H","UseDPDF=Y")</f>
        <v>-0.65</v>
      </c>
      <c r="M28" s="14">
        <f>_xll.BDH("ITCI US Equity","ARD_BASIC_AND_DILUTED_EPS","FQ2 2021","FQ2 2021","Currency=USD","Period=FQ","BEST_FPERIOD_OVERRIDE=FQ","FILING_STATUS=MR","Sort=A","Dates=H","DateFormat=P","Fill=—","Direction=H","UseDPDF=Y")</f>
        <v>-0.85</v>
      </c>
      <c r="N28" s="14">
        <f>_xll.BDH("ITCI US Equity","ARD_BASIC_AND_DILUTED_EPS","FQ3 2021","FQ3 2021","Currency=USD","Period=FQ","BEST_FPERIOD_OVERRIDE=FQ","FILING_STATUS=MR","Sort=A","Dates=H","DateFormat=P","Fill=—","Direction=H","UseDPDF=Y")</f>
        <v>-0.95</v>
      </c>
      <c r="O28" s="14">
        <f>_xll.BDH("ITCI US Equity","ARD_BASIC_AND_DILUTED_EPS","FQ4 2021","FQ4 2021","Currency=USD","Period=FQ","BEST_FPERIOD_OVERRIDE=FQ","FILING_STATUS=MR","Sort=A","Dates=H","DateFormat=P","Fill=—","Direction=H","UseDPDF=Y")</f>
        <v>-1.05</v>
      </c>
      <c r="P28" s="14">
        <f>_xll.BDH("ITCI US Equity","ARD_BASIC_AND_DILUTED_EPS","FQ1 2022","FQ1 2022","Currency=USD","Period=FQ","BEST_FPERIOD_OVERRIDE=FQ","FILING_STATUS=MR","Sort=A","Dates=H","DateFormat=P","Fill=—","Direction=H","UseDPDF=Y")</f>
        <v>-0.78</v>
      </c>
      <c r="Q28" s="14">
        <f>_xll.BDH("ITCI US Equity","ARD_BASIC_AND_DILUTED_EPS","FQ2 2022","FQ2 2022","Currency=USD","Period=FQ","BEST_FPERIOD_OVERRIDE=FQ","FILING_STATUS=MR","Sort=A","Dates=H","DateFormat=P","Fill=—","Direction=H","UseDPDF=Y")</f>
        <v>-0.92</v>
      </c>
      <c r="R28" s="14">
        <f>_xll.BDH("ITCI US Equity","ARD_BASIC_AND_DILUTED_EPS","FQ3 2022","FQ3 2022","Currency=USD","Period=FQ","BEST_FPERIOD_OVERRIDE=FQ","FILING_STATUS=MR","Sort=A","Dates=H","DateFormat=P","Fill=—","Direction=H","UseDPDF=Y")</f>
        <v>-0.56999999999999995</v>
      </c>
      <c r="S28" s="14">
        <f>_xll.BDH("ITCI US Equity","ARD_BASIC_AND_DILUTED_EPS","FQ4 2022","FQ4 2022","Currency=USD","Period=FQ","BEST_FPERIOD_OVERRIDE=FQ","FILING_STATUS=MR","Sort=A","Dates=H","DateFormat=P","Fill=—","Direction=H","UseDPDF=Y")</f>
        <v>-0.45</v>
      </c>
      <c r="T28" s="14">
        <f>_xll.BDH("ITCI US Equity","ARD_BASIC_AND_DILUTED_EPS","FQ1 2023","FQ1 2023","Currency=USD","Period=FQ","BEST_FPERIOD_OVERRIDE=FQ","FILING_STATUS=MR","Sort=A","Dates=H","DateFormat=P","Fill=—","Direction=H","UseDPDF=Y")</f>
        <v>-0.46</v>
      </c>
      <c r="U28" s="14">
        <f>_xll.BDH("ITCI US Equity","ARD_BASIC_AND_DILUTED_EPS","FQ2 2023","FQ2 2023","Currency=USD","Period=FQ","BEST_FPERIOD_OVERRIDE=FQ","FILING_STATUS=MR","Sort=A","Dates=H","DateFormat=P","Fill=—","Direction=H","UseDPDF=Y")</f>
        <v>-0.45</v>
      </c>
      <c r="V28" s="14">
        <f>_xll.BDH("ITCI US Equity","ARD_BASIC_AND_DILUTED_EPS","FQ3 2023","FQ3 2023","Currency=USD","Period=FQ","BEST_FPERIOD_OVERRIDE=FQ","FILING_STATUS=MR","Sort=A","Dates=H","DateFormat=P","Fill=—","Direction=H","UseDPDF=Y")</f>
        <v>-0.25</v>
      </c>
      <c r="W28" s="14">
        <f>_xll.BDH("ITCI US Equity","ARD_BASIC_AND_DILUTED_EPS","FQ4 2023","FQ4 2023","Currency=USD","Period=FQ","BEST_FPERIOD_OVERRIDE=FQ","FILING_STATUS=MR","Sort=A","Dates=H","DateFormat=P","Fill=—","Direction=H","UseDPDF=Y")</f>
        <v>-0.3</v>
      </c>
      <c r="X28" s="14">
        <f>_xll.BDH("ITCI US Equity","ARD_BASIC_AND_DILUTED_EPS","FQ1 2024","FQ1 2024","Currency=USD","Period=FQ","BEST_FPERIOD_OVERRIDE=FQ","FILING_STATUS=MR","Sort=A","Dates=H","DateFormat=P","Fill=—","Direction=H","UseDPDF=Y")</f>
        <v>-0.16</v>
      </c>
      <c r="Y28" s="14">
        <f>_xll.BDH("ITCI US Equity","ARD_BASIC_AND_DILUTED_EPS","FQ2 2024","FQ2 2024","Currency=USD","Period=FQ","BEST_FPERIOD_OVERRIDE=FQ","FILING_STATUS=MR","Sort=A","Dates=H","DateFormat=P","Fill=—","Direction=H","UseDPDF=Y")</f>
        <v>-0.16</v>
      </c>
      <c r="Z28" s="14">
        <f>_xll.BDH("ITCI US Equity","ARD_BASIC_AND_DILUTED_EPS","FQ3 2024","FQ3 2024","Currency=USD","Period=FQ","BEST_FPERIOD_OVERRIDE=FQ","FILING_STATUS=MR","Sort=A","Dates=H","DateFormat=P","Fill=—","Direction=H","UseDPDF=Y")</f>
        <v>-0.25</v>
      </c>
      <c r="AA28" s="14">
        <f>_xll.BDH("ITCI US Equity","ARD_BASIC_AND_DILUTED_EPS","FQ4 2024","FQ4 2024","Currency=USD","Period=FQ","BEST_FPERIOD_OVERRIDE=FQ","FILING_STATUS=MR","Sort=A","Dates=H","DateFormat=P","Fill=—","Direction=H","UseDPDF=Y")</f>
        <v>-0.16</v>
      </c>
    </row>
    <row r="29" spans="1:27" x14ac:dyDescent="0.25">
      <c r="A29" s="10" t="s">
        <v>418</v>
      </c>
      <c r="B29" s="10" t="s">
        <v>419</v>
      </c>
      <c r="C29" s="13">
        <f>_xll.BDH("ITCI US Equity","ARD_WTD_AVG_SHS_BASIC_DILUTED","FQ4 2018","FQ4 2018","Currency=USD","Period=FQ","BEST_FPERIOD_OVERRIDE=FQ","FILING_STATUS=MR","Sort=A","Dates=H","DateFormat=P","Fill=—","Direction=H","UseDPDF=Y")</f>
        <v>54.750599999999999</v>
      </c>
      <c r="D29" s="13">
        <f>_xll.BDH("ITCI US Equity","ARD_WTD_AVG_SHS_BASIC_DILUTED","FQ1 2019","FQ1 2019","Currency=USD","Period=FQ","BEST_FPERIOD_OVERRIDE=FQ","FILING_STATUS=MR","Sort=A","Dates=H","DateFormat=P","Fill=—","Direction=H","UseDPDF=Y")</f>
        <v>55.113199999999999</v>
      </c>
      <c r="E29" s="13">
        <f>_xll.BDH("ITCI US Equity","ARD_WTD_AVG_SHS_BASIC_DILUTED","FQ2 2019","FQ2 2019","Currency=USD","Period=FQ","BEST_FPERIOD_OVERRIDE=FQ","FILING_STATUS=MR","Sort=A","Dates=H","DateFormat=P","Fill=—","Direction=H","UseDPDF=Y")</f>
        <v>55.145899999999997</v>
      </c>
      <c r="F29" s="13">
        <f>_xll.BDH("ITCI US Equity","ARD_WTD_AVG_SHS_BASIC_DILUTED","FQ3 2019","FQ3 2019","Currency=USD","Period=FQ","BEST_FPERIOD_OVERRIDE=FQ","FILING_STATUS=MR","Sort=A","Dates=H","DateFormat=P","Fill=—","Direction=H","UseDPDF=Y")</f>
        <v>55.2074</v>
      </c>
      <c r="G29" s="13">
        <f>_xll.BDH("ITCI US Equity","ARD_WTD_AVG_SHS_BASIC_DILUTED","FQ4 2019","FQ4 2019","Currency=USD","Period=FQ","BEST_FPERIOD_OVERRIDE=FQ","FILING_STATUS=MR","Sort=A","Dates=H","DateFormat=P","Fill=—","Direction=H","UseDPDF=Y")</f>
        <v>55.276299999999999</v>
      </c>
      <c r="H29" s="13">
        <f>_xll.BDH("ITCI US Equity","ARD_WTD_AVG_SHS_BASIC_DILUTED","FQ1 2020","FQ1 2020","Currency=USD","Period=FQ","BEST_FPERIOD_OVERRIDE=FQ","FILING_STATUS=MR","Sort=A","Dates=H","DateFormat=P","Fill=—","Direction=H","UseDPDF=Y")</f>
        <v>65.106099999999998</v>
      </c>
      <c r="I29" s="13">
        <f>_xll.BDH("ITCI US Equity","ARD_WTD_AVG_SHS_BASIC_DILUTED","FQ2 2020","FQ2 2020","Currency=USD","Period=FQ","BEST_FPERIOD_OVERRIDE=FQ","FILING_STATUS=MR","Sort=A","Dates=H","DateFormat=P","Fill=—","Direction=H","UseDPDF=Y")</f>
        <v>66.429400000000001</v>
      </c>
      <c r="J29" s="13">
        <f>_xll.BDH("ITCI US Equity","ARD_WTD_AVG_SHS_BASIC_DILUTED","FQ3 2020","FQ3 2020","Currency=USD","Period=FQ","BEST_FPERIOD_OVERRIDE=FQ","FILING_STATUS=MR","Sort=A","Dates=H","DateFormat=P","Fill=—","Direction=H","UseDPDF=Y")</f>
        <v>69.53</v>
      </c>
      <c r="K29" s="13">
        <f>_xll.BDH("ITCI US Equity","ARD_WTD_AVG_SHS_BASIC_DILUTED","FQ4 2020","FQ4 2020","Currency=USD","Period=FQ","BEST_FPERIOD_OVERRIDE=FQ","FILING_STATUS=MR","Sort=A","Dates=H","DateFormat=P","Fill=—","Direction=H","UseDPDF=Y")</f>
        <v>80.293800000000005</v>
      </c>
      <c r="L29" s="13">
        <f>_xll.BDH("ITCI US Equity","ARD_WTD_AVG_SHS_BASIC_DILUTED","FQ1 2021","FQ1 2021","Currency=USD","Period=FQ","BEST_FPERIOD_OVERRIDE=FQ","FILING_STATUS=MR","Sort=A","Dates=H","DateFormat=P","Fill=—","Direction=H","UseDPDF=Y")</f>
        <v>80.9465</v>
      </c>
      <c r="M29" s="13">
        <f>_xll.BDH("ITCI US Equity","ARD_WTD_AVG_SHS_BASIC_DILUTED","FQ2 2021","FQ2 2021","Currency=USD","Period=FQ","BEST_FPERIOD_OVERRIDE=FQ","FILING_STATUS=MR","Sort=A","Dates=H","DateFormat=P","Fill=—","Direction=H","UseDPDF=Y")</f>
        <v>81.229799999999997</v>
      </c>
      <c r="N29" s="13">
        <f>_xll.BDH("ITCI US Equity","ARD_WTD_AVG_SHS_BASIC_DILUTED","FQ3 2021","FQ3 2021","Currency=USD","Period=FQ","BEST_FPERIOD_OVERRIDE=FQ","FILING_STATUS=MR","Sort=A","Dates=H","DateFormat=P","Fill=—","Direction=H","UseDPDF=Y")</f>
        <v>81.354699999999994</v>
      </c>
      <c r="O29" s="13">
        <f>_xll.BDH("ITCI US Equity","ARD_WTD_AVG_SHS_BASIC_DILUTED","FQ4 2021","FQ4 2021","Currency=USD","Period=FQ","BEST_FPERIOD_OVERRIDE=FQ","FILING_STATUS=MR","Sort=A","Dates=H","DateFormat=P","Fill=—","Direction=H","UseDPDF=Y")</f>
        <v>81.475700000000003</v>
      </c>
      <c r="P29" s="13">
        <f>_xll.BDH("ITCI US Equity","ARD_WTD_AVG_SHS_BASIC_DILUTED","FQ1 2022","FQ1 2022","Currency=USD","Period=FQ","BEST_FPERIOD_OVERRIDE=FQ","FILING_STATUS=MR","Sort=A","Dates=H","DateFormat=P","Fill=—","Direction=H","UseDPDF=Y")</f>
        <v>92.604299999999995</v>
      </c>
      <c r="Q29" s="13">
        <f>_xll.BDH("ITCI US Equity","ARD_WTD_AVG_SHS_BASIC_DILUTED","FQ2 2022","FQ2 2022","Currency=USD","Period=FQ","BEST_FPERIOD_OVERRIDE=FQ","FILING_STATUS=MR","Sort=A","Dates=H","DateFormat=P","Fill=—","Direction=H","UseDPDF=Y")</f>
        <v>94.2851</v>
      </c>
      <c r="R29" s="13">
        <f>_xll.BDH("ITCI US Equity","ARD_WTD_AVG_SHS_BASIC_DILUTED","FQ3 2022","FQ3 2022","Currency=USD","Period=FQ","BEST_FPERIOD_OVERRIDE=FQ","FILING_STATUS=MR","Sort=A","Dates=H","DateFormat=P","Fill=—","Direction=H","UseDPDF=Y")</f>
        <v>94.516800000000003</v>
      </c>
      <c r="S29" s="13">
        <f>_xll.BDH("ITCI US Equity","ARD_WTD_AVG_SHS_BASIC_DILUTED","FQ4 2022","FQ4 2022","Currency=USD","Period=FQ","BEST_FPERIOD_OVERRIDE=FQ","FILING_STATUS=MR","Sort=A","Dates=H","DateFormat=P","Fill=—","Direction=H","UseDPDF=Y")</f>
        <v>94.751599999999996</v>
      </c>
      <c r="T29" s="13">
        <f>_xll.BDH("ITCI US Equity","ARD_WTD_AVG_SHS_BASIC_DILUTED","FQ1 2023","FQ1 2023","Currency=USD","Period=FQ","BEST_FPERIOD_OVERRIDE=FQ","FILING_STATUS=MR","Sort=A","Dates=H","DateFormat=P","Fill=—","Direction=H","UseDPDF=Y")</f>
        <v>95.134699999999995</v>
      </c>
      <c r="U29" s="13">
        <f>_xll.BDH("ITCI US Equity","ARD_WTD_AVG_SHS_BASIC_DILUTED","FQ2 2023","FQ2 2023","Currency=USD","Period=FQ","BEST_FPERIOD_OVERRIDE=FQ","FILING_STATUS=MR","Sort=A","Dates=H","DateFormat=P","Fill=—","Direction=H","UseDPDF=Y")</f>
        <v>95.948099999999997</v>
      </c>
      <c r="V29" s="13">
        <f>_xll.BDH("ITCI US Equity","ARD_WTD_AVG_SHS_BASIC_DILUTED","FQ3 2023","FQ3 2023","Currency=USD","Period=FQ","BEST_FPERIOD_OVERRIDE=FQ","FILING_STATUS=MR","Sort=A","Dates=H","DateFormat=P","Fill=—","Direction=H","UseDPDF=Y")</f>
        <v>96.143100000000004</v>
      </c>
      <c r="W29" s="13">
        <f>_xll.BDH("ITCI US Equity","ARD_WTD_AVG_SHS_BASIC_DILUTED","FQ4 2023","FQ4 2023","Currency=USD","Period=FQ","BEST_FPERIOD_OVERRIDE=FQ","FILING_STATUS=MR","Sort=A","Dates=H","DateFormat=P","Fill=—","Direction=H","UseDPDF=Y")</f>
        <v>96.285600000000002</v>
      </c>
      <c r="X29" s="13">
        <f>_xll.BDH("ITCI US Equity","ARD_WTD_AVG_SHS_BASIC_DILUTED","FQ1 2024","FQ1 2024","Currency=USD","Period=FQ","BEST_FPERIOD_OVERRIDE=FQ","FILING_STATUS=MR","Sort=A","Dates=H","DateFormat=P","Fill=—","Direction=H","UseDPDF=Y")</f>
        <v>96.875299999999996</v>
      </c>
      <c r="Y29" s="13">
        <f>_xll.BDH("ITCI US Equity","ARD_WTD_AVG_SHS_BASIC_DILUTED","FQ2 2024","FQ2 2024","Currency=USD","Period=FQ","BEST_FPERIOD_OVERRIDE=FQ","FILING_STATUS=MR","Sort=A","Dates=H","DateFormat=P","Fill=—","Direction=H","UseDPDF=Y")</f>
        <v>103.723</v>
      </c>
      <c r="Z29" s="13">
        <f>_xll.BDH("ITCI US Equity","ARD_WTD_AVG_SHS_BASIC_DILUTED","FQ3 2024","FQ3 2024","Currency=USD","Period=FQ","BEST_FPERIOD_OVERRIDE=FQ","FILING_STATUS=MR","Sort=A","Dates=H","DateFormat=P","Fill=—","Direction=H","UseDPDF=Y")</f>
        <v>105.7684</v>
      </c>
      <c r="AA29" s="13">
        <f>_xll.BDH("ITCI US Equity","ARD_WTD_AVG_SHS_BASIC_DILUTED","FQ4 2024","FQ4 2024","Currency=USD","Period=FQ","BEST_FPERIOD_OVERRIDE=FQ","FILING_STATUS=MR","Sort=A","Dates=H","DateFormat=P","Fill=—","Direction=H","UseDPDF=Y")</f>
        <v>106.0958</v>
      </c>
    </row>
    <row r="30" spans="1:27" x14ac:dyDescent="0.25">
      <c r="A30" s="10" t="s">
        <v>420</v>
      </c>
      <c r="B30" s="10" t="s">
        <v>421</v>
      </c>
      <c r="C30" s="13" t="str">
        <f>_xll.BDH("ITCI US Equity","ARD_NET_INC_AVAIL_COM_SHRHLDR","FQ4 2018","FQ4 2018","Currency=USD","Period=FQ","BEST_FPERIOD_OVERRIDE=FQ","FILING_STATUS=MR","SCALING_FORMAT=MLN","Sort=A","Dates=H","DateFormat=P","Fill=—","Direction=H","UseDPDF=Y")</f>
        <v>—</v>
      </c>
      <c r="D30" s="13" t="str">
        <f>_xll.BDH("ITCI US Equity","ARD_NET_INC_AVAIL_COM_SHRHLDR","FQ1 2019","FQ1 2019","Currency=USD","Period=FQ","BEST_FPERIOD_OVERRIDE=FQ","FILING_STATUS=MR","SCALING_FORMAT=MLN","Sort=A","Dates=H","DateFormat=P","Fill=—","Direction=H","UseDPDF=Y")</f>
        <v>—</v>
      </c>
      <c r="E30" s="13" t="str">
        <f>_xll.BDH("ITCI US Equity","ARD_NET_INC_AVAIL_COM_SHRHLDR","FQ2 2019","FQ2 2019","Currency=USD","Period=FQ","BEST_FPERIOD_OVERRIDE=FQ","FILING_STATUS=MR","SCALING_FORMAT=MLN","Sort=A","Dates=H","DateFormat=P","Fill=—","Direction=H","UseDPDF=Y")</f>
        <v>—</v>
      </c>
      <c r="F30" s="13" t="str">
        <f>_xll.BDH("ITCI US Equity","ARD_NET_INC_AVAIL_COM_SHRHLDR","FQ3 2019","FQ3 2019","Currency=USD","Period=FQ","BEST_FPERIOD_OVERRIDE=FQ","FILING_STATUS=MR","SCALING_FORMAT=MLN","Sort=A","Dates=H","DateFormat=P","Fill=—","Direction=H","UseDPDF=Y")</f>
        <v>—</v>
      </c>
      <c r="G30" s="13" t="str">
        <f>_xll.BDH("ITCI US Equity","ARD_NET_INC_AVAIL_COM_SHRHLDR","FQ4 2019","FQ4 2019","Currency=USD","Period=FQ","BEST_FPERIOD_OVERRIDE=FQ","FILING_STATUS=MR","SCALING_FORMAT=MLN","Sort=A","Dates=H","DateFormat=P","Fill=—","Direction=H","UseDPDF=Y")</f>
        <v>—</v>
      </c>
      <c r="H30" s="13" t="str">
        <f>_xll.BDH("ITCI US Equity","ARD_NET_INC_AVAIL_COM_SHRHLDR","FQ1 2020","FQ1 2020","Currency=USD","Period=FQ","BEST_FPERIOD_OVERRIDE=FQ","FILING_STATUS=MR","SCALING_FORMAT=MLN","Sort=A","Dates=H","DateFormat=P","Fill=—","Direction=H","UseDPDF=Y")</f>
        <v>—</v>
      </c>
      <c r="I30" s="13" t="str">
        <f>_xll.BDH("ITCI US Equity","ARD_NET_INC_AVAIL_COM_SHRHLDR","FQ2 2020","FQ2 2020","Currency=USD","Period=FQ","BEST_FPERIOD_OVERRIDE=FQ","FILING_STATUS=MR","SCALING_FORMAT=MLN","Sort=A","Dates=H","DateFormat=P","Fill=—","Direction=H","UseDPDF=Y")</f>
        <v>—</v>
      </c>
      <c r="J30" s="13" t="str">
        <f>_xll.BDH("ITCI US Equity","ARD_NET_INC_AVAIL_COM_SHRHLDR","FQ3 2020","FQ3 2020","Currency=USD","Period=FQ","BEST_FPERIOD_OVERRIDE=FQ","FILING_STATUS=MR","SCALING_FORMAT=MLN","Sort=A","Dates=H","DateFormat=P","Fill=—","Direction=H","UseDPDF=Y")</f>
        <v>—</v>
      </c>
      <c r="K30" s="13" t="str">
        <f>_xll.BDH("ITCI US Equity","ARD_NET_INC_AVAIL_COM_SHRHLDR","FQ4 2020","FQ4 2020","Currency=USD","Period=FQ","BEST_FPERIOD_OVERRIDE=FQ","FILING_STATUS=MR","SCALING_FORMAT=MLN","Sort=A","Dates=H","DateFormat=P","Fill=—","Direction=H","UseDPDF=Y")</f>
        <v>—</v>
      </c>
      <c r="L30" s="13" t="str">
        <f>_xll.BDH("ITCI US Equity","ARD_NET_INC_AVAIL_COM_SHRHLDR","FQ1 2021","FQ1 2021","Currency=USD","Period=FQ","BEST_FPERIOD_OVERRIDE=FQ","FILING_STATUS=MR","SCALING_FORMAT=MLN","Sort=A","Dates=H","DateFormat=P","Fill=—","Direction=H","UseDPDF=Y")</f>
        <v>—</v>
      </c>
      <c r="M30" s="13" t="str">
        <f>_xll.BDH("ITCI US Equity","ARD_NET_INC_AVAIL_COM_SHRHLDR","FQ2 2021","FQ2 2021","Currency=USD","Period=FQ","BEST_FPERIOD_OVERRIDE=FQ","FILING_STATUS=MR","SCALING_FORMAT=MLN","Sort=A","Dates=H","DateFormat=P","Fill=—","Direction=H","UseDPDF=Y")</f>
        <v>—</v>
      </c>
      <c r="N30" s="13" t="str">
        <f>_xll.BDH("ITCI US Equity","ARD_NET_INC_AVAIL_COM_SHRHLDR","FQ3 2021","FQ3 2021","Currency=USD","Period=FQ","BEST_FPERIOD_OVERRIDE=FQ","FILING_STATUS=MR","SCALING_FORMAT=MLN","Sort=A","Dates=H","DateFormat=P","Fill=—","Direction=H","UseDPDF=Y")</f>
        <v>—</v>
      </c>
      <c r="O30" s="13" t="str">
        <f>_xll.BDH("ITCI US Equity","ARD_NET_INC_AVAIL_COM_SHRHLDR","FQ4 2021","FQ4 2021","Currency=USD","Period=FQ","BEST_FPERIOD_OVERRIDE=FQ","FILING_STATUS=MR","SCALING_FORMAT=MLN","Sort=A","Dates=H","DateFormat=P","Fill=—","Direction=H","UseDPDF=Y")</f>
        <v>—</v>
      </c>
      <c r="P30" s="13" t="str">
        <f>_xll.BDH("ITCI US Equity","ARD_NET_INC_AVAIL_COM_SHRHLDR","FQ1 2022","FQ1 2022","Currency=USD","Period=FQ","BEST_FPERIOD_OVERRIDE=FQ","FILING_STATUS=MR","SCALING_FORMAT=MLN","Sort=A","Dates=H","DateFormat=P","Fill=—","Direction=H","UseDPDF=Y")</f>
        <v>—</v>
      </c>
      <c r="Q30" s="13" t="str">
        <f>_xll.BDH("ITCI US Equity","ARD_NET_INC_AVAIL_COM_SHRHLDR","FQ2 2022","FQ2 2022","Currency=USD","Period=FQ","BEST_FPERIOD_OVERRIDE=FQ","FILING_STATUS=MR","SCALING_FORMAT=MLN","Sort=A","Dates=H","DateFormat=P","Fill=—","Direction=H","UseDPDF=Y")</f>
        <v>—</v>
      </c>
      <c r="R30" s="13" t="str">
        <f>_xll.BDH("ITCI US Equity","ARD_NET_INC_AVAIL_COM_SHRHLDR","FQ3 2022","FQ3 2022","Currency=USD","Period=FQ","BEST_FPERIOD_OVERRIDE=FQ","FILING_STATUS=MR","SCALING_FORMAT=MLN","Sort=A","Dates=H","DateFormat=P","Fill=—","Direction=H","UseDPDF=Y")</f>
        <v>—</v>
      </c>
      <c r="S30" s="13" t="str">
        <f>_xll.BDH("ITCI US Equity","ARD_NET_INC_AVAIL_COM_SHRHLDR","FQ4 2022","FQ4 2022","Currency=USD","Period=FQ","BEST_FPERIOD_OVERRIDE=FQ","FILING_STATUS=MR","SCALING_FORMAT=MLN","Sort=A","Dates=H","DateFormat=P","Fill=—","Direction=H","UseDPDF=Y")</f>
        <v>—</v>
      </c>
      <c r="T30" s="13">
        <f>_xll.BDH("ITCI US Equity","ARD_NET_INC_AVAIL_COM_SHRHLDR","FQ1 2023","FQ1 2023","Currency=USD","Period=FQ","BEST_FPERIOD_OVERRIDE=FQ","FILING_STATUS=MR","SCALING_FORMAT=MLN","Sort=A","Dates=H","DateFormat=P","Fill=—","Direction=H","UseDPDF=Y")</f>
        <v>-44.052999999999997</v>
      </c>
      <c r="U30" s="13" t="str">
        <f>_xll.BDH("ITCI US Equity","ARD_NET_INC_AVAIL_COM_SHRHLDR","FQ2 2023","FQ2 2023","Currency=USD","Period=FQ","BEST_FPERIOD_OVERRIDE=FQ","FILING_STATUS=MR","SCALING_FORMAT=MLN","Sort=A","Dates=H","DateFormat=P","Fill=—","Direction=H","UseDPDF=Y")</f>
        <v>—</v>
      </c>
      <c r="V30" s="13" t="str">
        <f>_xll.BDH("ITCI US Equity","ARD_NET_INC_AVAIL_COM_SHRHLDR","FQ3 2023","FQ3 2023","Currency=USD","Period=FQ","BEST_FPERIOD_OVERRIDE=FQ","FILING_STATUS=MR","SCALING_FORMAT=MLN","Sort=A","Dates=H","DateFormat=P","Fill=—","Direction=H","UseDPDF=Y")</f>
        <v>—</v>
      </c>
      <c r="W30" s="13">
        <f>_xll.BDH("ITCI US Equity","ARD_NET_INC_AVAIL_COM_SHRHLDR","FQ4 2023","FQ4 2023","Currency=USD","Period=FQ","BEST_FPERIOD_OVERRIDE=FQ","FILING_STATUS=MR","SCALING_FORMAT=MLN","Sort=A","Dates=H","DateFormat=P","Fill=—","Direction=H","UseDPDF=Y")</f>
        <v>-28.579000000000001</v>
      </c>
      <c r="X30" s="13">
        <f>_xll.BDH("ITCI US Equity","ARD_NET_INC_AVAIL_COM_SHRHLDR","FQ1 2024","FQ1 2024","Currency=USD","Period=FQ","BEST_FPERIOD_OVERRIDE=FQ","FILING_STATUS=MR","SCALING_FORMAT=MLN","Sort=A","Dates=H","DateFormat=P","Fill=—","Direction=H","UseDPDF=Y")</f>
        <v>-15.247</v>
      </c>
      <c r="Y30" s="13">
        <f>_xll.BDH("ITCI US Equity","ARD_NET_INC_AVAIL_COM_SHRHLDR","FQ2 2024","FQ2 2024","Currency=USD","Period=FQ","BEST_FPERIOD_OVERRIDE=FQ","FILING_STATUS=MR","SCALING_FORMAT=MLN","Sort=A","Dates=H","DateFormat=P","Fill=—","Direction=H","UseDPDF=Y")</f>
        <v>-16.22</v>
      </c>
      <c r="Z30" s="13" t="str">
        <f>_xll.BDH("ITCI US Equity","ARD_NET_INC_AVAIL_COM_SHRHLDR","FQ3 2024","FQ3 2024","Currency=USD","Period=FQ","BEST_FPERIOD_OVERRIDE=FQ","FILING_STATUS=MR","SCALING_FORMAT=MLN","Sort=A","Dates=H","DateFormat=P","Fill=—","Direction=H","UseDPDF=Y")</f>
        <v>—</v>
      </c>
      <c r="AA30" s="13">
        <f>_xll.BDH("ITCI US Equity","ARD_NET_INC_AVAIL_COM_SHRHLDR","FQ4 2024","FQ4 2024","Currency=USD","Period=FQ","BEST_FPERIOD_OVERRIDE=FQ","FILING_STATUS=MR","SCALING_FORMAT=MLN","Sort=A","Dates=H","DateFormat=P","Fill=—","Direction=H","UseDPDF=Y")</f>
        <v>-16.885000000000002</v>
      </c>
    </row>
    <row r="31" spans="1:27" x14ac:dyDescent="0.25">
      <c r="A31" s="10" t="s">
        <v>422</v>
      </c>
      <c r="B31" s="10" t="s">
        <v>423</v>
      </c>
      <c r="C31" s="13">
        <f>_xll.BDH("ITCI US Equity","ARD_CUMULATIVE_NET_INCOME","FQ4 2018","FQ4 2018","Currency=USD","Period=FQ","BEST_FPERIOD_OVERRIDE=FQ","FILING_STATUS=MR","SCALING_FORMAT=MLN","Sort=A","Dates=H","DateFormat=P","Fill=—","Direction=H","UseDPDF=Y")</f>
        <v>-155.12739999999999</v>
      </c>
      <c r="D31" s="13">
        <f>_xll.BDH("ITCI US Equity","ARD_CUMULATIVE_NET_INCOME","FQ1 2019","FQ1 2019","Currency=USD","Period=FQ","BEST_FPERIOD_OVERRIDE=FQ","FILING_STATUS=MR","SCALING_FORMAT=MLN","Sort=A","Dates=H","DateFormat=P","Fill=—","Direction=H","UseDPDF=Y")</f>
        <v>-34.835799999999999</v>
      </c>
      <c r="E31" s="13">
        <f>_xll.BDH("ITCI US Equity","ARD_CUMULATIVE_NET_INCOME","FQ2 2019","FQ2 2019","Currency=USD","Period=FQ","BEST_FPERIOD_OVERRIDE=FQ","FILING_STATUS=MR","SCALING_FORMAT=MLN","Sort=A","Dates=H","DateFormat=P","Fill=—","Direction=H","UseDPDF=Y")</f>
        <v>-72.276899999999998</v>
      </c>
      <c r="F31" s="13">
        <f>_xll.BDH("ITCI US Equity","ARD_CUMULATIVE_NET_INCOME","FQ3 2019","FQ3 2019","Currency=USD","Period=FQ","BEST_FPERIOD_OVERRIDE=FQ","FILING_STATUS=MR","SCALING_FORMAT=MLN","Sort=A","Dates=H","DateFormat=P","Fill=—","Direction=H","UseDPDF=Y")</f>
        <v>-107.13930000000001</v>
      </c>
      <c r="G31" s="13">
        <f>_xll.BDH("ITCI US Equity","ARD_CUMULATIVE_NET_INCOME","FQ4 2019","FQ4 2019","Currency=USD","Period=FQ","BEST_FPERIOD_OVERRIDE=FQ","FILING_STATUS=MR","SCALING_FORMAT=MLN","Sort=A","Dates=H","DateFormat=P","Fill=—","Direction=H","UseDPDF=Y")</f>
        <v>-147.72219999999999</v>
      </c>
      <c r="H31" s="13">
        <f>_xll.BDH("ITCI US Equity","ARD_CUMULATIVE_NET_INCOME","FQ1 2020","FQ1 2020","Currency=USD","Period=FQ","BEST_FPERIOD_OVERRIDE=FQ","FILING_STATUS=MR","SCALING_FORMAT=MLN","Sort=A","Dates=H","DateFormat=P","Fill=—","Direction=H","UseDPDF=Y")</f>
        <v>-47.410600000000002</v>
      </c>
      <c r="I31" s="13">
        <f>_xll.BDH("ITCI US Equity","ARD_CUMULATIVE_NET_INCOME","FQ2 2020","FQ2 2020","Currency=USD","Period=FQ","BEST_FPERIOD_OVERRIDE=FQ","FILING_STATUS=MR","SCALING_FORMAT=MLN","Sort=A","Dates=H","DateFormat=P","Fill=—","Direction=H","UseDPDF=Y")</f>
        <v>-111.1229</v>
      </c>
      <c r="J31" s="13">
        <f>_xll.BDH("ITCI US Equity","ARD_CUMULATIVE_NET_INCOME","FQ3 2020","FQ3 2020","Currency=USD","Period=FQ","BEST_FPERIOD_OVERRIDE=FQ","FILING_STATUS=MR","SCALING_FORMAT=MLN","Sort=A","Dates=H","DateFormat=P","Fill=—","Direction=H","UseDPDF=Y")</f>
        <v>-166.3065</v>
      </c>
      <c r="K31" s="13">
        <f>_xll.BDH("ITCI US Equity","ARD_CUMULATIVE_NET_INCOME","FQ4 2020","FQ4 2020","Currency=USD","Period=FQ","BEST_FPERIOD_OVERRIDE=FQ","FILING_STATUS=MR","SCALING_FORMAT=MLN","Sort=A","Dates=H","DateFormat=P","Fill=—","Direction=H","UseDPDF=Y")</f>
        <v>-227.00569999999999</v>
      </c>
      <c r="L31" s="13">
        <f>_xll.BDH("ITCI US Equity","ARD_CUMULATIVE_NET_INCOME","FQ1 2021","FQ1 2021","Currency=USD","Period=FQ","BEST_FPERIOD_OVERRIDE=FQ","FILING_STATUS=MR","SCALING_FORMAT=MLN","Sort=A","Dates=H","DateFormat=P","Fill=—","Direction=H","UseDPDF=Y")</f>
        <v>-52.739899999999999</v>
      </c>
      <c r="M31" s="13">
        <f>_xll.BDH("ITCI US Equity","ARD_CUMULATIVE_NET_INCOME","FQ2 2021","FQ2 2021","Currency=USD","Period=FQ","BEST_FPERIOD_OVERRIDE=FQ","FILING_STATUS=MR","SCALING_FORMAT=MLN","Sort=A","Dates=H","DateFormat=P","Fill=—","Direction=H","UseDPDF=Y")</f>
        <v>-121.4837</v>
      </c>
      <c r="N31" s="13">
        <f>_xll.BDH("ITCI US Equity","ARD_CUMULATIVE_NET_INCOME","FQ3 2021","FQ3 2021","Currency=USD","Period=FQ","BEST_FPERIOD_OVERRIDE=FQ","FILING_STATUS=MR","SCALING_FORMAT=MLN","Sort=A","Dates=H","DateFormat=P","Fill=—","Direction=H","UseDPDF=Y")</f>
        <v>-198.39169999999999</v>
      </c>
      <c r="O31" s="13">
        <f>_xll.BDH("ITCI US Equity","ARD_CUMULATIVE_NET_INCOME","FQ4 2021","FQ4 2021","Currency=USD","Period=FQ","BEST_FPERIOD_OVERRIDE=FQ","FILING_STATUS=MR","SCALING_FORMAT=MLN","Sort=A","Dates=H","DateFormat=P","Fill=—","Direction=H","UseDPDF=Y")</f>
        <v>-284.12569999999999</v>
      </c>
      <c r="P31" s="13">
        <f>_xll.BDH("ITCI US Equity","ARD_CUMULATIVE_NET_INCOME","FQ1 2022","FQ1 2022","Currency=USD","Period=FQ","BEST_FPERIOD_OVERRIDE=FQ","FILING_STATUS=MR","SCALING_FORMAT=MLN","Sort=A","Dates=H","DateFormat=P","Fill=—","Direction=H","UseDPDF=Y")</f>
        <v>-72.119</v>
      </c>
      <c r="Q31" s="13">
        <f>_xll.BDH("ITCI US Equity","ARD_CUMULATIVE_NET_INCOME","FQ2 2022","FQ2 2022","Currency=USD","Period=FQ","BEST_FPERIOD_OVERRIDE=FQ","FILING_STATUS=MR","SCALING_FORMAT=MLN","Sort=A","Dates=H","DateFormat=P","Fill=—","Direction=H","UseDPDF=Y")</f>
        <v>-158.72200000000001</v>
      </c>
      <c r="R31" s="13">
        <f>_xll.BDH("ITCI US Equity","ARD_CUMULATIVE_NET_INCOME","FQ3 2022","FQ3 2022","Currency=USD","Period=FQ","BEST_FPERIOD_OVERRIDE=FQ","FILING_STATUS=MR","SCALING_FORMAT=MLN","Sort=A","Dates=H","DateFormat=P","Fill=—","Direction=H","UseDPDF=Y")</f>
        <v>-212.23</v>
      </c>
      <c r="S31" s="13">
        <f>_xll.BDH("ITCI US Equity","ARD_CUMULATIVE_NET_INCOME","FQ4 2022","FQ4 2022","Currency=USD","Period=FQ","BEST_FPERIOD_OVERRIDE=FQ","FILING_STATUS=MR","SCALING_FORMAT=MLN","Sort=A","Dates=H","DateFormat=P","Fill=—","Direction=H","UseDPDF=Y")</f>
        <v>-256.25599999999997</v>
      </c>
      <c r="T31" s="13">
        <f>_xll.BDH("ITCI US Equity","ARD_CUMULATIVE_NET_INCOME","FQ1 2023","FQ1 2023","Currency=USD","Period=FQ","BEST_FPERIOD_OVERRIDE=FQ","FILING_STATUS=MR","SCALING_FORMAT=MLN","Sort=A","Dates=H","DateFormat=P","Fill=—","Direction=H","UseDPDF=Y")</f>
        <v>-44.052999999999997</v>
      </c>
      <c r="U31" s="13">
        <f>_xll.BDH("ITCI US Equity","ARD_CUMULATIVE_NET_INCOME","FQ2 2023","FQ2 2023","Currency=USD","Period=FQ","BEST_FPERIOD_OVERRIDE=FQ","FILING_STATUS=MR","SCALING_FORMAT=MLN","Sort=A","Dates=H","DateFormat=P","Fill=—","Direction=H","UseDPDF=Y")</f>
        <v>-86.837000000000003</v>
      </c>
      <c r="V31" s="13">
        <f>_xll.BDH("ITCI US Equity","ARD_CUMULATIVE_NET_INCOME","FQ3 2023","FQ3 2023","Currency=USD","Period=FQ","BEST_FPERIOD_OVERRIDE=FQ","FILING_STATUS=MR","SCALING_FORMAT=MLN","Sort=A","Dates=H","DateFormat=P","Fill=—","Direction=H","UseDPDF=Y")</f>
        <v>-111.095</v>
      </c>
      <c r="W31" s="13">
        <f>_xll.BDH("ITCI US Equity","ARD_CUMULATIVE_NET_INCOME","FQ4 2023","FQ4 2023","Currency=USD","Period=FQ","BEST_FPERIOD_OVERRIDE=FQ","FILING_STATUS=MR","SCALING_FORMAT=MLN","Sort=A","Dates=H","DateFormat=P","Fill=—","Direction=H","UseDPDF=Y")</f>
        <v>-139.67400000000001</v>
      </c>
      <c r="X31" s="13">
        <f>_xll.BDH("ITCI US Equity","ARD_CUMULATIVE_NET_INCOME","FQ1 2024","FQ1 2024","Currency=USD","Period=FQ","BEST_FPERIOD_OVERRIDE=FQ","FILING_STATUS=MR","SCALING_FORMAT=MLN","Sort=A","Dates=H","DateFormat=P","Fill=—","Direction=H","UseDPDF=Y")</f>
        <v>-15.247</v>
      </c>
      <c r="Y31" s="13">
        <f>_xll.BDH("ITCI US Equity","ARD_CUMULATIVE_NET_INCOME","FQ2 2024","FQ2 2024","Currency=USD","Period=FQ","BEST_FPERIOD_OVERRIDE=FQ","FILING_STATUS=MR","SCALING_FORMAT=MLN","Sort=A","Dates=H","DateFormat=P","Fill=—","Direction=H","UseDPDF=Y")</f>
        <v>-31.466999999999999</v>
      </c>
      <c r="Z31" s="13">
        <f>_xll.BDH("ITCI US Equity","ARD_CUMULATIVE_NET_INCOME","FQ3 2024","FQ3 2024","Currency=USD","Period=FQ","BEST_FPERIOD_OVERRIDE=FQ","FILING_STATUS=MR","SCALING_FORMAT=MLN","Sort=A","Dates=H","DateFormat=P","Fill=—","Direction=H","UseDPDF=Y")</f>
        <v>-57.790999999999997</v>
      </c>
      <c r="AA31" s="13">
        <f>_xll.BDH("ITCI US Equity","ARD_CUMULATIVE_NET_INCOME","FQ4 2024","FQ4 2024","Currency=USD","Period=FQ","BEST_FPERIOD_OVERRIDE=FQ","FILING_STATUS=MR","SCALING_FORMAT=MLN","Sort=A","Dates=H","DateFormat=P","Fill=—","Direction=H","UseDPDF=Y")</f>
        <v>-74.676000000000002</v>
      </c>
    </row>
    <row r="32" spans="1:27" x14ac:dyDescent="0.25">
      <c r="A32" s="6" t="s">
        <v>158</v>
      </c>
      <c r="B32" s="6" t="s">
        <v>424</v>
      </c>
      <c r="C32" s="19">
        <f>_xll.BDH("ITCI US Equity","ARD_NET_INC","FQ4 2018","FQ4 2018","Currency=USD","Period=FQ","BEST_FPERIOD_OVERRIDE=FQ","FILING_STATUS=MR","SCALING_FORMAT=MLN","Sort=A","Dates=H","DateFormat=P","Fill=—","Direction=H","UseDPDF=Y")</f>
        <v>-40.747999999999998</v>
      </c>
      <c r="D32" s="19">
        <f>_xll.BDH("ITCI US Equity","ARD_NET_INC","FQ1 2019","FQ1 2019","Currency=USD","Period=FQ","BEST_FPERIOD_OVERRIDE=FQ","FILING_STATUS=MR","SCALING_FORMAT=MLN","Sort=A","Dates=H","DateFormat=P","Fill=—","Direction=H","UseDPDF=Y")</f>
        <v>-34.835799999999999</v>
      </c>
      <c r="E32" s="19">
        <f>_xll.BDH("ITCI US Equity","ARD_NET_INC","FQ2 2019","FQ2 2019","Currency=USD","Period=FQ","BEST_FPERIOD_OVERRIDE=FQ","FILING_STATUS=MR","SCALING_FORMAT=MLN","Sort=A","Dates=H","DateFormat=P","Fill=—","Direction=H","UseDPDF=Y")</f>
        <v>-37.441200000000002</v>
      </c>
      <c r="F32" s="19">
        <f>_xll.BDH("ITCI US Equity","ARD_NET_INC","FQ3 2019","FQ3 2019","Currency=USD","Period=FQ","BEST_FPERIOD_OVERRIDE=FQ","FILING_STATUS=MR","SCALING_FORMAT=MLN","Sort=A","Dates=H","DateFormat=P","Fill=—","Direction=H","UseDPDF=Y")</f>
        <v>-34.862400000000001</v>
      </c>
      <c r="G32" s="19">
        <f>_xll.BDH("ITCI US Equity","ARD_NET_INC","FQ4 2019","FQ4 2019","Currency=USD","Period=FQ","BEST_FPERIOD_OVERRIDE=FQ","FILING_STATUS=MR","SCALING_FORMAT=MLN","Sort=A","Dates=H","DateFormat=P","Fill=—","Direction=H","UseDPDF=Y")</f>
        <v>-40.582900000000002</v>
      </c>
      <c r="H32" s="19">
        <f>_xll.BDH("ITCI US Equity","ARD_NET_INC","FQ1 2020","FQ1 2020","Currency=USD","Period=FQ","BEST_FPERIOD_OVERRIDE=FQ","FILING_STATUS=MR","SCALING_FORMAT=MLN","Sort=A","Dates=H","DateFormat=P","Fill=—","Direction=H","UseDPDF=Y")</f>
        <v>-47.410600000000002</v>
      </c>
      <c r="I32" s="19">
        <f>_xll.BDH("ITCI US Equity","ARD_NET_INC","FQ2 2020","FQ2 2020","Currency=USD","Period=FQ","BEST_FPERIOD_OVERRIDE=FQ","FILING_STATUS=MR","SCALING_FORMAT=MLN","Sort=A","Dates=H","DateFormat=P","Fill=—","Direction=H","UseDPDF=Y")</f>
        <v>-63.712299999999999</v>
      </c>
      <c r="J32" s="19">
        <f>_xll.BDH("ITCI US Equity","ARD_NET_INC","FQ3 2020","FQ3 2020","Currency=USD","Period=FQ","BEST_FPERIOD_OVERRIDE=FQ","FILING_STATUS=MR","SCALING_FORMAT=MLN","Sort=A","Dates=H","DateFormat=P","Fill=—","Direction=H","UseDPDF=Y")</f>
        <v>-55.183599999999998</v>
      </c>
      <c r="K32" s="19">
        <f>_xll.BDH("ITCI US Equity","ARD_NET_INC","FQ4 2020","FQ4 2020","Currency=USD","Period=FQ","BEST_FPERIOD_OVERRIDE=FQ","FILING_STATUS=MR","SCALING_FORMAT=MLN","Sort=A","Dates=H","DateFormat=P","Fill=—","Direction=H","UseDPDF=Y")</f>
        <v>-60.699199999999998</v>
      </c>
      <c r="L32" s="19">
        <f>_xll.BDH("ITCI US Equity","ARD_NET_INC","FQ1 2021","FQ1 2021","Currency=USD","Period=FQ","BEST_FPERIOD_OVERRIDE=FQ","FILING_STATUS=MR","SCALING_FORMAT=MLN","Sort=A","Dates=H","DateFormat=P","Fill=—","Direction=H","UseDPDF=Y")</f>
        <v>-52.739899999999999</v>
      </c>
      <c r="M32" s="19">
        <f>_xll.BDH("ITCI US Equity","ARD_NET_INC","FQ2 2021","FQ2 2021","Currency=USD","Period=FQ","BEST_FPERIOD_OVERRIDE=FQ","FILING_STATUS=MR","SCALING_FORMAT=MLN","Sort=A","Dates=H","DateFormat=P","Fill=—","Direction=H","UseDPDF=Y")</f>
        <v>-68.743799999999993</v>
      </c>
      <c r="N32" s="19">
        <f>_xll.BDH("ITCI US Equity","ARD_NET_INC","FQ3 2021","FQ3 2021","Currency=USD","Period=FQ","BEST_FPERIOD_OVERRIDE=FQ","FILING_STATUS=MR","SCALING_FORMAT=MLN","Sort=A","Dates=H","DateFormat=P","Fill=—","Direction=H","UseDPDF=Y")</f>
        <v>-76.908000000000001</v>
      </c>
      <c r="O32" s="19">
        <f>_xll.BDH("ITCI US Equity","ARD_NET_INC","FQ4 2021","FQ4 2021","Currency=USD","Period=FQ","BEST_FPERIOD_OVERRIDE=FQ","FILING_STATUS=MR","SCALING_FORMAT=MLN","Sort=A","Dates=H","DateFormat=P","Fill=—","Direction=H","UseDPDF=Y")</f>
        <v>-85.733900000000006</v>
      </c>
      <c r="P32" s="19">
        <f>_xll.BDH("ITCI US Equity","ARD_NET_INC","FQ1 2022","FQ1 2022","Currency=USD","Period=FQ","BEST_FPERIOD_OVERRIDE=FQ","FILING_STATUS=MR","SCALING_FORMAT=MLN","Sort=A","Dates=H","DateFormat=P","Fill=—","Direction=H","UseDPDF=Y")</f>
        <v>-72.119</v>
      </c>
      <c r="Q32" s="19">
        <f>_xll.BDH("ITCI US Equity","ARD_NET_INC","FQ2 2022","FQ2 2022","Currency=USD","Period=FQ","BEST_FPERIOD_OVERRIDE=FQ","FILING_STATUS=MR","SCALING_FORMAT=MLN","Sort=A","Dates=H","DateFormat=P","Fill=—","Direction=H","UseDPDF=Y")</f>
        <v>-86.602999999999994</v>
      </c>
      <c r="R32" s="19">
        <f>_xll.BDH("ITCI US Equity","ARD_NET_INC","FQ3 2022","FQ3 2022","Currency=USD","Period=FQ","BEST_FPERIOD_OVERRIDE=FQ","FILING_STATUS=MR","SCALING_FORMAT=MLN","Sort=A","Dates=H","DateFormat=P","Fill=—","Direction=H","UseDPDF=Y")</f>
        <v>-53.508000000000003</v>
      </c>
      <c r="S32" s="19">
        <f>_xll.BDH("ITCI US Equity","ARD_NET_INC","FQ4 2022","FQ4 2022","Currency=USD","Period=FQ","BEST_FPERIOD_OVERRIDE=FQ","FILING_STATUS=MR","SCALING_FORMAT=MLN","Sort=A","Dates=H","DateFormat=P","Fill=—","Direction=H","UseDPDF=Y")</f>
        <v>-44.026000000000003</v>
      </c>
      <c r="T32" s="19">
        <f>_xll.BDH("ITCI US Equity","ARD_NET_INC","FQ1 2023","FQ1 2023","Currency=USD","Period=FQ","BEST_FPERIOD_OVERRIDE=FQ","FILING_STATUS=MR","SCALING_FORMAT=MLN","Sort=A","Dates=H","DateFormat=P","Fill=—","Direction=H","UseDPDF=Y")</f>
        <v>-44.052999999999997</v>
      </c>
      <c r="U32" s="19">
        <f>_xll.BDH("ITCI US Equity","ARD_NET_INC","FQ2 2023","FQ2 2023","Currency=USD","Period=FQ","BEST_FPERIOD_OVERRIDE=FQ","FILING_STATUS=MR","SCALING_FORMAT=MLN","Sort=A","Dates=H","DateFormat=P","Fill=—","Direction=H","UseDPDF=Y")</f>
        <v>-42.783999999999999</v>
      </c>
      <c r="V32" s="19">
        <f>_xll.BDH("ITCI US Equity","ARD_NET_INC","FQ3 2023","FQ3 2023","Currency=USD","Period=FQ","BEST_FPERIOD_OVERRIDE=FQ","FILING_STATUS=MR","SCALING_FORMAT=MLN","Sort=A","Dates=H","DateFormat=P","Fill=—","Direction=H","UseDPDF=Y")</f>
        <v>-24.257999999999999</v>
      </c>
      <c r="W32" s="19">
        <f>_xll.BDH("ITCI US Equity","ARD_NET_INC","FQ4 2023","FQ4 2023","Currency=USD","Period=FQ","BEST_FPERIOD_OVERRIDE=FQ","FILING_STATUS=MR","SCALING_FORMAT=MLN","Sort=A","Dates=H","DateFormat=P","Fill=—","Direction=H","UseDPDF=Y")</f>
        <v>-28.579000000000001</v>
      </c>
      <c r="X32" s="19">
        <f>_xll.BDH("ITCI US Equity","ARD_NET_INC","FQ1 2024","FQ1 2024","Currency=USD","Period=FQ","BEST_FPERIOD_OVERRIDE=FQ","FILING_STATUS=MR","SCALING_FORMAT=MLN","Sort=A","Dates=H","DateFormat=P","Fill=—","Direction=H","UseDPDF=Y")</f>
        <v>-15.247</v>
      </c>
      <c r="Y32" s="19">
        <f>_xll.BDH("ITCI US Equity","ARD_NET_INC","FQ2 2024","FQ2 2024","Currency=USD","Period=FQ","BEST_FPERIOD_OVERRIDE=FQ","FILING_STATUS=MR","SCALING_FORMAT=MLN","Sort=A","Dates=H","DateFormat=P","Fill=—","Direction=H","UseDPDF=Y")</f>
        <v>-16.22</v>
      </c>
      <c r="Z32" s="19">
        <f>_xll.BDH("ITCI US Equity","ARD_NET_INC","FQ3 2024","FQ3 2024","Currency=USD","Period=FQ","BEST_FPERIOD_OVERRIDE=FQ","FILING_STATUS=MR","SCALING_FORMAT=MLN","Sort=A","Dates=H","DateFormat=P","Fill=—","Direction=H","UseDPDF=Y")</f>
        <v>-26.324000000000002</v>
      </c>
      <c r="AA32" s="19">
        <f>_xll.BDH("ITCI US Equity","ARD_NET_INC","FQ4 2024","FQ4 2024","Currency=USD","Period=FQ","BEST_FPERIOD_OVERRIDE=FQ","FILING_STATUS=MR","SCALING_FORMAT=MLN","Sort=A","Dates=H","DateFormat=P","Fill=—","Direction=H","UseDPDF=Y")</f>
        <v>-16.885000000000002</v>
      </c>
    </row>
    <row r="33" spans="1:27" x14ac:dyDescent="0.25">
      <c r="A33" s="10" t="s">
        <v>425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5">
      <c r="A34" s="10" t="s">
        <v>426</v>
      </c>
      <c r="B34" s="10" t="s">
        <v>427</v>
      </c>
      <c r="C34" s="13">
        <f>_xll.BDH("ITCI US Equity","ARD_UNREALIZED_GL_ON_SECS","FQ4 2018","FQ4 2018","Currency=USD","Period=FQ","BEST_FPERIOD_OVERRIDE=FQ","FILING_STATUS=MR","SCALING_FORMAT=MLN","Sort=A","Dates=H","DateFormat=P","Fill=—","Direction=H","UseDPDF=Y")</f>
        <v>0.1784</v>
      </c>
      <c r="D34" s="13">
        <f>_xll.BDH("ITCI US Equity","ARD_UNREALIZED_GL_ON_SECS","FQ1 2019","FQ1 2019","Currency=USD","Period=FQ","BEST_FPERIOD_OVERRIDE=FQ","FILING_STATUS=MR","SCALING_FORMAT=MLN","Sort=A","Dates=H","DateFormat=P","Fill=—","Direction=H","UseDPDF=Y")</f>
        <v>0.60029999999999994</v>
      </c>
      <c r="E34" s="13">
        <f>_xll.BDH("ITCI US Equity","ARD_UNREALIZED_GL_ON_SECS","FQ2 2019","FQ2 2019","Currency=USD","Period=FQ","BEST_FPERIOD_OVERRIDE=FQ","FILING_STATUS=MR","SCALING_FORMAT=MLN","Sort=A","Dates=H","DateFormat=P","Fill=—","Direction=H","UseDPDF=Y")</f>
        <v>0.2999</v>
      </c>
      <c r="F34" s="13">
        <f>_xll.BDH("ITCI US Equity","ARD_UNREALIZED_GL_ON_SECS","FQ3 2019","FQ3 2019","Currency=USD","Period=FQ","BEST_FPERIOD_OVERRIDE=FQ","FILING_STATUS=MR","SCALING_FORMAT=MLN","Sort=A","Dates=H","DateFormat=P","Fill=—","Direction=H","UseDPDF=Y")</f>
        <v>-3.3399999999999999E-2</v>
      </c>
      <c r="G34" s="13">
        <f>_xll.BDH("ITCI US Equity","ARD_UNREALIZED_GL_ON_SECS","FQ4 2019","FQ4 2019","Currency=USD","Period=FQ","BEST_FPERIOD_OVERRIDE=FQ","FILING_STATUS=MR","SCALING_FORMAT=MLN","Sort=A","Dates=H","DateFormat=P","Fill=—","Direction=H","UseDPDF=Y")</f>
        <v>-7.0699999999999999E-2</v>
      </c>
      <c r="H34" s="13">
        <f>_xll.BDH("ITCI US Equity","ARD_UNREALIZED_GL_ON_SECS","FQ1 2020","FQ1 2020","Currency=USD","Period=FQ","BEST_FPERIOD_OVERRIDE=FQ","FILING_STATUS=MR","SCALING_FORMAT=MLN","Sort=A","Dates=H","DateFormat=P","Fill=—","Direction=H","UseDPDF=Y")</f>
        <v>-0.27350000000000002</v>
      </c>
      <c r="I34" s="13">
        <f>_xll.BDH("ITCI US Equity","ARD_UNREALIZED_GL_ON_SECS","FQ2 2020","FQ2 2020","Currency=USD","Period=FQ","BEST_FPERIOD_OVERRIDE=FQ","FILING_STATUS=MR","SCALING_FORMAT=MLN","Sort=A","Dates=H","DateFormat=P","Fill=—","Direction=H","UseDPDF=Y")</f>
        <v>1.3132999999999999</v>
      </c>
      <c r="J34" s="13">
        <f>_xll.BDH("ITCI US Equity","ARD_UNREALIZED_GL_ON_SECS","FQ3 2020","FQ3 2020","Currency=USD","Period=FQ","BEST_FPERIOD_OVERRIDE=FQ","FILING_STATUS=MR","SCALING_FORMAT=MLN","Sort=A","Dates=H","DateFormat=P","Fill=—","Direction=H","UseDPDF=Y")</f>
        <v>-0.39939999999999998</v>
      </c>
      <c r="K34" s="13">
        <f>_xll.BDH("ITCI US Equity","ARD_UNREALIZED_GL_ON_SECS","FQ4 2020","FQ4 2020","Currency=USD","Period=FQ","BEST_FPERIOD_OVERRIDE=FQ","FILING_STATUS=MR","SCALING_FORMAT=MLN","Sort=A","Dates=H","DateFormat=P","Fill=—","Direction=H","UseDPDF=Y")</f>
        <v>-0.28820000000000001</v>
      </c>
      <c r="L34" s="13">
        <f>_xll.BDH("ITCI US Equity","ARD_UNREALIZED_GL_ON_SECS","FQ1 2021","FQ1 2021","Currency=USD","Period=FQ","BEST_FPERIOD_OVERRIDE=FQ","FILING_STATUS=MR","SCALING_FORMAT=MLN","Sort=A","Dates=H","DateFormat=P","Fill=—","Direction=H","UseDPDF=Y")</f>
        <v>-0.23400000000000001</v>
      </c>
      <c r="M34" s="13">
        <f>_xll.BDH("ITCI US Equity","ARD_UNREALIZED_GL_ON_SECS","FQ2 2021","FQ2 2021","Currency=USD","Period=FQ","BEST_FPERIOD_OVERRIDE=FQ","FILING_STATUS=MR","SCALING_FORMAT=MLN","Sort=A","Dates=H","DateFormat=P","Fill=—","Direction=H","UseDPDF=Y")</f>
        <v>-7.0400000000000004E-2</v>
      </c>
      <c r="N34" s="13">
        <f>_xll.BDH("ITCI US Equity","ARD_UNREALIZED_GL_ON_SECS","FQ3 2021","FQ3 2021","Currency=USD","Period=FQ","BEST_FPERIOD_OVERRIDE=FQ","FILING_STATUS=MR","SCALING_FORMAT=MLN","Sort=A","Dates=H","DateFormat=P","Fill=—","Direction=H","UseDPDF=Y")</f>
        <v>-8.1900000000000001E-2</v>
      </c>
      <c r="O34" s="13">
        <f>_xll.BDH("ITCI US Equity","ARD_UNREALIZED_GL_ON_SECS","FQ4 2021","FQ4 2021","Currency=USD","Period=FQ","BEST_FPERIOD_OVERRIDE=FQ","FILING_STATUS=MR","SCALING_FORMAT=MLN","Sort=A","Dates=H","DateFormat=P","Fill=—","Direction=H","UseDPDF=Y")</f>
        <v>-0.45789999999999997</v>
      </c>
      <c r="P34" s="13">
        <f>_xll.BDH("ITCI US Equity","ARD_UNREALIZED_GL_ON_SECS","FQ1 2022","FQ1 2022","Currency=USD","Period=FQ","BEST_FPERIOD_OVERRIDE=FQ","FILING_STATUS=MR","SCALING_FORMAT=MLN","Sort=A","Dates=H","DateFormat=P","Fill=—","Direction=H","UseDPDF=Y")</f>
        <v>-2.964</v>
      </c>
      <c r="Q34" s="13">
        <f>_xll.BDH("ITCI US Equity","ARD_UNREALIZED_GL_ON_SECS","FQ2 2022","FQ2 2022","Currency=USD","Period=FQ","BEST_FPERIOD_OVERRIDE=FQ","FILING_STATUS=MR","SCALING_FORMAT=MLN","Sort=A","Dates=H","DateFormat=P","Fill=—","Direction=H","UseDPDF=Y")</f>
        <v>-1.474</v>
      </c>
      <c r="R34" s="13">
        <f>_xll.BDH("ITCI US Equity","ARD_UNREALIZED_GL_ON_SECS","FQ3 2022","FQ3 2022","Currency=USD","Period=FQ","BEST_FPERIOD_OVERRIDE=FQ","FILING_STATUS=MR","SCALING_FORMAT=MLN","Sort=A","Dates=H","DateFormat=P","Fill=—","Direction=H","UseDPDF=Y")</f>
        <v>-0.69399999999999995</v>
      </c>
      <c r="S34" s="13">
        <f>_xll.BDH("ITCI US Equity","ARD_UNREALIZED_GL_ON_SECS","FQ4 2022","FQ4 2022","Currency=USD","Period=FQ","BEST_FPERIOD_OVERRIDE=FQ","FILING_STATUS=MR","SCALING_FORMAT=MLN","Sort=A","Dates=H","DateFormat=P","Fill=—","Direction=H","UseDPDF=Y")</f>
        <v>1.306</v>
      </c>
      <c r="T34" s="13">
        <f>_xll.BDH("ITCI US Equity","ARD_UNREALIZED_GL_ON_SECS","FQ1 2023","FQ1 2023","Currency=USD","Period=FQ","BEST_FPERIOD_OVERRIDE=FQ","FILING_STATUS=MR","SCALING_FORMAT=MLN","Sort=A","Dates=H","DateFormat=P","Fill=—","Direction=H","UseDPDF=Y")</f>
        <v>1.492</v>
      </c>
      <c r="U34" s="13">
        <f>_xll.BDH("ITCI US Equity","ARD_UNREALIZED_GL_ON_SECS","FQ2 2023","FQ2 2023","Currency=USD","Period=FQ","BEST_FPERIOD_OVERRIDE=FQ","FILING_STATUS=MR","SCALING_FORMAT=MLN","Sort=A","Dates=H","DateFormat=P","Fill=—","Direction=H","UseDPDF=Y")</f>
        <v>0.43</v>
      </c>
      <c r="V34" s="13">
        <f>_xll.BDH("ITCI US Equity","ARD_UNREALIZED_GL_ON_SECS","FQ3 2023","FQ3 2023","Currency=USD","Period=FQ","BEST_FPERIOD_OVERRIDE=FQ","FILING_STATUS=MR","SCALING_FORMAT=MLN","Sort=A","Dates=H","DateFormat=P","Fill=—","Direction=H","UseDPDF=Y")</f>
        <v>0.93300000000000005</v>
      </c>
      <c r="W34" s="13">
        <f>_xll.BDH("ITCI US Equity","ARD_UNREALIZED_GL_ON_SECS","FQ4 2023","FQ4 2023","Currency=USD","Period=FQ","BEST_FPERIOD_OVERRIDE=FQ","FILING_STATUS=MR","SCALING_FORMAT=MLN","Sort=A","Dates=H","DateFormat=P","Fill=—","Direction=H","UseDPDF=Y")</f>
        <v>1.4390000000000001</v>
      </c>
      <c r="X34" s="13">
        <f>_xll.BDH("ITCI US Equity","ARD_UNREALIZED_GL_ON_SECS","FQ1 2024","FQ1 2024","Currency=USD","Period=FQ","BEST_FPERIOD_OVERRIDE=FQ","FILING_STATUS=MR","SCALING_FORMAT=MLN","Sort=A","Dates=H","DateFormat=P","Fill=—","Direction=H","UseDPDF=Y")</f>
        <v>-0.53400000000000003</v>
      </c>
      <c r="Y34" s="13">
        <f>_xll.BDH("ITCI US Equity","ARD_UNREALIZED_GL_ON_SECS","FQ2 2024","FQ2 2024","Currency=USD","Period=FQ","BEST_FPERIOD_OVERRIDE=FQ","FILING_STATUS=MR","SCALING_FORMAT=MLN","Sort=A","Dates=H","DateFormat=P","Fill=—","Direction=H","UseDPDF=Y")</f>
        <v>-0.23799999999999999</v>
      </c>
      <c r="Z34" s="13">
        <f>_xll.BDH("ITCI US Equity","ARD_UNREALIZED_GL_ON_SECS","FQ3 2024","FQ3 2024","Currency=USD","Period=FQ","BEST_FPERIOD_OVERRIDE=FQ","FILING_STATUS=MR","SCALING_FORMAT=MLN","Sort=A","Dates=H","DateFormat=P","Fill=—","Direction=H","UseDPDF=Y")</f>
        <v>2.2970000000000002</v>
      </c>
      <c r="AA34" s="13">
        <f>_xll.BDH("ITCI US Equity","ARD_UNREALIZED_GL_ON_SECS","FQ4 2024","FQ4 2024","Currency=USD","Period=FQ","BEST_FPERIOD_OVERRIDE=FQ","FILING_STATUS=MR","SCALING_FORMAT=MLN","Sort=A","Dates=H","DateFormat=P","Fill=—","Direction=H","UseDPDF=Y")</f>
        <v>-1.4379999999999999</v>
      </c>
    </row>
    <row r="35" spans="1:27" x14ac:dyDescent="0.25">
      <c r="A35" s="10" t="s">
        <v>428</v>
      </c>
      <c r="B35" s="10" t="s">
        <v>429</v>
      </c>
      <c r="C35" s="13">
        <f>_xll.BDH("ITCI US Equity","ARD_TOTAL_COMPREHENSIVE_INCOME","FQ4 2018","FQ4 2018","Currency=USD","Period=FQ","BEST_FPERIOD_OVERRIDE=FQ","FILING_STATUS=MR","SCALING_FORMAT=MLN","Sort=A","Dates=H","DateFormat=P","Fill=—","Direction=H","UseDPDF=Y")</f>
        <v>-40.569600000000001</v>
      </c>
      <c r="D35" s="13">
        <f>_xll.BDH("ITCI US Equity","ARD_TOTAL_COMPREHENSIVE_INCOME","FQ1 2019","FQ1 2019","Currency=USD","Period=FQ","BEST_FPERIOD_OVERRIDE=FQ","FILING_STATUS=MR","SCALING_FORMAT=MLN","Sort=A","Dates=H","DateFormat=P","Fill=—","Direction=H","UseDPDF=Y")</f>
        <v>-34.235500000000002</v>
      </c>
      <c r="E35" s="13">
        <f>_xll.BDH("ITCI US Equity","ARD_TOTAL_COMPREHENSIVE_INCOME","FQ2 2019","FQ2 2019","Currency=USD","Period=FQ","BEST_FPERIOD_OVERRIDE=FQ","FILING_STATUS=MR","SCALING_FORMAT=MLN","Sort=A","Dates=H","DateFormat=P","Fill=—","Direction=H","UseDPDF=Y")</f>
        <v>-37.141300000000001</v>
      </c>
      <c r="F35" s="13">
        <f>_xll.BDH("ITCI US Equity","ARD_TOTAL_COMPREHENSIVE_INCOME","FQ3 2019","FQ3 2019","Currency=USD","Period=FQ","BEST_FPERIOD_OVERRIDE=FQ","FILING_STATUS=MR","SCALING_FORMAT=MLN","Sort=A","Dates=H","DateFormat=P","Fill=—","Direction=H","UseDPDF=Y")</f>
        <v>-34.895800000000001</v>
      </c>
      <c r="G35" s="13">
        <f>_xll.BDH("ITCI US Equity","ARD_TOTAL_COMPREHENSIVE_INCOME","FQ4 2019","FQ4 2019","Currency=USD","Period=FQ","BEST_FPERIOD_OVERRIDE=FQ","FILING_STATUS=MR","SCALING_FORMAT=MLN","Sort=A","Dates=H","DateFormat=P","Fill=—","Direction=H","UseDPDF=Y")</f>
        <v>-40.653599999999997</v>
      </c>
      <c r="H35" s="13">
        <f>_xll.BDH("ITCI US Equity","ARD_TOTAL_COMPREHENSIVE_INCOME","FQ1 2020","FQ1 2020","Currency=USD","Period=FQ","BEST_FPERIOD_OVERRIDE=FQ","FILING_STATUS=MR","SCALING_FORMAT=MLN","Sort=A","Dates=H","DateFormat=P","Fill=—","Direction=H","UseDPDF=Y")</f>
        <v>-47.684100000000001</v>
      </c>
      <c r="I35" s="13">
        <f>_xll.BDH("ITCI US Equity","ARD_TOTAL_COMPREHENSIVE_INCOME","FQ2 2020","FQ2 2020","Currency=USD","Period=FQ","BEST_FPERIOD_OVERRIDE=FQ","FILING_STATUS=MR","SCALING_FORMAT=MLN","Sort=A","Dates=H","DateFormat=P","Fill=—","Direction=H","UseDPDF=Y")</f>
        <v>-62.399000000000001</v>
      </c>
      <c r="J35" s="13">
        <f>_xll.BDH("ITCI US Equity","ARD_TOTAL_COMPREHENSIVE_INCOME","FQ3 2020","FQ3 2020","Currency=USD","Period=FQ","BEST_FPERIOD_OVERRIDE=FQ","FILING_STATUS=MR","SCALING_FORMAT=MLN","Sort=A","Dates=H","DateFormat=P","Fill=—","Direction=H","UseDPDF=Y")</f>
        <v>-55.582999999999998</v>
      </c>
      <c r="K35" s="13">
        <f>_xll.BDH("ITCI US Equity","ARD_TOTAL_COMPREHENSIVE_INCOME","FQ4 2020","FQ4 2020","Currency=USD","Period=FQ","BEST_FPERIOD_OVERRIDE=FQ","FILING_STATUS=MR","SCALING_FORMAT=MLN","Sort=A","Dates=H","DateFormat=P","Fill=—","Direction=H","UseDPDF=Y")</f>
        <v>-60.987299999999998</v>
      </c>
      <c r="L35" s="13">
        <f>_xll.BDH("ITCI US Equity","ARD_TOTAL_COMPREHENSIVE_INCOME","FQ1 2021","FQ1 2021","Currency=USD","Period=FQ","BEST_FPERIOD_OVERRIDE=FQ","FILING_STATUS=MR","SCALING_FORMAT=MLN","Sort=A","Dates=H","DateFormat=P","Fill=—","Direction=H","UseDPDF=Y")</f>
        <v>-52.973999999999997</v>
      </c>
      <c r="M35" s="13">
        <f>_xll.BDH("ITCI US Equity","ARD_TOTAL_COMPREHENSIVE_INCOME","FQ2 2021","FQ2 2021","Currency=USD","Period=FQ","BEST_FPERIOD_OVERRIDE=FQ","FILING_STATUS=MR","SCALING_FORMAT=MLN","Sort=A","Dates=H","DateFormat=P","Fill=—","Direction=H","UseDPDF=Y")</f>
        <v>-68.8142</v>
      </c>
      <c r="N35" s="13">
        <f>_xll.BDH("ITCI US Equity","ARD_TOTAL_COMPREHENSIVE_INCOME","FQ3 2021","FQ3 2021","Currency=USD","Period=FQ","BEST_FPERIOD_OVERRIDE=FQ","FILING_STATUS=MR","SCALING_FORMAT=MLN","Sort=A","Dates=H","DateFormat=P","Fill=—","Direction=H","UseDPDF=Y")</f>
        <v>-76.989900000000006</v>
      </c>
      <c r="O35" s="13">
        <f>_xll.BDH("ITCI US Equity","ARD_TOTAL_COMPREHENSIVE_INCOME","FQ4 2021","FQ4 2021","Currency=USD","Period=FQ","BEST_FPERIOD_OVERRIDE=FQ","FILING_STATUS=MR","SCALING_FORMAT=MLN","Sort=A","Dates=H","DateFormat=P","Fill=—","Direction=H","UseDPDF=Y")</f>
        <v>-86.191800000000001</v>
      </c>
      <c r="P35" s="13">
        <f>_xll.BDH("ITCI US Equity","ARD_TOTAL_COMPREHENSIVE_INCOME","FQ1 2022","FQ1 2022","Currency=USD","Period=FQ","BEST_FPERIOD_OVERRIDE=FQ","FILING_STATUS=MR","SCALING_FORMAT=MLN","Sort=A","Dates=H","DateFormat=P","Fill=—","Direction=H","UseDPDF=Y")</f>
        <v>-75.082999999999998</v>
      </c>
      <c r="Q35" s="13">
        <f>_xll.BDH("ITCI US Equity","ARD_TOTAL_COMPREHENSIVE_INCOME","FQ2 2022","FQ2 2022","Currency=USD","Period=FQ","BEST_FPERIOD_OVERRIDE=FQ","FILING_STATUS=MR","SCALING_FORMAT=MLN","Sort=A","Dates=H","DateFormat=P","Fill=—","Direction=H","UseDPDF=Y")</f>
        <v>-88.076999999999998</v>
      </c>
      <c r="R35" s="13">
        <f>_xll.BDH("ITCI US Equity","ARD_TOTAL_COMPREHENSIVE_INCOME","FQ3 2022","FQ3 2022","Currency=USD","Period=FQ","BEST_FPERIOD_OVERRIDE=FQ","FILING_STATUS=MR","SCALING_FORMAT=MLN","Sort=A","Dates=H","DateFormat=P","Fill=—","Direction=H","UseDPDF=Y")</f>
        <v>-54.201999999999998</v>
      </c>
      <c r="S35" s="13">
        <f>_xll.BDH("ITCI US Equity","ARD_TOTAL_COMPREHENSIVE_INCOME","FQ4 2022","FQ4 2022","Currency=USD","Period=FQ","BEST_FPERIOD_OVERRIDE=FQ","FILING_STATUS=MR","SCALING_FORMAT=MLN","Sort=A","Dates=H","DateFormat=P","Fill=—","Direction=H","UseDPDF=Y")</f>
        <v>-42.72</v>
      </c>
      <c r="T35" s="13">
        <f>_xll.BDH("ITCI US Equity","ARD_TOTAL_COMPREHENSIVE_INCOME","FQ1 2023","FQ1 2023","Currency=USD","Period=FQ","BEST_FPERIOD_OVERRIDE=FQ","FILING_STATUS=MR","SCALING_FORMAT=MLN","Sort=A","Dates=H","DateFormat=P","Fill=—","Direction=H","UseDPDF=Y")</f>
        <v>-42.561</v>
      </c>
      <c r="U35" s="13">
        <f>_xll.BDH("ITCI US Equity","ARD_TOTAL_COMPREHENSIVE_INCOME","FQ2 2023","FQ2 2023","Currency=USD","Period=FQ","BEST_FPERIOD_OVERRIDE=FQ","FILING_STATUS=MR","SCALING_FORMAT=MLN","Sort=A","Dates=H","DateFormat=P","Fill=—","Direction=H","UseDPDF=Y")</f>
        <v>-42.353999999999999</v>
      </c>
      <c r="V35" s="13">
        <f>_xll.BDH("ITCI US Equity","ARD_TOTAL_COMPREHENSIVE_INCOME","FQ3 2023","FQ3 2023","Currency=USD","Period=FQ","BEST_FPERIOD_OVERRIDE=FQ","FILING_STATUS=MR","SCALING_FORMAT=MLN","Sort=A","Dates=H","DateFormat=P","Fill=—","Direction=H","UseDPDF=Y")</f>
        <v>-23.324999999999999</v>
      </c>
      <c r="W35" s="13">
        <f>_xll.BDH("ITCI US Equity","ARD_TOTAL_COMPREHENSIVE_INCOME","FQ4 2023","FQ4 2023","Currency=USD","Period=FQ","BEST_FPERIOD_OVERRIDE=FQ","FILING_STATUS=MR","SCALING_FORMAT=MLN","Sort=A","Dates=H","DateFormat=P","Fill=—","Direction=H","UseDPDF=Y")</f>
        <v>-27.14</v>
      </c>
      <c r="X35" s="13">
        <f>_xll.BDH("ITCI US Equity","ARD_TOTAL_COMPREHENSIVE_INCOME","FQ1 2024","FQ1 2024","Currency=USD","Period=FQ","BEST_FPERIOD_OVERRIDE=FQ","FILING_STATUS=MR","SCALING_FORMAT=MLN","Sort=A","Dates=H","DateFormat=P","Fill=—","Direction=H","UseDPDF=Y")</f>
        <v>-15.781000000000001</v>
      </c>
      <c r="Y35" s="13">
        <f>_xll.BDH("ITCI US Equity","ARD_TOTAL_COMPREHENSIVE_INCOME","FQ2 2024","FQ2 2024","Currency=USD","Period=FQ","BEST_FPERIOD_OVERRIDE=FQ","FILING_STATUS=MR","SCALING_FORMAT=MLN","Sort=A","Dates=H","DateFormat=P","Fill=—","Direction=H","UseDPDF=Y")</f>
        <v>-16.457999999999998</v>
      </c>
      <c r="Z35" s="13">
        <f>_xll.BDH("ITCI US Equity","ARD_TOTAL_COMPREHENSIVE_INCOME","FQ3 2024","FQ3 2024","Currency=USD","Period=FQ","BEST_FPERIOD_OVERRIDE=FQ","FILING_STATUS=MR","SCALING_FORMAT=MLN","Sort=A","Dates=H","DateFormat=P","Fill=—","Direction=H","UseDPDF=Y")</f>
        <v>-24.027000000000001</v>
      </c>
      <c r="AA35" s="13">
        <f>_xll.BDH("ITCI US Equity","ARD_TOTAL_COMPREHENSIVE_INCOME","FQ4 2024","FQ4 2024","Currency=USD","Period=FQ","BEST_FPERIOD_OVERRIDE=FQ","FILING_STATUS=MR","SCALING_FORMAT=MLN","Sort=A","Dates=H","DateFormat=P","Fill=—","Direction=H","UseDPDF=Y")</f>
        <v>-18.323</v>
      </c>
    </row>
    <row r="36" spans="1:27" x14ac:dyDescent="0.25">
      <c r="A36" s="10" t="s">
        <v>430</v>
      </c>
      <c r="B36" s="10" t="s">
        <v>431</v>
      </c>
      <c r="C36" s="13">
        <f>_xll.BDH("ITCI US Equity","ARD_COMPREHENSIVE_INCOME_NET_INC","FQ4 2018","FQ4 2018","Currency=USD","Period=FQ","BEST_FPERIOD_OVERRIDE=FQ","FILING_STATUS=MR","SCALING_FORMAT=MLN","Sort=A","Dates=H","DateFormat=P","Fill=—","Direction=H","UseDPDF=Y")</f>
        <v>-40.747999999999998</v>
      </c>
      <c r="D36" s="13">
        <f>_xll.BDH("ITCI US Equity","ARD_COMPREHENSIVE_INCOME_NET_INC","FQ1 2019","FQ1 2019","Currency=USD","Period=FQ","BEST_FPERIOD_OVERRIDE=FQ","FILING_STATUS=MR","SCALING_FORMAT=MLN","Sort=A","Dates=H","DateFormat=P","Fill=—","Direction=H","UseDPDF=Y")</f>
        <v>-34.835799999999999</v>
      </c>
      <c r="E36" s="13">
        <f>_xll.BDH("ITCI US Equity","ARD_COMPREHENSIVE_INCOME_NET_INC","FQ2 2019","FQ2 2019","Currency=USD","Period=FQ","BEST_FPERIOD_OVERRIDE=FQ","FILING_STATUS=MR","SCALING_FORMAT=MLN","Sort=A","Dates=H","DateFormat=P","Fill=—","Direction=H","UseDPDF=Y")</f>
        <v>-37.441200000000002</v>
      </c>
      <c r="F36" s="13">
        <f>_xll.BDH("ITCI US Equity","ARD_COMPREHENSIVE_INCOME_NET_INC","FQ3 2019","FQ3 2019","Currency=USD","Period=FQ","BEST_FPERIOD_OVERRIDE=FQ","FILING_STATUS=MR","SCALING_FORMAT=MLN","Sort=A","Dates=H","DateFormat=P","Fill=—","Direction=H","UseDPDF=Y")</f>
        <v>-34.862400000000001</v>
      </c>
      <c r="G36" s="13">
        <f>_xll.BDH("ITCI US Equity","ARD_COMPREHENSIVE_INCOME_NET_INC","FQ4 2019","FQ4 2019","Currency=USD","Period=FQ","BEST_FPERIOD_OVERRIDE=FQ","FILING_STATUS=MR","SCALING_FORMAT=MLN","Sort=A","Dates=H","DateFormat=P","Fill=—","Direction=H","UseDPDF=Y")</f>
        <v>-40.582900000000002</v>
      </c>
      <c r="H36" s="13">
        <f>_xll.BDH("ITCI US Equity","ARD_COMPREHENSIVE_INCOME_NET_INC","FQ1 2020","FQ1 2020","Currency=USD","Period=FQ","BEST_FPERIOD_OVERRIDE=FQ","FILING_STATUS=MR","SCALING_FORMAT=MLN","Sort=A","Dates=H","DateFormat=P","Fill=—","Direction=H","UseDPDF=Y")</f>
        <v>-47.410600000000002</v>
      </c>
      <c r="I36" s="13">
        <f>_xll.BDH("ITCI US Equity","ARD_COMPREHENSIVE_INCOME_NET_INC","FQ2 2020","FQ2 2020","Currency=USD","Period=FQ","BEST_FPERIOD_OVERRIDE=FQ","FILING_STATUS=MR","SCALING_FORMAT=MLN","Sort=A","Dates=H","DateFormat=P","Fill=—","Direction=H","UseDPDF=Y")</f>
        <v>-63.712299999999999</v>
      </c>
      <c r="J36" s="13">
        <f>_xll.BDH("ITCI US Equity","ARD_COMPREHENSIVE_INCOME_NET_INC","FQ3 2020","FQ3 2020","Currency=USD","Period=FQ","BEST_FPERIOD_OVERRIDE=FQ","FILING_STATUS=MR","SCALING_FORMAT=MLN","Sort=A","Dates=H","DateFormat=P","Fill=—","Direction=H","UseDPDF=Y")</f>
        <v>-55.183599999999998</v>
      </c>
      <c r="K36" s="13">
        <f>_xll.BDH("ITCI US Equity","ARD_COMPREHENSIVE_INCOME_NET_INC","FQ4 2020","FQ4 2020","Currency=USD","Period=FQ","BEST_FPERIOD_OVERRIDE=FQ","FILING_STATUS=MR","SCALING_FORMAT=MLN","Sort=A","Dates=H","DateFormat=P","Fill=—","Direction=H","UseDPDF=Y")</f>
        <v>-60.699199999999998</v>
      </c>
      <c r="L36" s="13">
        <f>_xll.BDH("ITCI US Equity","ARD_COMPREHENSIVE_INCOME_NET_INC","FQ1 2021","FQ1 2021","Currency=USD","Period=FQ","BEST_FPERIOD_OVERRIDE=FQ","FILING_STATUS=MR","SCALING_FORMAT=MLN","Sort=A","Dates=H","DateFormat=P","Fill=—","Direction=H","UseDPDF=Y")</f>
        <v>-52.792700000000004</v>
      </c>
      <c r="M36" s="13">
        <f>_xll.BDH("ITCI US Equity","ARD_COMPREHENSIVE_INCOME_NET_INC","FQ2 2021","FQ2 2021","Currency=USD","Period=FQ","BEST_FPERIOD_OVERRIDE=FQ","FILING_STATUS=MR","SCALING_FORMAT=MLN","Sort=A","Dates=H","DateFormat=P","Fill=—","Direction=H","UseDPDF=Y")</f>
        <v>-68.743799999999993</v>
      </c>
      <c r="N36" s="13">
        <f>_xll.BDH("ITCI US Equity","ARD_COMPREHENSIVE_INCOME_NET_INC","FQ3 2021","FQ3 2021","Currency=USD","Period=FQ","BEST_FPERIOD_OVERRIDE=FQ","FILING_STATUS=MR","SCALING_FORMAT=MLN","Sort=A","Dates=H","DateFormat=P","Fill=—","Direction=H","UseDPDF=Y")</f>
        <v>-76.908000000000001</v>
      </c>
      <c r="O36" s="13">
        <f>_xll.BDH("ITCI US Equity","ARD_COMPREHENSIVE_INCOME_NET_INC","FQ4 2021","FQ4 2021","Currency=USD","Period=FQ","BEST_FPERIOD_OVERRIDE=FQ","FILING_STATUS=MR","SCALING_FORMAT=MLN","Sort=A","Dates=H","DateFormat=P","Fill=—","Direction=H","UseDPDF=Y")</f>
        <v>-85.733900000000006</v>
      </c>
      <c r="P36" s="13">
        <f>_xll.BDH("ITCI US Equity","ARD_COMPREHENSIVE_INCOME_NET_INC","FQ1 2022","FQ1 2022","Currency=USD","Period=FQ","BEST_FPERIOD_OVERRIDE=FQ","FILING_STATUS=MR","SCALING_FORMAT=MLN","Sort=A","Dates=H","DateFormat=P","Fill=—","Direction=H","UseDPDF=Y")</f>
        <v>-72.119</v>
      </c>
      <c r="Q36" s="13">
        <f>_xll.BDH("ITCI US Equity","ARD_COMPREHENSIVE_INCOME_NET_INC","FQ2 2022","FQ2 2022","Currency=USD","Period=FQ","BEST_FPERIOD_OVERRIDE=FQ","FILING_STATUS=MR","SCALING_FORMAT=MLN","Sort=A","Dates=H","DateFormat=P","Fill=—","Direction=H","UseDPDF=Y")</f>
        <v>-86.602999999999994</v>
      </c>
      <c r="R36" s="13">
        <f>_xll.BDH("ITCI US Equity","ARD_COMPREHENSIVE_INCOME_NET_INC","FQ3 2022","FQ3 2022","Currency=USD","Period=FQ","BEST_FPERIOD_OVERRIDE=FQ","FILING_STATUS=MR","SCALING_FORMAT=MLN","Sort=A","Dates=H","DateFormat=P","Fill=—","Direction=H","UseDPDF=Y")</f>
        <v>-53.508000000000003</v>
      </c>
      <c r="S36" s="13">
        <f>_xll.BDH("ITCI US Equity","ARD_COMPREHENSIVE_INCOME_NET_INC","FQ4 2022","FQ4 2022","Currency=USD","Period=FQ","BEST_FPERIOD_OVERRIDE=FQ","FILING_STATUS=MR","SCALING_FORMAT=MLN","Sort=A","Dates=H","DateFormat=P","Fill=—","Direction=H","UseDPDF=Y")</f>
        <v>-44.026000000000003</v>
      </c>
      <c r="T36" s="13">
        <f>_xll.BDH("ITCI US Equity","ARD_COMPREHENSIVE_INCOME_NET_INC","FQ1 2023","FQ1 2023","Currency=USD","Period=FQ","BEST_FPERIOD_OVERRIDE=FQ","FILING_STATUS=MR","SCALING_FORMAT=MLN","Sort=A","Dates=H","DateFormat=P","Fill=—","Direction=H","UseDPDF=Y")</f>
        <v>-44.052999999999997</v>
      </c>
      <c r="U36" s="13">
        <f>_xll.BDH("ITCI US Equity","ARD_COMPREHENSIVE_INCOME_NET_INC","FQ2 2023","FQ2 2023","Currency=USD","Period=FQ","BEST_FPERIOD_OVERRIDE=FQ","FILING_STATUS=MR","SCALING_FORMAT=MLN","Sort=A","Dates=H","DateFormat=P","Fill=—","Direction=H","UseDPDF=Y")</f>
        <v>-42.783999999999999</v>
      </c>
      <c r="V36" s="13">
        <f>_xll.BDH("ITCI US Equity","ARD_COMPREHENSIVE_INCOME_NET_INC","FQ3 2023","FQ3 2023","Currency=USD","Period=FQ","BEST_FPERIOD_OVERRIDE=FQ","FILING_STATUS=MR","SCALING_FORMAT=MLN","Sort=A","Dates=H","DateFormat=P","Fill=—","Direction=H","UseDPDF=Y")</f>
        <v>-24.257999999999999</v>
      </c>
      <c r="W36" s="13">
        <f>_xll.BDH("ITCI US Equity","ARD_COMPREHENSIVE_INCOME_NET_INC","FQ4 2023","FQ4 2023","Currency=USD","Period=FQ","BEST_FPERIOD_OVERRIDE=FQ","FILING_STATUS=MR","SCALING_FORMAT=MLN","Sort=A","Dates=H","DateFormat=P","Fill=—","Direction=H","UseDPDF=Y")</f>
        <v>-28.579000000000001</v>
      </c>
      <c r="X36" s="13">
        <f>_xll.BDH("ITCI US Equity","ARD_COMPREHENSIVE_INCOME_NET_INC","FQ1 2024","FQ1 2024","Currency=USD","Period=FQ","BEST_FPERIOD_OVERRIDE=FQ","FILING_STATUS=MR","SCALING_FORMAT=MLN","Sort=A","Dates=H","DateFormat=P","Fill=—","Direction=H","UseDPDF=Y")</f>
        <v>-15.247</v>
      </c>
      <c r="Y36" s="13">
        <f>_xll.BDH("ITCI US Equity","ARD_COMPREHENSIVE_INCOME_NET_INC","FQ2 2024","FQ2 2024","Currency=USD","Period=FQ","BEST_FPERIOD_OVERRIDE=FQ","FILING_STATUS=MR","SCALING_FORMAT=MLN","Sort=A","Dates=H","DateFormat=P","Fill=—","Direction=H","UseDPDF=Y")</f>
        <v>-16.22</v>
      </c>
      <c r="Z36" s="13">
        <f>_xll.BDH("ITCI US Equity","ARD_COMPREHENSIVE_INCOME_NET_INC","FQ3 2024","FQ3 2024","Currency=USD","Period=FQ","BEST_FPERIOD_OVERRIDE=FQ","FILING_STATUS=MR","SCALING_FORMAT=MLN","Sort=A","Dates=H","DateFormat=P","Fill=—","Direction=H","UseDPDF=Y")</f>
        <v>-26.324000000000002</v>
      </c>
      <c r="AA36" s="13">
        <f>_xll.BDH("ITCI US Equity","ARD_COMPREHENSIVE_INCOME_NET_INC","FQ4 2024","FQ4 2024","Currency=USD","Period=FQ","BEST_FPERIOD_OVERRIDE=FQ","FILING_STATUS=MR","SCALING_FORMAT=MLN","Sort=A","Dates=H","DateFormat=P","Fill=—","Direction=H","UseDPDF=Y")</f>
        <v>-16.885000000000002</v>
      </c>
    </row>
    <row r="37" spans="1:27" x14ac:dyDescent="0.25">
      <c r="A37" s="10" t="s">
        <v>432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x14ac:dyDescent="0.25">
      <c r="A38" s="10" t="s">
        <v>433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x14ac:dyDescent="0.25">
      <c r="A39" s="10" t="s">
        <v>391</v>
      </c>
      <c r="B39" s="10" t="s">
        <v>434</v>
      </c>
      <c r="C39" s="13">
        <f>_xll.BDH("ITCI US Equity","ARDR_R&amp;D_EXPENDITURES","FQ4 2018","FQ4 2018","Currency=USD","Period=FQ","BEST_FPERIOD_OVERRIDE=FQ","FILING_STATUS=MR","SCALING_FORMAT=MLN","Sort=A","Dates=H","DateFormat=P","Fill=—","Direction=H","UseDPDF=Y")</f>
        <v>33.605600000000003</v>
      </c>
      <c r="D39" s="13">
        <f>_xll.BDH("ITCI US Equity","ARDR_R&amp;D_EXPENDITURES","FQ1 2019","FQ1 2019","Currency=USD","Period=FQ","BEST_FPERIOD_OVERRIDE=FQ","FILING_STATUS=MR","SCALING_FORMAT=MLN","Sort=A","Dates=H","DateFormat=P","Fill=—","Direction=H","UseDPDF=Y")</f>
        <v>24.9909</v>
      </c>
      <c r="E39" s="13">
        <f>_xll.BDH("ITCI US Equity","ARDR_R&amp;D_EXPENDITURES","FQ2 2019","FQ2 2019","Currency=USD","Period=FQ","BEST_FPERIOD_OVERRIDE=FQ","FILING_STATUS=MR","SCALING_FORMAT=MLN","Sort=A","Dates=H","DateFormat=P","Fill=—","Direction=H","UseDPDF=Y")</f>
        <v>23.728000000000002</v>
      </c>
      <c r="F39" s="13">
        <f>_xll.BDH("ITCI US Equity","ARDR_R&amp;D_EXPENDITURES","FQ3 2019","FQ3 2019","Currency=USD","Period=FQ","BEST_FPERIOD_OVERRIDE=FQ","FILING_STATUS=MR","SCALING_FORMAT=MLN","Sort=A","Dates=H","DateFormat=P","Fill=—","Direction=H","UseDPDF=Y")</f>
        <v>21.3398</v>
      </c>
      <c r="G39" s="13">
        <f>_xll.BDH("ITCI US Equity","ARDR_R&amp;D_EXPENDITURES","FQ4 2019","FQ4 2019","Currency=USD","Period=FQ","BEST_FPERIOD_OVERRIDE=FQ","FILING_STATUS=MR","SCALING_FORMAT=MLN","Sort=A","Dates=H","DateFormat=P","Fill=—","Direction=H","UseDPDF=Y")</f>
        <v>19.0657</v>
      </c>
      <c r="H39" s="13" t="str">
        <f>_xll.BDH("ITCI US Equity","ARDR_R&amp;D_EXPENDITURES","FQ1 2020","FQ1 2020","Currency=USD","Period=FQ","BEST_FPERIOD_OVERRIDE=FQ","FILING_STATUS=MR","SCALING_FORMAT=MLN","Sort=A","Dates=H","DateFormat=P","Fill=—","Direction=H","UseDPDF=Y")</f>
        <v>—</v>
      </c>
      <c r="I39" s="13">
        <f>_xll.BDH("ITCI US Equity","ARDR_R&amp;D_EXPENDITURES","FQ2 2020","FQ2 2020","Currency=USD","Period=FQ","BEST_FPERIOD_OVERRIDE=FQ","FILING_STATUS=MR","SCALING_FORMAT=MLN","Sort=A","Dates=H","DateFormat=P","Fill=—","Direction=H","UseDPDF=Y")</f>
        <v>25.204899999999999</v>
      </c>
      <c r="J39" s="13">
        <f>_xll.BDH("ITCI US Equity","ARDR_R&amp;D_EXPENDITURES","FQ3 2020","FQ3 2020","Currency=USD","Period=FQ","BEST_FPERIOD_OVERRIDE=FQ","FILING_STATUS=MR","SCALING_FORMAT=MLN","Sort=A","Dates=H","DateFormat=P","Fill=—","Direction=H","UseDPDF=Y")</f>
        <v>10.275399999999999</v>
      </c>
      <c r="K39" s="13">
        <f>_xll.BDH("ITCI US Equity","ARDR_R&amp;D_EXPENDITURES","FQ4 2020","FQ4 2020","Currency=USD","Period=FQ","BEST_FPERIOD_OVERRIDE=FQ","FILING_STATUS=MR","SCALING_FORMAT=MLN","Sort=A","Dates=H","DateFormat=P","Fill=—","Direction=H","UseDPDF=Y")</f>
        <v>14.2986</v>
      </c>
      <c r="L39" s="13">
        <f>_xll.BDH("ITCI US Equity","ARDR_R&amp;D_EXPENDITURES","FQ1 2021","FQ1 2021","Currency=USD","Period=FQ","BEST_FPERIOD_OVERRIDE=FQ","FILING_STATUS=MR","SCALING_FORMAT=MLN","Sort=A","Dates=H","DateFormat=P","Fill=—","Direction=H","UseDPDF=Y")</f>
        <v>15.058</v>
      </c>
      <c r="M39" s="13">
        <f>_xll.BDH("ITCI US Equity","ARDR_R&amp;D_EXPENDITURES","FQ2 2021","FQ2 2021","Currency=USD","Period=FQ","BEST_FPERIOD_OVERRIDE=FQ","FILING_STATUS=MR","SCALING_FORMAT=MLN","Sort=A","Dates=H","DateFormat=P","Fill=—","Direction=H","UseDPDF=Y")</f>
        <v>17.296399999999998</v>
      </c>
      <c r="N39" s="13">
        <f>_xll.BDH("ITCI US Equity","ARDR_R&amp;D_EXPENDITURES","FQ3 2021","FQ3 2021","Currency=USD","Period=FQ","BEST_FPERIOD_OVERRIDE=FQ","FILING_STATUS=MR","SCALING_FORMAT=MLN","Sort=A","Dates=H","DateFormat=P","Fill=—","Direction=H","UseDPDF=Y")</f>
        <v>27.0318</v>
      </c>
      <c r="O39" s="13">
        <f>_xll.BDH("ITCI US Equity","ARDR_R&amp;D_EXPENDITURES","FQ4 2021","FQ4 2021","Currency=USD","Period=FQ","BEST_FPERIOD_OVERRIDE=FQ","FILING_STATUS=MR","SCALING_FORMAT=MLN","Sort=A","Dates=H","DateFormat=P","Fill=—","Direction=H","UseDPDF=Y")</f>
        <v>29.459099999999999</v>
      </c>
      <c r="P39" s="13">
        <f>_xll.BDH("ITCI US Equity","ARDR_R&amp;D_EXPENDITURES","FQ1 2022","FQ1 2022","Currency=USD","Period=FQ","BEST_FPERIOD_OVERRIDE=FQ","FILING_STATUS=MR","SCALING_FORMAT=MLN","Sort=A","Dates=H","DateFormat=P","Fill=—","Direction=H","UseDPDF=Y")</f>
        <v>29.042999999999999</v>
      </c>
      <c r="Q39" s="13">
        <f>_xll.BDH("ITCI US Equity","ARDR_R&amp;D_EXPENDITURES","FQ2 2022","FQ2 2022","Currency=USD","Period=FQ","BEST_FPERIOD_OVERRIDE=FQ","FILING_STATUS=MR","SCALING_FORMAT=MLN","Sort=A","Dates=H","DateFormat=P","Fill=—","Direction=H","UseDPDF=Y")</f>
        <v>38.536000000000001</v>
      </c>
      <c r="R39" s="13">
        <f>_xll.BDH("ITCI US Equity","ARDR_R&amp;D_EXPENDITURES","FQ3 2022","FQ3 2022","Currency=USD","Period=FQ","BEST_FPERIOD_OVERRIDE=FQ","FILING_STATUS=MR","SCALING_FORMAT=MLN","Sort=A","Dates=H","DateFormat=P","Fill=—","Direction=H","UseDPDF=Y")</f>
        <v>33.274000000000001</v>
      </c>
      <c r="S39" s="13">
        <f>_xll.BDH("ITCI US Equity","ARDR_R&amp;D_EXPENDITURES","FQ4 2022","FQ4 2022","Currency=USD","Period=FQ","BEST_FPERIOD_OVERRIDE=FQ","FILING_STATUS=MR","SCALING_FORMAT=MLN","Sort=A","Dates=H","DateFormat=P","Fill=—","Direction=H","UseDPDF=Y")</f>
        <v>33.862000000000002</v>
      </c>
      <c r="T39" s="13">
        <f>_xll.BDH("ITCI US Equity","ARDR_R&amp;D_EXPENDITURES","FQ1 2023","FQ1 2023","Currency=USD","Period=FQ","BEST_FPERIOD_OVERRIDE=FQ","FILING_STATUS=MR","SCALING_FORMAT=MLN","Sort=A","Dates=H","DateFormat=P","Fill=—","Direction=H","UseDPDF=Y")</f>
        <v>38.024000000000001</v>
      </c>
      <c r="U39" s="13">
        <f>_xll.BDH("ITCI US Equity","ARDR_R&amp;D_EXPENDITURES","FQ2 2023","FQ2 2023","Currency=USD","Period=FQ","BEST_FPERIOD_OVERRIDE=FQ","FILING_STATUS=MR","SCALING_FORMAT=MLN","Sort=A","Dates=H","DateFormat=P","Fill=—","Direction=H","UseDPDF=Y")</f>
        <v>49.793999999999997</v>
      </c>
      <c r="V39" s="13">
        <f>_xll.BDH("ITCI US Equity","ARDR_R&amp;D_EXPENDITURES","FQ3 2023","FQ3 2023","Currency=USD","Period=FQ","BEST_FPERIOD_OVERRIDE=FQ","FILING_STATUS=MR","SCALING_FORMAT=MLN","Sort=A","Dates=H","DateFormat=P","Fill=—","Direction=H","UseDPDF=Y")</f>
        <v>41.55</v>
      </c>
      <c r="W39" s="13">
        <f>_xll.BDH("ITCI US Equity","ARDR_R&amp;D_EXPENDITURES","FQ4 2023","FQ4 2023","Currency=USD","Period=FQ","BEST_FPERIOD_OVERRIDE=FQ","FILING_STATUS=MR","SCALING_FORMAT=MLN","Sort=A","Dates=H","DateFormat=P","Fill=—","Direction=H","UseDPDF=Y")</f>
        <v>50.774000000000001</v>
      </c>
      <c r="X39" s="13">
        <f>_xll.BDH("ITCI US Equity","ARDR_R&amp;D_EXPENDITURES","FQ1 2024","FQ1 2024","Currency=USD","Period=FQ","BEST_FPERIOD_OVERRIDE=FQ","FILING_STATUS=MR","SCALING_FORMAT=MLN","Sort=A","Dates=H","DateFormat=P","Fill=—","Direction=H","UseDPDF=Y")</f>
        <v>42.832999999999998</v>
      </c>
      <c r="Y39" s="13">
        <f>_xll.BDH("ITCI US Equity","ARDR_R&amp;D_EXPENDITURES","FQ2 2024","FQ2 2024","Currency=USD","Period=FQ","BEST_FPERIOD_OVERRIDE=FQ","FILING_STATUS=MR","SCALING_FORMAT=MLN","Sort=A","Dates=H","DateFormat=P","Fill=—","Direction=H","UseDPDF=Y")</f>
        <v>56.183</v>
      </c>
      <c r="Z39" s="13">
        <f>_xll.BDH("ITCI US Equity","ARDR_R&amp;D_EXPENDITURES","FQ3 2024","FQ3 2024","Currency=USD","Period=FQ","BEST_FPERIOD_OVERRIDE=FQ","FILING_STATUS=MR","SCALING_FORMAT=MLN","Sort=A","Dates=H","DateFormat=P","Fill=—","Direction=H","UseDPDF=Y")</f>
        <v>66.819000000000003</v>
      </c>
      <c r="AA39" s="13">
        <f>_xll.BDH("ITCI US Equity","ARDR_R&amp;D_EXPENDITURES","FQ4 2024","FQ4 2024","Currency=USD","Period=FQ","BEST_FPERIOD_OVERRIDE=FQ","FILING_STATUS=MR","SCALING_FORMAT=MLN","Sort=A","Dates=H","DateFormat=P","Fill=—","Direction=H","UseDPDF=Y")</f>
        <v>70.286000000000001</v>
      </c>
    </row>
    <row r="40" spans="1:27" x14ac:dyDescent="0.25">
      <c r="A40" s="10" t="s">
        <v>435</v>
      </c>
      <c r="B40" s="10" t="s">
        <v>436</v>
      </c>
      <c r="C40" s="13" t="str">
        <f>_xll.BDH("ITCI US Equity","ARDR_SALES_MKT_ADVERTISING_EXP","FQ4 2018","FQ4 2018","Currency=USD","Period=FQ","BEST_FPERIOD_OVERRIDE=FQ","FILING_STATUS=MR","SCALING_FORMAT=MLN","Sort=A","Dates=H","DateFormat=P","Fill=—","Direction=H","UseDPDF=Y")</f>
        <v>—</v>
      </c>
      <c r="D40" s="13">
        <f>_xll.BDH("ITCI US Equity","ARDR_SALES_MKT_ADVERTISING_EXP","FQ1 2019","FQ1 2019","Currency=USD","Period=FQ","BEST_FPERIOD_OVERRIDE=FQ","FILING_STATUS=MR","SCALING_FORMAT=MLN","Sort=A","Dates=H","DateFormat=P","Fill=—","Direction=H","UseDPDF=Y")</f>
        <v>5.2050000000000001</v>
      </c>
      <c r="E40" s="13">
        <f>_xll.BDH("ITCI US Equity","ARDR_SALES_MKT_ADVERTISING_EXP","FQ2 2019","FQ2 2019","Currency=USD","Period=FQ","BEST_FPERIOD_OVERRIDE=FQ","FILING_STATUS=MR","SCALING_FORMAT=MLN","Sort=A","Dates=H","DateFormat=P","Fill=—","Direction=H","UseDPDF=Y")</f>
        <v>7.7427000000000001</v>
      </c>
      <c r="F40" s="13">
        <f>_xll.BDH("ITCI US Equity","ARDR_SALES_MKT_ADVERTISING_EXP","FQ3 2019","FQ3 2019","Currency=USD","Period=FQ","BEST_FPERIOD_OVERRIDE=FQ","FILING_STATUS=MR","SCALING_FORMAT=MLN","Sort=A","Dates=H","DateFormat=P","Fill=—","Direction=H","UseDPDF=Y")</f>
        <v>6.5625</v>
      </c>
      <c r="G40" s="13">
        <f>_xll.BDH("ITCI US Equity","ARDR_SALES_MKT_ADVERTISING_EXP","FQ4 2019","FQ4 2019","Currency=USD","Period=FQ","BEST_FPERIOD_OVERRIDE=FQ","FILING_STATUS=MR","SCALING_FORMAT=MLN","Sort=A","Dates=H","DateFormat=P","Fill=—","Direction=H","UseDPDF=Y")</f>
        <v>13.163500000000001</v>
      </c>
      <c r="H40" s="13">
        <f>_xll.BDH("ITCI US Equity","ARDR_SALES_MKT_ADVERTISING_EXP","FQ1 2020","FQ1 2020","Currency=USD","Period=FQ","BEST_FPERIOD_OVERRIDE=FQ","FILING_STATUS=MR","SCALING_FORMAT=MLN","Sort=A","Dates=H","DateFormat=P","Fill=—","Direction=H","UseDPDF=Y")</f>
        <v>20.796399999999998</v>
      </c>
      <c r="I40" s="13">
        <f>_xll.BDH("ITCI US Equity","ARDR_SALES_MKT_ADVERTISING_EXP","FQ2 2020","FQ2 2020","Currency=USD","Period=FQ","BEST_FPERIOD_OVERRIDE=FQ","FILING_STATUS=MR","SCALING_FORMAT=MLN","Sort=A","Dates=H","DateFormat=P","Fill=—","Direction=H","UseDPDF=Y")</f>
        <v>28.345600000000001</v>
      </c>
      <c r="J40" s="13">
        <f>_xll.BDH("ITCI US Equity","ARDR_SALES_MKT_ADVERTISING_EXP","FQ3 2020","FQ3 2020","Currency=USD","Period=FQ","BEST_FPERIOD_OVERRIDE=FQ","FILING_STATUS=MR","SCALING_FORMAT=MLN","Sort=A","Dates=H","DateFormat=P","Fill=—","Direction=H","UseDPDF=Y")</f>
        <v>38.273600000000002</v>
      </c>
      <c r="K40" s="13">
        <f>_xll.BDH("ITCI US Equity","ARDR_SALES_MKT_ADVERTISING_EXP","FQ4 2020","FQ4 2020","Currency=USD","Period=FQ","BEST_FPERIOD_OVERRIDE=FQ","FILING_STATUS=MR","SCALING_FORMAT=MLN","Sort=A","Dates=H","DateFormat=P","Fill=—","Direction=H","UseDPDF=Y")</f>
        <v>44.947899999999997</v>
      </c>
      <c r="L40" s="13">
        <f>_xll.BDH("ITCI US Equity","ARDR_SALES_MKT_ADVERTISING_EXP","FQ1 2021","FQ1 2021","Currency=USD","Period=FQ","BEST_FPERIOD_OVERRIDE=FQ","FILING_STATUS=MR","SCALING_FORMAT=MLN","Sort=A","Dates=H","DateFormat=P","Fill=—","Direction=H","UseDPDF=Y")</f>
        <v>38.2836</v>
      </c>
      <c r="M40" s="13">
        <f>_xll.BDH("ITCI US Equity","ARDR_SALES_MKT_ADVERTISING_EXP","FQ2 2021","FQ2 2021","Currency=USD","Period=FQ","BEST_FPERIOD_OVERRIDE=FQ","FILING_STATUS=MR","SCALING_FORMAT=MLN","Sort=A","Dates=H","DateFormat=P","Fill=—","Direction=H","UseDPDF=Y")</f>
        <v>52.151200000000003</v>
      </c>
      <c r="N40" s="13">
        <f>_xll.BDH("ITCI US Equity","ARDR_SALES_MKT_ADVERTISING_EXP","FQ3 2021","FQ3 2021","Currency=USD","Period=FQ","BEST_FPERIOD_OVERRIDE=FQ","FILING_STATUS=MR","SCALING_FORMAT=MLN","Sort=A","Dates=H","DateFormat=P","Fill=—","Direction=H","UseDPDF=Y")</f>
        <v>52.597900000000003</v>
      </c>
      <c r="O40" s="13">
        <f>_xll.BDH("ITCI US Equity","ARDR_SALES_MKT_ADVERTISING_EXP","FQ4 2021","FQ4 2021","Currency=USD","Period=FQ","BEST_FPERIOD_OVERRIDE=FQ","FILING_STATUS=MR","SCALING_FORMAT=MLN","Sort=A","Dates=H","DateFormat=P","Fill=—","Direction=H","UseDPDF=Y")</f>
        <v>60.578400000000002</v>
      </c>
      <c r="P40" s="13">
        <f>_xll.BDH("ITCI US Equity","ARDR_SALES_MKT_ADVERTISING_EXP","FQ1 2022","FQ1 2022","Currency=USD","Period=FQ","BEST_FPERIOD_OVERRIDE=FQ","FILING_STATUS=MR","SCALING_FORMAT=MLN","Sort=A","Dates=H","DateFormat=P","Fill=—","Direction=H","UseDPDF=Y")</f>
        <v>56.06</v>
      </c>
      <c r="Q40" s="13">
        <f>_xll.BDH("ITCI US Equity","ARDR_SALES_MKT_ADVERTISING_EXP","FQ2 2022","FQ2 2022","Currency=USD","Period=FQ","BEST_FPERIOD_OVERRIDE=FQ","FILING_STATUS=MR","SCALING_FORMAT=MLN","Sort=A","Dates=H","DateFormat=P","Fill=—","Direction=H","UseDPDF=Y")</f>
        <v>81.316000000000003</v>
      </c>
      <c r="R40" s="13">
        <f>_xll.BDH("ITCI US Equity","ARDR_SALES_MKT_ADVERTISING_EXP","FQ3 2022","FQ3 2022","Currency=USD","Period=FQ","BEST_FPERIOD_OVERRIDE=FQ","FILING_STATUS=MR","SCALING_FORMAT=MLN","Sort=A","Dates=H","DateFormat=P","Fill=—","Direction=H","UseDPDF=Y")</f>
        <v>68.075000000000003</v>
      </c>
      <c r="S40" s="13">
        <f>_xll.BDH("ITCI US Equity","ARDR_SALES_MKT_ADVERTISING_EXP","FQ4 2022","FQ4 2022","Currency=USD","Period=FQ","BEST_FPERIOD_OVERRIDE=FQ","FILING_STATUS=MR","SCALING_FORMAT=MLN","Sort=A","Dates=H","DateFormat=P","Fill=—","Direction=H","UseDPDF=Y")</f>
        <v>72.331000000000003</v>
      </c>
      <c r="T40" s="13">
        <f>_xll.BDH("ITCI US Equity","ARDR_SALES_MKT_ADVERTISING_EXP","FQ1 2023","FQ1 2023","Currency=USD","Period=FQ","BEST_FPERIOD_OVERRIDE=FQ","FILING_STATUS=MR","SCALING_FORMAT=MLN","Sort=A","Dates=H","DateFormat=P","Fill=—","Direction=H","UseDPDF=Y")</f>
        <v>76.522999999999996</v>
      </c>
      <c r="U40" s="13">
        <f>_xll.BDH("ITCI US Equity","ARDR_SALES_MKT_ADVERTISING_EXP","FQ2 2023","FQ2 2023","Currency=USD","Period=FQ","BEST_FPERIOD_OVERRIDE=FQ","FILING_STATUS=MR","SCALING_FORMAT=MLN","Sort=A","Dates=H","DateFormat=P","Fill=—","Direction=H","UseDPDF=Y")</f>
        <v>76.114000000000004</v>
      </c>
      <c r="V40" s="13">
        <f>_xll.BDH("ITCI US Equity","ARDR_SALES_MKT_ADVERTISING_EXP","FQ3 2023","FQ3 2023","Currency=USD","Period=FQ","BEST_FPERIOD_OVERRIDE=FQ","FILING_STATUS=MR","SCALING_FORMAT=MLN","Sort=A","Dates=H","DateFormat=P","Fill=—","Direction=H","UseDPDF=Y")</f>
        <v>80.906999999999996</v>
      </c>
      <c r="W40" s="13">
        <f>_xll.BDH("ITCI US Equity","ARDR_SALES_MKT_ADVERTISING_EXP","FQ4 2023","FQ4 2023","Currency=USD","Period=FQ","BEST_FPERIOD_OVERRIDE=FQ","FILING_STATUS=MR","SCALING_FORMAT=MLN","Sort=A","Dates=H","DateFormat=P","Fill=—","Direction=H","UseDPDF=Y")</f>
        <v>90.92</v>
      </c>
      <c r="X40" s="13">
        <f>_xll.BDH("ITCI US Equity","ARDR_SALES_MKT_ADVERTISING_EXP","FQ1 2024","FQ1 2024","Currency=USD","Period=FQ","BEST_FPERIOD_OVERRIDE=FQ","FILING_STATUS=MR","SCALING_FORMAT=MLN","Sort=A","Dates=H","DateFormat=P","Fill=—","Direction=H","UseDPDF=Y")</f>
        <v>87.685000000000002</v>
      </c>
      <c r="Y40" s="13">
        <f>_xll.BDH("ITCI US Equity","ARDR_SALES_MKT_ADVERTISING_EXP","FQ2 2024","FQ2 2024","Currency=USD","Period=FQ","BEST_FPERIOD_OVERRIDE=FQ","FILING_STATUS=MR","SCALING_FORMAT=MLN","Sort=A","Dates=H","DateFormat=P","Fill=—","Direction=H","UseDPDF=Y")</f>
        <v>92.873999999999995</v>
      </c>
      <c r="Z40" s="13">
        <f>_xll.BDH("ITCI US Equity","ARDR_SALES_MKT_ADVERTISING_EXP","FQ3 2024","FQ3 2024","Currency=USD","Period=FQ","BEST_FPERIOD_OVERRIDE=FQ","FILING_STATUS=MR","SCALING_FORMAT=MLN","Sort=A","Dates=H","DateFormat=P","Fill=—","Direction=H","UseDPDF=Y")</f>
        <v>98.700999999999993</v>
      </c>
      <c r="AA40" s="13">
        <f>_xll.BDH("ITCI US Equity","ARDR_SALES_MKT_ADVERTISING_EXP","FQ4 2024","FQ4 2024","Currency=USD","Period=FQ","BEST_FPERIOD_OVERRIDE=FQ","FILING_STATUS=MR","SCALING_FORMAT=MLN","Sort=A","Dates=H","DateFormat=P","Fill=—","Direction=H","UseDPDF=Y")</f>
        <v>105.529</v>
      </c>
    </row>
    <row r="41" spans="1:27" x14ac:dyDescent="0.25">
      <c r="A41" s="10" t="s">
        <v>368</v>
      </c>
      <c r="B41" s="10" t="s">
        <v>437</v>
      </c>
      <c r="C41" s="13">
        <f>_xll.BDH("ITCI US Equity","ARDR_DEPRECIATION_EXP","FQ4 2018","FQ4 2018","Currency=USD","Period=FQ","BEST_FPERIOD_OVERRIDE=FQ","FILING_STATUS=MR","SCALING_FORMAT=MLN","Sort=A","Dates=H","DateFormat=P","Fill=—","Direction=H","UseDPDF=Y")</f>
        <v>9.5500000000000002E-2</v>
      </c>
      <c r="D41" s="13">
        <f>_xll.BDH("ITCI US Equity","ARDR_DEPRECIATION_EXP","FQ1 2019","FQ1 2019","Currency=USD","Period=FQ","BEST_FPERIOD_OVERRIDE=FQ","FILING_STATUS=MR","SCALING_FORMAT=MLN","Sort=A","Dates=H","DateFormat=P","Fill=—","Direction=H","UseDPDF=Y")</f>
        <v>0.1014</v>
      </c>
      <c r="E41" s="13">
        <f>_xll.BDH("ITCI US Equity","ARDR_DEPRECIATION_EXP","FQ2 2019","FQ2 2019","Currency=USD","Period=FQ","BEST_FPERIOD_OVERRIDE=FQ","FILING_STATUS=MR","SCALING_FORMAT=MLN","Sort=A","Dates=H","DateFormat=P","Fill=—","Direction=H","UseDPDF=Y")</f>
        <v>0.1051</v>
      </c>
      <c r="F41" s="13">
        <f>_xll.BDH("ITCI US Equity","ARDR_DEPRECIATION_EXP","FQ3 2019","FQ3 2019","Currency=USD","Period=FQ","BEST_FPERIOD_OVERRIDE=FQ","FILING_STATUS=MR","SCALING_FORMAT=MLN","Sort=A","Dates=H","DateFormat=P","Fill=—","Direction=H","UseDPDF=Y")</f>
        <v>0.12909999999999999</v>
      </c>
      <c r="G41" s="13">
        <f>_xll.BDH("ITCI US Equity","ARDR_DEPRECIATION_EXP","FQ4 2019","FQ4 2019","Currency=USD","Period=FQ","BEST_FPERIOD_OVERRIDE=FQ","FILING_STATUS=MR","SCALING_FORMAT=MLN","Sort=A","Dates=H","DateFormat=P","Fill=—","Direction=H","UseDPDF=Y")</f>
        <v>0.14169999999999999</v>
      </c>
      <c r="H41" s="13">
        <f>_xll.BDH("ITCI US Equity","ARDR_DEPRECIATION_EXP","FQ1 2020","FQ1 2020","Currency=USD","Period=FQ","BEST_FPERIOD_OVERRIDE=FQ","FILING_STATUS=MR","SCALING_FORMAT=MLN","Sort=A","Dates=H","DateFormat=P","Fill=—","Direction=H","UseDPDF=Y")</f>
        <v>0.14879999999999999</v>
      </c>
      <c r="I41" s="13">
        <f>_xll.BDH("ITCI US Equity","ARDR_DEPRECIATION_EXP","FQ2 2020","FQ2 2020","Currency=USD","Period=FQ","BEST_FPERIOD_OVERRIDE=FQ","FILING_STATUS=MR","SCALING_FORMAT=MLN","Sort=A","Dates=H","DateFormat=P","Fill=—","Direction=H","UseDPDF=Y")</f>
        <v>0.1323</v>
      </c>
      <c r="J41" s="13">
        <f>_xll.BDH("ITCI US Equity","ARDR_DEPRECIATION_EXP","FQ3 2020","FQ3 2020","Currency=USD","Period=FQ","BEST_FPERIOD_OVERRIDE=FQ","FILING_STATUS=MR","SCALING_FORMAT=MLN","Sort=A","Dates=H","DateFormat=P","Fill=—","Direction=H","UseDPDF=Y")</f>
        <v>0.121</v>
      </c>
      <c r="K41" s="13">
        <f>_xll.BDH("ITCI US Equity","ARDR_DEPRECIATION_EXP","FQ4 2020","FQ4 2020","Currency=USD","Period=FQ","BEST_FPERIOD_OVERRIDE=FQ","FILING_STATUS=MR","SCALING_FORMAT=MLN","Sort=A","Dates=H","DateFormat=P","Fill=—","Direction=H","UseDPDF=Y")</f>
        <v>0.126</v>
      </c>
      <c r="L41" s="13">
        <f>_xll.BDH("ITCI US Equity","ARDR_DEPRECIATION_EXP","FQ1 2021","FQ1 2021","Currency=USD","Period=FQ","BEST_FPERIOD_OVERRIDE=FQ","FILING_STATUS=MR","SCALING_FORMAT=MLN","Sort=A","Dates=H","DateFormat=P","Fill=—","Direction=H","UseDPDF=Y")</f>
        <v>0.127</v>
      </c>
      <c r="M41" s="13">
        <f>_xll.BDH("ITCI US Equity","ARDR_DEPRECIATION_EXP","FQ2 2021","FQ2 2021","Currency=USD","Period=FQ","BEST_FPERIOD_OVERRIDE=FQ","FILING_STATUS=MR","SCALING_FORMAT=MLN","Sort=A","Dates=H","DateFormat=P","Fill=—","Direction=H","UseDPDF=Y")</f>
        <v>0.12559999999999999</v>
      </c>
      <c r="N41" s="13">
        <f>_xll.BDH("ITCI US Equity","ARDR_DEPRECIATION_EXP","FQ3 2021","FQ3 2021","Currency=USD","Period=FQ","BEST_FPERIOD_OVERRIDE=FQ","FILING_STATUS=MR","SCALING_FORMAT=MLN","Sort=A","Dates=H","DateFormat=P","Fill=—","Direction=H","UseDPDF=Y")</f>
        <v>0.13389999999999999</v>
      </c>
      <c r="O41" s="13">
        <f>_xll.BDH("ITCI US Equity","ARDR_DEPRECIATION_EXP","FQ4 2021","FQ4 2021","Currency=USD","Period=FQ","BEST_FPERIOD_OVERRIDE=FQ","FILING_STATUS=MR","SCALING_FORMAT=MLN","Sort=A","Dates=H","DateFormat=P","Fill=—","Direction=H","UseDPDF=Y")</f>
        <v>0.14680000000000001</v>
      </c>
      <c r="P41" s="13">
        <f>_xll.BDH("ITCI US Equity","ARDR_DEPRECIATION_EXP","FQ1 2022","FQ1 2022","Currency=USD","Period=FQ","BEST_FPERIOD_OVERRIDE=FQ","FILING_STATUS=MR","SCALING_FORMAT=MLN","Sort=A","Dates=H","DateFormat=P","Fill=—","Direction=H","UseDPDF=Y")</f>
        <v>0.17100000000000001</v>
      </c>
      <c r="Q41" s="13">
        <f>_xll.BDH("ITCI US Equity","ARDR_DEPRECIATION_EXP","FQ2 2022","FQ2 2022","Currency=USD","Period=FQ","BEST_FPERIOD_OVERRIDE=FQ","FILING_STATUS=MR","SCALING_FORMAT=MLN","Sort=A","Dates=H","DateFormat=P","Fill=—","Direction=H","UseDPDF=Y")</f>
        <v>0.17199999999999999</v>
      </c>
      <c r="R41" s="13">
        <f>_xll.BDH("ITCI US Equity","ARDR_DEPRECIATION_EXP","FQ3 2022","FQ3 2022","Currency=USD","Period=FQ","BEST_FPERIOD_OVERRIDE=FQ","FILING_STATUS=MR","SCALING_FORMAT=MLN","Sort=A","Dates=H","DateFormat=P","Fill=—","Direction=H","UseDPDF=Y")</f>
        <v>0.17</v>
      </c>
      <c r="S41" s="13">
        <f>_xll.BDH("ITCI US Equity","ARDR_DEPRECIATION_EXP","FQ4 2022","FQ4 2022","Currency=USD","Period=FQ","BEST_FPERIOD_OVERRIDE=FQ","FILING_STATUS=MR","SCALING_FORMAT=MLN","Sort=A","Dates=H","DateFormat=P","Fill=—","Direction=H","UseDPDF=Y")</f>
        <v>0.14299999999999999</v>
      </c>
      <c r="T41" s="13">
        <f>_xll.BDH("ITCI US Equity","ARDR_DEPRECIATION_EXP","FQ1 2023","FQ1 2023","Currency=USD","Period=FQ","BEST_FPERIOD_OVERRIDE=FQ","FILING_STATUS=MR","SCALING_FORMAT=MLN","Sort=A","Dates=H","DateFormat=P","Fill=—","Direction=H","UseDPDF=Y")</f>
        <v>0.13400000000000001</v>
      </c>
      <c r="U41" s="13">
        <f>_xll.BDH("ITCI US Equity","ARDR_DEPRECIATION_EXP","FQ2 2023","FQ2 2023","Currency=USD","Period=FQ","BEST_FPERIOD_OVERRIDE=FQ","FILING_STATUS=MR","SCALING_FORMAT=MLN","Sort=A","Dates=H","DateFormat=P","Fill=—","Direction=H","UseDPDF=Y")</f>
        <v>0.123</v>
      </c>
      <c r="V41" s="13">
        <f>_xll.BDH("ITCI US Equity","ARDR_DEPRECIATION_EXP","FQ3 2023","FQ3 2023","Currency=USD","Period=FQ","BEST_FPERIOD_OVERRIDE=FQ","FILING_STATUS=MR","SCALING_FORMAT=MLN","Sort=A","Dates=H","DateFormat=P","Fill=—","Direction=H","UseDPDF=Y")</f>
        <v>0.13500000000000001</v>
      </c>
      <c r="W41" s="13">
        <f>_xll.BDH("ITCI US Equity","ARDR_DEPRECIATION_EXP","FQ4 2023","FQ4 2023","Currency=USD","Period=FQ","BEST_FPERIOD_OVERRIDE=FQ","FILING_STATUS=MR","SCALING_FORMAT=MLN","Sort=A","Dates=H","DateFormat=P","Fill=—","Direction=H","UseDPDF=Y")</f>
        <v>0.13600000000000001</v>
      </c>
      <c r="X41" s="13">
        <f>_xll.BDH("ITCI US Equity","ARDR_DEPRECIATION_EXP","FQ1 2024","FQ1 2024","Currency=USD","Period=FQ","BEST_FPERIOD_OVERRIDE=FQ","FILING_STATUS=MR","SCALING_FORMAT=MLN","Sort=A","Dates=H","DateFormat=P","Fill=—","Direction=H","UseDPDF=Y")</f>
        <v>0.13200000000000001</v>
      </c>
      <c r="Y41" s="13">
        <f>_xll.BDH("ITCI US Equity","ARDR_DEPRECIATION_EXP","FQ2 2024","FQ2 2024","Currency=USD","Period=FQ","BEST_FPERIOD_OVERRIDE=FQ","FILING_STATUS=MR","SCALING_FORMAT=MLN","Sort=A","Dates=H","DateFormat=P","Fill=—","Direction=H","UseDPDF=Y")</f>
        <v>0.129</v>
      </c>
      <c r="Z41" s="13">
        <f>_xll.BDH("ITCI US Equity","ARDR_DEPRECIATION_EXP","FQ3 2024","FQ3 2024","Currency=USD","Period=FQ","BEST_FPERIOD_OVERRIDE=FQ","FILING_STATUS=MR","SCALING_FORMAT=MLN","Sort=A","Dates=H","DateFormat=P","Fill=—","Direction=H","UseDPDF=Y")</f>
        <v>0.13800000000000001</v>
      </c>
      <c r="AA41" s="13">
        <f>_xll.BDH("ITCI US Equity","ARDR_DEPRECIATION_EXP","FQ4 2024","FQ4 2024","Currency=USD","Period=FQ","BEST_FPERIOD_OVERRIDE=FQ","FILING_STATUS=MR","SCALING_FORMAT=MLN","Sort=A","Dates=H","DateFormat=P","Fill=—","Direction=H","UseDPDF=Y")</f>
        <v>0.109</v>
      </c>
    </row>
    <row r="42" spans="1:27" x14ac:dyDescent="0.25">
      <c r="A42" s="10" t="s">
        <v>438</v>
      </c>
      <c r="B42" s="10" t="s">
        <v>439</v>
      </c>
      <c r="C42" s="13" t="str">
        <f>_xll.BDH("ITCI US Equity","ARDR_SELLING_GENERAL_ADMIN_EXP","FQ4 2018","FQ4 2018","Currency=USD","Period=FQ","BEST_FPERIOD_OVERRIDE=FQ","FILING_STATUS=MR","SCALING_FORMAT=MLN","Sort=A","Dates=H","DateFormat=P","Fill=—","Direction=H","UseDPDF=Y")</f>
        <v>—</v>
      </c>
      <c r="D42" s="13" t="str">
        <f>_xll.BDH("ITCI US Equity","ARDR_SELLING_GENERAL_ADMIN_EXP","FQ1 2019","FQ1 2019","Currency=USD","Period=FQ","BEST_FPERIOD_OVERRIDE=FQ","FILING_STATUS=MR","SCALING_FORMAT=MLN","Sort=A","Dates=H","DateFormat=P","Fill=—","Direction=H","UseDPDF=Y")</f>
        <v>—</v>
      </c>
      <c r="E42" s="13">
        <f>_xll.BDH("ITCI US Equity","ARDR_SELLING_GENERAL_ADMIN_EXP","FQ2 2019","FQ2 2019","Currency=USD","Period=FQ","BEST_FPERIOD_OVERRIDE=FQ","FILING_STATUS=MR","SCALING_FORMAT=MLN","Sort=A","Dates=H","DateFormat=P","Fill=—","Direction=H","UseDPDF=Y")</f>
        <v>15.4427</v>
      </c>
      <c r="F42" s="13">
        <f>_xll.BDH("ITCI US Equity","ARDR_SELLING_GENERAL_ADMIN_EXP","FQ3 2019","FQ3 2019","Currency=USD","Period=FQ","BEST_FPERIOD_OVERRIDE=FQ","FILING_STATUS=MR","SCALING_FORMAT=MLN","Sort=A","Dates=H","DateFormat=P","Fill=—","Direction=H","UseDPDF=Y")</f>
        <v>15.0364</v>
      </c>
      <c r="G42" s="13">
        <f>_xll.BDH("ITCI US Equity","ARDR_SELLING_GENERAL_ADMIN_EXP","FQ4 2019","FQ4 2019","Currency=USD","Period=FQ","BEST_FPERIOD_OVERRIDE=FQ","FILING_STATUS=MR","SCALING_FORMAT=MLN","Sort=A","Dates=H","DateFormat=P","Fill=—","Direction=H","UseDPDF=Y")</f>
        <v>22.763500000000001</v>
      </c>
      <c r="H42" s="13" t="str">
        <f>_xll.BDH("ITCI US Equity","ARDR_SELLING_GENERAL_ADMIN_EXP","FQ1 2020","FQ1 2020","Currency=USD","Period=FQ","BEST_FPERIOD_OVERRIDE=FQ","FILING_STATUS=MR","SCALING_FORMAT=MLN","Sort=A","Dates=H","DateFormat=P","Fill=—","Direction=H","UseDPDF=Y")</f>
        <v>—</v>
      </c>
      <c r="I42" s="13">
        <f>_xll.BDH("ITCI US Equity","ARDR_SELLING_GENERAL_ADMIN_EXP","FQ2 2020","FQ2 2020","Currency=USD","Period=FQ","BEST_FPERIOD_OVERRIDE=FQ","FILING_STATUS=MR","SCALING_FORMAT=MLN","Sort=A","Dates=H","DateFormat=P","Fill=—","Direction=H","UseDPDF=Y")</f>
        <v>41.445599999999999</v>
      </c>
      <c r="J42" s="13">
        <f>_xll.BDH("ITCI US Equity","ARDR_SELLING_GENERAL_ADMIN_EXP","FQ3 2020","FQ3 2020","Currency=USD","Period=FQ","BEST_FPERIOD_OVERRIDE=FQ","FILING_STATUS=MR","SCALING_FORMAT=MLN","Sort=A","Dates=H","DateFormat=P","Fill=—","Direction=H","UseDPDF=Y")</f>
        <v>52.473599999999998</v>
      </c>
      <c r="K42" s="13">
        <f>_xll.BDH("ITCI US Equity","ARDR_SELLING_GENERAL_ADMIN_EXP","FQ4 2020","FQ4 2020","Currency=USD","Period=FQ","BEST_FPERIOD_OVERRIDE=FQ","FILING_STATUS=MR","SCALING_FORMAT=MLN","Sort=A","Dates=H","DateFormat=P","Fill=—","Direction=H","UseDPDF=Y")</f>
        <v>58.347900000000003</v>
      </c>
      <c r="L42" s="13" t="str">
        <f>_xll.BDH("ITCI US Equity","ARDR_SELLING_GENERAL_ADMIN_EXP","FQ1 2021","FQ1 2021","Currency=USD","Period=FQ","BEST_FPERIOD_OVERRIDE=FQ","FILING_STATUS=MR","SCALING_FORMAT=MLN","Sort=A","Dates=H","DateFormat=P","Fill=—","Direction=H","UseDPDF=Y")</f>
        <v>—</v>
      </c>
      <c r="M42" s="13">
        <f>_xll.BDH("ITCI US Equity","ARDR_SELLING_GENERAL_ADMIN_EXP","FQ2 2021","FQ2 2021","Currency=USD","Period=FQ","BEST_FPERIOD_OVERRIDE=FQ","FILING_STATUS=MR","SCALING_FORMAT=MLN","Sort=A","Dates=H","DateFormat=P","Fill=—","Direction=H","UseDPDF=Y")</f>
        <v>69.851200000000006</v>
      </c>
      <c r="N42" s="13" t="str">
        <f>_xll.BDH("ITCI US Equity","ARDR_SELLING_GENERAL_ADMIN_EXP","FQ3 2021","FQ3 2021","Currency=USD","Period=FQ","BEST_FPERIOD_OVERRIDE=FQ","FILING_STATUS=MR","SCALING_FORMAT=MLN","Sort=A","Dates=H","DateFormat=P","Fill=—","Direction=H","UseDPDF=Y")</f>
        <v>—</v>
      </c>
      <c r="O42" s="13">
        <f>_xll.BDH("ITCI US Equity","ARDR_SELLING_GENERAL_ADMIN_EXP","FQ4 2021","FQ4 2021","Currency=USD","Period=FQ","BEST_FPERIOD_OVERRIDE=FQ","FILING_STATUS=MR","SCALING_FORMAT=MLN","Sort=A","Dates=H","DateFormat=P","Fill=—","Direction=H","UseDPDF=Y")</f>
        <v>79.678399999999996</v>
      </c>
      <c r="P42" s="13" t="str">
        <f>_xll.BDH("ITCI US Equity","ARDR_SELLING_GENERAL_ADMIN_EXP","FQ1 2022","FQ1 2022","Currency=USD","Period=FQ","BEST_FPERIOD_OVERRIDE=FQ","FILING_STATUS=MR","SCALING_FORMAT=MLN","Sort=A","Dates=H","DateFormat=P","Fill=—","Direction=H","UseDPDF=Y")</f>
        <v>—</v>
      </c>
      <c r="Q42" s="13">
        <f>_xll.BDH("ITCI US Equity","ARDR_SELLING_GENERAL_ADMIN_EXP","FQ2 2022","FQ2 2022","Currency=USD","Period=FQ","BEST_FPERIOD_OVERRIDE=FQ","FILING_STATUS=MR","SCALING_FORMAT=MLN","Sort=A","Dates=H","DateFormat=P","Fill=—","Direction=H","UseDPDF=Y")</f>
        <v>100.316</v>
      </c>
      <c r="R42" s="13">
        <f>_xll.BDH("ITCI US Equity","ARDR_SELLING_GENERAL_ADMIN_EXP","FQ3 2022","FQ3 2022","Currency=USD","Period=FQ","BEST_FPERIOD_OVERRIDE=FQ","FILING_STATUS=MR","SCALING_FORMAT=MLN","Sort=A","Dates=H","DateFormat=P","Fill=—","Direction=H","UseDPDF=Y")</f>
        <v>88.375</v>
      </c>
      <c r="S42" s="13">
        <f>_xll.BDH("ITCI US Equity","ARDR_SELLING_GENERAL_ADMIN_EXP","FQ4 2022","FQ4 2022","Currency=USD","Period=FQ","BEST_FPERIOD_OVERRIDE=FQ","FILING_STATUS=MR","SCALING_FORMAT=MLN","Sort=A","Dates=H","DateFormat=P","Fill=—","Direction=H","UseDPDF=Y")</f>
        <v>94.631</v>
      </c>
      <c r="T42" s="13">
        <f>_xll.BDH("ITCI US Equity","ARDR_SELLING_GENERAL_ADMIN_EXP","FQ1 2023","FQ1 2023","Currency=USD","Period=FQ","BEST_FPERIOD_OVERRIDE=FQ","FILING_STATUS=MR","SCALING_FORMAT=MLN","Sort=A","Dates=H","DateFormat=P","Fill=—","Direction=H","UseDPDF=Y")</f>
        <v>98.923000000000002</v>
      </c>
      <c r="U42" s="13">
        <f>_xll.BDH("ITCI US Equity","ARDR_SELLING_GENERAL_ADMIN_EXP","FQ2 2023","FQ2 2023","Currency=USD","Period=FQ","BEST_FPERIOD_OVERRIDE=FQ","FILING_STATUS=MR","SCALING_FORMAT=MLN","Sort=A","Dates=H","DateFormat=P","Fill=—","Direction=H","UseDPDF=Y")</f>
        <v>101.014</v>
      </c>
      <c r="V42" s="13">
        <f>_xll.BDH("ITCI US Equity","ARDR_SELLING_GENERAL_ADMIN_EXP","FQ3 2023","FQ3 2023","Currency=USD","Period=FQ","BEST_FPERIOD_OVERRIDE=FQ","FILING_STATUS=MR","SCALING_FORMAT=MLN","Sort=A","Dates=H","DateFormat=P","Fill=—","Direction=H","UseDPDF=Y")</f>
        <v>105.20699999999999</v>
      </c>
      <c r="W42" s="13">
        <f>_xll.BDH("ITCI US Equity","ARDR_SELLING_GENERAL_ADMIN_EXP","FQ4 2023","FQ4 2023","Currency=USD","Period=FQ","BEST_FPERIOD_OVERRIDE=FQ","FILING_STATUS=MR","SCALING_FORMAT=MLN","Sort=A","Dates=H","DateFormat=P","Fill=—","Direction=H","UseDPDF=Y")</f>
        <v>104.72</v>
      </c>
      <c r="X42" s="13">
        <f>_xll.BDH("ITCI US Equity","ARDR_SELLING_GENERAL_ADMIN_EXP","FQ1 2024","FQ1 2024","Currency=USD","Period=FQ","BEST_FPERIOD_OVERRIDE=FQ","FILING_STATUS=MR","SCALING_FORMAT=MLN","Sort=A","Dates=H","DateFormat=P","Fill=—","Direction=H","UseDPDF=Y")</f>
        <v>113.08499999999999</v>
      </c>
      <c r="Y42" s="13">
        <f>_xll.BDH("ITCI US Equity","ARDR_SELLING_GENERAL_ADMIN_EXP","FQ2 2024","FQ2 2024","Currency=USD","Period=FQ","BEST_FPERIOD_OVERRIDE=FQ","FILING_STATUS=MR","SCALING_FORMAT=MLN","Sort=A","Dates=H","DateFormat=P","Fill=—","Direction=H","UseDPDF=Y")</f>
        <v>121.574</v>
      </c>
      <c r="Z42" s="13">
        <f>_xll.BDH("ITCI US Equity","ARDR_SELLING_GENERAL_ADMIN_EXP","FQ3 2024","FQ3 2024","Currency=USD","Period=FQ","BEST_FPERIOD_OVERRIDE=FQ","FILING_STATUS=MR","SCALING_FORMAT=MLN","Sort=A","Dates=H","DateFormat=P","Fill=—","Direction=H","UseDPDF=Y")</f>
        <v>132.101</v>
      </c>
      <c r="AA42" s="13">
        <f>_xll.BDH("ITCI US Equity","ARDR_SELLING_GENERAL_ADMIN_EXP","FQ4 2024","FQ4 2024","Currency=USD","Period=FQ","BEST_FPERIOD_OVERRIDE=FQ","FILING_STATUS=MR","SCALING_FORMAT=MLN","Sort=A","Dates=H","DateFormat=P","Fill=—","Direction=H","UseDPDF=Y")</f>
        <v>137.72900000000001</v>
      </c>
    </row>
    <row r="43" spans="1:27" x14ac:dyDescent="0.25">
      <c r="A43" s="10" t="s">
        <v>401</v>
      </c>
      <c r="B43" s="10" t="s">
        <v>440</v>
      </c>
      <c r="C43" s="13">
        <f>_xll.BDH("ITCI US Equity","ARDR_INT_INCOME","FQ4 2018","FQ4 2018","Currency=USD","Period=FQ","BEST_FPERIOD_OVERRIDE=FQ","FILING_STATUS=MR","SCALING_FORMAT=MLN","Sort=A","Dates=H","DateFormat=P","Fill=—","Direction=H","UseDPDF=Y")</f>
        <v>-1.8749</v>
      </c>
      <c r="D43" s="13" t="str">
        <f>_xll.BDH("ITCI US Equity","ARDR_INT_INCOME","FQ1 2019","FQ1 2019","Currency=USD","Period=FQ","BEST_FPERIOD_OVERRIDE=FQ","FILING_STATUS=MR","SCALING_FORMAT=MLN","Sort=A","Dates=H","DateFormat=P","Fill=—","Direction=H","UseDPDF=Y")</f>
        <v>—</v>
      </c>
      <c r="E43" s="13" t="str">
        <f>_xll.BDH("ITCI US Equity","ARDR_INT_INCOME","FQ2 2019","FQ2 2019","Currency=USD","Period=FQ","BEST_FPERIOD_OVERRIDE=FQ","FILING_STATUS=MR","SCALING_FORMAT=MLN","Sort=A","Dates=H","DateFormat=P","Fill=—","Direction=H","UseDPDF=Y")</f>
        <v>—</v>
      </c>
      <c r="F43" s="13" t="str">
        <f>_xll.BDH("ITCI US Equity","ARDR_INT_INCOME","FQ3 2019","FQ3 2019","Currency=USD","Period=FQ","BEST_FPERIOD_OVERRIDE=FQ","FILING_STATUS=MR","SCALING_FORMAT=MLN","Sort=A","Dates=H","DateFormat=P","Fill=—","Direction=H","UseDPDF=Y")</f>
        <v>—</v>
      </c>
      <c r="G43" s="13" t="str">
        <f>_xll.BDH("ITCI US Equity","ARDR_INT_INCOME","FQ4 2019","FQ4 2019","Currency=USD","Period=FQ","BEST_FPERIOD_OVERRIDE=FQ","FILING_STATUS=MR","SCALING_FORMAT=MLN","Sort=A","Dates=H","DateFormat=P","Fill=—","Direction=H","UseDPDF=Y")</f>
        <v>—</v>
      </c>
      <c r="H43" s="13" t="str">
        <f>_xll.BDH("ITCI US Equity","ARDR_INT_INCOME","FQ1 2020","FQ1 2020","Currency=USD","Period=FQ","BEST_FPERIOD_OVERRIDE=FQ","FILING_STATUS=MR","SCALING_FORMAT=MLN","Sort=A","Dates=H","DateFormat=P","Fill=—","Direction=H","UseDPDF=Y")</f>
        <v>—</v>
      </c>
      <c r="I43" s="13" t="str">
        <f>_xll.BDH("ITCI US Equity","ARDR_INT_INCOME","FQ2 2020","FQ2 2020","Currency=USD","Period=FQ","BEST_FPERIOD_OVERRIDE=FQ","FILING_STATUS=MR","SCALING_FORMAT=MLN","Sort=A","Dates=H","DateFormat=P","Fill=—","Direction=H","UseDPDF=Y")</f>
        <v>—</v>
      </c>
      <c r="J43" s="13" t="str">
        <f>_xll.BDH("ITCI US Equity","ARDR_INT_INCOME","FQ3 2020","FQ3 2020","Currency=USD","Period=FQ","BEST_FPERIOD_OVERRIDE=FQ","FILING_STATUS=MR","SCALING_FORMAT=MLN","Sort=A","Dates=H","DateFormat=P","Fill=—","Direction=H","UseDPDF=Y")</f>
        <v>—</v>
      </c>
      <c r="K43" s="13" t="str">
        <f>_xll.BDH("ITCI US Equity","ARDR_INT_INCOME","FQ4 2020","FQ4 2020","Currency=USD","Period=FQ","BEST_FPERIOD_OVERRIDE=FQ","FILING_STATUS=MR","SCALING_FORMAT=MLN","Sort=A","Dates=H","DateFormat=P","Fill=—","Direction=H","UseDPDF=Y")</f>
        <v>—</v>
      </c>
      <c r="L43" s="13">
        <f>_xll.BDH("ITCI US Equity","ARDR_INT_INCOME","FQ1 2021","FQ1 2021","Currency=USD","Period=FQ","BEST_FPERIOD_OVERRIDE=FQ","FILING_STATUS=MR","SCALING_FORMAT=MLN","Sort=A","Dates=H","DateFormat=P","Fill=—","Direction=H","UseDPDF=Y")</f>
        <v>-0.48380000000000001</v>
      </c>
      <c r="M43" s="13">
        <f>_xll.BDH("ITCI US Equity","ARDR_INT_INCOME","FQ2 2021","FQ2 2021","Currency=USD","Period=FQ","BEST_FPERIOD_OVERRIDE=FQ","FILING_STATUS=MR","SCALING_FORMAT=MLN","Sort=A","Dates=H","DateFormat=P","Fill=—","Direction=H","UseDPDF=Y")</f>
        <v>-0.42099999999999999</v>
      </c>
      <c r="N43" s="13">
        <f>_xll.BDH("ITCI US Equity","ARDR_INT_INCOME","FQ3 2021","FQ3 2021","Currency=USD","Period=FQ","BEST_FPERIOD_OVERRIDE=FQ","FILING_STATUS=MR","SCALING_FORMAT=MLN","Sort=A","Dates=H","DateFormat=P","Fill=—","Direction=H","UseDPDF=Y")</f>
        <v>-0.39269999999999999</v>
      </c>
      <c r="O43" s="13" t="str">
        <f>_xll.BDH("ITCI US Equity","ARDR_INT_INCOME","FQ4 2021","FQ4 2021","Currency=USD","Period=FQ","BEST_FPERIOD_OVERRIDE=FQ","FILING_STATUS=MR","SCALING_FORMAT=MLN","Sort=A","Dates=H","DateFormat=P","Fill=—","Direction=H","UseDPDF=Y")</f>
        <v>—</v>
      </c>
      <c r="P43" s="13">
        <f>_xll.BDH("ITCI US Equity","ARDR_INT_INCOME","FQ1 2022","FQ1 2022","Currency=USD","Period=FQ","BEST_FPERIOD_OVERRIDE=FQ","FILING_STATUS=MR","SCALING_FORMAT=MLN","Sort=A","Dates=H","DateFormat=P","Fill=—","Direction=H","UseDPDF=Y")</f>
        <v>-0.54800000000000004</v>
      </c>
      <c r="Q43" s="13">
        <f>_xll.BDH("ITCI US Equity","ARDR_INT_INCOME","FQ2 2022","FQ2 2022","Currency=USD","Period=FQ","BEST_FPERIOD_OVERRIDE=FQ","FILING_STATUS=MR","SCALING_FORMAT=MLN","Sort=A","Dates=H","DateFormat=P","Fill=—","Direction=H","UseDPDF=Y")</f>
        <v>-1.32</v>
      </c>
      <c r="R43" s="13">
        <f>_xll.BDH("ITCI US Equity","ARDR_INT_INCOME","FQ3 2022","FQ3 2022","Currency=USD","Period=FQ","BEST_FPERIOD_OVERRIDE=FQ","FILING_STATUS=MR","SCALING_FORMAT=MLN","Sort=A","Dates=H","DateFormat=P","Fill=—","Direction=H","UseDPDF=Y")</f>
        <v>-2.1219999999999999</v>
      </c>
      <c r="S43" s="13" t="str">
        <f>_xll.BDH("ITCI US Equity","ARDR_INT_INCOME","FQ4 2022","FQ4 2022","Currency=USD","Period=FQ","BEST_FPERIOD_OVERRIDE=FQ","FILING_STATUS=MR","SCALING_FORMAT=MLN","Sort=A","Dates=H","DateFormat=P","Fill=—","Direction=H","UseDPDF=Y")</f>
        <v>—</v>
      </c>
      <c r="T43" s="13">
        <f>_xll.BDH("ITCI US Equity","ARDR_INT_INCOME","FQ1 2023","FQ1 2023","Currency=USD","Period=FQ","BEST_FPERIOD_OVERRIDE=FQ","FILING_STATUS=MR","SCALING_FORMAT=MLN","Sort=A","Dates=H","DateFormat=P","Fill=—","Direction=H","UseDPDF=Y")</f>
        <v>-4.3490000000000002</v>
      </c>
      <c r="U43" s="13">
        <f>_xll.BDH("ITCI US Equity","ARDR_INT_INCOME","FQ2 2023","FQ2 2023","Currency=USD","Period=FQ","BEST_FPERIOD_OVERRIDE=FQ","FILING_STATUS=MR","SCALING_FORMAT=MLN","Sort=A","Dates=H","DateFormat=P","Fill=—","Direction=H","UseDPDF=Y")</f>
        <v>-4.53</v>
      </c>
      <c r="V43" s="13">
        <f>_xll.BDH("ITCI US Equity","ARDR_INT_INCOME","FQ3 2023","FQ3 2023","Currency=USD","Period=FQ","BEST_FPERIOD_OVERRIDE=FQ","FILING_STATUS=MR","SCALING_FORMAT=MLN","Sort=A","Dates=H","DateFormat=P","Fill=—","Direction=H","UseDPDF=Y")</f>
        <v>-5.4980000000000002</v>
      </c>
      <c r="W43" s="13" t="str">
        <f>_xll.BDH("ITCI US Equity","ARDR_INT_INCOME","FQ4 2023","FQ4 2023","Currency=USD","Period=FQ","BEST_FPERIOD_OVERRIDE=FQ","FILING_STATUS=MR","SCALING_FORMAT=MLN","Sort=A","Dates=H","DateFormat=P","Fill=—","Direction=H","UseDPDF=Y")</f>
        <v>—</v>
      </c>
      <c r="X43" s="13">
        <f>_xll.BDH("ITCI US Equity","ARDR_INT_INCOME","FQ1 2024","FQ1 2024","Currency=USD","Period=FQ","BEST_FPERIOD_OVERRIDE=FQ","FILING_STATUS=MR","SCALING_FORMAT=MLN","Sort=A","Dates=H","DateFormat=P","Fill=—","Direction=H","UseDPDF=Y")</f>
        <v>-6.0640000000000001</v>
      </c>
      <c r="Y43" s="13">
        <f>_xll.BDH("ITCI US Equity","ARDR_INT_INCOME","FQ2 2024","FQ2 2024","Currency=USD","Period=FQ","BEST_FPERIOD_OVERRIDE=FQ","FILING_STATUS=MR","SCALING_FORMAT=MLN","Sort=A","Dates=H","DateFormat=P","Fill=—","Direction=H","UseDPDF=Y")</f>
        <v>-11.56</v>
      </c>
      <c r="Z43" s="13">
        <f>_xll.BDH("ITCI US Equity","ARDR_INT_INCOME","FQ3 2024","FQ3 2024","Currency=USD","Period=FQ","BEST_FPERIOD_OVERRIDE=FQ","FILING_STATUS=MR","SCALING_FORMAT=MLN","Sort=A","Dates=H","DateFormat=P","Fill=—","Direction=H","UseDPDF=Y")</f>
        <v>-12.898999999999999</v>
      </c>
      <c r="AA43" s="13" t="str">
        <f>_xll.BDH("ITCI US Equity","ARDR_INT_INCOME","FQ4 2024","FQ4 2024","Currency=USD","Period=FQ","BEST_FPERIOD_OVERRIDE=FQ","FILING_STATUS=MR","SCALING_FORMAT=MLN","Sort=A","Dates=H","DateFormat=P","Fill=—","Direction=H","UseDPDF=Y")</f>
        <v>—</v>
      </c>
    </row>
    <row r="44" spans="1:27" x14ac:dyDescent="0.25">
      <c r="A44" s="10" t="s">
        <v>441</v>
      </c>
      <c r="B44" s="10" t="s">
        <v>442</v>
      </c>
      <c r="C44" s="13" t="str">
        <f>_xll.BDH("ITCI US Equity","ARDR_INTEREST_INCOME_NET","FQ4 2018","FQ4 2018","Currency=USD","Period=FQ","BEST_FPERIOD_OVERRIDE=FQ","FILING_STATUS=MR","SCALING_FORMAT=MLN","Sort=A","Dates=H","DateFormat=P","Fill=—","Direction=H","UseDPDF=Y")</f>
        <v>—</v>
      </c>
      <c r="D44" s="13" t="str">
        <f>_xll.BDH("ITCI US Equity","ARDR_INTEREST_INCOME_NET","FQ1 2019","FQ1 2019","Currency=USD","Period=FQ","BEST_FPERIOD_OVERRIDE=FQ","FILING_STATUS=MR","SCALING_FORMAT=MLN","Sort=A","Dates=H","DateFormat=P","Fill=—","Direction=H","UseDPDF=Y")</f>
        <v>—</v>
      </c>
      <c r="E44" s="13" t="str">
        <f>_xll.BDH("ITCI US Equity","ARDR_INTEREST_INCOME_NET","FQ2 2019","FQ2 2019","Currency=USD","Period=FQ","BEST_FPERIOD_OVERRIDE=FQ","FILING_STATUS=MR","SCALING_FORMAT=MLN","Sort=A","Dates=H","DateFormat=P","Fill=—","Direction=H","UseDPDF=Y")</f>
        <v>—</v>
      </c>
      <c r="F44" s="13" t="str">
        <f>_xll.BDH("ITCI US Equity","ARDR_INTEREST_INCOME_NET","FQ3 2019","FQ3 2019","Currency=USD","Period=FQ","BEST_FPERIOD_OVERRIDE=FQ","FILING_STATUS=MR","SCALING_FORMAT=MLN","Sort=A","Dates=H","DateFormat=P","Fill=—","Direction=H","UseDPDF=Y")</f>
        <v>—</v>
      </c>
      <c r="G44" s="13" t="str">
        <f>_xll.BDH("ITCI US Equity","ARDR_INTEREST_INCOME_NET","FQ4 2019","FQ4 2019","Currency=USD","Period=FQ","BEST_FPERIOD_OVERRIDE=FQ","FILING_STATUS=MR","SCALING_FORMAT=MLN","Sort=A","Dates=H","DateFormat=P","Fill=—","Direction=H","UseDPDF=Y")</f>
        <v>—</v>
      </c>
      <c r="H44" s="13" t="str">
        <f>_xll.BDH("ITCI US Equity","ARDR_INTEREST_INCOME_NET","FQ1 2020","FQ1 2020","Currency=USD","Period=FQ","BEST_FPERIOD_OVERRIDE=FQ","FILING_STATUS=MR","SCALING_FORMAT=MLN","Sort=A","Dates=H","DateFormat=P","Fill=—","Direction=H","UseDPDF=Y")</f>
        <v>—</v>
      </c>
      <c r="I44" s="13" t="str">
        <f>_xll.BDH("ITCI US Equity","ARDR_INTEREST_INCOME_NET","FQ2 2020","FQ2 2020","Currency=USD","Period=FQ","BEST_FPERIOD_OVERRIDE=FQ","FILING_STATUS=MR","SCALING_FORMAT=MLN","Sort=A","Dates=H","DateFormat=P","Fill=—","Direction=H","UseDPDF=Y")</f>
        <v>—</v>
      </c>
      <c r="J44" s="13" t="str">
        <f>_xll.BDH("ITCI US Equity","ARDR_INTEREST_INCOME_NET","FQ3 2020","FQ3 2020","Currency=USD","Period=FQ","BEST_FPERIOD_OVERRIDE=FQ","FILING_STATUS=MR","SCALING_FORMAT=MLN","Sort=A","Dates=H","DateFormat=P","Fill=—","Direction=H","UseDPDF=Y")</f>
        <v>—</v>
      </c>
      <c r="K44" s="13" t="str">
        <f>_xll.BDH("ITCI US Equity","ARDR_INTEREST_INCOME_NET","FQ4 2020","FQ4 2020","Currency=USD","Period=FQ","BEST_FPERIOD_OVERRIDE=FQ","FILING_STATUS=MR","SCALING_FORMAT=MLN","Sort=A","Dates=H","DateFormat=P","Fill=—","Direction=H","UseDPDF=Y")</f>
        <v>—</v>
      </c>
      <c r="L44" s="13" t="str">
        <f>_xll.BDH("ITCI US Equity","ARDR_INTEREST_INCOME_NET","FQ1 2021","FQ1 2021","Currency=USD","Period=FQ","BEST_FPERIOD_OVERRIDE=FQ","FILING_STATUS=MR","SCALING_FORMAT=MLN","Sort=A","Dates=H","DateFormat=P","Fill=—","Direction=H","UseDPDF=Y")</f>
        <v>—</v>
      </c>
      <c r="M44" s="13" t="str">
        <f>_xll.BDH("ITCI US Equity","ARDR_INTEREST_INCOME_NET","FQ2 2021","FQ2 2021","Currency=USD","Period=FQ","BEST_FPERIOD_OVERRIDE=FQ","FILING_STATUS=MR","SCALING_FORMAT=MLN","Sort=A","Dates=H","DateFormat=P","Fill=—","Direction=H","UseDPDF=Y")</f>
        <v>—</v>
      </c>
      <c r="N44" s="13" t="str">
        <f>_xll.BDH("ITCI US Equity","ARDR_INTEREST_INCOME_NET","FQ3 2021","FQ3 2021","Currency=USD","Period=FQ","BEST_FPERIOD_OVERRIDE=FQ","FILING_STATUS=MR","SCALING_FORMAT=MLN","Sort=A","Dates=H","DateFormat=P","Fill=—","Direction=H","UseDPDF=Y")</f>
        <v>—</v>
      </c>
      <c r="O44" s="13">
        <f>_xll.BDH("ITCI US Equity","ARDR_INTEREST_INCOME_NET","FQ4 2021","FQ4 2021","Currency=USD","Period=FQ","BEST_FPERIOD_OVERRIDE=FQ","FILING_STATUS=MR","SCALING_FORMAT=MLN","Sort=A","Dates=H","DateFormat=P","Fill=—","Direction=H","UseDPDF=Y")</f>
        <v>-0.27060000000000001</v>
      </c>
      <c r="P44" s="13" t="str">
        <f>_xll.BDH("ITCI US Equity","ARDR_INTEREST_INCOME_NET","FQ1 2022","FQ1 2022","Currency=USD","Period=FQ","BEST_FPERIOD_OVERRIDE=FQ","FILING_STATUS=MR","SCALING_FORMAT=MLN","Sort=A","Dates=H","DateFormat=P","Fill=—","Direction=H","UseDPDF=Y")</f>
        <v>—</v>
      </c>
      <c r="Q44" s="13" t="str">
        <f>_xll.BDH("ITCI US Equity","ARDR_INTEREST_INCOME_NET","FQ2 2022","FQ2 2022","Currency=USD","Period=FQ","BEST_FPERIOD_OVERRIDE=FQ","FILING_STATUS=MR","SCALING_FORMAT=MLN","Sort=A","Dates=H","DateFormat=P","Fill=—","Direction=H","UseDPDF=Y")</f>
        <v>—</v>
      </c>
      <c r="R44" s="13" t="str">
        <f>_xll.BDH("ITCI US Equity","ARDR_INTEREST_INCOME_NET","FQ3 2022","FQ3 2022","Currency=USD","Period=FQ","BEST_FPERIOD_OVERRIDE=FQ","FILING_STATUS=MR","SCALING_FORMAT=MLN","Sort=A","Dates=H","DateFormat=P","Fill=—","Direction=H","UseDPDF=Y")</f>
        <v>—</v>
      </c>
      <c r="S44" s="13">
        <f>_xll.BDH("ITCI US Equity","ARDR_INTEREST_INCOME_NET","FQ4 2022","FQ4 2022","Currency=USD","Period=FQ","BEST_FPERIOD_OVERRIDE=FQ","FILING_STATUS=MR","SCALING_FORMAT=MLN","Sort=A","Dates=H","DateFormat=P","Fill=—","Direction=H","UseDPDF=Y")</f>
        <v>-3.3860000000000001</v>
      </c>
      <c r="T44" s="13" t="str">
        <f>_xll.BDH("ITCI US Equity","ARDR_INTEREST_INCOME_NET","FQ1 2023","FQ1 2023","Currency=USD","Period=FQ","BEST_FPERIOD_OVERRIDE=FQ","FILING_STATUS=MR","SCALING_FORMAT=MLN","Sort=A","Dates=H","DateFormat=P","Fill=—","Direction=H","UseDPDF=Y")</f>
        <v>—</v>
      </c>
      <c r="U44" s="13" t="str">
        <f>_xll.BDH("ITCI US Equity","ARDR_INTEREST_INCOME_NET","FQ2 2023","FQ2 2023","Currency=USD","Period=FQ","BEST_FPERIOD_OVERRIDE=FQ","FILING_STATUS=MR","SCALING_FORMAT=MLN","Sort=A","Dates=H","DateFormat=P","Fill=—","Direction=H","UseDPDF=Y")</f>
        <v>—</v>
      </c>
      <c r="V44" s="13" t="str">
        <f>_xll.BDH("ITCI US Equity","ARDR_INTEREST_INCOME_NET","FQ3 2023","FQ3 2023","Currency=USD","Period=FQ","BEST_FPERIOD_OVERRIDE=FQ","FILING_STATUS=MR","SCALING_FORMAT=MLN","Sort=A","Dates=H","DateFormat=P","Fill=—","Direction=H","UseDPDF=Y")</f>
        <v>—</v>
      </c>
      <c r="W44" s="13">
        <f>_xll.BDH("ITCI US Equity","ARDR_INTEREST_INCOME_NET","FQ4 2023","FQ4 2023","Currency=USD","Period=FQ","BEST_FPERIOD_OVERRIDE=FQ","FILING_STATUS=MR","SCALING_FORMAT=MLN","Sort=A","Dates=H","DateFormat=P","Fill=—","Direction=H","UseDPDF=Y")</f>
        <v>-5.9660000000000002</v>
      </c>
      <c r="X44" s="13" t="str">
        <f>_xll.BDH("ITCI US Equity","ARDR_INTEREST_INCOME_NET","FQ1 2024","FQ1 2024","Currency=USD","Period=FQ","BEST_FPERIOD_OVERRIDE=FQ","FILING_STATUS=MR","SCALING_FORMAT=MLN","Sort=A","Dates=H","DateFormat=P","Fill=—","Direction=H","UseDPDF=Y")</f>
        <v>—</v>
      </c>
      <c r="Y44" s="13" t="str">
        <f>_xll.BDH("ITCI US Equity","ARDR_INTEREST_INCOME_NET","FQ2 2024","FQ2 2024","Currency=USD","Period=FQ","BEST_FPERIOD_OVERRIDE=FQ","FILING_STATUS=MR","SCALING_FORMAT=MLN","Sort=A","Dates=H","DateFormat=P","Fill=—","Direction=H","UseDPDF=Y")</f>
        <v>—</v>
      </c>
      <c r="Z44" s="13" t="str">
        <f>_xll.BDH("ITCI US Equity","ARDR_INTEREST_INCOME_NET","FQ3 2024","FQ3 2024","Currency=USD","Period=FQ","BEST_FPERIOD_OVERRIDE=FQ","FILING_STATUS=MR","SCALING_FORMAT=MLN","Sort=A","Dates=H","DateFormat=P","Fill=—","Direction=H","UseDPDF=Y")</f>
        <v>—</v>
      </c>
      <c r="AA44" s="13">
        <f>_xll.BDH("ITCI US Equity","ARDR_INTEREST_INCOME_NET","FQ4 2024","FQ4 2024","Currency=USD","Period=FQ","BEST_FPERIOD_OVERRIDE=FQ","FILING_STATUS=MR","SCALING_FORMAT=MLN","Sort=A","Dates=H","DateFormat=P","Fill=—","Direction=H","UseDPDF=Y")</f>
        <v>-11.994999999999999</v>
      </c>
    </row>
    <row r="45" spans="1:27" x14ac:dyDescent="0.25">
      <c r="A45" s="10" t="s">
        <v>403</v>
      </c>
      <c r="B45" s="10" t="s">
        <v>443</v>
      </c>
      <c r="C45" s="13" t="str">
        <f>_xll.BDH("ITCI US Equity","ARDR_INCOME_TAX_EXP_BENEFIT","FQ4 2018","FQ4 2018","Currency=USD","Period=FQ","BEST_FPERIOD_OVERRIDE=FQ","FILING_STATUS=MR","SCALING_FORMAT=MLN","Sort=A","Dates=H","DateFormat=P","Fill=—","Direction=H","UseDPDF=Y")</f>
        <v>—</v>
      </c>
      <c r="D45" s="13" t="str">
        <f>_xll.BDH("ITCI US Equity","ARDR_INCOME_TAX_EXP_BENEFIT","FQ1 2019","FQ1 2019","Currency=USD","Period=FQ","BEST_FPERIOD_OVERRIDE=FQ","FILING_STATUS=MR","SCALING_FORMAT=MLN","Sort=A","Dates=H","DateFormat=P","Fill=—","Direction=H","UseDPDF=Y")</f>
        <v>—</v>
      </c>
      <c r="E45" s="13" t="str">
        <f>_xll.BDH("ITCI US Equity","ARDR_INCOME_TAX_EXP_BENEFIT","FQ2 2019","FQ2 2019","Currency=USD","Period=FQ","BEST_FPERIOD_OVERRIDE=FQ","FILING_STATUS=MR","SCALING_FORMAT=MLN","Sort=A","Dates=H","DateFormat=P","Fill=—","Direction=H","UseDPDF=Y")</f>
        <v>—</v>
      </c>
      <c r="F45" s="13" t="str">
        <f>_xll.BDH("ITCI US Equity","ARDR_INCOME_TAX_EXP_BENEFIT","FQ3 2019","FQ3 2019","Currency=USD","Period=FQ","BEST_FPERIOD_OVERRIDE=FQ","FILING_STATUS=MR","SCALING_FORMAT=MLN","Sort=A","Dates=H","DateFormat=P","Fill=—","Direction=H","UseDPDF=Y")</f>
        <v>—</v>
      </c>
      <c r="G45" s="13" t="str">
        <f>_xll.BDH("ITCI US Equity","ARDR_INCOME_TAX_EXP_BENEFIT","FQ4 2019","FQ4 2019","Currency=USD","Period=FQ","BEST_FPERIOD_OVERRIDE=FQ","FILING_STATUS=MR","SCALING_FORMAT=MLN","Sort=A","Dates=H","DateFormat=P","Fill=—","Direction=H","UseDPDF=Y")</f>
        <v>—</v>
      </c>
      <c r="H45" s="13" t="str">
        <f>_xll.BDH("ITCI US Equity","ARDR_INCOME_TAX_EXP_BENEFIT","FQ1 2020","FQ1 2020","Currency=USD","Period=FQ","BEST_FPERIOD_OVERRIDE=FQ","FILING_STATUS=MR","SCALING_FORMAT=MLN","Sort=A","Dates=H","DateFormat=P","Fill=—","Direction=H","UseDPDF=Y")</f>
        <v>—</v>
      </c>
      <c r="I45" s="13" t="str">
        <f>_xll.BDH("ITCI US Equity","ARDR_INCOME_TAX_EXP_BENEFIT","FQ2 2020","FQ2 2020","Currency=USD","Period=FQ","BEST_FPERIOD_OVERRIDE=FQ","FILING_STATUS=MR","SCALING_FORMAT=MLN","Sort=A","Dates=H","DateFormat=P","Fill=—","Direction=H","UseDPDF=Y")</f>
        <v>—</v>
      </c>
      <c r="J45" s="13" t="str">
        <f>_xll.BDH("ITCI US Equity","ARDR_INCOME_TAX_EXP_BENEFIT","FQ3 2020","FQ3 2020","Currency=USD","Period=FQ","BEST_FPERIOD_OVERRIDE=FQ","FILING_STATUS=MR","SCALING_FORMAT=MLN","Sort=A","Dates=H","DateFormat=P","Fill=—","Direction=H","UseDPDF=Y")</f>
        <v>—</v>
      </c>
      <c r="K45" s="13" t="str">
        <f>_xll.BDH("ITCI US Equity","ARDR_INCOME_TAX_EXP_BENEFIT","FQ4 2020","FQ4 2020","Currency=USD","Period=FQ","BEST_FPERIOD_OVERRIDE=FQ","FILING_STATUS=MR","SCALING_FORMAT=MLN","Sort=A","Dates=H","DateFormat=P","Fill=—","Direction=H","UseDPDF=Y")</f>
        <v>—</v>
      </c>
      <c r="L45" s="13" t="str">
        <f>_xll.BDH("ITCI US Equity","ARDR_INCOME_TAX_EXP_BENEFIT","FQ1 2021","FQ1 2021","Currency=USD","Period=FQ","BEST_FPERIOD_OVERRIDE=FQ","FILING_STATUS=MR","SCALING_FORMAT=MLN","Sort=A","Dates=H","DateFormat=P","Fill=—","Direction=H","UseDPDF=Y")</f>
        <v>—</v>
      </c>
      <c r="M45" s="13" t="str">
        <f>_xll.BDH("ITCI US Equity","ARDR_INCOME_TAX_EXP_BENEFIT","FQ2 2021","FQ2 2021","Currency=USD","Period=FQ","BEST_FPERIOD_OVERRIDE=FQ","FILING_STATUS=MR","SCALING_FORMAT=MLN","Sort=A","Dates=H","DateFormat=P","Fill=—","Direction=H","UseDPDF=Y")</f>
        <v>—</v>
      </c>
      <c r="N45" s="13" t="str">
        <f>_xll.BDH("ITCI US Equity","ARDR_INCOME_TAX_EXP_BENEFIT","FQ3 2021","FQ3 2021","Currency=USD","Period=FQ","BEST_FPERIOD_OVERRIDE=FQ","FILING_STATUS=MR","SCALING_FORMAT=MLN","Sort=A","Dates=H","DateFormat=P","Fill=—","Direction=H","UseDPDF=Y")</f>
        <v>—</v>
      </c>
      <c r="O45" s="13" t="str">
        <f>_xll.BDH("ITCI US Equity","ARDR_INCOME_TAX_EXP_BENEFIT","FQ4 2021","FQ4 2021","Currency=USD","Period=FQ","BEST_FPERIOD_OVERRIDE=FQ","FILING_STATUS=MR","SCALING_FORMAT=MLN","Sort=A","Dates=H","DateFormat=P","Fill=—","Direction=H","UseDPDF=Y")</f>
        <v>—</v>
      </c>
      <c r="P45" s="13" t="str">
        <f>_xll.BDH("ITCI US Equity","ARDR_INCOME_TAX_EXP_BENEFIT","FQ1 2022","FQ1 2022","Currency=USD","Period=FQ","BEST_FPERIOD_OVERRIDE=FQ","FILING_STATUS=MR","SCALING_FORMAT=MLN","Sort=A","Dates=H","DateFormat=P","Fill=—","Direction=H","UseDPDF=Y")</f>
        <v>—</v>
      </c>
      <c r="Q45" s="13" t="str">
        <f>_xll.BDH("ITCI US Equity","ARDR_INCOME_TAX_EXP_BENEFIT","FQ2 2022","FQ2 2022","Currency=USD","Period=FQ","BEST_FPERIOD_OVERRIDE=FQ","FILING_STATUS=MR","SCALING_FORMAT=MLN","Sort=A","Dates=H","DateFormat=P","Fill=—","Direction=H","UseDPDF=Y")</f>
        <v>—</v>
      </c>
      <c r="R45" s="13" t="str">
        <f>_xll.BDH("ITCI US Equity","ARDR_INCOME_TAX_EXP_BENEFIT","FQ3 2022","FQ3 2022","Currency=USD","Period=FQ","BEST_FPERIOD_OVERRIDE=FQ","FILING_STATUS=MR","SCALING_FORMAT=MLN","Sort=A","Dates=H","DateFormat=P","Fill=—","Direction=H","UseDPDF=Y")</f>
        <v>—</v>
      </c>
      <c r="S45" s="13" t="str">
        <f>_xll.BDH("ITCI US Equity","ARDR_INCOME_TAX_EXP_BENEFIT","FQ4 2022","FQ4 2022","Currency=USD","Period=FQ","BEST_FPERIOD_OVERRIDE=FQ","FILING_STATUS=MR","SCALING_FORMAT=MLN","Sort=A","Dates=H","DateFormat=P","Fill=—","Direction=H","UseDPDF=Y")</f>
        <v>—</v>
      </c>
      <c r="T45" s="13" t="str">
        <f>_xll.BDH("ITCI US Equity","ARDR_INCOME_TAX_EXP_BENEFIT","FQ1 2023","FQ1 2023","Currency=USD","Period=FQ","BEST_FPERIOD_OVERRIDE=FQ","FILING_STATUS=MR","SCALING_FORMAT=MLN","Sort=A","Dates=H","DateFormat=P","Fill=—","Direction=H","UseDPDF=Y")</f>
        <v>—</v>
      </c>
      <c r="U45" s="13" t="str">
        <f>_xll.BDH("ITCI US Equity","ARDR_INCOME_TAX_EXP_BENEFIT","FQ2 2023","FQ2 2023","Currency=USD","Period=FQ","BEST_FPERIOD_OVERRIDE=FQ","FILING_STATUS=MR","SCALING_FORMAT=MLN","Sort=A","Dates=H","DateFormat=P","Fill=—","Direction=H","UseDPDF=Y")</f>
        <v>—</v>
      </c>
      <c r="V45" s="13" t="str">
        <f>_xll.BDH("ITCI US Equity","ARDR_INCOME_TAX_EXP_BENEFIT","FQ3 2023","FQ3 2023","Currency=USD","Period=FQ","BEST_FPERIOD_OVERRIDE=FQ","FILING_STATUS=MR","SCALING_FORMAT=MLN","Sort=A","Dates=H","DateFormat=P","Fill=—","Direction=H","UseDPDF=Y")</f>
        <v>—</v>
      </c>
      <c r="W45" s="13" t="str">
        <f>_xll.BDH("ITCI US Equity","ARDR_INCOME_TAX_EXP_BENEFIT","FQ4 2023","FQ4 2023","Currency=USD","Period=FQ","BEST_FPERIOD_OVERRIDE=FQ","FILING_STATUS=MR","SCALING_FORMAT=MLN","Sort=A","Dates=H","DateFormat=P","Fill=—","Direction=H","UseDPDF=Y")</f>
        <v>—</v>
      </c>
      <c r="X45" s="13">
        <f>_xll.BDH("ITCI US Equity","ARDR_INCOME_TAX_EXP_BENEFIT","FQ1 2024","FQ1 2024","Currency=USD","Period=FQ","BEST_FPERIOD_OVERRIDE=FQ","FILING_STATUS=MR","SCALING_FORMAT=MLN","Sort=A","Dates=H","DateFormat=P","Fill=—","Direction=H","UseDPDF=Y")</f>
        <v>-0.35899999999999999</v>
      </c>
      <c r="Y45" s="13">
        <f>_xll.BDH("ITCI US Equity","ARDR_INCOME_TAX_EXP_BENEFIT","FQ2 2024","FQ2 2024","Currency=USD","Period=FQ","BEST_FPERIOD_OVERRIDE=FQ","FILING_STATUS=MR","SCALING_FORMAT=MLN","Sort=A","Dates=H","DateFormat=P","Fill=—","Direction=H","UseDPDF=Y")</f>
        <v>-5.7000000000000002E-2</v>
      </c>
      <c r="Z45" s="13">
        <f>_xll.BDH("ITCI US Equity","ARDR_INCOME_TAX_EXP_BENEFIT","FQ3 2024","FQ3 2024","Currency=USD","Period=FQ","BEST_FPERIOD_OVERRIDE=FQ","FILING_STATUS=MR","SCALING_FORMAT=MLN","Sort=A","Dates=H","DateFormat=P","Fill=—","Direction=H","UseDPDF=Y")</f>
        <v>-0.374</v>
      </c>
      <c r="AA45" s="13" t="str">
        <f>_xll.BDH("ITCI US Equity","ARDR_INCOME_TAX_EXP_BENEFIT","FQ4 2024","FQ4 2024","Currency=USD","Period=FQ","BEST_FPERIOD_OVERRIDE=FQ","FILING_STATUS=MR","SCALING_FORMAT=MLN","Sort=A","Dates=H","DateFormat=P","Fill=—","Direction=H","UseDPDF=Y")</f>
        <v>—</v>
      </c>
    </row>
    <row r="46" spans="1:27" x14ac:dyDescent="0.25">
      <c r="A46" s="10" t="s">
        <v>426</v>
      </c>
      <c r="B46" s="10" t="s">
        <v>444</v>
      </c>
      <c r="C46" s="13" t="str">
        <f>_xll.BDH("ITCI US Equity","ARDR_UNREALIZED_GL_ON_SECS","FQ4 2018","FQ4 2018","Currency=USD","Period=FQ","BEST_FPERIOD_OVERRIDE=FQ","FILING_STATUS=MR","SCALING_FORMAT=MLN","Sort=A","Dates=H","DateFormat=P","Fill=—","Direction=H","UseDPDF=Y")</f>
        <v>—</v>
      </c>
      <c r="D46" s="13">
        <f>_xll.BDH("ITCI US Equity","ARDR_UNREALIZED_GL_ON_SECS","FQ1 2019","FQ1 2019","Currency=USD","Period=FQ","BEST_FPERIOD_OVERRIDE=FQ","FILING_STATUS=MR","SCALING_FORMAT=MLN","Sort=A","Dates=H","DateFormat=P","Fill=—","Direction=H","UseDPDF=Y")</f>
        <v>0.60029999999999994</v>
      </c>
      <c r="E46" s="13" t="str">
        <f>_xll.BDH("ITCI US Equity","ARDR_UNREALIZED_GL_ON_SECS","FQ2 2019","FQ2 2019","Currency=USD","Period=FQ","BEST_FPERIOD_OVERRIDE=FQ","FILING_STATUS=MR","SCALING_FORMAT=MLN","Sort=A","Dates=H","DateFormat=P","Fill=—","Direction=H","UseDPDF=Y")</f>
        <v>—</v>
      </c>
      <c r="F46" s="13" t="str">
        <f>_xll.BDH("ITCI US Equity","ARDR_UNREALIZED_GL_ON_SECS","FQ3 2019","FQ3 2019","Currency=USD","Period=FQ","BEST_FPERIOD_OVERRIDE=FQ","FILING_STATUS=MR","SCALING_FORMAT=MLN","Sort=A","Dates=H","DateFormat=P","Fill=—","Direction=H","UseDPDF=Y")</f>
        <v>—</v>
      </c>
      <c r="G46" s="13" t="str">
        <f>_xll.BDH("ITCI US Equity","ARDR_UNREALIZED_GL_ON_SECS","FQ4 2019","FQ4 2019","Currency=USD","Period=FQ","BEST_FPERIOD_OVERRIDE=FQ","FILING_STATUS=MR","SCALING_FORMAT=MLN","Sort=A","Dates=H","DateFormat=P","Fill=—","Direction=H","UseDPDF=Y")</f>
        <v>—</v>
      </c>
      <c r="H46" s="13" t="str">
        <f>_xll.BDH("ITCI US Equity","ARDR_UNREALIZED_GL_ON_SECS","FQ1 2020","FQ1 2020","Currency=USD","Period=FQ","BEST_FPERIOD_OVERRIDE=FQ","FILING_STATUS=MR","SCALING_FORMAT=MLN","Sort=A","Dates=H","DateFormat=P","Fill=—","Direction=H","UseDPDF=Y")</f>
        <v>—</v>
      </c>
      <c r="I46" s="13" t="str">
        <f>_xll.BDH("ITCI US Equity","ARDR_UNREALIZED_GL_ON_SECS","FQ2 2020","FQ2 2020","Currency=USD","Period=FQ","BEST_FPERIOD_OVERRIDE=FQ","FILING_STATUS=MR","SCALING_FORMAT=MLN","Sort=A","Dates=H","DateFormat=P","Fill=—","Direction=H","UseDPDF=Y")</f>
        <v>—</v>
      </c>
      <c r="J46" s="13" t="str">
        <f>_xll.BDH("ITCI US Equity","ARDR_UNREALIZED_GL_ON_SECS","FQ3 2020","FQ3 2020","Currency=USD","Period=FQ","BEST_FPERIOD_OVERRIDE=FQ","FILING_STATUS=MR","SCALING_FORMAT=MLN","Sort=A","Dates=H","DateFormat=P","Fill=—","Direction=H","UseDPDF=Y")</f>
        <v>—</v>
      </c>
      <c r="K46" s="13" t="str">
        <f>_xll.BDH("ITCI US Equity","ARDR_UNREALIZED_GL_ON_SECS","FQ4 2020","FQ4 2020","Currency=USD","Period=FQ","BEST_FPERIOD_OVERRIDE=FQ","FILING_STATUS=MR","SCALING_FORMAT=MLN","Sort=A","Dates=H","DateFormat=P","Fill=—","Direction=H","UseDPDF=Y")</f>
        <v>—</v>
      </c>
      <c r="L46" s="13" t="str">
        <f>_xll.BDH("ITCI US Equity","ARDR_UNREALIZED_GL_ON_SECS","FQ1 2021","FQ1 2021","Currency=USD","Period=FQ","BEST_FPERIOD_OVERRIDE=FQ","FILING_STATUS=MR","SCALING_FORMAT=MLN","Sort=A","Dates=H","DateFormat=P","Fill=—","Direction=H","UseDPDF=Y")</f>
        <v>—</v>
      </c>
      <c r="M46" s="13" t="str">
        <f>_xll.BDH("ITCI US Equity","ARDR_UNREALIZED_GL_ON_SECS","FQ2 2021","FQ2 2021","Currency=USD","Period=FQ","BEST_FPERIOD_OVERRIDE=FQ","FILING_STATUS=MR","SCALING_FORMAT=MLN","Sort=A","Dates=H","DateFormat=P","Fill=—","Direction=H","UseDPDF=Y")</f>
        <v>—</v>
      </c>
      <c r="N46" s="13" t="str">
        <f>_xll.BDH("ITCI US Equity","ARDR_UNREALIZED_GL_ON_SECS","FQ3 2021","FQ3 2021","Currency=USD","Period=FQ","BEST_FPERIOD_OVERRIDE=FQ","FILING_STATUS=MR","SCALING_FORMAT=MLN","Sort=A","Dates=H","DateFormat=P","Fill=—","Direction=H","UseDPDF=Y")</f>
        <v>—</v>
      </c>
      <c r="O46" s="13" t="str">
        <f>_xll.BDH("ITCI US Equity","ARDR_UNREALIZED_GL_ON_SECS","FQ4 2021","FQ4 2021","Currency=USD","Period=FQ","BEST_FPERIOD_OVERRIDE=FQ","FILING_STATUS=MR","SCALING_FORMAT=MLN","Sort=A","Dates=H","DateFormat=P","Fill=—","Direction=H","UseDPDF=Y")</f>
        <v>—</v>
      </c>
      <c r="P46" s="13" t="str">
        <f>_xll.BDH("ITCI US Equity","ARDR_UNREALIZED_GL_ON_SECS","FQ1 2022","FQ1 2022","Currency=USD","Period=FQ","BEST_FPERIOD_OVERRIDE=FQ","FILING_STATUS=MR","SCALING_FORMAT=MLN","Sort=A","Dates=H","DateFormat=P","Fill=—","Direction=H","UseDPDF=Y")</f>
        <v>—</v>
      </c>
      <c r="Q46" s="13" t="str">
        <f>_xll.BDH("ITCI US Equity","ARDR_UNREALIZED_GL_ON_SECS","FQ2 2022","FQ2 2022","Currency=USD","Period=FQ","BEST_FPERIOD_OVERRIDE=FQ","FILING_STATUS=MR","SCALING_FORMAT=MLN","Sort=A","Dates=H","DateFormat=P","Fill=—","Direction=H","UseDPDF=Y")</f>
        <v>—</v>
      </c>
      <c r="R46" s="13" t="str">
        <f>_xll.BDH("ITCI US Equity","ARDR_UNREALIZED_GL_ON_SECS","FQ3 2022","FQ3 2022","Currency=USD","Period=FQ","BEST_FPERIOD_OVERRIDE=FQ","FILING_STATUS=MR","SCALING_FORMAT=MLN","Sort=A","Dates=H","DateFormat=P","Fill=—","Direction=H","UseDPDF=Y")</f>
        <v>—</v>
      </c>
      <c r="S46" s="13" t="str">
        <f>_xll.BDH("ITCI US Equity","ARDR_UNREALIZED_GL_ON_SECS","FQ4 2022","FQ4 2022","Currency=USD","Period=FQ","BEST_FPERIOD_OVERRIDE=FQ","FILING_STATUS=MR","SCALING_FORMAT=MLN","Sort=A","Dates=H","DateFormat=P","Fill=—","Direction=H","UseDPDF=Y")</f>
        <v>—</v>
      </c>
      <c r="T46" s="13" t="str">
        <f>_xll.BDH("ITCI US Equity","ARDR_UNREALIZED_GL_ON_SECS","FQ1 2023","FQ1 2023","Currency=USD","Period=FQ","BEST_FPERIOD_OVERRIDE=FQ","FILING_STATUS=MR","SCALING_FORMAT=MLN","Sort=A","Dates=H","DateFormat=P","Fill=—","Direction=H","UseDPDF=Y")</f>
        <v>—</v>
      </c>
      <c r="U46" s="13" t="str">
        <f>_xll.BDH("ITCI US Equity","ARDR_UNREALIZED_GL_ON_SECS","FQ2 2023","FQ2 2023","Currency=USD","Period=FQ","BEST_FPERIOD_OVERRIDE=FQ","FILING_STATUS=MR","SCALING_FORMAT=MLN","Sort=A","Dates=H","DateFormat=P","Fill=—","Direction=H","UseDPDF=Y")</f>
        <v>—</v>
      </c>
      <c r="V46" s="13" t="str">
        <f>_xll.BDH("ITCI US Equity","ARDR_UNREALIZED_GL_ON_SECS","FQ3 2023","FQ3 2023","Currency=USD","Period=FQ","BEST_FPERIOD_OVERRIDE=FQ","FILING_STATUS=MR","SCALING_FORMAT=MLN","Sort=A","Dates=H","DateFormat=P","Fill=—","Direction=H","UseDPDF=Y")</f>
        <v>—</v>
      </c>
      <c r="W46" s="13" t="str">
        <f>_xll.BDH("ITCI US Equity","ARDR_UNREALIZED_GL_ON_SECS","FQ4 2023","FQ4 2023","Currency=USD","Period=FQ","BEST_FPERIOD_OVERRIDE=FQ","FILING_STATUS=MR","SCALING_FORMAT=MLN","Sort=A","Dates=H","DateFormat=P","Fill=—","Direction=H","UseDPDF=Y")</f>
        <v>—</v>
      </c>
      <c r="X46" s="13" t="str">
        <f>_xll.BDH("ITCI US Equity","ARDR_UNREALIZED_GL_ON_SECS","FQ1 2024","FQ1 2024","Currency=USD","Period=FQ","BEST_FPERIOD_OVERRIDE=FQ","FILING_STATUS=MR","SCALING_FORMAT=MLN","Sort=A","Dates=H","DateFormat=P","Fill=—","Direction=H","UseDPDF=Y")</f>
        <v>—</v>
      </c>
      <c r="Y46" s="13" t="str">
        <f>_xll.BDH("ITCI US Equity","ARDR_UNREALIZED_GL_ON_SECS","FQ2 2024","FQ2 2024","Currency=USD","Period=FQ","BEST_FPERIOD_OVERRIDE=FQ","FILING_STATUS=MR","SCALING_FORMAT=MLN","Sort=A","Dates=H","DateFormat=P","Fill=—","Direction=H","UseDPDF=Y")</f>
        <v>—</v>
      </c>
      <c r="Z46" s="13" t="str">
        <f>_xll.BDH("ITCI US Equity","ARDR_UNREALIZED_GL_ON_SECS","FQ3 2024","FQ3 2024","Currency=USD","Period=FQ","BEST_FPERIOD_OVERRIDE=FQ","FILING_STATUS=MR","SCALING_FORMAT=MLN","Sort=A","Dates=H","DateFormat=P","Fill=—","Direction=H","UseDPDF=Y")</f>
        <v>—</v>
      </c>
      <c r="AA46" s="13" t="str">
        <f>_xll.BDH("ITCI US Equity","ARDR_UNREALIZED_GL_ON_SECS","FQ4 2024","FQ4 2024","Currency=USD","Period=FQ","BEST_FPERIOD_OVERRIDE=FQ","FILING_STATUS=MR","SCALING_FORMAT=MLN","Sort=A","Dates=H","DateFormat=P","Fill=—","Direction=H","UseDPDF=Y")</f>
        <v>—</v>
      </c>
    </row>
    <row r="47" spans="1:27" x14ac:dyDescent="0.25">
      <c r="A47" s="10" t="s">
        <v>395</v>
      </c>
      <c r="B47" s="10" t="s">
        <v>445</v>
      </c>
      <c r="C47" s="13">
        <f>_xll.BDH("ITCI US Equity","ARDR_GENERAL_ADMINISTRATIVE_EXP","FQ4 2018","FQ4 2018","Currency=USD","Period=FQ","BEST_FPERIOD_OVERRIDE=FQ","FILING_STATUS=MR","SCALING_FORMAT=MLN","Sort=A","Dates=H","DateFormat=P","Fill=—","Direction=H","UseDPDF=Y")</f>
        <v>9.0173000000000005</v>
      </c>
      <c r="D47" s="13">
        <f>_xll.BDH("ITCI US Equity","ARDR_GENERAL_ADMINISTRATIVE_EXP","FQ1 2019","FQ1 2019","Currency=USD","Period=FQ","BEST_FPERIOD_OVERRIDE=FQ","FILING_STATUS=MR","SCALING_FORMAT=MLN","Sort=A","Dates=H","DateFormat=P","Fill=—","Direction=H","UseDPDF=Y")</f>
        <v>6.5</v>
      </c>
      <c r="E47" s="13">
        <f>_xll.BDH("ITCI US Equity","ARDR_GENERAL_ADMINISTRATIVE_EXP","FQ2 2019","FQ2 2019","Currency=USD","Period=FQ","BEST_FPERIOD_OVERRIDE=FQ","FILING_STATUS=MR","SCALING_FORMAT=MLN","Sort=A","Dates=H","DateFormat=P","Fill=—","Direction=H","UseDPDF=Y")</f>
        <v>7.7</v>
      </c>
      <c r="F47" s="13">
        <f>_xll.BDH("ITCI US Equity","ARDR_GENERAL_ADMINISTRATIVE_EXP","FQ3 2019","FQ3 2019","Currency=USD","Period=FQ","BEST_FPERIOD_OVERRIDE=FQ","FILING_STATUS=MR","SCALING_FORMAT=MLN","Sort=A","Dates=H","DateFormat=P","Fill=—","Direction=H","UseDPDF=Y")</f>
        <v>8.4739000000000004</v>
      </c>
      <c r="G47" s="13">
        <f>_xll.BDH("ITCI US Equity","ARDR_GENERAL_ADMINISTRATIVE_EXP","FQ4 2019","FQ4 2019","Currency=USD","Period=FQ","BEST_FPERIOD_OVERRIDE=FQ","FILING_STATUS=MR","SCALING_FORMAT=MLN","Sort=A","Dates=H","DateFormat=P","Fill=—","Direction=H","UseDPDF=Y")</f>
        <v>9.6</v>
      </c>
      <c r="H47" s="13">
        <f>_xll.BDH("ITCI US Equity","ARDR_GENERAL_ADMINISTRATIVE_EXP","FQ1 2020","FQ1 2020","Currency=USD","Period=FQ","BEST_FPERIOD_OVERRIDE=FQ","FILING_STATUS=MR","SCALING_FORMAT=MLN","Sort=A","Dates=H","DateFormat=P","Fill=—","Direction=H","UseDPDF=Y")</f>
        <v>13.3</v>
      </c>
      <c r="I47" s="13">
        <f>_xll.BDH("ITCI US Equity","ARDR_GENERAL_ADMINISTRATIVE_EXP","FQ2 2020","FQ2 2020","Currency=USD","Period=FQ","BEST_FPERIOD_OVERRIDE=FQ","FILING_STATUS=MR","SCALING_FORMAT=MLN","Sort=A","Dates=H","DateFormat=P","Fill=—","Direction=H","UseDPDF=Y")</f>
        <v>13.1</v>
      </c>
      <c r="J47" s="13">
        <f>_xll.BDH("ITCI US Equity","ARDR_GENERAL_ADMINISTRATIVE_EXP","FQ3 2020","FQ3 2020","Currency=USD","Period=FQ","BEST_FPERIOD_OVERRIDE=FQ","FILING_STATUS=MR","SCALING_FORMAT=MLN","Sort=A","Dates=H","DateFormat=P","Fill=—","Direction=H","UseDPDF=Y")</f>
        <v>14.2</v>
      </c>
      <c r="K47" s="13">
        <f>_xll.BDH("ITCI US Equity","ARDR_GENERAL_ADMINISTRATIVE_EXP","FQ4 2020","FQ4 2020","Currency=USD","Period=FQ","BEST_FPERIOD_OVERRIDE=FQ","FILING_STATUS=MR","SCALING_FORMAT=MLN","Sort=A","Dates=H","DateFormat=P","Fill=—","Direction=H","UseDPDF=Y")</f>
        <v>13.4</v>
      </c>
      <c r="L47" s="13">
        <f>_xll.BDH("ITCI US Equity","ARDR_GENERAL_ADMINISTRATIVE_EXP","FQ1 2021","FQ1 2021","Currency=USD","Period=FQ","BEST_FPERIOD_OVERRIDE=FQ","FILING_STATUS=MR","SCALING_FORMAT=MLN","Sort=A","Dates=H","DateFormat=P","Fill=—","Direction=H","UseDPDF=Y")</f>
        <v>14.3</v>
      </c>
      <c r="M47" s="13">
        <f>_xll.BDH("ITCI US Equity","ARDR_GENERAL_ADMINISTRATIVE_EXP","FQ2 2021","FQ2 2021","Currency=USD","Period=FQ","BEST_FPERIOD_OVERRIDE=FQ","FILING_STATUS=MR","SCALING_FORMAT=MLN","Sort=A","Dates=H","DateFormat=P","Fill=—","Direction=H","UseDPDF=Y")</f>
        <v>17.7</v>
      </c>
      <c r="N47" s="13">
        <f>_xll.BDH("ITCI US Equity","ARDR_GENERAL_ADMINISTRATIVE_EXP","FQ3 2021","FQ3 2021","Currency=USD","Period=FQ","BEST_FPERIOD_OVERRIDE=FQ","FILING_STATUS=MR","SCALING_FORMAT=MLN","Sort=A","Dates=H","DateFormat=P","Fill=—","Direction=H","UseDPDF=Y")</f>
        <v>17.899999999999999</v>
      </c>
      <c r="O47" s="13">
        <f>_xll.BDH("ITCI US Equity","ARDR_GENERAL_ADMINISTRATIVE_EXP","FQ4 2021","FQ4 2021","Currency=USD","Period=FQ","BEST_FPERIOD_OVERRIDE=FQ","FILING_STATUS=MR","SCALING_FORMAT=MLN","Sort=A","Dates=H","DateFormat=P","Fill=—","Direction=H","UseDPDF=Y")</f>
        <v>19.100000000000001</v>
      </c>
      <c r="P47" s="13">
        <f>_xll.BDH("ITCI US Equity","ARDR_GENERAL_ADMINISTRATIVE_EXP","FQ1 2022","FQ1 2022","Currency=USD","Period=FQ","BEST_FPERIOD_OVERRIDE=FQ","FILING_STATUS=MR","SCALING_FORMAT=MLN","Sort=A","Dates=H","DateFormat=P","Fill=—","Direction=H","UseDPDF=Y")</f>
        <v>19.399999999999999</v>
      </c>
      <c r="Q47" s="13">
        <f>_xll.BDH("ITCI US Equity","ARDR_GENERAL_ADMINISTRATIVE_EXP","FQ2 2022","FQ2 2022","Currency=USD","Period=FQ","BEST_FPERIOD_OVERRIDE=FQ","FILING_STATUS=MR","SCALING_FORMAT=MLN","Sort=A","Dates=H","DateFormat=P","Fill=—","Direction=H","UseDPDF=Y")</f>
        <v>19</v>
      </c>
      <c r="R47" s="13">
        <f>_xll.BDH("ITCI US Equity","ARDR_GENERAL_ADMINISTRATIVE_EXP","FQ3 2022","FQ3 2022","Currency=USD","Period=FQ","BEST_FPERIOD_OVERRIDE=FQ","FILING_STATUS=MR","SCALING_FORMAT=MLN","Sort=A","Dates=H","DateFormat=P","Fill=—","Direction=H","UseDPDF=Y")</f>
        <v>20.3</v>
      </c>
      <c r="S47" s="13">
        <f>_xll.BDH("ITCI US Equity","ARDR_GENERAL_ADMINISTRATIVE_EXP","FQ4 2022","FQ4 2022","Currency=USD","Period=FQ","BEST_FPERIOD_OVERRIDE=FQ","FILING_STATUS=MR","SCALING_FORMAT=MLN","Sort=A","Dates=H","DateFormat=P","Fill=—","Direction=H","UseDPDF=Y")</f>
        <v>22.3</v>
      </c>
      <c r="T47" s="13">
        <f>_xll.BDH("ITCI US Equity","ARDR_GENERAL_ADMINISTRATIVE_EXP","FQ1 2023","FQ1 2023","Currency=USD","Period=FQ","BEST_FPERIOD_OVERRIDE=FQ","FILING_STATUS=MR","SCALING_FORMAT=MLN","Sort=A","Dates=H","DateFormat=P","Fill=—","Direction=H","UseDPDF=Y")</f>
        <v>22.4</v>
      </c>
      <c r="U47" s="13">
        <f>_xll.BDH("ITCI US Equity","ARDR_GENERAL_ADMINISTRATIVE_EXP","FQ2 2023","FQ2 2023","Currency=USD","Period=FQ","BEST_FPERIOD_OVERRIDE=FQ","FILING_STATUS=MR","SCALING_FORMAT=MLN","Sort=A","Dates=H","DateFormat=P","Fill=—","Direction=H","UseDPDF=Y")</f>
        <v>24.9</v>
      </c>
      <c r="V47" s="13">
        <f>_xll.BDH("ITCI US Equity","ARDR_GENERAL_ADMINISTRATIVE_EXP","FQ3 2023","FQ3 2023","Currency=USD","Period=FQ","BEST_FPERIOD_OVERRIDE=FQ","FILING_STATUS=MR","SCALING_FORMAT=MLN","Sort=A","Dates=H","DateFormat=P","Fill=—","Direction=H","UseDPDF=Y")</f>
        <v>24.3</v>
      </c>
      <c r="W47" s="13">
        <f>_xll.BDH("ITCI US Equity","ARDR_GENERAL_ADMINISTRATIVE_EXP","FQ4 2023","FQ4 2023","Currency=USD","Period=FQ","BEST_FPERIOD_OVERRIDE=FQ","FILING_STATUS=MR","SCALING_FORMAT=MLN","Sort=A","Dates=H","DateFormat=P","Fill=—","Direction=H","UseDPDF=Y")</f>
        <v>13.8</v>
      </c>
      <c r="X47" s="13">
        <f>_xll.BDH("ITCI US Equity","ARDR_GENERAL_ADMINISTRATIVE_EXP","FQ1 2024","FQ1 2024","Currency=USD","Period=FQ","BEST_FPERIOD_OVERRIDE=FQ","FILING_STATUS=MR","SCALING_FORMAT=MLN","Sort=A","Dates=H","DateFormat=P","Fill=—","Direction=H","UseDPDF=Y")</f>
        <v>25.4</v>
      </c>
      <c r="Y47" s="13">
        <f>_xll.BDH("ITCI US Equity","ARDR_GENERAL_ADMINISTRATIVE_EXP","FQ2 2024","FQ2 2024","Currency=USD","Period=FQ","BEST_FPERIOD_OVERRIDE=FQ","FILING_STATUS=MR","SCALING_FORMAT=MLN","Sort=A","Dates=H","DateFormat=P","Fill=—","Direction=H","UseDPDF=Y")</f>
        <v>28.7</v>
      </c>
      <c r="Z47" s="13">
        <f>_xll.BDH("ITCI US Equity","ARDR_GENERAL_ADMINISTRATIVE_EXP","FQ3 2024","FQ3 2024","Currency=USD","Period=FQ","BEST_FPERIOD_OVERRIDE=FQ","FILING_STATUS=MR","SCALING_FORMAT=MLN","Sort=A","Dates=H","DateFormat=P","Fill=—","Direction=H","UseDPDF=Y")</f>
        <v>33.4</v>
      </c>
      <c r="AA47" s="13">
        <f>_xll.BDH("ITCI US Equity","ARDR_GENERAL_ADMINISTRATIVE_EXP","FQ4 2024","FQ4 2024","Currency=USD","Period=FQ","BEST_FPERIOD_OVERRIDE=FQ","FILING_STATUS=MR","SCALING_FORMAT=MLN","Sort=A","Dates=H","DateFormat=P","Fill=—","Direction=H","UseDPDF=Y")</f>
        <v>32.200000000000003</v>
      </c>
    </row>
    <row r="48" spans="1:27" x14ac:dyDescent="0.25">
      <c r="A48" s="10" t="s">
        <v>383</v>
      </c>
      <c r="B48" s="10" t="s">
        <v>446</v>
      </c>
      <c r="C48" s="13" t="str">
        <f>_xll.BDH("ITCI US Equity","ARDR_OTHER_REV","FQ4 2018","FQ4 2018","Currency=USD","Period=FQ","BEST_FPERIOD_OVERRIDE=FQ","FILING_STATUS=MR","SCALING_FORMAT=MLN","Sort=A","Dates=H","DateFormat=P","Fill=—","Direction=H","UseDPDF=Y")</f>
        <v>—</v>
      </c>
      <c r="D48" s="13" t="str">
        <f>_xll.BDH("ITCI US Equity","ARDR_OTHER_REV","FQ1 2019","FQ1 2019","Currency=USD","Period=FQ","BEST_FPERIOD_OVERRIDE=FQ","FILING_STATUS=MR","SCALING_FORMAT=MLN","Sort=A","Dates=H","DateFormat=P","Fill=—","Direction=H","UseDPDF=Y")</f>
        <v>—</v>
      </c>
      <c r="E48" s="13" t="str">
        <f>_xll.BDH("ITCI US Equity","ARDR_OTHER_REV","FQ2 2019","FQ2 2019","Currency=USD","Period=FQ","BEST_FPERIOD_OVERRIDE=FQ","FILING_STATUS=MR","SCALING_FORMAT=MLN","Sort=A","Dates=H","DateFormat=P","Fill=—","Direction=H","UseDPDF=Y")</f>
        <v>—</v>
      </c>
      <c r="F48" s="13" t="str">
        <f>_xll.BDH("ITCI US Equity","ARDR_OTHER_REV","FQ3 2019","FQ3 2019","Currency=USD","Period=FQ","BEST_FPERIOD_OVERRIDE=FQ","FILING_STATUS=MR","SCALING_FORMAT=MLN","Sort=A","Dates=H","DateFormat=P","Fill=—","Direction=H","UseDPDF=Y")</f>
        <v>—</v>
      </c>
      <c r="G48" s="13" t="str">
        <f>_xll.BDH("ITCI US Equity","ARDR_OTHER_REV","FQ4 2019","FQ4 2019","Currency=USD","Period=FQ","BEST_FPERIOD_OVERRIDE=FQ","FILING_STATUS=MR","SCALING_FORMAT=MLN","Sort=A","Dates=H","DateFormat=P","Fill=—","Direction=H","UseDPDF=Y")</f>
        <v>—</v>
      </c>
      <c r="H48" s="13" t="str">
        <f>_xll.BDH("ITCI US Equity","ARDR_OTHER_REV","FQ1 2020","FQ1 2020","Currency=USD","Period=FQ","BEST_FPERIOD_OVERRIDE=FQ","FILING_STATUS=MR","SCALING_FORMAT=MLN","Sort=A","Dates=H","DateFormat=P","Fill=—","Direction=H","UseDPDF=Y")</f>
        <v>—</v>
      </c>
      <c r="I48" s="13" t="str">
        <f>_xll.BDH("ITCI US Equity","ARDR_OTHER_REV","FQ2 2020","FQ2 2020","Currency=USD","Period=FQ","BEST_FPERIOD_OVERRIDE=FQ","FILING_STATUS=MR","SCALING_FORMAT=MLN","Sort=A","Dates=H","DateFormat=P","Fill=—","Direction=H","UseDPDF=Y")</f>
        <v>—</v>
      </c>
      <c r="J48" s="13" t="str">
        <f>_xll.BDH("ITCI US Equity","ARDR_OTHER_REV","FQ3 2020","FQ3 2020","Currency=USD","Period=FQ","BEST_FPERIOD_OVERRIDE=FQ","FILING_STATUS=MR","SCALING_FORMAT=MLN","Sort=A","Dates=H","DateFormat=P","Fill=—","Direction=H","UseDPDF=Y")</f>
        <v>—</v>
      </c>
      <c r="K48" s="13" t="str">
        <f>_xll.BDH("ITCI US Equity","ARDR_OTHER_REV","FQ4 2020","FQ4 2020","Currency=USD","Period=FQ","BEST_FPERIOD_OVERRIDE=FQ","FILING_STATUS=MR","SCALING_FORMAT=MLN","Sort=A","Dates=H","DateFormat=P","Fill=—","Direction=H","UseDPDF=Y")</f>
        <v>—</v>
      </c>
      <c r="L48" s="13" t="str">
        <f>_xll.BDH("ITCI US Equity","ARDR_OTHER_REV","FQ1 2021","FQ1 2021","Currency=USD","Period=FQ","BEST_FPERIOD_OVERRIDE=FQ","FILING_STATUS=MR","SCALING_FORMAT=MLN","Sort=A","Dates=H","DateFormat=P","Fill=—","Direction=H","UseDPDF=Y")</f>
        <v>—</v>
      </c>
      <c r="M48" s="13" t="str">
        <f>_xll.BDH("ITCI US Equity","ARDR_OTHER_REV","FQ2 2021","FQ2 2021","Currency=USD","Period=FQ","BEST_FPERIOD_OVERRIDE=FQ","FILING_STATUS=MR","SCALING_FORMAT=MLN","Sort=A","Dates=H","DateFormat=P","Fill=—","Direction=H","UseDPDF=Y")</f>
        <v>—</v>
      </c>
      <c r="N48" s="13" t="str">
        <f>_xll.BDH("ITCI US Equity","ARDR_OTHER_REV","FQ3 2021","FQ3 2021","Currency=USD","Period=FQ","BEST_FPERIOD_OVERRIDE=FQ","FILING_STATUS=MR","SCALING_FORMAT=MLN","Sort=A","Dates=H","DateFormat=P","Fill=—","Direction=H","UseDPDF=Y")</f>
        <v>—</v>
      </c>
      <c r="O48" s="13" t="str">
        <f>_xll.BDH("ITCI US Equity","ARDR_OTHER_REV","FQ4 2021","FQ4 2021","Currency=USD","Period=FQ","BEST_FPERIOD_OVERRIDE=FQ","FILING_STATUS=MR","SCALING_FORMAT=MLN","Sort=A","Dates=H","DateFormat=P","Fill=—","Direction=H","UseDPDF=Y")</f>
        <v>—</v>
      </c>
      <c r="P48" s="13" t="str">
        <f>_xll.BDH("ITCI US Equity","ARDR_OTHER_REV","FQ1 2022","FQ1 2022","Currency=USD","Period=FQ","BEST_FPERIOD_OVERRIDE=FQ","FILING_STATUS=MR","SCALING_FORMAT=MLN","Sort=A","Dates=H","DateFormat=P","Fill=—","Direction=H","UseDPDF=Y")</f>
        <v>—</v>
      </c>
      <c r="Q48" s="13" t="str">
        <f>_xll.BDH("ITCI US Equity","ARDR_OTHER_REV","FQ2 2022","FQ2 2022","Currency=USD","Period=FQ","BEST_FPERIOD_OVERRIDE=FQ","FILING_STATUS=MR","SCALING_FORMAT=MLN","Sort=A","Dates=H","DateFormat=P","Fill=—","Direction=H","UseDPDF=Y")</f>
        <v>—</v>
      </c>
      <c r="R48" s="13" t="str">
        <f>_xll.BDH("ITCI US Equity","ARDR_OTHER_REV","FQ3 2022","FQ3 2022","Currency=USD","Period=FQ","BEST_FPERIOD_OVERRIDE=FQ","FILING_STATUS=MR","SCALING_FORMAT=MLN","Sort=A","Dates=H","DateFormat=P","Fill=—","Direction=H","UseDPDF=Y")</f>
        <v>—</v>
      </c>
      <c r="S48" s="13" t="str">
        <f>_xll.BDH("ITCI US Equity","ARDR_OTHER_REV","FQ4 2022","FQ4 2022","Currency=USD","Period=FQ","BEST_FPERIOD_OVERRIDE=FQ","FILING_STATUS=MR","SCALING_FORMAT=MLN","Sort=A","Dates=H","DateFormat=P","Fill=—","Direction=H","UseDPDF=Y")</f>
        <v>—</v>
      </c>
      <c r="T48" s="13" t="str">
        <f>_xll.BDH("ITCI US Equity","ARDR_OTHER_REV","FQ1 2023","FQ1 2023","Currency=USD","Period=FQ","BEST_FPERIOD_OVERRIDE=FQ","FILING_STATUS=MR","SCALING_FORMAT=MLN","Sort=A","Dates=H","DateFormat=P","Fill=—","Direction=H","UseDPDF=Y")</f>
        <v>—</v>
      </c>
      <c r="U48" s="13" t="str">
        <f>_xll.BDH("ITCI US Equity","ARDR_OTHER_REV","FQ2 2023","FQ2 2023","Currency=USD","Period=FQ","BEST_FPERIOD_OVERRIDE=FQ","FILING_STATUS=MR","SCALING_FORMAT=MLN","Sort=A","Dates=H","DateFormat=P","Fill=—","Direction=H","UseDPDF=Y")</f>
        <v>—</v>
      </c>
      <c r="V48" s="13" t="str">
        <f>_xll.BDH("ITCI US Equity","ARDR_OTHER_REV","FQ3 2023","FQ3 2023","Currency=USD","Period=FQ","BEST_FPERIOD_OVERRIDE=FQ","FILING_STATUS=MR","SCALING_FORMAT=MLN","Sort=A","Dates=H","DateFormat=P","Fill=—","Direction=H","UseDPDF=Y")</f>
        <v>—</v>
      </c>
      <c r="W48" s="13" t="str">
        <f>_xll.BDH("ITCI US Equity","ARDR_OTHER_REV","FQ4 2023","FQ4 2023","Currency=USD","Period=FQ","BEST_FPERIOD_OVERRIDE=FQ","FILING_STATUS=MR","SCALING_FORMAT=MLN","Sort=A","Dates=H","DateFormat=P","Fill=—","Direction=H","UseDPDF=Y")</f>
        <v>—</v>
      </c>
      <c r="X48" s="13">
        <f>_xll.BDH("ITCI US Equity","ARDR_OTHER_REV","FQ1 2024","FQ1 2024","Currency=USD","Period=FQ","BEST_FPERIOD_OVERRIDE=FQ","FILING_STATUS=MR","SCALING_FORMAT=MLN","Sort=A","Dates=H","DateFormat=P","Fill=—","Direction=H","UseDPDF=Y")</f>
        <v>2.3E-2</v>
      </c>
      <c r="Y48" s="13">
        <f>_xll.BDH("ITCI US Equity","ARDR_OTHER_REV","FQ2 2024","FQ2 2024","Currency=USD","Period=FQ","BEST_FPERIOD_OVERRIDE=FQ","FILING_STATUS=MR","SCALING_FORMAT=MLN","Sort=A","Dates=H","DateFormat=P","Fill=—","Direction=H","UseDPDF=Y")</f>
        <v>0.112</v>
      </c>
      <c r="Z48" s="13">
        <f>_xll.BDH("ITCI US Equity","ARDR_OTHER_REV","FQ3 2024","FQ3 2024","Currency=USD","Period=FQ","BEST_FPERIOD_OVERRIDE=FQ","FILING_STATUS=MR","SCALING_FORMAT=MLN","Sort=A","Dates=H","DateFormat=P","Fill=—","Direction=H","UseDPDF=Y")</f>
        <v>0.216</v>
      </c>
      <c r="AA48" s="13" t="str">
        <f>_xll.BDH("ITCI US Equity","ARDR_OTHER_REV","FQ4 2024","FQ4 2024","Currency=USD","Period=FQ","BEST_FPERIOD_OVERRIDE=FQ","FILING_STATUS=MR","SCALING_FORMAT=MLN","Sort=A","Dates=H","DateFormat=P","Fill=—","Direction=H","UseDPDF=Y")</f>
        <v>—</v>
      </c>
    </row>
    <row r="49" spans="1:27" x14ac:dyDescent="0.25">
      <c r="A49" s="10" t="s">
        <v>408</v>
      </c>
      <c r="B49" s="10" t="s">
        <v>447</v>
      </c>
      <c r="C49" s="14" t="str">
        <f>_xll.BDH("ITCI US Equity","ARDR_BASIC_EPS","FQ4 2018","FQ4 2018","Currency=USD","Period=FQ","BEST_FPERIOD_OVERRIDE=FQ","FILING_STATUS=MR","Sort=A","Dates=H","DateFormat=P","Fill=—","Direction=H","UseDPDF=Y")</f>
        <v>—</v>
      </c>
      <c r="D49" s="14" t="str">
        <f>_xll.BDH("ITCI US Equity","ARDR_BASIC_EPS","FQ1 2019","FQ1 2019","Currency=USD","Period=FQ","BEST_FPERIOD_OVERRIDE=FQ","FILING_STATUS=MR","Sort=A","Dates=H","DateFormat=P","Fill=—","Direction=H","UseDPDF=Y")</f>
        <v>—</v>
      </c>
      <c r="E49" s="14" t="str">
        <f>_xll.BDH("ITCI US Equity","ARDR_BASIC_EPS","FQ2 2019","FQ2 2019","Currency=USD","Period=FQ","BEST_FPERIOD_OVERRIDE=FQ","FILING_STATUS=MR","Sort=A","Dates=H","DateFormat=P","Fill=—","Direction=H","UseDPDF=Y")</f>
        <v>—</v>
      </c>
      <c r="F49" s="14" t="str">
        <f>_xll.BDH("ITCI US Equity","ARDR_BASIC_EPS","FQ3 2019","FQ3 2019","Currency=USD","Period=FQ","BEST_FPERIOD_OVERRIDE=FQ","FILING_STATUS=MR","Sort=A","Dates=H","DateFormat=P","Fill=—","Direction=H","UseDPDF=Y")</f>
        <v>—</v>
      </c>
      <c r="G49" s="14" t="str">
        <f>_xll.BDH("ITCI US Equity","ARDR_BASIC_EPS","FQ4 2019","FQ4 2019","Currency=USD","Period=FQ","BEST_FPERIOD_OVERRIDE=FQ","FILING_STATUS=MR","Sort=A","Dates=H","DateFormat=P","Fill=—","Direction=H","UseDPDF=Y")</f>
        <v>—</v>
      </c>
      <c r="H49" s="14" t="str">
        <f>_xll.BDH("ITCI US Equity","ARDR_BASIC_EPS","FQ1 2020","FQ1 2020","Currency=USD","Period=FQ","BEST_FPERIOD_OVERRIDE=FQ","FILING_STATUS=MR","Sort=A","Dates=H","DateFormat=P","Fill=—","Direction=H","UseDPDF=Y")</f>
        <v>—</v>
      </c>
      <c r="I49" s="14" t="str">
        <f>_xll.BDH("ITCI US Equity","ARDR_BASIC_EPS","FQ2 2020","FQ2 2020","Currency=USD","Period=FQ","BEST_FPERIOD_OVERRIDE=FQ","FILING_STATUS=MR","Sort=A","Dates=H","DateFormat=P","Fill=—","Direction=H","UseDPDF=Y")</f>
        <v>—</v>
      </c>
      <c r="J49" s="14" t="str">
        <f>_xll.BDH("ITCI US Equity","ARDR_BASIC_EPS","FQ3 2020","FQ3 2020","Currency=USD","Period=FQ","BEST_FPERIOD_OVERRIDE=FQ","FILING_STATUS=MR","Sort=A","Dates=H","DateFormat=P","Fill=—","Direction=H","UseDPDF=Y")</f>
        <v>—</v>
      </c>
      <c r="K49" s="14" t="str">
        <f>_xll.BDH("ITCI US Equity","ARDR_BASIC_EPS","FQ4 2020","FQ4 2020","Currency=USD","Period=FQ","BEST_FPERIOD_OVERRIDE=FQ","FILING_STATUS=MR","Sort=A","Dates=H","DateFormat=P","Fill=—","Direction=H","UseDPDF=Y")</f>
        <v>—</v>
      </c>
      <c r="L49" s="14" t="str">
        <f>_xll.BDH("ITCI US Equity","ARDR_BASIC_EPS","FQ1 2021","FQ1 2021","Currency=USD","Period=FQ","BEST_FPERIOD_OVERRIDE=FQ","FILING_STATUS=MR","Sort=A","Dates=H","DateFormat=P","Fill=—","Direction=H","UseDPDF=Y")</f>
        <v>—</v>
      </c>
      <c r="M49" s="14" t="str">
        <f>_xll.BDH("ITCI US Equity","ARDR_BASIC_EPS","FQ2 2021","FQ2 2021","Currency=USD","Period=FQ","BEST_FPERIOD_OVERRIDE=FQ","FILING_STATUS=MR","Sort=A","Dates=H","DateFormat=P","Fill=—","Direction=H","UseDPDF=Y")</f>
        <v>—</v>
      </c>
      <c r="N49" s="14" t="str">
        <f>_xll.BDH("ITCI US Equity","ARDR_BASIC_EPS","FQ3 2021","FQ3 2021","Currency=USD","Period=FQ","BEST_FPERIOD_OVERRIDE=FQ","FILING_STATUS=MR","Sort=A","Dates=H","DateFormat=P","Fill=—","Direction=H","UseDPDF=Y")</f>
        <v>—</v>
      </c>
      <c r="O49" s="14" t="str">
        <f>_xll.BDH("ITCI US Equity","ARDR_BASIC_EPS","FQ4 2021","FQ4 2021","Currency=USD","Period=FQ","BEST_FPERIOD_OVERRIDE=FQ","FILING_STATUS=MR","Sort=A","Dates=H","DateFormat=P","Fill=—","Direction=H","UseDPDF=Y")</f>
        <v>—</v>
      </c>
      <c r="P49" s="14" t="str">
        <f>_xll.BDH("ITCI US Equity","ARDR_BASIC_EPS","FQ1 2022","FQ1 2022","Currency=USD","Period=FQ","BEST_FPERIOD_OVERRIDE=FQ","FILING_STATUS=MR","Sort=A","Dates=H","DateFormat=P","Fill=—","Direction=H","UseDPDF=Y")</f>
        <v>—</v>
      </c>
      <c r="Q49" s="14" t="str">
        <f>_xll.BDH("ITCI US Equity","ARDR_BASIC_EPS","FQ2 2022","FQ2 2022","Currency=USD","Period=FQ","BEST_FPERIOD_OVERRIDE=FQ","FILING_STATUS=MR","Sort=A","Dates=H","DateFormat=P","Fill=—","Direction=H","UseDPDF=Y")</f>
        <v>—</v>
      </c>
      <c r="R49" s="14" t="str">
        <f>_xll.BDH("ITCI US Equity","ARDR_BASIC_EPS","FQ3 2022","FQ3 2022","Currency=USD","Period=FQ","BEST_FPERIOD_OVERRIDE=FQ","FILING_STATUS=MR","Sort=A","Dates=H","DateFormat=P","Fill=—","Direction=H","UseDPDF=Y")</f>
        <v>—</v>
      </c>
      <c r="S49" s="14" t="str">
        <f>_xll.BDH("ITCI US Equity","ARDR_BASIC_EPS","FQ4 2022","FQ4 2022","Currency=USD","Period=FQ","BEST_FPERIOD_OVERRIDE=FQ","FILING_STATUS=MR","Sort=A","Dates=H","DateFormat=P","Fill=—","Direction=H","UseDPDF=Y")</f>
        <v>—</v>
      </c>
      <c r="T49" s="14" t="str">
        <f>_xll.BDH("ITCI US Equity","ARDR_BASIC_EPS","FQ1 2023","FQ1 2023","Currency=USD","Period=FQ","BEST_FPERIOD_OVERRIDE=FQ","FILING_STATUS=MR","Sort=A","Dates=H","DateFormat=P","Fill=—","Direction=H","UseDPDF=Y")</f>
        <v>—</v>
      </c>
      <c r="U49" s="14" t="str">
        <f>_xll.BDH("ITCI US Equity","ARDR_BASIC_EPS","FQ2 2023","FQ2 2023","Currency=USD","Period=FQ","BEST_FPERIOD_OVERRIDE=FQ","FILING_STATUS=MR","Sort=A","Dates=H","DateFormat=P","Fill=—","Direction=H","UseDPDF=Y")</f>
        <v>—</v>
      </c>
      <c r="V49" s="14" t="str">
        <f>_xll.BDH("ITCI US Equity","ARDR_BASIC_EPS","FQ3 2023","FQ3 2023","Currency=USD","Period=FQ","BEST_FPERIOD_OVERRIDE=FQ","FILING_STATUS=MR","Sort=A","Dates=H","DateFormat=P","Fill=—","Direction=H","UseDPDF=Y")</f>
        <v>—</v>
      </c>
      <c r="W49" s="14" t="str">
        <f>_xll.BDH("ITCI US Equity","ARDR_BASIC_EPS","FQ4 2023","FQ4 2023","Currency=USD","Period=FQ","BEST_FPERIOD_OVERRIDE=FQ","FILING_STATUS=MR","Sort=A","Dates=H","DateFormat=P","Fill=—","Direction=H","UseDPDF=Y")</f>
        <v>—</v>
      </c>
      <c r="X49" s="14">
        <f>_xll.BDH("ITCI US Equity","ARDR_BASIC_EPS","FQ1 2024","FQ1 2024","Currency=USD","Period=FQ","BEST_FPERIOD_OVERRIDE=FQ","FILING_STATUS=MR","Sort=A","Dates=H","DateFormat=P","Fill=—","Direction=H","UseDPDF=Y")</f>
        <v>-0.16</v>
      </c>
      <c r="Y49" s="14" t="str">
        <f>_xll.BDH("ITCI US Equity","ARDR_BASIC_EPS","FQ2 2024","FQ2 2024","Currency=USD","Period=FQ","BEST_FPERIOD_OVERRIDE=FQ","FILING_STATUS=MR","Sort=A","Dates=H","DateFormat=P","Fill=—","Direction=H","UseDPDF=Y")</f>
        <v>—</v>
      </c>
      <c r="Z49" s="14" t="str">
        <f>_xll.BDH("ITCI US Equity","ARDR_BASIC_EPS","FQ3 2024","FQ3 2024","Currency=USD","Period=FQ","BEST_FPERIOD_OVERRIDE=FQ","FILING_STATUS=MR","Sort=A","Dates=H","DateFormat=P","Fill=—","Direction=H","UseDPDF=Y")</f>
        <v>—</v>
      </c>
      <c r="AA49" s="14" t="str">
        <f>_xll.BDH("ITCI US Equity","ARDR_BASIC_EPS","FQ4 2024","FQ4 2024","Currency=USD","Period=FQ","BEST_FPERIOD_OVERRIDE=FQ","FILING_STATUS=MR","Sort=A","Dates=H","DateFormat=P","Fill=—","Direction=H","UseDPDF=Y")</f>
        <v>—</v>
      </c>
    </row>
    <row r="50" spans="1:27" x14ac:dyDescent="0.25">
      <c r="A50" s="10" t="s">
        <v>410</v>
      </c>
      <c r="B50" s="10" t="s">
        <v>448</v>
      </c>
      <c r="C50" s="13" t="str">
        <f>_xll.BDH("ITCI US Equity","ARDR_WEIGHTED_AVG_SHARES_BASIC","FQ4 2018","FQ4 2018","Currency=USD","Period=FQ","BEST_FPERIOD_OVERRIDE=FQ","FILING_STATUS=MR","Sort=A","Dates=H","DateFormat=P","Fill=—","Direction=H","UseDPDF=Y")</f>
        <v>—</v>
      </c>
      <c r="D50" s="13" t="str">
        <f>_xll.BDH("ITCI US Equity","ARDR_WEIGHTED_AVG_SHARES_BASIC","FQ1 2019","FQ1 2019","Currency=USD","Period=FQ","BEST_FPERIOD_OVERRIDE=FQ","FILING_STATUS=MR","Sort=A","Dates=H","DateFormat=P","Fill=—","Direction=H","UseDPDF=Y")</f>
        <v>—</v>
      </c>
      <c r="E50" s="13" t="str">
        <f>_xll.BDH("ITCI US Equity","ARDR_WEIGHTED_AVG_SHARES_BASIC","FQ2 2019","FQ2 2019","Currency=USD","Period=FQ","BEST_FPERIOD_OVERRIDE=FQ","FILING_STATUS=MR","Sort=A","Dates=H","DateFormat=P","Fill=—","Direction=H","UseDPDF=Y")</f>
        <v>—</v>
      </c>
      <c r="F50" s="13" t="str">
        <f>_xll.BDH("ITCI US Equity","ARDR_WEIGHTED_AVG_SHARES_BASIC","FQ3 2019","FQ3 2019","Currency=USD","Period=FQ","BEST_FPERIOD_OVERRIDE=FQ","FILING_STATUS=MR","Sort=A","Dates=H","DateFormat=P","Fill=—","Direction=H","UseDPDF=Y")</f>
        <v>—</v>
      </c>
      <c r="G50" s="13" t="str">
        <f>_xll.BDH("ITCI US Equity","ARDR_WEIGHTED_AVG_SHARES_BASIC","FQ4 2019","FQ4 2019","Currency=USD","Period=FQ","BEST_FPERIOD_OVERRIDE=FQ","FILING_STATUS=MR","Sort=A","Dates=H","DateFormat=P","Fill=—","Direction=H","UseDPDF=Y")</f>
        <v>—</v>
      </c>
      <c r="H50" s="13" t="str">
        <f>_xll.BDH("ITCI US Equity","ARDR_WEIGHTED_AVG_SHARES_BASIC","FQ1 2020","FQ1 2020","Currency=USD","Period=FQ","BEST_FPERIOD_OVERRIDE=FQ","FILING_STATUS=MR","Sort=A","Dates=H","DateFormat=P","Fill=—","Direction=H","UseDPDF=Y")</f>
        <v>—</v>
      </c>
      <c r="I50" s="13" t="str">
        <f>_xll.BDH("ITCI US Equity","ARDR_WEIGHTED_AVG_SHARES_BASIC","FQ2 2020","FQ2 2020","Currency=USD","Period=FQ","BEST_FPERIOD_OVERRIDE=FQ","FILING_STATUS=MR","Sort=A","Dates=H","DateFormat=P","Fill=—","Direction=H","UseDPDF=Y")</f>
        <v>—</v>
      </c>
      <c r="J50" s="13" t="str">
        <f>_xll.BDH("ITCI US Equity","ARDR_WEIGHTED_AVG_SHARES_BASIC","FQ3 2020","FQ3 2020","Currency=USD","Period=FQ","BEST_FPERIOD_OVERRIDE=FQ","FILING_STATUS=MR","Sort=A","Dates=H","DateFormat=P","Fill=—","Direction=H","UseDPDF=Y")</f>
        <v>—</v>
      </c>
      <c r="K50" s="13" t="str">
        <f>_xll.BDH("ITCI US Equity","ARDR_WEIGHTED_AVG_SHARES_BASIC","FQ4 2020","FQ4 2020","Currency=USD","Period=FQ","BEST_FPERIOD_OVERRIDE=FQ","FILING_STATUS=MR","Sort=A","Dates=H","DateFormat=P","Fill=—","Direction=H","UseDPDF=Y")</f>
        <v>—</v>
      </c>
      <c r="L50" s="13" t="str">
        <f>_xll.BDH("ITCI US Equity","ARDR_WEIGHTED_AVG_SHARES_BASIC","FQ1 2021","FQ1 2021","Currency=USD","Period=FQ","BEST_FPERIOD_OVERRIDE=FQ","FILING_STATUS=MR","Sort=A","Dates=H","DateFormat=P","Fill=—","Direction=H","UseDPDF=Y")</f>
        <v>—</v>
      </c>
      <c r="M50" s="13" t="str">
        <f>_xll.BDH("ITCI US Equity","ARDR_WEIGHTED_AVG_SHARES_BASIC","FQ2 2021","FQ2 2021","Currency=USD","Period=FQ","BEST_FPERIOD_OVERRIDE=FQ","FILING_STATUS=MR","Sort=A","Dates=H","DateFormat=P","Fill=—","Direction=H","UseDPDF=Y")</f>
        <v>—</v>
      </c>
      <c r="N50" s="13" t="str">
        <f>_xll.BDH("ITCI US Equity","ARDR_WEIGHTED_AVG_SHARES_BASIC","FQ3 2021","FQ3 2021","Currency=USD","Period=FQ","BEST_FPERIOD_OVERRIDE=FQ","FILING_STATUS=MR","Sort=A","Dates=H","DateFormat=P","Fill=—","Direction=H","UseDPDF=Y")</f>
        <v>—</v>
      </c>
      <c r="O50" s="13" t="str">
        <f>_xll.BDH("ITCI US Equity","ARDR_WEIGHTED_AVG_SHARES_BASIC","FQ4 2021","FQ4 2021","Currency=USD","Period=FQ","BEST_FPERIOD_OVERRIDE=FQ","FILING_STATUS=MR","Sort=A","Dates=H","DateFormat=P","Fill=—","Direction=H","UseDPDF=Y")</f>
        <v>—</v>
      </c>
      <c r="P50" s="13" t="str">
        <f>_xll.BDH("ITCI US Equity","ARDR_WEIGHTED_AVG_SHARES_BASIC","FQ1 2022","FQ1 2022","Currency=USD","Period=FQ","BEST_FPERIOD_OVERRIDE=FQ","FILING_STATUS=MR","Sort=A","Dates=H","DateFormat=P","Fill=—","Direction=H","UseDPDF=Y")</f>
        <v>—</v>
      </c>
      <c r="Q50" s="13" t="str">
        <f>_xll.BDH("ITCI US Equity","ARDR_WEIGHTED_AVG_SHARES_BASIC","FQ2 2022","FQ2 2022","Currency=USD","Period=FQ","BEST_FPERIOD_OVERRIDE=FQ","FILING_STATUS=MR","Sort=A","Dates=H","DateFormat=P","Fill=—","Direction=H","UseDPDF=Y")</f>
        <v>—</v>
      </c>
      <c r="R50" s="13" t="str">
        <f>_xll.BDH("ITCI US Equity","ARDR_WEIGHTED_AVG_SHARES_BASIC","FQ3 2022","FQ3 2022","Currency=USD","Period=FQ","BEST_FPERIOD_OVERRIDE=FQ","FILING_STATUS=MR","Sort=A","Dates=H","DateFormat=P","Fill=—","Direction=H","UseDPDF=Y")</f>
        <v>—</v>
      </c>
      <c r="S50" s="13" t="str">
        <f>_xll.BDH("ITCI US Equity","ARDR_WEIGHTED_AVG_SHARES_BASIC","FQ4 2022","FQ4 2022","Currency=USD","Period=FQ","BEST_FPERIOD_OVERRIDE=FQ","FILING_STATUS=MR","Sort=A","Dates=H","DateFormat=P","Fill=—","Direction=H","UseDPDF=Y")</f>
        <v>—</v>
      </c>
      <c r="T50" s="13" t="str">
        <f>_xll.BDH("ITCI US Equity","ARDR_WEIGHTED_AVG_SHARES_BASIC","FQ1 2023","FQ1 2023","Currency=USD","Period=FQ","BEST_FPERIOD_OVERRIDE=FQ","FILING_STATUS=MR","Sort=A","Dates=H","DateFormat=P","Fill=—","Direction=H","UseDPDF=Y")</f>
        <v>—</v>
      </c>
      <c r="U50" s="13" t="str">
        <f>_xll.BDH("ITCI US Equity","ARDR_WEIGHTED_AVG_SHARES_BASIC","FQ2 2023","FQ2 2023","Currency=USD","Period=FQ","BEST_FPERIOD_OVERRIDE=FQ","FILING_STATUS=MR","Sort=A","Dates=H","DateFormat=P","Fill=—","Direction=H","UseDPDF=Y")</f>
        <v>—</v>
      </c>
      <c r="V50" s="13" t="str">
        <f>_xll.BDH("ITCI US Equity","ARDR_WEIGHTED_AVG_SHARES_BASIC","FQ3 2023","FQ3 2023","Currency=USD","Period=FQ","BEST_FPERIOD_OVERRIDE=FQ","FILING_STATUS=MR","Sort=A","Dates=H","DateFormat=P","Fill=—","Direction=H","UseDPDF=Y")</f>
        <v>—</v>
      </c>
      <c r="W50" s="13" t="str">
        <f>_xll.BDH("ITCI US Equity","ARDR_WEIGHTED_AVG_SHARES_BASIC","FQ4 2023","FQ4 2023","Currency=USD","Period=FQ","BEST_FPERIOD_OVERRIDE=FQ","FILING_STATUS=MR","Sort=A","Dates=H","DateFormat=P","Fill=—","Direction=H","UseDPDF=Y")</f>
        <v>—</v>
      </c>
      <c r="X50" s="13">
        <f>_xll.BDH("ITCI US Equity","ARDR_WEIGHTED_AVG_SHARES_BASIC","FQ1 2024","FQ1 2024","Currency=USD","Period=FQ","BEST_FPERIOD_OVERRIDE=FQ","FILING_STATUS=MR","Sort=A","Dates=H","DateFormat=P","Fill=—","Direction=H","UseDPDF=Y")</f>
        <v>96.875299999999996</v>
      </c>
      <c r="Y50" s="13" t="str">
        <f>_xll.BDH("ITCI US Equity","ARDR_WEIGHTED_AVG_SHARES_BASIC","FQ2 2024","FQ2 2024","Currency=USD","Period=FQ","BEST_FPERIOD_OVERRIDE=FQ","FILING_STATUS=MR","Sort=A","Dates=H","DateFormat=P","Fill=—","Direction=H","UseDPDF=Y")</f>
        <v>—</v>
      </c>
      <c r="Z50" s="13" t="str">
        <f>_xll.BDH("ITCI US Equity","ARDR_WEIGHTED_AVG_SHARES_BASIC","FQ3 2024","FQ3 2024","Currency=USD","Period=FQ","BEST_FPERIOD_OVERRIDE=FQ","FILING_STATUS=MR","Sort=A","Dates=H","DateFormat=P","Fill=—","Direction=H","UseDPDF=Y")</f>
        <v>—</v>
      </c>
      <c r="AA50" s="13" t="str">
        <f>_xll.BDH("ITCI US Equity","ARDR_WEIGHTED_AVG_SHARES_BASIC","FQ4 2024","FQ4 2024","Currency=USD","Period=FQ","BEST_FPERIOD_OVERRIDE=FQ","FILING_STATUS=MR","Sort=A","Dates=H","DateFormat=P","Fill=—","Direction=H","UseDPDF=Y")</f>
        <v>—</v>
      </c>
    </row>
    <row r="51" spans="1:27" x14ac:dyDescent="0.25">
      <c r="A51" s="10" t="s">
        <v>412</v>
      </c>
      <c r="B51" s="10" t="s">
        <v>449</v>
      </c>
      <c r="C51" s="14" t="str">
        <f>_xll.BDH("ITCI US Equity","ARDR_DILUTED_EPS","FQ4 2018","FQ4 2018","Currency=USD","Period=FQ","BEST_FPERIOD_OVERRIDE=FQ","FILING_STATUS=MR","Sort=A","Dates=H","DateFormat=P","Fill=—","Direction=H","UseDPDF=Y")</f>
        <v>—</v>
      </c>
      <c r="D51" s="14" t="str">
        <f>_xll.BDH("ITCI US Equity","ARDR_DILUTED_EPS","FQ1 2019","FQ1 2019","Currency=USD","Period=FQ","BEST_FPERIOD_OVERRIDE=FQ","FILING_STATUS=MR","Sort=A","Dates=H","DateFormat=P","Fill=—","Direction=H","UseDPDF=Y")</f>
        <v>—</v>
      </c>
      <c r="E51" s="14" t="str">
        <f>_xll.BDH("ITCI US Equity","ARDR_DILUTED_EPS","FQ2 2019","FQ2 2019","Currency=USD","Period=FQ","BEST_FPERIOD_OVERRIDE=FQ","FILING_STATUS=MR","Sort=A","Dates=H","DateFormat=P","Fill=—","Direction=H","UseDPDF=Y")</f>
        <v>—</v>
      </c>
      <c r="F51" s="14" t="str">
        <f>_xll.BDH("ITCI US Equity","ARDR_DILUTED_EPS","FQ3 2019","FQ3 2019","Currency=USD","Period=FQ","BEST_FPERIOD_OVERRIDE=FQ","FILING_STATUS=MR","Sort=A","Dates=H","DateFormat=P","Fill=—","Direction=H","UseDPDF=Y")</f>
        <v>—</v>
      </c>
      <c r="G51" s="14" t="str">
        <f>_xll.BDH("ITCI US Equity","ARDR_DILUTED_EPS","FQ4 2019","FQ4 2019","Currency=USD","Period=FQ","BEST_FPERIOD_OVERRIDE=FQ","FILING_STATUS=MR","Sort=A","Dates=H","DateFormat=P","Fill=—","Direction=H","UseDPDF=Y")</f>
        <v>—</v>
      </c>
      <c r="H51" s="14" t="str">
        <f>_xll.BDH("ITCI US Equity","ARDR_DILUTED_EPS","FQ1 2020","FQ1 2020","Currency=USD","Period=FQ","BEST_FPERIOD_OVERRIDE=FQ","FILING_STATUS=MR","Sort=A","Dates=H","DateFormat=P","Fill=—","Direction=H","UseDPDF=Y")</f>
        <v>—</v>
      </c>
      <c r="I51" s="14" t="str">
        <f>_xll.BDH("ITCI US Equity","ARDR_DILUTED_EPS","FQ2 2020","FQ2 2020","Currency=USD","Period=FQ","BEST_FPERIOD_OVERRIDE=FQ","FILING_STATUS=MR","Sort=A","Dates=H","DateFormat=P","Fill=—","Direction=H","UseDPDF=Y")</f>
        <v>—</v>
      </c>
      <c r="J51" s="14" t="str">
        <f>_xll.BDH("ITCI US Equity","ARDR_DILUTED_EPS","FQ3 2020","FQ3 2020","Currency=USD","Period=FQ","BEST_FPERIOD_OVERRIDE=FQ","FILING_STATUS=MR","Sort=A","Dates=H","DateFormat=P","Fill=—","Direction=H","UseDPDF=Y")</f>
        <v>—</v>
      </c>
      <c r="K51" s="14" t="str">
        <f>_xll.BDH("ITCI US Equity","ARDR_DILUTED_EPS","FQ4 2020","FQ4 2020","Currency=USD","Period=FQ","BEST_FPERIOD_OVERRIDE=FQ","FILING_STATUS=MR","Sort=A","Dates=H","DateFormat=P","Fill=—","Direction=H","UseDPDF=Y")</f>
        <v>—</v>
      </c>
      <c r="L51" s="14" t="str">
        <f>_xll.BDH("ITCI US Equity","ARDR_DILUTED_EPS","FQ1 2021","FQ1 2021","Currency=USD","Period=FQ","BEST_FPERIOD_OVERRIDE=FQ","FILING_STATUS=MR","Sort=A","Dates=H","DateFormat=P","Fill=—","Direction=H","UseDPDF=Y")</f>
        <v>—</v>
      </c>
      <c r="M51" s="14" t="str">
        <f>_xll.BDH("ITCI US Equity","ARDR_DILUTED_EPS","FQ2 2021","FQ2 2021","Currency=USD","Period=FQ","BEST_FPERIOD_OVERRIDE=FQ","FILING_STATUS=MR","Sort=A","Dates=H","DateFormat=P","Fill=—","Direction=H","UseDPDF=Y")</f>
        <v>—</v>
      </c>
      <c r="N51" s="14" t="str">
        <f>_xll.BDH("ITCI US Equity","ARDR_DILUTED_EPS","FQ3 2021","FQ3 2021","Currency=USD","Period=FQ","BEST_FPERIOD_OVERRIDE=FQ","FILING_STATUS=MR","Sort=A","Dates=H","DateFormat=P","Fill=—","Direction=H","UseDPDF=Y")</f>
        <v>—</v>
      </c>
      <c r="O51" s="14" t="str">
        <f>_xll.BDH("ITCI US Equity","ARDR_DILUTED_EPS","FQ4 2021","FQ4 2021","Currency=USD","Period=FQ","BEST_FPERIOD_OVERRIDE=FQ","FILING_STATUS=MR","Sort=A","Dates=H","DateFormat=P","Fill=—","Direction=H","UseDPDF=Y")</f>
        <v>—</v>
      </c>
      <c r="P51" s="14" t="str">
        <f>_xll.BDH("ITCI US Equity","ARDR_DILUTED_EPS","FQ1 2022","FQ1 2022","Currency=USD","Period=FQ","BEST_FPERIOD_OVERRIDE=FQ","FILING_STATUS=MR","Sort=A","Dates=H","DateFormat=P","Fill=—","Direction=H","UseDPDF=Y")</f>
        <v>—</v>
      </c>
      <c r="Q51" s="14" t="str">
        <f>_xll.BDH("ITCI US Equity","ARDR_DILUTED_EPS","FQ2 2022","FQ2 2022","Currency=USD","Period=FQ","BEST_FPERIOD_OVERRIDE=FQ","FILING_STATUS=MR","Sort=A","Dates=H","DateFormat=P","Fill=—","Direction=H","UseDPDF=Y")</f>
        <v>—</v>
      </c>
      <c r="R51" s="14" t="str">
        <f>_xll.BDH("ITCI US Equity","ARDR_DILUTED_EPS","FQ3 2022","FQ3 2022","Currency=USD","Period=FQ","BEST_FPERIOD_OVERRIDE=FQ","FILING_STATUS=MR","Sort=A","Dates=H","DateFormat=P","Fill=—","Direction=H","UseDPDF=Y")</f>
        <v>—</v>
      </c>
      <c r="S51" s="14" t="str">
        <f>_xll.BDH("ITCI US Equity","ARDR_DILUTED_EPS","FQ4 2022","FQ4 2022","Currency=USD","Period=FQ","BEST_FPERIOD_OVERRIDE=FQ","FILING_STATUS=MR","Sort=A","Dates=H","DateFormat=P","Fill=—","Direction=H","UseDPDF=Y")</f>
        <v>—</v>
      </c>
      <c r="T51" s="14" t="str">
        <f>_xll.BDH("ITCI US Equity","ARDR_DILUTED_EPS","FQ1 2023","FQ1 2023","Currency=USD","Period=FQ","BEST_FPERIOD_OVERRIDE=FQ","FILING_STATUS=MR","Sort=A","Dates=H","DateFormat=P","Fill=—","Direction=H","UseDPDF=Y")</f>
        <v>—</v>
      </c>
      <c r="U51" s="14" t="str">
        <f>_xll.BDH("ITCI US Equity","ARDR_DILUTED_EPS","FQ2 2023","FQ2 2023","Currency=USD","Period=FQ","BEST_FPERIOD_OVERRIDE=FQ","FILING_STATUS=MR","Sort=A","Dates=H","DateFormat=P","Fill=—","Direction=H","UseDPDF=Y")</f>
        <v>—</v>
      </c>
      <c r="V51" s="14" t="str">
        <f>_xll.BDH("ITCI US Equity","ARDR_DILUTED_EPS","FQ3 2023","FQ3 2023","Currency=USD","Period=FQ","BEST_FPERIOD_OVERRIDE=FQ","FILING_STATUS=MR","Sort=A","Dates=H","DateFormat=P","Fill=—","Direction=H","UseDPDF=Y")</f>
        <v>—</v>
      </c>
      <c r="W51" s="14" t="str">
        <f>_xll.BDH("ITCI US Equity","ARDR_DILUTED_EPS","FQ4 2023","FQ4 2023","Currency=USD","Period=FQ","BEST_FPERIOD_OVERRIDE=FQ","FILING_STATUS=MR","Sort=A","Dates=H","DateFormat=P","Fill=—","Direction=H","UseDPDF=Y")</f>
        <v>—</v>
      </c>
      <c r="X51" s="14">
        <f>_xll.BDH("ITCI US Equity","ARDR_DILUTED_EPS","FQ1 2024","FQ1 2024","Currency=USD","Period=FQ","BEST_FPERIOD_OVERRIDE=FQ","FILING_STATUS=MR","Sort=A","Dates=H","DateFormat=P","Fill=—","Direction=H","UseDPDF=Y")</f>
        <v>-0.16</v>
      </c>
      <c r="Y51" s="14" t="str">
        <f>_xll.BDH("ITCI US Equity","ARDR_DILUTED_EPS","FQ2 2024","FQ2 2024","Currency=USD","Period=FQ","BEST_FPERIOD_OVERRIDE=FQ","FILING_STATUS=MR","Sort=A","Dates=H","DateFormat=P","Fill=—","Direction=H","UseDPDF=Y")</f>
        <v>—</v>
      </c>
      <c r="Z51" s="14" t="str">
        <f>_xll.BDH("ITCI US Equity","ARDR_DILUTED_EPS","FQ3 2024","FQ3 2024","Currency=USD","Period=FQ","BEST_FPERIOD_OVERRIDE=FQ","FILING_STATUS=MR","Sort=A","Dates=H","DateFormat=P","Fill=—","Direction=H","UseDPDF=Y")</f>
        <v>—</v>
      </c>
      <c r="AA51" s="14" t="str">
        <f>_xll.BDH("ITCI US Equity","ARDR_DILUTED_EPS","FQ4 2024","FQ4 2024","Currency=USD","Period=FQ","BEST_FPERIOD_OVERRIDE=FQ","FILING_STATUS=MR","Sort=A","Dates=H","DateFormat=P","Fill=—","Direction=H","UseDPDF=Y")</f>
        <v>—</v>
      </c>
    </row>
    <row r="52" spans="1:27" x14ac:dyDescent="0.25">
      <c r="A52" s="10" t="s">
        <v>414</v>
      </c>
      <c r="B52" s="10" t="s">
        <v>450</v>
      </c>
      <c r="C52" s="13" t="str">
        <f>_xll.BDH("ITCI US Equity","ARDR_WEIGHTED_AVG_SHARE_DILUTED","FQ4 2018","FQ4 2018","Currency=USD","Period=FQ","BEST_FPERIOD_OVERRIDE=FQ","FILING_STATUS=MR","Sort=A","Dates=H","DateFormat=P","Fill=—","Direction=H","UseDPDF=Y")</f>
        <v>—</v>
      </c>
      <c r="D52" s="13" t="str">
        <f>_xll.BDH("ITCI US Equity","ARDR_WEIGHTED_AVG_SHARE_DILUTED","FQ1 2019","FQ1 2019","Currency=USD","Period=FQ","BEST_FPERIOD_OVERRIDE=FQ","FILING_STATUS=MR","Sort=A","Dates=H","DateFormat=P","Fill=—","Direction=H","UseDPDF=Y")</f>
        <v>—</v>
      </c>
      <c r="E52" s="13" t="str">
        <f>_xll.BDH("ITCI US Equity","ARDR_WEIGHTED_AVG_SHARE_DILUTED","FQ2 2019","FQ2 2019","Currency=USD","Period=FQ","BEST_FPERIOD_OVERRIDE=FQ","FILING_STATUS=MR","Sort=A","Dates=H","DateFormat=P","Fill=—","Direction=H","UseDPDF=Y")</f>
        <v>—</v>
      </c>
      <c r="F52" s="13" t="str">
        <f>_xll.BDH("ITCI US Equity","ARDR_WEIGHTED_AVG_SHARE_DILUTED","FQ3 2019","FQ3 2019","Currency=USD","Period=FQ","BEST_FPERIOD_OVERRIDE=FQ","FILING_STATUS=MR","Sort=A","Dates=H","DateFormat=P","Fill=—","Direction=H","UseDPDF=Y")</f>
        <v>—</v>
      </c>
      <c r="G52" s="13" t="str">
        <f>_xll.BDH("ITCI US Equity","ARDR_WEIGHTED_AVG_SHARE_DILUTED","FQ4 2019","FQ4 2019","Currency=USD","Period=FQ","BEST_FPERIOD_OVERRIDE=FQ","FILING_STATUS=MR","Sort=A","Dates=H","DateFormat=P","Fill=—","Direction=H","UseDPDF=Y")</f>
        <v>—</v>
      </c>
      <c r="H52" s="13" t="str">
        <f>_xll.BDH("ITCI US Equity","ARDR_WEIGHTED_AVG_SHARE_DILUTED","FQ1 2020","FQ1 2020","Currency=USD","Period=FQ","BEST_FPERIOD_OVERRIDE=FQ","FILING_STATUS=MR","Sort=A","Dates=H","DateFormat=P","Fill=—","Direction=H","UseDPDF=Y")</f>
        <v>—</v>
      </c>
      <c r="I52" s="13" t="str">
        <f>_xll.BDH("ITCI US Equity","ARDR_WEIGHTED_AVG_SHARE_DILUTED","FQ2 2020","FQ2 2020","Currency=USD","Period=FQ","BEST_FPERIOD_OVERRIDE=FQ","FILING_STATUS=MR","Sort=A","Dates=H","DateFormat=P","Fill=—","Direction=H","UseDPDF=Y")</f>
        <v>—</v>
      </c>
      <c r="J52" s="13" t="str">
        <f>_xll.BDH("ITCI US Equity","ARDR_WEIGHTED_AVG_SHARE_DILUTED","FQ3 2020","FQ3 2020","Currency=USD","Period=FQ","BEST_FPERIOD_OVERRIDE=FQ","FILING_STATUS=MR","Sort=A","Dates=H","DateFormat=P","Fill=—","Direction=H","UseDPDF=Y")</f>
        <v>—</v>
      </c>
      <c r="K52" s="13" t="str">
        <f>_xll.BDH("ITCI US Equity","ARDR_WEIGHTED_AVG_SHARE_DILUTED","FQ4 2020","FQ4 2020","Currency=USD","Period=FQ","BEST_FPERIOD_OVERRIDE=FQ","FILING_STATUS=MR","Sort=A","Dates=H","DateFormat=P","Fill=—","Direction=H","UseDPDF=Y")</f>
        <v>—</v>
      </c>
      <c r="L52" s="13" t="str">
        <f>_xll.BDH("ITCI US Equity","ARDR_WEIGHTED_AVG_SHARE_DILUTED","FQ1 2021","FQ1 2021","Currency=USD","Period=FQ","BEST_FPERIOD_OVERRIDE=FQ","FILING_STATUS=MR","Sort=A","Dates=H","DateFormat=P","Fill=—","Direction=H","UseDPDF=Y")</f>
        <v>—</v>
      </c>
      <c r="M52" s="13" t="str">
        <f>_xll.BDH("ITCI US Equity","ARDR_WEIGHTED_AVG_SHARE_DILUTED","FQ2 2021","FQ2 2021","Currency=USD","Period=FQ","BEST_FPERIOD_OVERRIDE=FQ","FILING_STATUS=MR","Sort=A","Dates=H","DateFormat=P","Fill=—","Direction=H","UseDPDF=Y")</f>
        <v>—</v>
      </c>
      <c r="N52" s="13" t="str">
        <f>_xll.BDH("ITCI US Equity","ARDR_WEIGHTED_AVG_SHARE_DILUTED","FQ3 2021","FQ3 2021","Currency=USD","Period=FQ","BEST_FPERIOD_OVERRIDE=FQ","FILING_STATUS=MR","Sort=A","Dates=H","DateFormat=P","Fill=—","Direction=H","UseDPDF=Y")</f>
        <v>—</v>
      </c>
      <c r="O52" s="13" t="str">
        <f>_xll.BDH("ITCI US Equity","ARDR_WEIGHTED_AVG_SHARE_DILUTED","FQ4 2021","FQ4 2021","Currency=USD","Period=FQ","BEST_FPERIOD_OVERRIDE=FQ","FILING_STATUS=MR","Sort=A","Dates=H","DateFormat=P","Fill=—","Direction=H","UseDPDF=Y")</f>
        <v>—</v>
      </c>
      <c r="P52" s="13" t="str">
        <f>_xll.BDH("ITCI US Equity","ARDR_WEIGHTED_AVG_SHARE_DILUTED","FQ1 2022","FQ1 2022","Currency=USD","Period=FQ","BEST_FPERIOD_OVERRIDE=FQ","FILING_STATUS=MR","Sort=A","Dates=H","DateFormat=P","Fill=—","Direction=H","UseDPDF=Y")</f>
        <v>—</v>
      </c>
      <c r="Q52" s="13" t="str">
        <f>_xll.BDH("ITCI US Equity","ARDR_WEIGHTED_AVG_SHARE_DILUTED","FQ2 2022","FQ2 2022","Currency=USD","Period=FQ","BEST_FPERIOD_OVERRIDE=FQ","FILING_STATUS=MR","Sort=A","Dates=H","DateFormat=P","Fill=—","Direction=H","UseDPDF=Y")</f>
        <v>—</v>
      </c>
      <c r="R52" s="13" t="str">
        <f>_xll.BDH("ITCI US Equity","ARDR_WEIGHTED_AVG_SHARE_DILUTED","FQ3 2022","FQ3 2022","Currency=USD","Period=FQ","BEST_FPERIOD_OVERRIDE=FQ","FILING_STATUS=MR","Sort=A","Dates=H","DateFormat=P","Fill=—","Direction=H","UseDPDF=Y")</f>
        <v>—</v>
      </c>
      <c r="S52" s="13" t="str">
        <f>_xll.BDH("ITCI US Equity","ARDR_WEIGHTED_AVG_SHARE_DILUTED","FQ4 2022","FQ4 2022","Currency=USD","Period=FQ","BEST_FPERIOD_OVERRIDE=FQ","FILING_STATUS=MR","Sort=A","Dates=H","DateFormat=P","Fill=—","Direction=H","UseDPDF=Y")</f>
        <v>—</v>
      </c>
      <c r="T52" s="13" t="str">
        <f>_xll.BDH("ITCI US Equity","ARDR_WEIGHTED_AVG_SHARE_DILUTED","FQ1 2023","FQ1 2023","Currency=USD","Period=FQ","BEST_FPERIOD_OVERRIDE=FQ","FILING_STATUS=MR","Sort=A","Dates=H","DateFormat=P","Fill=—","Direction=H","UseDPDF=Y")</f>
        <v>—</v>
      </c>
      <c r="U52" s="13" t="str">
        <f>_xll.BDH("ITCI US Equity","ARDR_WEIGHTED_AVG_SHARE_DILUTED","FQ2 2023","FQ2 2023","Currency=USD","Period=FQ","BEST_FPERIOD_OVERRIDE=FQ","FILING_STATUS=MR","Sort=A","Dates=H","DateFormat=P","Fill=—","Direction=H","UseDPDF=Y")</f>
        <v>—</v>
      </c>
      <c r="V52" s="13" t="str">
        <f>_xll.BDH("ITCI US Equity","ARDR_WEIGHTED_AVG_SHARE_DILUTED","FQ3 2023","FQ3 2023","Currency=USD","Period=FQ","BEST_FPERIOD_OVERRIDE=FQ","FILING_STATUS=MR","Sort=A","Dates=H","DateFormat=P","Fill=—","Direction=H","UseDPDF=Y")</f>
        <v>—</v>
      </c>
      <c r="W52" s="13" t="str">
        <f>_xll.BDH("ITCI US Equity","ARDR_WEIGHTED_AVG_SHARE_DILUTED","FQ4 2023","FQ4 2023","Currency=USD","Period=FQ","BEST_FPERIOD_OVERRIDE=FQ","FILING_STATUS=MR","Sort=A","Dates=H","DateFormat=P","Fill=—","Direction=H","UseDPDF=Y")</f>
        <v>—</v>
      </c>
      <c r="X52" s="13">
        <f>_xll.BDH("ITCI US Equity","ARDR_WEIGHTED_AVG_SHARE_DILUTED","FQ1 2024","FQ1 2024","Currency=USD","Period=FQ","BEST_FPERIOD_OVERRIDE=FQ","FILING_STATUS=MR","Sort=A","Dates=H","DateFormat=P","Fill=—","Direction=H","UseDPDF=Y")</f>
        <v>96.875299999999996</v>
      </c>
      <c r="Y52" s="13" t="str">
        <f>_xll.BDH("ITCI US Equity","ARDR_WEIGHTED_AVG_SHARE_DILUTED","FQ2 2024","FQ2 2024","Currency=USD","Period=FQ","BEST_FPERIOD_OVERRIDE=FQ","FILING_STATUS=MR","Sort=A","Dates=H","DateFormat=P","Fill=—","Direction=H","UseDPDF=Y")</f>
        <v>—</v>
      </c>
      <c r="Z52" s="13" t="str">
        <f>_xll.BDH("ITCI US Equity","ARDR_WEIGHTED_AVG_SHARE_DILUTED","FQ3 2024","FQ3 2024","Currency=USD","Period=FQ","BEST_FPERIOD_OVERRIDE=FQ","FILING_STATUS=MR","Sort=A","Dates=H","DateFormat=P","Fill=—","Direction=H","UseDPDF=Y")</f>
        <v>—</v>
      </c>
      <c r="AA52" s="13" t="str">
        <f>_xll.BDH("ITCI US Equity","ARDR_WEIGHTED_AVG_SHARE_DILUTED","FQ4 2024","FQ4 2024","Currency=USD","Period=FQ","BEST_FPERIOD_OVERRIDE=FQ","FILING_STATUS=MR","Sort=A","Dates=H","DateFormat=P","Fill=—","Direction=H","UseDPDF=Y")</f>
        <v>—</v>
      </c>
    </row>
    <row r="53" spans="1:27" x14ac:dyDescent="0.25">
      <c r="A53" s="10" t="s">
        <v>451</v>
      </c>
      <c r="B53" s="10" t="s">
        <v>452</v>
      </c>
      <c r="C53" s="13" t="str">
        <f>_xll.BDH("ITCI US Equity","ARDR_CURRENT_RENTAL_EXP","FQ4 2018","FQ4 2018","Currency=USD","Period=FQ","BEST_FPERIOD_OVERRIDE=FQ","FILING_STATUS=MR","SCALING_FORMAT=MLN","Sort=A","Dates=H","DateFormat=P","Fill=—","Direction=H","UseDPDF=Y")</f>
        <v>—</v>
      </c>
      <c r="D53" s="13">
        <f>_xll.BDH("ITCI US Equity","ARDR_CURRENT_RENTAL_EXP","FQ1 2019","FQ1 2019","Currency=USD","Period=FQ","BEST_FPERIOD_OVERRIDE=FQ","FILING_STATUS=MR","SCALING_FORMAT=MLN","Sort=A","Dates=H","DateFormat=P","Fill=—","Direction=H","UseDPDF=Y")</f>
        <v>0.83</v>
      </c>
      <c r="E53" s="13">
        <f>_xll.BDH("ITCI US Equity","ARDR_CURRENT_RENTAL_EXP","FQ2 2019","FQ2 2019","Currency=USD","Period=FQ","BEST_FPERIOD_OVERRIDE=FQ","FILING_STATUS=MR","SCALING_FORMAT=MLN","Sort=A","Dates=H","DateFormat=P","Fill=—","Direction=H","UseDPDF=Y")</f>
        <v>0.95599999999999996</v>
      </c>
      <c r="F53" s="13">
        <f>_xll.BDH("ITCI US Equity","ARDR_CURRENT_RENTAL_EXP","FQ3 2019","FQ3 2019","Currency=USD","Period=FQ","BEST_FPERIOD_OVERRIDE=FQ","FILING_STATUS=MR","SCALING_FORMAT=MLN","Sort=A","Dates=H","DateFormat=P","Fill=—","Direction=H","UseDPDF=Y")</f>
        <v>0.81799999999999995</v>
      </c>
      <c r="G53" s="13">
        <f>_xll.BDH("ITCI US Equity","ARDR_CURRENT_RENTAL_EXP","FQ4 2019","FQ4 2019","Currency=USD","Period=FQ","BEST_FPERIOD_OVERRIDE=FQ","FILING_STATUS=MR","SCALING_FORMAT=MLN","Sort=A","Dates=H","DateFormat=P","Fill=—","Direction=H","UseDPDF=Y")</f>
        <v>0.8</v>
      </c>
      <c r="H53" s="13">
        <f>_xll.BDH("ITCI US Equity","ARDR_CURRENT_RENTAL_EXP","FQ1 2020","FQ1 2020","Currency=USD","Period=FQ","BEST_FPERIOD_OVERRIDE=FQ","FILING_STATUS=MR","SCALING_FORMAT=MLN","Sort=A","Dates=H","DateFormat=P","Fill=—","Direction=H","UseDPDF=Y")</f>
        <v>0.81799999999999995</v>
      </c>
      <c r="I53" s="13">
        <f>_xll.BDH("ITCI US Equity","ARDR_CURRENT_RENTAL_EXP","FQ2 2020","FQ2 2020","Currency=USD","Period=FQ","BEST_FPERIOD_OVERRIDE=FQ","FILING_STATUS=MR","SCALING_FORMAT=MLN","Sort=A","Dates=H","DateFormat=P","Fill=—","Direction=H","UseDPDF=Y")</f>
        <v>0.8</v>
      </c>
      <c r="J53" s="13">
        <f>_xll.BDH("ITCI US Equity","ARDR_CURRENT_RENTAL_EXP","FQ3 2020","FQ3 2020","Currency=USD","Period=FQ","BEST_FPERIOD_OVERRIDE=FQ","FILING_STATUS=MR","SCALING_FORMAT=MLN","Sort=A","Dates=H","DateFormat=P","Fill=—","Direction=H","UseDPDF=Y")</f>
        <v>0.8</v>
      </c>
      <c r="K53" s="13">
        <f>_xll.BDH("ITCI US Equity","ARDR_CURRENT_RENTAL_EXP","FQ4 2020","FQ4 2020","Currency=USD","Period=FQ","BEST_FPERIOD_OVERRIDE=FQ","FILING_STATUS=MR","SCALING_FORMAT=MLN","Sort=A","Dates=H","DateFormat=P","Fill=—","Direction=H","UseDPDF=Y")</f>
        <v>0.3831</v>
      </c>
      <c r="L53" s="13">
        <f>_xll.BDH("ITCI US Equity","ARDR_CURRENT_RENTAL_EXP","FQ1 2021","FQ1 2021","Currency=USD","Period=FQ","BEST_FPERIOD_OVERRIDE=FQ","FILING_STATUS=MR","SCALING_FORMAT=MLN","Sort=A","Dates=H","DateFormat=P","Fill=—","Direction=H","UseDPDF=Y")</f>
        <v>0.8</v>
      </c>
      <c r="M53" s="13">
        <f>_xll.BDH("ITCI US Equity","ARDR_CURRENT_RENTAL_EXP","FQ2 2021","FQ2 2021","Currency=USD","Period=FQ","BEST_FPERIOD_OVERRIDE=FQ","FILING_STATUS=MR","SCALING_FORMAT=MLN","Sort=A","Dates=H","DateFormat=P","Fill=—","Direction=H","UseDPDF=Y")</f>
        <v>0.8</v>
      </c>
      <c r="N53" s="13">
        <f>_xll.BDH("ITCI US Equity","ARDR_CURRENT_RENTAL_EXP","FQ3 2021","FQ3 2021","Currency=USD","Period=FQ","BEST_FPERIOD_OVERRIDE=FQ","FILING_STATUS=MR","SCALING_FORMAT=MLN","Sort=A","Dates=H","DateFormat=P","Fill=—","Direction=H","UseDPDF=Y")</f>
        <v>0.8</v>
      </c>
      <c r="O53" s="13">
        <f>_xll.BDH("ITCI US Equity","ARDR_CURRENT_RENTAL_EXP","FQ4 2021","FQ4 2021","Currency=USD","Period=FQ","BEST_FPERIOD_OVERRIDE=FQ","FILING_STATUS=MR","SCALING_FORMAT=MLN","Sort=A","Dates=H","DateFormat=P","Fill=—","Direction=H","UseDPDF=Y")</f>
        <v>0.94889999999999997</v>
      </c>
      <c r="P53" s="13" t="str">
        <f>_xll.BDH("ITCI US Equity","ARDR_CURRENT_RENTAL_EXP","FQ1 2022","FQ1 2022","Currency=USD","Period=FQ","BEST_FPERIOD_OVERRIDE=FQ","FILING_STATUS=MR","SCALING_FORMAT=MLN","Sort=A","Dates=H","DateFormat=P","Fill=—","Direction=H","UseDPDF=Y")</f>
        <v>—</v>
      </c>
      <c r="Q53" s="13" t="str">
        <f>_xll.BDH("ITCI US Equity","ARDR_CURRENT_RENTAL_EXP","FQ2 2022","FQ2 2022","Currency=USD","Period=FQ","BEST_FPERIOD_OVERRIDE=FQ","FILING_STATUS=MR","SCALING_FORMAT=MLN","Sort=A","Dates=H","DateFormat=P","Fill=—","Direction=H","UseDPDF=Y")</f>
        <v>—</v>
      </c>
      <c r="R53" s="13" t="str">
        <f>_xll.BDH("ITCI US Equity","ARDR_CURRENT_RENTAL_EXP","FQ3 2022","FQ3 2022","Currency=USD","Period=FQ","BEST_FPERIOD_OVERRIDE=FQ","FILING_STATUS=MR","SCALING_FORMAT=MLN","Sort=A","Dates=H","DateFormat=P","Fill=—","Direction=H","UseDPDF=Y")</f>
        <v>—</v>
      </c>
      <c r="S53" s="13">
        <f>_xll.BDH("ITCI US Equity","ARDR_CURRENT_RENTAL_EXP","FQ4 2022","FQ4 2022","Currency=USD","Period=FQ","BEST_FPERIOD_OVERRIDE=FQ","FILING_STATUS=MR","SCALING_FORMAT=MLN","Sort=A","Dates=H","DateFormat=P","Fill=—","Direction=H","UseDPDF=Y")</f>
        <v>7.2039999999999997</v>
      </c>
      <c r="T53" s="13">
        <f>_xll.BDH("ITCI US Equity","ARDR_CURRENT_RENTAL_EXP","FQ1 2023","FQ1 2023","Currency=USD","Period=FQ","BEST_FPERIOD_OVERRIDE=FQ","FILING_STATUS=MR","SCALING_FORMAT=MLN","Sort=A","Dates=H","DateFormat=P","Fill=—","Direction=H","UseDPDF=Y")</f>
        <v>2.161</v>
      </c>
      <c r="U53" s="13" t="str">
        <f>_xll.BDH("ITCI US Equity","ARDR_CURRENT_RENTAL_EXP","FQ2 2023","FQ2 2023","Currency=USD","Period=FQ","BEST_FPERIOD_OVERRIDE=FQ","FILING_STATUS=MR","SCALING_FORMAT=MLN","Sort=A","Dates=H","DateFormat=P","Fill=—","Direction=H","UseDPDF=Y")</f>
        <v>—</v>
      </c>
      <c r="V53" s="13">
        <f>_xll.BDH("ITCI US Equity","ARDR_CURRENT_RENTAL_EXP","FQ3 2023","FQ3 2023","Currency=USD","Period=FQ","BEST_FPERIOD_OVERRIDE=FQ","FILING_STATUS=MR","SCALING_FORMAT=MLN","Sort=A","Dates=H","DateFormat=P","Fill=—","Direction=H","UseDPDF=Y")</f>
        <v>2.4820000000000002</v>
      </c>
      <c r="W53" s="13">
        <f>_xll.BDH("ITCI US Equity","ARDR_CURRENT_RENTAL_EXP","FQ4 2023","FQ4 2023","Currency=USD","Period=FQ","BEST_FPERIOD_OVERRIDE=FQ","FILING_STATUS=MR","SCALING_FORMAT=MLN","Sort=A","Dates=H","DateFormat=P","Fill=—","Direction=H","UseDPDF=Y")</f>
        <v>7.6849999999999996</v>
      </c>
      <c r="X53" s="13">
        <f>_xll.BDH("ITCI US Equity","ARDR_CURRENT_RENTAL_EXP","FQ1 2024","FQ1 2024","Currency=USD","Period=FQ","BEST_FPERIOD_OVERRIDE=FQ","FILING_STATUS=MR","SCALING_FORMAT=MLN","Sort=A","Dates=H","DateFormat=P","Fill=—","Direction=H","UseDPDF=Y")</f>
        <v>1.8879999999999999</v>
      </c>
      <c r="Y53" s="13">
        <f>_xll.BDH("ITCI US Equity","ARDR_CURRENT_RENTAL_EXP","FQ2 2024","FQ2 2024","Currency=USD","Period=FQ","BEST_FPERIOD_OVERRIDE=FQ","FILING_STATUS=MR","SCALING_FORMAT=MLN","Sort=A","Dates=H","DateFormat=P","Fill=—","Direction=H","UseDPDF=Y")</f>
        <v>2.1459999999999999</v>
      </c>
      <c r="Z53" s="13">
        <f>_xll.BDH("ITCI US Equity","ARDR_CURRENT_RENTAL_EXP","FQ3 2024","FQ3 2024","Currency=USD","Period=FQ","BEST_FPERIOD_OVERRIDE=FQ","FILING_STATUS=MR","SCALING_FORMAT=MLN","Sort=A","Dates=H","DateFormat=P","Fill=—","Direction=H","UseDPDF=Y")</f>
        <v>2.101</v>
      </c>
      <c r="AA53" s="13">
        <f>_xll.BDH("ITCI US Equity","ARDR_CURRENT_RENTAL_EXP","FQ4 2024","FQ4 2024","Currency=USD","Period=FQ","BEST_FPERIOD_OVERRIDE=FQ","FILING_STATUS=MR","SCALING_FORMAT=MLN","Sort=A","Dates=H","DateFormat=P","Fill=—","Direction=H","UseDPDF=Y")</f>
        <v>2.1059999999999999</v>
      </c>
    </row>
    <row r="54" spans="1:27" x14ac:dyDescent="0.25">
      <c r="A54" s="10" t="s">
        <v>453</v>
      </c>
      <c r="B54" s="10" t="s">
        <v>454</v>
      </c>
      <c r="C54" s="13">
        <f>_xll.BDH("ITCI US Equity","ARDR_STK_BASED_COMPENSATION_EXP","FQ4 2018","FQ4 2018","Currency=USD","Period=FQ","BEST_FPERIOD_OVERRIDE=FQ","FILING_STATUS=MR","SCALING_FORMAT=MLN","Sort=A","Dates=H","DateFormat=P","Fill=—","Direction=H","UseDPDF=Y")</f>
        <v>4.4246999999999996</v>
      </c>
      <c r="D54" s="13">
        <f>_xll.BDH("ITCI US Equity","ARDR_STK_BASED_COMPENSATION_EXP","FQ1 2019","FQ1 2019","Currency=USD","Period=FQ","BEST_FPERIOD_OVERRIDE=FQ","FILING_STATUS=MR","SCALING_FORMAT=MLN","Sort=A","Dates=H","DateFormat=P","Fill=—","Direction=H","UseDPDF=Y")</f>
        <v>5.0552000000000001</v>
      </c>
      <c r="E54" s="13">
        <f>_xll.BDH("ITCI US Equity","ARDR_STK_BASED_COMPENSATION_EXP","FQ2 2019","FQ2 2019","Currency=USD","Period=FQ","BEST_FPERIOD_OVERRIDE=FQ","FILING_STATUS=MR","SCALING_FORMAT=MLN","Sort=A","Dates=H","DateFormat=P","Fill=—","Direction=H","UseDPDF=Y")</f>
        <v>4.9874000000000001</v>
      </c>
      <c r="F54" s="13">
        <f>_xll.BDH("ITCI US Equity","ARDR_STK_BASED_COMPENSATION_EXP","FQ3 2019","FQ3 2019","Currency=USD","Period=FQ","BEST_FPERIOD_OVERRIDE=FQ","FILING_STATUS=MR","SCALING_FORMAT=MLN","Sort=A","Dates=H","DateFormat=P","Fill=—","Direction=H","UseDPDF=Y")</f>
        <v>4.8068</v>
      </c>
      <c r="G54" s="13">
        <f>_xll.BDH("ITCI US Equity","ARDR_STK_BASED_COMPENSATION_EXP","FQ4 2019","FQ4 2019","Currency=USD","Period=FQ","BEST_FPERIOD_OVERRIDE=FQ","FILING_STATUS=MR","SCALING_FORMAT=MLN","Sort=A","Dates=H","DateFormat=P","Fill=—","Direction=H","UseDPDF=Y")</f>
        <v>5.9393000000000002</v>
      </c>
      <c r="H54" s="13">
        <f>_xll.BDH("ITCI US Equity","ARDR_STK_BASED_COMPENSATION_EXP","FQ1 2020","FQ1 2020","Currency=USD","Period=FQ","BEST_FPERIOD_OVERRIDE=FQ","FILING_STATUS=MR","SCALING_FORMAT=MLN","Sort=A","Dates=H","DateFormat=P","Fill=—","Direction=H","UseDPDF=Y")</f>
        <v>5.5042999999999997</v>
      </c>
      <c r="I54" s="13">
        <f>_xll.BDH("ITCI US Equity","ARDR_STK_BASED_COMPENSATION_EXP","FQ2 2020","FQ2 2020","Currency=USD","Period=FQ","BEST_FPERIOD_OVERRIDE=FQ","FILING_STATUS=MR","SCALING_FORMAT=MLN","Sort=A","Dates=H","DateFormat=P","Fill=—","Direction=H","UseDPDF=Y")</f>
        <v>6.9470999999999998</v>
      </c>
      <c r="J54" s="13">
        <f>_xll.BDH("ITCI US Equity","ARDR_STK_BASED_COMPENSATION_EXP","FQ3 2020","FQ3 2020","Currency=USD","Period=FQ","BEST_FPERIOD_OVERRIDE=FQ","FILING_STATUS=MR","SCALING_FORMAT=MLN","Sort=A","Dates=H","DateFormat=P","Fill=—","Direction=H","UseDPDF=Y")</f>
        <v>6.9006999999999996</v>
      </c>
      <c r="K54" s="13">
        <f>_xll.BDH("ITCI US Equity","ARDR_STK_BASED_COMPENSATION_EXP","FQ4 2020","FQ4 2020","Currency=USD","Period=FQ","BEST_FPERIOD_OVERRIDE=FQ","FILING_STATUS=MR","SCALING_FORMAT=MLN","Sort=A","Dates=H","DateFormat=P","Fill=—","Direction=H","UseDPDF=Y")</f>
        <v>24.115200000000002</v>
      </c>
      <c r="L54" s="13">
        <f>_xll.BDH("ITCI US Equity","ARDR_STK_BASED_COMPENSATION_EXP","FQ1 2021","FQ1 2021","Currency=USD","Period=FQ","BEST_FPERIOD_OVERRIDE=FQ","FILING_STATUS=MR","SCALING_FORMAT=MLN","Sort=A","Dates=H","DateFormat=P","Fill=—","Direction=H","UseDPDF=Y")</f>
        <v>6.7784000000000004</v>
      </c>
      <c r="M54" s="13">
        <f>_xll.BDH("ITCI US Equity","ARDR_STK_BASED_COMPENSATION_EXP","FQ2 2021","FQ2 2021","Currency=USD","Period=FQ","BEST_FPERIOD_OVERRIDE=FQ","FILING_STATUS=MR","SCALING_FORMAT=MLN","Sort=A","Dates=H","DateFormat=P","Fill=—","Direction=H","UseDPDF=Y")</f>
        <v>8.6166999999999998</v>
      </c>
      <c r="N54" s="13">
        <f>_xll.BDH("ITCI US Equity","ARDR_STK_BASED_COMPENSATION_EXP","FQ3 2021","FQ3 2021","Currency=USD","Period=FQ","BEST_FPERIOD_OVERRIDE=FQ","FILING_STATUS=MR","SCALING_FORMAT=MLN","Sort=A","Dates=H","DateFormat=P","Fill=—","Direction=H","UseDPDF=Y")</f>
        <v>9.5303000000000004</v>
      </c>
      <c r="O54" s="13">
        <f>_xll.BDH("ITCI US Equity","ARDR_STK_BASED_COMPENSATION_EXP","FQ4 2021","FQ4 2021","Currency=USD","Period=FQ","BEST_FPERIOD_OVERRIDE=FQ","FILING_STATUS=MR","SCALING_FORMAT=MLN","Sort=A","Dates=H","DateFormat=P","Fill=—","Direction=H","UseDPDF=Y")</f>
        <v>34.302999999999997</v>
      </c>
      <c r="P54" s="13">
        <f>_xll.BDH("ITCI US Equity","ARDR_STK_BASED_COMPENSATION_EXP","FQ1 2022","FQ1 2022","Currency=USD","Period=FQ","BEST_FPERIOD_OVERRIDE=FQ","FILING_STATUS=MR","SCALING_FORMAT=MLN","Sort=A","Dates=H","DateFormat=P","Fill=—","Direction=H","UseDPDF=Y")</f>
        <v>-72.114000000000004</v>
      </c>
      <c r="Q54" s="13">
        <f>_xll.BDH("ITCI US Equity","ARDR_STK_BASED_COMPENSATION_EXP","FQ2 2022","FQ2 2022","Currency=USD","Period=FQ","BEST_FPERIOD_OVERRIDE=FQ","FILING_STATUS=MR","SCALING_FORMAT=MLN","Sort=A","Dates=H","DateFormat=P","Fill=—","Direction=H","UseDPDF=Y")</f>
        <v>11.997999999999999</v>
      </c>
      <c r="R54" s="13">
        <f>_xll.BDH("ITCI US Equity","ARDR_STK_BASED_COMPENSATION_EXP","FQ3 2022","FQ3 2022","Currency=USD","Period=FQ","BEST_FPERIOD_OVERRIDE=FQ","FILING_STATUS=MR","SCALING_FORMAT=MLN","Sort=A","Dates=H","DateFormat=P","Fill=—","Direction=H","UseDPDF=Y")</f>
        <v>11.750999999999999</v>
      </c>
      <c r="S54" s="13">
        <f>_xll.BDH("ITCI US Equity","ARDR_STK_BASED_COMPENSATION_EXP","FQ4 2022","FQ4 2022","Currency=USD","Period=FQ","BEST_FPERIOD_OVERRIDE=FQ","FILING_STATUS=MR","SCALING_FORMAT=MLN","Sort=A","Dates=H","DateFormat=P","Fill=—","Direction=H","UseDPDF=Y")</f>
        <v>11.159000000000001</v>
      </c>
      <c r="T54" s="13">
        <f>_xll.BDH("ITCI US Equity","ARDR_STK_BASED_COMPENSATION_EXP","FQ1 2023","FQ1 2023","Currency=USD","Period=FQ","BEST_FPERIOD_OVERRIDE=FQ","FILING_STATUS=MR","SCALING_FORMAT=MLN","Sort=A","Dates=H","DateFormat=P","Fill=—","Direction=H","UseDPDF=Y")</f>
        <v>-48.392000000000003</v>
      </c>
      <c r="U54" s="13">
        <f>_xll.BDH("ITCI US Equity","ARDR_STK_BASED_COMPENSATION_EXP","FQ2 2023","FQ2 2023","Currency=USD","Period=FQ","BEST_FPERIOD_OVERRIDE=FQ","FILING_STATUS=MR","SCALING_FORMAT=MLN","Sort=A","Dates=H","DateFormat=P","Fill=—","Direction=H","UseDPDF=Y")</f>
        <v>-47.179000000000002</v>
      </c>
      <c r="V54" s="13">
        <f>_xll.BDH("ITCI US Equity","ARDR_STK_BASED_COMPENSATION_EXP","FQ3 2023","FQ3 2023","Currency=USD","Period=FQ","BEST_FPERIOD_OVERRIDE=FQ","FILING_STATUS=MR","SCALING_FORMAT=MLN","Sort=A","Dates=H","DateFormat=P","Fill=—","Direction=H","UseDPDF=Y")</f>
        <v>-29.713000000000001</v>
      </c>
      <c r="W54" s="13">
        <f>_xll.BDH("ITCI US Equity","ARDR_STK_BASED_COMPENSATION_EXP","FQ4 2023","FQ4 2023","Currency=USD","Period=FQ","BEST_FPERIOD_OVERRIDE=FQ","FILING_STATUS=MR","SCALING_FORMAT=MLN","Sort=A","Dates=H","DateFormat=P","Fill=—","Direction=H","UseDPDF=Y")</f>
        <v>14.856</v>
      </c>
      <c r="X54" s="13">
        <f>_xll.BDH("ITCI US Equity","ARDR_STK_BASED_COMPENSATION_EXP","FQ1 2024","FQ1 2024","Currency=USD","Period=FQ","BEST_FPERIOD_OVERRIDE=FQ","FILING_STATUS=MR","SCALING_FORMAT=MLN","Sort=A","Dates=H","DateFormat=P","Fill=—","Direction=H","UseDPDF=Y")</f>
        <v>13.843</v>
      </c>
      <c r="Y54" s="13">
        <f>_xll.BDH("ITCI US Equity","ARDR_STK_BASED_COMPENSATION_EXP","FQ2 2024","FQ2 2024","Currency=USD","Period=FQ","BEST_FPERIOD_OVERRIDE=FQ","FILING_STATUS=MR","SCALING_FORMAT=MLN","Sort=A","Dates=H","DateFormat=P","Fill=—","Direction=H","UseDPDF=Y")</f>
        <v>-27.722999999999999</v>
      </c>
      <c r="Z54" s="13">
        <f>_xll.BDH("ITCI US Equity","ARDR_STK_BASED_COMPENSATION_EXP","FQ3 2024","FQ3 2024","Currency=USD","Period=FQ","BEST_FPERIOD_OVERRIDE=FQ","FILING_STATUS=MR","SCALING_FORMAT=MLN","Sort=A","Dates=H","DateFormat=P","Fill=—","Direction=H","UseDPDF=Y")</f>
        <v>17.489000000000001</v>
      </c>
      <c r="AA54" s="13">
        <f>_xll.BDH("ITCI US Equity","ARDR_STK_BASED_COMPENSATION_EXP","FQ4 2024","FQ4 2024","Currency=USD","Period=FQ","BEST_FPERIOD_OVERRIDE=FQ","FILING_STATUS=MR","SCALING_FORMAT=MLN","Sort=A","Dates=H","DateFormat=P","Fill=—","Direction=H","UseDPDF=Y")</f>
        <v>16.332999999999998</v>
      </c>
    </row>
    <row r="55" spans="1:27" x14ac:dyDescent="0.25">
      <c r="A55" s="10" t="s">
        <v>416</v>
      </c>
      <c r="B55" s="10" t="s">
        <v>455</v>
      </c>
      <c r="C55" s="14">
        <f>_xll.BDH("ITCI US Equity","ARDR_BASIC_AND_DILUTED_EPS","FQ4 2018","FQ4 2018","Currency=USD","Period=FQ","BEST_FPERIOD_OVERRIDE=FQ","FILING_STATUS=MR","Sort=A","Dates=H","DateFormat=P","Fill=—","Direction=H","UseDPDF=Y")</f>
        <v>-0.75</v>
      </c>
      <c r="D55" s="14">
        <f>_xll.BDH("ITCI US Equity","ARDR_BASIC_AND_DILUTED_EPS","FQ1 2019","FQ1 2019","Currency=USD","Period=FQ","BEST_FPERIOD_OVERRIDE=FQ","FILING_STATUS=MR","Sort=A","Dates=H","DateFormat=P","Fill=—","Direction=H","UseDPDF=Y")</f>
        <v>-0.63</v>
      </c>
      <c r="E55" s="14" t="str">
        <f>_xll.BDH("ITCI US Equity","ARDR_BASIC_AND_DILUTED_EPS","FQ2 2019","FQ2 2019","Currency=USD","Period=FQ","BEST_FPERIOD_OVERRIDE=FQ","FILING_STATUS=MR","Sort=A","Dates=H","DateFormat=P","Fill=—","Direction=H","UseDPDF=Y")</f>
        <v>—</v>
      </c>
      <c r="F55" s="14">
        <f>_xll.BDH("ITCI US Equity","ARDR_BASIC_AND_DILUTED_EPS","FQ3 2019","FQ3 2019","Currency=USD","Period=FQ","BEST_FPERIOD_OVERRIDE=FQ","FILING_STATUS=MR","Sort=A","Dates=H","DateFormat=P","Fill=—","Direction=H","UseDPDF=Y")</f>
        <v>-0.63</v>
      </c>
      <c r="G55" s="14" t="str">
        <f>_xll.BDH("ITCI US Equity","ARDR_BASIC_AND_DILUTED_EPS","FQ4 2019","FQ4 2019","Currency=USD","Period=FQ","BEST_FPERIOD_OVERRIDE=FQ","FILING_STATUS=MR","Sort=A","Dates=H","DateFormat=P","Fill=—","Direction=H","UseDPDF=Y")</f>
        <v>—</v>
      </c>
      <c r="H55" s="14" t="str">
        <f>_xll.BDH("ITCI US Equity","ARDR_BASIC_AND_DILUTED_EPS","FQ1 2020","FQ1 2020","Currency=USD","Period=FQ","BEST_FPERIOD_OVERRIDE=FQ","FILING_STATUS=MR","Sort=A","Dates=H","DateFormat=P","Fill=—","Direction=H","UseDPDF=Y")</f>
        <v>—</v>
      </c>
      <c r="I55" s="14" t="str">
        <f>_xll.BDH("ITCI US Equity","ARDR_BASIC_AND_DILUTED_EPS","FQ2 2020","FQ2 2020","Currency=USD","Period=FQ","BEST_FPERIOD_OVERRIDE=FQ","FILING_STATUS=MR","Sort=A","Dates=H","DateFormat=P","Fill=—","Direction=H","UseDPDF=Y")</f>
        <v>—</v>
      </c>
      <c r="J55" s="14">
        <f>_xll.BDH("ITCI US Equity","ARDR_BASIC_AND_DILUTED_EPS","FQ3 2020","FQ3 2020","Currency=USD","Period=FQ","BEST_FPERIOD_OVERRIDE=FQ","FILING_STATUS=MR","Sort=A","Dates=H","DateFormat=P","Fill=—","Direction=H","UseDPDF=Y")</f>
        <v>-0.79</v>
      </c>
      <c r="K55" s="14" t="str">
        <f>_xll.BDH("ITCI US Equity","ARDR_BASIC_AND_DILUTED_EPS","FQ4 2020","FQ4 2020","Currency=USD","Period=FQ","BEST_FPERIOD_OVERRIDE=FQ","FILING_STATUS=MR","Sort=A","Dates=H","DateFormat=P","Fill=—","Direction=H","UseDPDF=Y")</f>
        <v>—</v>
      </c>
      <c r="L55" s="14" t="str">
        <f>_xll.BDH("ITCI US Equity","ARDR_BASIC_AND_DILUTED_EPS","FQ1 2021","FQ1 2021","Currency=USD","Period=FQ","BEST_FPERIOD_OVERRIDE=FQ","FILING_STATUS=MR","Sort=A","Dates=H","DateFormat=P","Fill=—","Direction=H","UseDPDF=Y")</f>
        <v>—</v>
      </c>
      <c r="M55" s="14" t="str">
        <f>_xll.BDH("ITCI US Equity","ARDR_BASIC_AND_DILUTED_EPS","FQ2 2021","FQ2 2021","Currency=USD","Period=FQ","BEST_FPERIOD_OVERRIDE=FQ","FILING_STATUS=MR","Sort=A","Dates=H","DateFormat=P","Fill=—","Direction=H","UseDPDF=Y")</f>
        <v>—</v>
      </c>
      <c r="N55" s="14">
        <f>_xll.BDH("ITCI US Equity","ARDR_BASIC_AND_DILUTED_EPS","FQ3 2021","FQ3 2021","Currency=USD","Period=FQ","BEST_FPERIOD_OVERRIDE=FQ","FILING_STATUS=MR","Sort=A","Dates=H","DateFormat=P","Fill=—","Direction=H","UseDPDF=Y")</f>
        <v>-0.95</v>
      </c>
      <c r="O55" s="14" t="str">
        <f>_xll.BDH("ITCI US Equity","ARDR_BASIC_AND_DILUTED_EPS","FQ4 2021","FQ4 2021","Currency=USD","Period=FQ","BEST_FPERIOD_OVERRIDE=FQ","FILING_STATUS=MR","Sort=A","Dates=H","DateFormat=P","Fill=—","Direction=H","UseDPDF=Y")</f>
        <v>—</v>
      </c>
      <c r="P55" s="14" t="str">
        <f>_xll.BDH("ITCI US Equity","ARDR_BASIC_AND_DILUTED_EPS","FQ1 2022","FQ1 2022","Currency=USD","Period=FQ","BEST_FPERIOD_OVERRIDE=FQ","FILING_STATUS=MR","Sort=A","Dates=H","DateFormat=P","Fill=—","Direction=H","UseDPDF=Y")</f>
        <v>—</v>
      </c>
      <c r="Q55" s="14">
        <f>_xll.BDH("ITCI US Equity","ARDR_BASIC_AND_DILUTED_EPS","FQ2 2022","FQ2 2022","Currency=USD","Period=FQ","BEST_FPERIOD_OVERRIDE=FQ","FILING_STATUS=MR","Sort=A","Dates=H","DateFormat=P","Fill=—","Direction=H","UseDPDF=Y")</f>
        <v>-0.92</v>
      </c>
      <c r="R55" s="14">
        <f>_xll.BDH("ITCI US Equity","ARDR_BASIC_AND_DILUTED_EPS","FQ3 2022","FQ3 2022","Currency=USD","Period=FQ","BEST_FPERIOD_OVERRIDE=FQ","FILING_STATUS=MR","Sort=A","Dates=H","DateFormat=P","Fill=—","Direction=H","UseDPDF=Y")</f>
        <v>-0.56999999999999995</v>
      </c>
      <c r="S55" s="14">
        <f>_xll.BDH("ITCI US Equity","ARDR_BASIC_AND_DILUTED_EPS","FQ4 2022","FQ4 2022","Currency=USD","Period=FQ","BEST_FPERIOD_OVERRIDE=FQ","FILING_STATUS=MR","Sort=A","Dates=H","DateFormat=P","Fill=—","Direction=H","UseDPDF=Y")</f>
        <v>-0.45</v>
      </c>
      <c r="T55" s="14">
        <f>_xll.BDH("ITCI US Equity","ARDR_BASIC_AND_DILUTED_EPS","FQ1 2023","FQ1 2023","Currency=USD","Period=FQ","BEST_FPERIOD_OVERRIDE=FQ","FILING_STATUS=MR","Sort=A","Dates=H","DateFormat=P","Fill=—","Direction=H","UseDPDF=Y")</f>
        <v>-0.46</v>
      </c>
      <c r="U55" s="14">
        <f>_xll.BDH("ITCI US Equity","ARDR_BASIC_AND_DILUTED_EPS","FQ2 2023","FQ2 2023","Currency=USD","Period=FQ","BEST_FPERIOD_OVERRIDE=FQ","FILING_STATUS=MR","Sort=A","Dates=H","DateFormat=P","Fill=—","Direction=H","UseDPDF=Y")</f>
        <v>-0.45</v>
      </c>
      <c r="V55" s="14">
        <f>_xll.BDH("ITCI US Equity","ARDR_BASIC_AND_DILUTED_EPS","FQ3 2023","FQ3 2023","Currency=USD","Period=FQ","BEST_FPERIOD_OVERRIDE=FQ","FILING_STATUS=MR","Sort=A","Dates=H","DateFormat=P","Fill=—","Direction=H","UseDPDF=Y")</f>
        <v>-0.25</v>
      </c>
      <c r="W55" s="14">
        <f>_xll.BDH("ITCI US Equity","ARDR_BASIC_AND_DILUTED_EPS","FQ4 2023","FQ4 2023","Currency=USD","Period=FQ","BEST_FPERIOD_OVERRIDE=FQ","FILING_STATUS=MR","Sort=A","Dates=H","DateFormat=P","Fill=—","Direction=H","UseDPDF=Y")</f>
        <v>-0.3</v>
      </c>
      <c r="X55" s="14">
        <f>_xll.BDH("ITCI US Equity","ARDR_BASIC_AND_DILUTED_EPS","FQ1 2024","FQ1 2024","Currency=USD","Period=FQ","BEST_FPERIOD_OVERRIDE=FQ","FILING_STATUS=MR","Sort=A","Dates=H","DateFormat=P","Fill=—","Direction=H","UseDPDF=Y")</f>
        <v>-0.16</v>
      </c>
      <c r="Y55" s="14">
        <f>_xll.BDH("ITCI US Equity","ARDR_BASIC_AND_DILUTED_EPS","FQ2 2024","FQ2 2024","Currency=USD","Period=FQ","BEST_FPERIOD_OVERRIDE=FQ","FILING_STATUS=MR","Sort=A","Dates=H","DateFormat=P","Fill=—","Direction=H","UseDPDF=Y")</f>
        <v>-0.16</v>
      </c>
      <c r="Z55" s="14">
        <f>_xll.BDH("ITCI US Equity","ARDR_BASIC_AND_DILUTED_EPS","FQ3 2024","FQ3 2024","Currency=USD","Period=FQ","BEST_FPERIOD_OVERRIDE=FQ","FILING_STATUS=MR","Sort=A","Dates=H","DateFormat=P","Fill=—","Direction=H","UseDPDF=Y")</f>
        <v>-0.25</v>
      </c>
      <c r="AA55" s="14">
        <f>_xll.BDH("ITCI US Equity","ARDR_BASIC_AND_DILUTED_EPS","FQ4 2024","FQ4 2024","Currency=USD","Period=FQ","BEST_FPERIOD_OVERRIDE=FQ","FILING_STATUS=MR","Sort=A","Dates=H","DateFormat=P","Fill=—","Direction=H","UseDPDF=Y")</f>
        <v>-0.16</v>
      </c>
    </row>
    <row r="56" spans="1:27" x14ac:dyDescent="0.25">
      <c r="A56" s="10" t="s">
        <v>428</v>
      </c>
      <c r="B56" s="10" t="s">
        <v>456</v>
      </c>
      <c r="C56" s="13" t="str">
        <f>_xll.BDH("ITCI US Equity","ARDR_TOTAL_COMPREHENSIVE_INCOME","FQ4 2018","FQ4 2018","Currency=USD","Period=FQ","BEST_FPERIOD_OVERRIDE=FQ","FILING_STATUS=MR","SCALING_FORMAT=MLN","Sort=A","Dates=H","DateFormat=P","Fill=—","Direction=H","UseDPDF=Y")</f>
        <v>—</v>
      </c>
      <c r="D56" s="13">
        <f>_xll.BDH("ITCI US Equity","ARDR_TOTAL_COMPREHENSIVE_INCOME","FQ1 2019","FQ1 2019","Currency=USD","Period=FQ","BEST_FPERIOD_OVERRIDE=FQ","FILING_STATUS=MR","SCALING_FORMAT=MLN","Sort=A","Dates=H","DateFormat=P","Fill=—","Direction=H","UseDPDF=Y")</f>
        <v>-34.235500000000002</v>
      </c>
      <c r="E56" s="13" t="str">
        <f>_xll.BDH("ITCI US Equity","ARDR_TOTAL_COMPREHENSIVE_INCOME","FQ2 2019","FQ2 2019","Currency=USD","Period=FQ","BEST_FPERIOD_OVERRIDE=FQ","FILING_STATUS=MR","SCALING_FORMAT=MLN","Sort=A","Dates=H","DateFormat=P","Fill=—","Direction=H","UseDPDF=Y")</f>
        <v>—</v>
      </c>
      <c r="F56" s="13" t="str">
        <f>_xll.BDH("ITCI US Equity","ARDR_TOTAL_COMPREHENSIVE_INCOME","FQ3 2019","FQ3 2019","Currency=USD","Period=FQ","BEST_FPERIOD_OVERRIDE=FQ","FILING_STATUS=MR","SCALING_FORMAT=MLN","Sort=A","Dates=H","DateFormat=P","Fill=—","Direction=H","UseDPDF=Y")</f>
        <v>—</v>
      </c>
      <c r="G56" s="13" t="str">
        <f>_xll.BDH("ITCI US Equity","ARDR_TOTAL_COMPREHENSIVE_INCOME","FQ4 2019","FQ4 2019","Currency=USD","Period=FQ","BEST_FPERIOD_OVERRIDE=FQ","FILING_STATUS=MR","SCALING_FORMAT=MLN","Sort=A","Dates=H","DateFormat=P","Fill=—","Direction=H","UseDPDF=Y")</f>
        <v>—</v>
      </c>
      <c r="H56" s="13" t="str">
        <f>_xll.BDH("ITCI US Equity","ARDR_TOTAL_COMPREHENSIVE_INCOME","FQ1 2020","FQ1 2020","Currency=USD","Period=FQ","BEST_FPERIOD_OVERRIDE=FQ","FILING_STATUS=MR","SCALING_FORMAT=MLN","Sort=A","Dates=H","DateFormat=P","Fill=—","Direction=H","UseDPDF=Y")</f>
        <v>—</v>
      </c>
      <c r="I56" s="13" t="str">
        <f>_xll.BDH("ITCI US Equity","ARDR_TOTAL_COMPREHENSIVE_INCOME","FQ2 2020","FQ2 2020","Currency=USD","Period=FQ","BEST_FPERIOD_OVERRIDE=FQ","FILING_STATUS=MR","SCALING_FORMAT=MLN","Sort=A","Dates=H","DateFormat=P","Fill=—","Direction=H","UseDPDF=Y")</f>
        <v>—</v>
      </c>
      <c r="J56" s="13" t="str">
        <f>_xll.BDH("ITCI US Equity","ARDR_TOTAL_COMPREHENSIVE_INCOME","FQ3 2020","FQ3 2020","Currency=USD","Period=FQ","BEST_FPERIOD_OVERRIDE=FQ","FILING_STATUS=MR","SCALING_FORMAT=MLN","Sort=A","Dates=H","DateFormat=P","Fill=—","Direction=H","UseDPDF=Y")</f>
        <v>—</v>
      </c>
      <c r="K56" s="13" t="str">
        <f>_xll.BDH("ITCI US Equity","ARDR_TOTAL_COMPREHENSIVE_INCOME","FQ4 2020","FQ4 2020","Currency=USD","Period=FQ","BEST_FPERIOD_OVERRIDE=FQ","FILING_STATUS=MR","SCALING_FORMAT=MLN","Sort=A","Dates=H","DateFormat=P","Fill=—","Direction=H","UseDPDF=Y")</f>
        <v>—</v>
      </c>
      <c r="L56" s="13" t="str">
        <f>_xll.BDH("ITCI US Equity","ARDR_TOTAL_COMPREHENSIVE_INCOME","FQ1 2021","FQ1 2021","Currency=USD","Period=FQ","BEST_FPERIOD_OVERRIDE=FQ","FILING_STATUS=MR","SCALING_FORMAT=MLN","Sort=A","Dates=H","DateFormat=P","Fill=—","Direction=H","UseDPDF=Y")</f>
        <v>—</v>
      </c>
      <c r="M56" s="13" t="str">
        <f>_xll.BDH("ITCI US Equity","ARDR_TOTAL_COMPREHENSIVE_INCOME","FQ2 2021","FQ2 2021","Currency=USD","Period=FQ","BEST_FPERIOD_OVERRIDE=FQ","FILING_STATUS=MR","SCALING_FORMAT=MLN","Sort=A","Dates=H","DateFormat=P","Fill=—","Direction=H","UseDPDF=Y")</f>
        <v>—</v>
      </c>
      <c r="N56" s="13" t="str">
        <f>_xll.BDH("ITCI US Equity","ARDR_TOTAL_COMPREHENSIVE_INCOME","FQ3 2021","FQ3 2021","Currency=USD","Period=FQ","BEST_FPERIOD_OVERRIDE=FQ","FILING_STATUS=MR","SCALING_FORMAT=MLN","Sort=A","Dates=H","DateFormat=P","Fill=—","Direction=H","UseDPDF=Y")</f>
        <v>—</v>
      </c>
      <c r="O56" s="13" t="str">
        <f>_xll.BDH("ITCI US Equity","ARDR_TOTAL_COMPREHENSIVE_INCOME","FQ4 2021","FQ4 2021","Currency=USD","Period=FQ","BEST_FPERIOD_OVERRIDE=FQ","FILING_STATUS=MR","SCALING_FORMAT=MLN","Sort=A","Dates=H","DateFormat=P","Fill=—","Direction=H","UseDPDF=Y")</f>
        <v>—</v>
      </c>
      <c r="P56" s="13" t="str">
        <f>_xll.BDH("ITCI US Equity","ARDR_TOTAL_COMPREHENSIVE_INCOME","FQ1 2022","FQ1 2022","Currency=USD","Period=FQ","BEST_FPERIOD_OVERRIDE=FQ","FILING_STATUS=MR","SCALING_FORMAT=MLN","Sort=A","Dates=H","DateFormat=P","Fill=—","Direction=H","UseDPDF=Y")</f>
        <v>—</v>
      </c>
      <c r="Q56" s="13" t="str">
        <f>_xll.BDH("ITCI US Equity","ARDR_TOTAL_COMPREHENSIVE_INCOME","FQ2 2022","FQ2 2022","Currency=USD","Period=FQ","BEST_FPERIOD_OVERRIDE=FQ","FILING_STATUS=MR","SCALING_FORMAT=MLN","Sort=A","Dates=H","DateFormat=P","Fill=—","Direction=H","UseDPDF=Y")</f>
        <v>—</v>
      </c>
      <c r="R56" s="13" t="str">
        <f>_xll.BDH("ITCI US Equity","ARDR_TOTAL_COMPREHENSIVE_INCOME","FQ3 2022","FQ3 2022","Currency=USD","Period=FQ","BEST_FPERIOD_OVERRIDE=FQ","FILING_STATUS=MR","SCALING_FORMAT=MLN","Sort=A","Dates=H","DateFormat=P","Fill=—","Direction=H","UseDPDF=Y")</f>
        <v>—</v>
      </c>
      <c r="S56" s="13" t="str">
        <f>_xll.BDH("ITCI US Equity","ARDR_TOTAL_COMPREHENSIVE_INCOME","FQ4 2022","FQ4 2022","Currency=USD","Period=FQ","BEST_FPERIOD_OVERRIDE=FQ","FILING_STATUS=MR","SCALING_FORMAT=MLN","Sort=A","Dates=H","DateFormat=P","Fill=—","Direction=H","UseDPDF=Y")</f>
        <v>—</v>
      </c>
      <c r="T56" s="13" t="str">
        <f>_xll.BDH("ITCI US Equity","ARDR_TOTAL_COMPREHENSIVE_INCOME","FQ1 2023","FQ1 2023","Currency=USD","Period=FQ","BEST_FPERIOD_OVERRIDE=FQ","FILING_STATUS=MR","SCALING_FORMAT=MLN","Sort=A","Dates=H","DateFormat=P","Fill=—","Direction=H","UseDPDF=Y")</f>
        <v>—</v>
      </c>
      <c r="U56" s="13" t="str">
        <f>_xll.BDH("ITCI US Equity","ARDR_TOTAL_COMPREHENSIVE_INCOME","FQ2 2023","FQ2 2023","Currency=USD","Period=FQ","BEST_FPERIOD_OVERRIDE=FQ","FILING_STATUS=MR","SCALING_FORMAT=MLN","Sort=A","Dates=H","DateFormat=P","Fill=—","Direction=H","UseDPDF=Y")</f>
        <v>—</v>
      </c>
      <c r="V56" s="13" t="str">
        <f>_xll.BDH("ITCI US Equity","ARDR_TOTAL_COMPREHENSIVE_INCOME","FQ3 2023","FQ3 2023","Currency=USD","Period=FQ","BEST_FPERIOD_OVERRIDE=FQ","FILING_STATUS=MR","SCALING_FORMAT=MLN","Sort=A","Dates=H","DateFormat=P","Fill=—","Direction=H","UseDPDF=Y")</f>
        <v>—</v>
      </c>
      <c r="W56" s="13" t="str">
        <f>_xll.BDH("ITCI US Equity","ARDR_TOTAL_COMPREHENSIVE_INCOME","FQ4 2023","FQ4 2023","Currency=USD","Period=FQ","BEST_FPERIOD_OVERRIDE=FQ","FILING_STATUS=MR","SCALING_FORMAT=MLN","Sort=A","Dates=H","DateFormat=P","Fill=—","Direction=H","UseDPDF=Y")</f>
        <v>—</v>
      </c>
      <c r="X56" s="13" t="str">
        <f>_xll.BDH("ITCI US Equity","ARDR_TOTAL_COMPREHENSIVE_INCOME","FQ1 2024","FQ1 2024","Currency=USD","Period=FQ","BEST_FPERIOD_OVERRIDE=FQ","FILING_STATUS=MR","SCALING_FORMAT=MLN","Sort=A","Dates=H","DateFormat=P","Fill=—","Direction=H","UseDPDF=Y")</f>
        <v>—</v>
      </c>
      <c r="Y56" s="13" t="str">
        <f>_xll.BDH("ITCI US Equity","ARDR_TOTAL_COMPREHENSIVE_INCOME","FQ2 2024","FQ2 2024","Currency=USD","Period=FQ","BEST_FPERIOD_OVERRIDE=FQ","FILING_STATUS=MR","SCALING_FORMAT=MLN","Sort=A","Dates=H","DateFormat=P","Fill=—","Direction=H","UseDPDF=Y")</f>
        <v>—</v>
      </c>
      <c r="Z56" s="13" t="str">
        <f>_xll.BDH("ITCI US Equity","ARDR_TOTAL_COMPREHENSIVE_INCOME","FQ3 2024","FQ3 2024","Currency=USD","Period=FQ","BEST_FPERIOD_OVERRIDE=FQ","FILING_STATUS=MR","SCALING_FORMAT=MLN","Sort=A","Dates=H","DateFormat=P","Fill=—","Direction=H","UseDPDF=Y")</f>
        <v>—</v>
      </c>
      <c r="AA56" s="13" t="str">
        <f>_xll.BDH("ITCI US Equity","ARDR_TOTAL_COMPREHENSIVE_INCOME","FQ4 2024","FQ4 2024","Currency=USD","Period=FQ","BEST_FPERIOD_OVERRIDE=FQ","FILING_STATUS=MR","SCALING_FORMAT=MLN","Sort=A","Dates=H","DateFormat=P","Fill=—","Direction=H","UseDPDF=Y")</f>
        <v>—</v>
      </c>
    </row>
    <row r="57" spans="1:27" x14ac:dyDescent="0.25">
      <c r="A57" s="10" t="s">
        <v>418</v>
      </c>
      <c r="B57" s="10" t="s">
        <v>457</v>
      </c>
      <c r="C57" s="13">
        <f>_xll.BDH("ITCI US Equity","ARDR_WTD_AVG_SHS_BASIC_DILUTED","FQ4 2018","FQ4 2018","Currency=USD","Period=FQ","BEST_FPERIOD_OVERRIDE=FQ","FILING_STATUS=MR","Sort=A","Dates=H","DateFormat=P","Fill=—","Direction=H","UseDPDF=Y")</f>
        <v>54.750599999999999</v>
      </c>
      <c r="D57" s="13">
        <f>_xll.BDH("ITCI US Equity","ARDR_WTD_AVG_SHS_BASIC_DILUTED","FQ1 2019","FQ1 2019","Currency=USD","Period=FQ","BEST_FPERIOD_OVERRIDE=FQ","FILING_STATUS=MR","Sort=A","Dates=H","DateFormat=P","Fill=—","Direction=H","UseDPDF=Y")</f>
        <v>55.113199999999999</v>
      </c>
      <c r="E57" s="13" t="str">
        <f>_xll.BDH("ITCI US Equity","ARDR_WTD_AVG_SHS_BASIC_DILUTED","FQ2 2019","FQ2 2019","Currency=USD","Period=FQ","BEST_FPERIOD_OVERRIDE=FQ","FILING_STATUS=MR","Sort=A","Dates=H","DateFormat=P","Fill=—","Direction=H","UseDPDF=Y")</f>
        <v>—</v>
      </c>
      <c r="F57" s="13" t="str">
        <f>_xll.BDH("ITCI US Equity","ARDR_WTD_AVG_SHS_BASIC_DILUTED","FQ3 2019","FQ3 2019","Currency=USD","Period=FQ","BEST_FPERIOD_OVERRIDE=FQ","FILING_STATUS=MR","Sort=A","Dates=H","DateFormat=P","Fill=—","Direction=H","UseDPDF=Y")</f>
        <v>—</v>
      </c>
      <c r="G57" s="13">
        <f>_xll.BDH("ITCI US Equity","ARDR_WTD_AVG_SHS_BASIC_DILUTED","FQ4 2019","FQ4 2019","Currency=USD","Period=FQ","BEST_FPERIOD_OVERRIDE=FQ","FILING_STATUS=MR","Sort=A","Dates=H","DateFormat=P","Fill=—","Direction=H","UseDPDF=Y")</f>
        <v>55.276299999999999</v>
      </c>
      <c r="H57" s="13" t="str">
        <f>_xll.BDH("ITCI US Equity","ARDR_WTD_AVG_SHS_BASIC_DILUTED","FQ1 2020","FQ1 2020","Currency=USD","Period=FQ","BEST_FPERIOD_OVERRIDE=FQ","FILING_STATUS=MR","Sort=A","Dates=H","DateFormat=P","Fill=—","Direction=H","UseDPDF=Y")</f>
        <v>—</v>
      </c>
      <c r="I57" s="13" t="str">
        <f>_xll.BDH("ITCI US Equity","ARDR_WTD_AVG_SHS_BASIC_DILUTED","FQ2 2020","FQ2 2020","Currency=USD","Period=FQ","BEST_FPERIOD_OVERRIDE=FQ","FILING_STATUS=MR","Sort=A","Dates=H","DateFormat=P","Fill=—","Direction=H","UseDPDF=Y")</f>
        <v>—</v>
      </c>
      <c r="J57" s="13">
        <f>_xll.BDH("ITCI US Equity","ARDR_WTD_AVG_SHS_BASIC_DILUTED","FQ3 2020","FQ3 2020","Currency=USD","Period=FQ","BEST_FPERIOD_OVERRIDE=FQ","FILING_STATUS=MR","Sort=A","Dates=H","DateFormat=P","Fill=—","Direction=H","UseDPDF=Y")</f>
        <v>69.53</v>
      </c>
      <c r="K57" s="13">
        <f>_xll.BDH("ITCI US Equity","ARDR_WTD_AVG_SHS_BASIC_DILUTED","FQ4 2020","FQ4 2020","Currency=USD","Period=FQ","BEST_FPERIOD_OVERRIDE=FQ","FILING_STATUS=MR","Sort=A","Dates=H","DateFormat=P","Fill=—","Direction=H","UseDPDF=Y")</f>
        <v>80.293800000000005</v>
      </c>
      <c r="L57" s="13" t="str">
        <f>_xll.BDH("ITCI US Equity","ARDR_WTD_AVG_SHS_BASIC_DILUTED","FQ1 2021","FQ1 2021","Currency=USD","Period=FQ","BEST_FPERIOD_OVERRIDE=FQ","FILING_STATUS=MR","Sort=A","Dates=H","DateFormat=P","Fill=—","Direction=H","UseDPDF=Y")</f>
        <v>—</v>
      </c>
      <c r="M57" s="13" t="str">
        <f>_xll.BDH("ITCI US Equity","ARDR_WTD_AVG_SHS_BASIC_DILUTED","FQ2 2021","FQ2 2021","Currency=USD","Period=FQ","BEST_FPERIOD_OVERRIDE=FQ","FILING_STATUS=MR","Sort=A","Dates=H","DateFormat=P","Fill=—","Direction=H","UseDPDF=Y")</f>
        <v>—</v>
      </c>
      <c r="N57" s="13">
        <f>_xll.BDH("ITCI US Equity","ARDR_WTD_AVG_SHS_BASIC_DILUTED","FQ3 2021","FQ3 2021","Currency=USD","Period=FQ","BEST_FPERIOD_OVERRIDE=FQ","FILING_STATUS=MR","Sort=A","Dates=H","DateFormat=P","Fill=—","Direction=H","UseDPDF=Y")</f>
        <v>81.354699999999994</v>
      </c>
      <c r="O57" s="13" t="str">
        <f>_xll.BDH("ITCI US Equity","ARDR_WTD_AVG_SHS_BASIC_DILUTED","FQ4 2021","FQ4 2021","Currency=USD","Period=FQ","BEST_FPERIOD_OVERRIDE=FQ","FILING_STATUS=MR","Sort=A","Dates=H","DateFormat=P","Fill=—","Direction=H","UseDPDF=Y")</f>
        <v>—</v>
      </c>
      <c r="P57" s="13" t="str">
        <f>_xll.BDH("ITCI US Equity","ARDR_WTD_AVG_SHS_BASIC_DILUTED","FQ1 2022","FQ1 2022","Currency=USD","Period=FQ","BEST_FPERIOD_OVERRIDE=FQ","FILING_STATUS=MR","Sort=A","Dates=H","DateFormat=P","Fill=—","Direction=H","UseDPDF=Y")</f>
        <v>—</v>
      </c>
      <c r="Q57" s="13">
        <f>_xll.BDH("ITCI US Equity","ARDR_WTD_AVG_SHS_BASIC_DILUTED","FQ2 2022","FQ2 2022","Currency=USD","Period=FQ","BEST_FPERIOD_OVERRIDE=FQ","FILING_STATUS=MR","Sort=A","Dates=H","DateFormat=P","Fill=—","Direction=H","UseDPDF=Y")</f>
        <v>94.2851</v>
      </c>
      <c r="R57" s="13">
        <f>_xll.BDH("ITCI US Equity","ARDR_WTD_AVG_SHS_BASIC_DILUTED","FQ3 2022","FQ3 2022","Currency=USD","Period=FQ","BEST_FPERIOD_OVERRIDE=FQ","FILING_STATUS=MR","Sort=A","Dates=H","DateFormat=P","Fill=—","Direction=H","UseDPDF=Y")</f>
        <v>94.516800000000003</v>
      </c>
      <c r="S57" s="13">
        <f>_xll.BDH("ITCI US Equity","ARDR_WTD_AVG_SHS_BASIC_DILUTED","FQ4 2022","FQ4 2022","Currency=USD","Period=FQ","BEST_FPERIOD_OVERRIDE=FQ","FILING_STATUS=MR","Sort=A","Dates=H","DateFormat=P","Fill=—","Direction=H","UseDPDF=Y")</f>
        <v>94.751599999999996</v>
      </c>
      <c r="T57" s="13">
        <f>_xll.BDH("ITCI US Equity","ARDR_WTD_AVG_SHS_BASIC_DILUTED","FQ1 2023","FQ1 2023","Currency=USD","Period=FQ","BEST_FPERIOD_OVERRIDE=FQ","FILING_STATUS=MR","Sort=A","Dates=H","DateFormat=P","Fill=—","Direction=H","UseDPDF=Y")</f>
        <v>95.134699999999995</v>
      </c>
      <c r="U57" s="13">
        <f>_xll.BDH("ITCI US Equity","ARDR_WTD_AVG_SHS_BASIC_DILUTED","FQ2 2023","FQ2 2023","Currency=USD","Period=FQ","BEST_FPERIOD_OVERRIDE=FQ","FILING_STATUS=MR","Sort=A","Dates=H","DateFormat=P","Fill=—","Direction=H","UseDPDF=Y")</f>
        <v>95.948099999999997</v>
      </c>
      <c r="V57" s="13">
        <f>_xll.BDH("ITCI US Equity","ARDR_WTD_AVG_SHS_BASIC_DILUTED","FQ3 2023","FQ3 2023","Currency=USD","Period=FQ","BEST_FPERIOD_OVERRIDE=FQ","FILING_STATUS=MR","Sort=A","Dates=H","DateFormat=P","Fill=—","Direction=H","UseDPDF=Y")</f>
        <v>96.143100000000004</v>
      </c>
      <c r="W57" s="13">
        <f>_xll.BDH("ITCI US Equity","ARDR_WTD_AVG_SHS_BASIC_DILUTED","FQ4 2023","FQ4 2023","Currency=USD","Period=FQ","BEST_FPERIOD_OVERRIDE=FQ","FILING_STATUS=MR","Sort=A","Dates=H","DateFormat=P","Fill=—","Direction=H","UseDPDF=Y")</f>
        <v>96.285600000000002</v>
      </c>
      <c r="X57" s="13">
        <f>_xll.BDH("ITCI US Equity","ARDR_WTD_AVG_SHS_BASIC_DILUTED","FQ1 2024","FQ1 2024","Currency=USD","Period=FQ","BEST_FPERIOD_OVERRIDE=FQ","FILING_STATUS=MR","Sort=A","Dates=H","DateFormat=P","Fill=—","Direction=H","UseDPDF=Y")</f>
        <v>96.875299999999996</v>
      </c>
      <c r="Y57" s="13">
        <f>_xll.BDH("ITCI US Equity","ARDR_WTD_AVG_SHS_BASIC_DILUTED","FQ2 2024","FQ2 2024","Currency=USD","Period=FQ","BEST_FPERIOD_OVERRIDE=FQ","FILING_STATUS=MR","Sort=A","Dates=H","DateFormat=P","Fill=—","Direction=H","UseDPDF=Y")</f>
        <v>103.723</v>
      </c>
      <c r="Z57" s="13">
        <f>_xll.BDH("ITCI US Equity","ARDR_WTD_AVG_SHS_BASIC_DILUTED","FQ3 2024","FQ3 2024","Currency=USD","Period=FQ","BEST_FPERIOD_OVERRIDE=FQ","FILING_STATUS=MR","Sort=A","Dates=H","DateFormat=P","Fill=—","Direction=H","UseDPDF=Y")</f>
        <v>105.7684</v>
      </c>
      <c r="AA57" s="13">
        <f>_xll.BDH("ITCI US Equity","ARDR_WTD_AVG_SHS_BASIC_DILUTED","FQ4 2024","FQ4 2024","Currency=USD","Period=FQ","BEST_FPERIOD_OVERRIDE=FQ","FILING_STATUS=MR","Sort=A","Dates=H","DateFormat=P","Fill=—","Direction=H","UseDPDF=Y")</f>
        <v>106.0958</v>
      </c>
    </row>
    <row r="58" spans="1:27" x14ac:dyDescent="0.25">
      <c r="A58" s="10" t="s">
        <v>1</v>
      </c>
      <c r="B58" s="10" t="s">
        <v>458</v>
      </c>
      <c r="C58" s="13" t="str">
        <f>_xll.BDH("ITCI US Equity","ARDR_TOTAL_REVENUES","FQ4 2018","FQ4 2018","Currency=USD","Period=FQ","BEST_FPERIOD_OVERRIDE=FQ","FILING_STATUS=MR","SCALING_FORMAT=MLN","Sort=A","Dates=H","DateFormat=P","Fill=—","Direction=H","UseDPDF=Y")</f>
        <v>—</v>
      </c>
      <c r="D58" s="13" t="str">
        <f>_xll.BDH("ITCI US Equity","ARDR_TOTAL_REVENUES","FQ1 2019","FQ1 2019","Currency=USD","Period=FQ","BEST_FPERIOD_OVERRIDE=FQ","FILING_STATUS=MR","SCALING_FORMAT=MLN","Sort=A","Dates=H","DateFormat=P","Fill=—","Direction=H","UseDPDF=Y")</f>
        <v>—</v>
      </c>
      <c r="E58" s="13" t="str">
        <f>_xll.BDH("ITCI US Equity","ARDR_TOTAL_REVENUES","FQ2 2019","FQ2 2019","Currency=USD","Period=FQ","BEST_FPERIOD_OVERRIDE=FQ","FILING_STATUS=MR","SCALING_FORMAT=MLN","Sort=A","Dates=H","DateFormat=P","Fill=—","Direction=H","UseDPDF=Y")</f>
        <v>—</v>
      </c>
      <c r="F58" s="13" t="str">
        <f>_xll.BDH("ITCI US Equity","ARDR_TOTAL_REVENUES","FQ3 2019","FQ3 2019","Currency=USD","Period=FQ","BEST_FPERIOD_OVERRIDE=FQ","FILING_STATUS=MR","SCALING_FORMAT=MLN","Sort=A","Dates=H","DateFormat=P","Fill=—","Direction=H","UseDPDF=Y")</f>
        <v>—</v>
      </c>
      <c r="G58" s="13" t="str">
        <f>_xll.BDH("ITCI US Equity","ARDR_TOTAL_REVENUES","FQ4 2019","FQ4 2019","Currency=USD","Period=FQ","BEST_FPERIOD_OVERRIDE=FQ","FILING_STATUS=MR","SCALING_FORMAT=MLN","Sort=A","Dates=H","DateFormat=P","Fill=—","Direction=H","UseDPDF=Y")</f>
        <v>—</v>
      </c>
      <c r="H58" s="13" t="str">
        <f>_xll.BDH("ITCI US Equity","ARDR_TOTAL_REVENUES","FQ1 2020","FQ1 2020","Currency=USD","Period=FQ","BEST_FPERIOD_OVERRIDE=FQ","FILING_STATUS=MR","SCALING_FORMAT=MLN","Sort=A","Dates=H","DateFormat=P","Fill=—","Direction=H","UseDPDF=Y")</f>
        <v>—</v>
      </c>
      <c r="I58" s="13" t="str">
        <f>_xll.BDH("ITCI US Equity","ARDR_TOTAL_REVENUES","FQ2 2020","FQ2 2020","Currency=USD","Period=FQ","BEST_FPERIOD_OVERRIDE=FQ","FILING_STATUS=MR","SCALING_FORMAT=MLN","Sort=A","Dates=H","DateFormat=P","Fill=—","Direction=H","UseDPDF=Y")</f>
        <v>—</v>
      </c>
      <c r="J58" s="13" t="str">
        <f>_xll.BDH("ITCI US Equity","ARDR_TOTAL_REVENUES","FQ3 2020","FQ3 2020","Currency=USD","Period=FQ","BEST_FPERIOD_OVERRIDE=FQ","FILING_STATUS=MR","SCALING_FORMAT=MLN","Sort=A","Dates=H","DateFormat=P","Fill=—","Direction=H","UseDPDF=Y")</f>
        <v>—</v>
      </c>
      <c r="K58" s="13" t="str">
        <f>_xll.BDH("ITCI US Equity","ARDR_TOTAL_REVENUES","FQ4 2020","FQ4 2020","Currency=USD","Period=FQ","BEST_FPERIOD_OVERRIDE=FQ","FILING_STATUS=MR","SCALING_FORMAT=MLN","Sort=A","Dates=H","DateFormat=P","Fill=—","Direction=H","UseDPDF=Y")</f>
        <v>—</v>
      </c>
      <c r="L58" s="13" t="str">
        <f>_xll.BDH("ITCI US Equity","ARDR_TOTAL_REVENUES","FQ1 2021","FQ1 2021","Currency=USD","Period=FQ","BEST_FPERIOD_OVERRIDE=FQ","FILING_STATUS=MR","SCALING_FORMAT=MLN","Sort=A","Dates=H","DateFormat=P","Fill=—","Direction=H","UseDPDF=Y")</f>
        <v>—</v>
      </c>
      <c r="M58" s="13" t="str">
        <f>_xll.BDH("ITCI US Equity","ARDR_TOTAL_REVENUES","FQ2 2021","FQ2 2021","Currency=USD","Period=FQ","BEST_FPERIOD_OVERRIDE=FQ","FILING_STATUS=MR","SCALING_FORMAT=MLN","Sort=A","Dates=H","DateFormat=P","Fill=—","Direction=H","UseDPDF=Y")</f>
        <v>—</v>
      </c>
      <c r="N58" s="13" t="str">
        <f>_xll.BDH("ITCI US Equity","ARDR_TOTAL_REVENUES","FQ3 2021","FQ3 2021","Currency=USD","Period=FQ","BEST_FPERIOD_OVERRIDE=FQ","FILING_STATUS=MR","SCALING_FORMAT=MLN","Sort=A","Dates=H","DateFormat=P","Fill=—","Direction=H","UseDPDF=Y")</f>
        <v>—</v>
      </c>
      <c r="O58" s="13" t="str">
        <f>_xll.BDH("ITCI US Equity","ARDR_TOTAL_REVENUES","FQ4 2021","FQ4 2021","Currency=USD","Period=FQ","BEST_FPERIOD_OVERRIDE=FQ","FILING_STATUS=MR","SCALING_FORMAT=MLN","Sort=A","Dates=H","DateFormat=P","Fill=—","Direction=H","UseDPDF=Y")</f>
        <v>—</v>
      </c>
      <c r="P58" s="13" t="str">
        <f>_xll.BDH("ITCI US Equity","ARDR_TOTAL_REVENUES","FQ1 2022","FQ1 2022","Currency=USD","Period=FQ","BEST_FPERIOD_OVERRIDE=FQ","FILING_STATUS=MR","SCALING_FORMAT=MLN","Sort=A","Dates=H","DateFormat=P","Fill=—","Direction=H","UseDPDF=Y")</f>
        <v>—</v>
      </c>
      <c r="Q58" s="13" t="str">
        <f>_xll.BDH("ITCI US Equity","ARDR_TOTAL_REVENUES","FQ2 2022","FQ2 2022","Currency=USD","Period=FQ","BEST_FPERIOD_OVERRIDE=FQ","FILING_STATUS=MR","SCALING_FORMAT=MLN","Sort=A","Dates=H","DateFormat=P","Fill=—","Direction=H","UseDPDF=Y")</f>
        <v>—</v>
      </c>
      <c r="R58" s="13" t="str">
        <f>_xll.BDH("ITCI US Equity","ARDR_TOTAL_REVENUES","FQ3 2022","FQ3 2022","Currency=USD","Period=FQ","BEST_FPERIOD_OVERRIDE=FQ","FILING_STATUS=MR","SCALING_FORMAT=MLN","Sort=A","Dates=H","DateFormat=P","Fill=—","Direction=H","UseDPDF=Y")</f>
        <v>—</v>
      </c>
      <c r="S58" s="13" t="str">
        <f>_xll.BDH("ITCI US Equity","ARDR_TOTAL_REVENUES","FQ4 2022","FQ4 2022","Currency=USD","Period=FQ","BEST_FPERIOD_OVERRIDE=FQ","FILING_STATUS=MR","SCALING_FORMAT=MLN","Sort=A","Dates=H","DateFormat=P","Fill=—","Direction=H","UseDPDF=Y")</f>
        <v>—</v>
      </c>
      <c r="T58" s="13" t="str">
        <f>_xll.BDH("ITCI US Equity","ARDR_TOTAL_REVENUES","FQ1 2023","FQ1 2023","Currency=USD","Period=FQ","BEST_FPERIOD_OVERRIDE=FQ","FILING_STATUS=MR","SCALING_FORMAT=MLN","Sort=A","Dates=H","DateFormat=P","Fill=—","Direction=H","UseDPDF=Y")</f>
        <v>—</v>
      </c>
      <c r="U58" s="13" t="str">
        <f>_xll.BDH("ITCI US Equity","ARDR_TOTAL_REVENUES","FQ2 2023","FQ2 2023","Currency=USD","Period=FQ","BEST_FPERIOD_OVERRIDE=FQ","FILING_STATUS=MR","SCALING_FORMAT=MLN","Sort=A","Dates=H","DateFormat=P","Fill=—","Direction=H","UseDPDF=Y")</f>
        <v>—</v>
      </c>
      <c r="V58" s="13" t="str">
        <f>_xll.BDH("ITCI US Equity","ARDR_TOTAL_REVENUES","FQ3 2023","FQ3 2023","Currency=USD","Period=FQ","BEST_FPERIOD_OVERRIDE=FQ","FILING_STATUS=MR","SCALING_FORMAT=MLN","Sort=A","Dates=H","DateFormat=P","Fill=—","Direction=H","UseDPDF=Y")</f>
        <v>—</v>
      </c>
      <c r="W58" s="13" t="str">
        <f>_xll.BDH("ITCI US Equity","ARDR_TOTAL_REVENUES","FQ4 2023","FQ4 2023","Currency=USD","Period=FQ","BEST_FPERIOD_OVERRIDE=FQ","FILING_STATUS=MR","SCALING_FORMAT=MLN","Sort=A","Dates=H","DateFormat=P","Fill=—","Direction=H","UseDPDF=Y")</f>
        <v>—</v>
      </c>
      <c r="X58" s="13">
        <f>_xll.BDH("ITCI US Equity","ARDR_TOTAL_REVENUES","FQ1 2024","FQ1 2024","Currency=USD","Period=FQ","BEST_FPERIOD_OVERRIDE=FQ","FILING_STATUS=MR","SCALING_FORMAT=MLN","Sort=A","Dates=H","DateFormat=P","Fill=—","Direction=H","UseDPDF=Y")</f>
        <v>144.86600000000001</v>
      </c>
      <c r="Y58" s="13">
        <f>_xll.BDH("ITCI US Equity","ARDR_TOTAL_REVENUES","FQ2 2024","FQ2 2024","Currency=USD","Period=FQ","BEST_FPERIOD_OVERRIDE=FQ","FILING_STATUS=MR","SCALING_FORMAT=MLN","Sort=A","Dates=H","DateFormat=P","Fill=—","Direction=H","UseDPDF=Y")</f>
        <v>161.38800000000001</v>
      </c>
      <c r="Z58" s="13">
        <f>_xll.BDH("ITCI US Equity","ARDR_TOTAL_REVENUES","FQ3 2024","FQ3 2024","Currency=USD","Period=FQ","BEST_FPERIOD_OVERRIDE=FQ","FILING_STATUS=MR","SCALING_FORMAT=MLN","Sort=A","Dates=H","DateFormat=P","Fill=—","Direction=H","UseDPDF=Y")</f>
        <v>175.375</v>
      </c>
      <c r="AA58" s="13" t="str">
        <f>_xll.BDH("ITCI US Equity","ARDR_TOTAL_REVENUES","FQ4 2024","FQ4 2024","Currency=USD","Period=FQ","BEST_FPERIOD_OVERRIDE=FQ","FILING_STATUS=MR","SCALING_FORMAT=MLN","Sort=A","Dates=H","DateFormat=P","Fill=—","Direction=H","UseDPDF=Y")</f>
        <v>—</v>
      </c>
    </row>
    <row r="59" spans="1:27" x14ac:dyDescent="0.25">
      <c r="A59" s="10" t="s">
        <v>385</v>
      </c>
      <c r="B59" s="10" t="s">
        <v>459</v>
      </c>
      <c r="C59" s="13" t="str">
        <f>_xll.BDH("ITCI US Equity","ARDR_PRODUCT_REVENUE","FQ4 2018","FQ4 2018","Currency=USD","Period=FQ","BEST_FPERIOD_OVERRIDE=FQ","FILING_STATUS=MR","SCALING_FORMAT=MLN","Sort=A","Dates=H","DateFormat=P","Fill=—","Direction=H","UseDPDF=Y")</f>
        <v>—</v>
      </c>
      <c r="D59" s="13" t="str">
        <f>_xll.BDH("ITCI US Equity","ARDR_PRODUCT_REVENUE","FQ1 2019","FQ1 2019","Currency=USD","Period=FQ","BEST_FPERIOD_OVERRIDE=FQ","FILING_STATUS=MR","SCALING_FORMAT=MLN","Sort=A","Dates=H","DateFormat=P","Fill=—","Direction=H","UseDPDF=Y")</f>
        <v>—</v>
      </c>
      <c r="E59" s="13" t="str">
        <f>_xll.BDH("ITCI US Equity","ARDR_PRODUCT_REVENUE","FQ2 2019","FQ2 2019","Currency=USD","Period=FQ","BEST_FPERIOD_OVERRIDE=FQ","FILING_STATUS=MR","SCALING_FORMAT=MLN","Sort=A","Dates=H","DateFormat=P","Fill=—","Direction=H","UseDPDF=Y")</f>
        <v>—</v>
      </c>
      <c r="F59" s="13" t="str">
        <f>_xll.BDH("ITCI US Equity","ARDR_PRODUCT_REVENUE","FQ3 2019","FQ3 2019","Currency=USD","Period=FQ","BEST_FPERIOD_OVERRIDE=FQ","FILING_STATUS=MR","SCALING_FORMAT=MLN","Sort=A","Dates=H","DateFormat=P","Fill=—","Direction=H","UseDPDF=Y")</f>
        <v>—</v>
      </c>
      <c r="G59" s="13" t="str">
        <f>_xll.BDH("ITCI US Equity","ARDR_PRODUCT_REVENUE","FQ4 2019","FQ4 2019","Currency=USD","Period=FQ","BEST_FPERIOD_OVERRIDE=FQ","FILING_STATUS=MR","SCALING_FORMAT=MLN","Sort=A","Dates=H","DateFormat=P","Fill=—","Direction=H","UseDPDF=Y")</f>
        <v>—</v>
      </c>
      <c r="H59" s="13" t="str">
        <f>_xll.BDH("ITCI US Equity","ARDR_PRODUCT_REVENUE","FQ1 2020","FQ1 2020","Currency=USD","Period=FQ","BEST_FPERIOD_OVERRIDE=FQ","FILING_STATUS=MR","SCALING_FORMAT=MLN","Sort=A","Dates=H","DateFormat=P","Fill=—","Direction=H","UseDPDF=Y")</f>
        <v>—</v>
      </c>
      <c r="I59" s="13" t="str">
        <f>_xll.BDH("ITCI US Equity","ARDR_PRODUCT_REVENUE","FQ2 2020","FQ2 2020","Currency=USD","Period=FQ","BEST_FPERIOD_OVERRIDE=FQ","FILING_STATUS=MR","SCALING_FORMAT=MLN","Sort=A","Dates=H","DateFormat=P","Fill=—","Direction=H","UseDPDF=Y")</f>
        <v>—</v>
      </c>
      <c r="J59" s="13" t="str">
        <f>_xll.BDH("ITCI US Equity","ARDR_PRODUCT_REVENUE","FQ3 2020","FQ3 2020","Currency=USD","Period=FQ","BEST_FPERIOD_OVERRIDE=FQ","FILING_STATUS=MR","SCALING_FORMAT=MLN","Sort=A","Dates=H","DateFormat=P","Fill=—","Direction=H","UseDPDF=Y")</f>
        <v>—</v>
      </c>
      <c r="K59" s="13" t="str">
        <f>_xll.BDH("ITCI US Equity","ARDR_PRODUCT_REVENUE","FQ4 2020","FQ4 2020","Currency=USD","Period=FQ","BEST_FPERIOD_OVERRIDE=FQ","FILING_STATUS=MR","SCALING_FORMAT=MLN","Sort=A","Dates=H","DateFormat=P","Fill=—","Direction=H","UseDPDF=Y")</f>
        <v>—</v>
      </c>
      <c r="L59" s="13" t="str">
        <f>_xll.BDH("ITCI US Equity","ARDR_PRODUCT_REVENUE","FQ1 2021","FQ1 2021","Currency=USD","Period=FQ","BEST_FPERIOD_OVERRIDE=FQ","FILING_STATUS=MR","SCALING_FORMAT=MLN","Sort=A","Dates=H","DateFormat=P","Fill=—","Direction=H","UseDPDF=Y")</f>
        <v>—</v>
      </c>
      <c r="M59" s="13" t="str">
        <f>_xll.BDH("ITCI US Equity","ARDR_PRODUCT_REVENUE","FQ2 2021","FQ2 2021","Currency=USD","Period=FQ","BEST_FPERIOD_OVERRIDE=FQ","FILING_STATUS=MR","SCALING_FORMAT=MLN","Sort=A","Dates=H","DateFormat=P","Fill=—","Direction=H","UseDPDF=Y")</f>
        <v>—</v>
      </c>
      <c r="N59" s="13" t="str">
        <f>_xll.BDH("ITCI US Equity","ARDR_PRODUCT_REVENUE","FQ3 2021","FQ3 2021","Currency=USD","Period=FQ","BEST_FPERIOD_OVERRIDE=FQ","FILING_STATUS=MR","SCALING_FORMAT=MLN","Sort=A","Dates=H","DateFormat=P","Fill=—","Direction=H","UseDPDF=Y")</f>
        <v>—</v>
      </c>
      <c r="O59" s="13" t="str">
        <f>_xll.BDH("ITCI US Equity","ARDR_PRODUCT_REVENUE","FQ4 2021","FQ4 2021","Currency=USD","Period=FQ","BEST_FPERIOD_OVERRIDE=FQ","FILING_STATUS=MR","SCALING_FORMAT=MLN","Sort=A","Dates=H","DateFormat=P","Fill=—","Direction=H","UseDPDF=Y")</f>
        <v>—</v>
      </c>
      <c r="P59" s="13" t="str">
        <f>_xll.BDH("ITCI US Equity","ARDR_PRODUCT_REVENUE","FQ1 2022","FQ1 2022","Currency=USD","Period=FQ","BEST_FPERIOD_OVERRIDE=FQ","FILING_STATUS=MR","SCALING_FORMAT=MLN","Sort=A","Dates=H","DateFormat=P","Fill=—","Direction=H","UseDPDF=Y")</f>
        <v>—</v>
      </c>
      <c r="Q59" s="13" t="str">
        <f>_xll.BDH("ITCI US Equity","ARDR_PRODUCT_REVENUE","FQ2 2022","FQ2 2022","Currency=USD","Period=FQ","BEST_FPERIOD_OVERRIDE=FQ","FILING_STATUS=MR","SCALING_FORMAT=MLN","Sort=A","Dates=H","DateFormat=P","Fill=—","Direction=H","UseDPDF=Y")</f>
        <v>—</v>
      </c>
      <c r="R59" s="13" t="str">
        <f>_xll.BDH("ITCI US Equity","ARDR_PRODUCT_REVENUE","FQ3 2022","FQ3 2022","Currency=USD","Period=FQ","BEST_FPERIOD_OVERRIDE=FQ","FILING_STATUS=MR","SCALING_FORMAT=MLN","Sort=A","Dates=H","DateFormat=P","Fill=—","Direction=H","UseDPDF=Y")</f>
        <v>—</v>
      </c>
      <c r="S59" s="13" t="str">
        <f>_xll.BDH("ITCI US Equity","ARDR_PRODUCT_REVENUE","FQ4 2022","FQ4 2022","Currency=USD","Period=FQ","BEST_FPERIOD_OVERRIDE=FQ","FILING_STATUS=MR","SCALING_FORMAT=MLN","Sort=A","Dates=H","DateFormat=P","Fill=—","Direction=H","UseDPDF=Y")</f>
        <v>—</v>
      </c>
      <c r="T59" s="13" t="str">
        <f>_xll.BDH("ITCI US Equity","ARDR_PRODUCT_REVENUE","FQ1 2023","FQ1 2023","Currency=USD","Period=FQ","BEST_FPERIOD_OVERRIDE=FQ","FILING_STATUS=MR","SCALING_FORMAT=MLN","Sort=A","Dates=H","DateFormat=P","Fill=—","Direction=H","UseDPDF=Y")</f>
        <v>—</v>
      </c>
      <c r="U59" s="13" t="str">
        <f>_xll.BDH("ITCI US Equity","ARDR_PRODUCT_REVENUE","FQ2 2023","FQ2 2023","Currency=USD","Period=FQ","BEST_FPERIOD_OVERRIDE=FQ","FILING_STATUS=MR","SCALING_FORMAT=MLN","Sort=A","Dates=H","DateFormat=P","Fill=—","Direction=H","UseDPDF=Y")</f>
        <v>—</v>
      </c>
      <c r="V59" s="13" t="str">
        <f>_xll.BDH("ITCI US Equity","ARDR_PRODUCT_REVENUE","FQ3 2023","FQ3 2023","Currency=USD","Period=FQ","BEST_FPERIOD_OVERRIDE=FQ","FILING_STATUS=MR","SCALING_FORMAT=MLN","Sort=A","Dates=H","DateFormat=P","Fill=—","Direction=H","UseDPDF=Y")</f>
        <v>—</v>
      </c>
      <c r="W59" s="13" t="str">
        <f>_xll.BDH("ITCI US Equity","ARDR_PRODUCT_REVENUE","FQ4 2023","FQ4 2023","Currency=USD","Period=FQ","BEST_FPERIOD_OVERRIDE=FQ","FILING_STATUS=MR","SCALING_FORMAT=MLN","Sort=A","Dates=H","DateFormat=P","Fill=—","Direction=H","UseDPDF=Y")</f>
        <v>—</v>
      </c>
      <c r="X59" s="13">
        <f>_xll.BDH("ITCI US Equity","ARDR_PRODUCT_REVENUE","FQ1 2024","FQ1 2024","Currency=USD","Period=FQ","BEST_FPERIOD_OVERRIDE=FQ","FILING_STATUS=MR","SCALING_FORMAT=MLN","Sort=A","Dates=H","DateFormat=P","Fill=—","Direction=H","UseDPDF=Y")</f>
        <v>144.84299999999999</v>
      </c>
      <c r="Y59" s="13">
        <f>_xll.BDH("ITCI US Equity","ARDR_PRODUCT_REVENUE","FQ2 2024","FQ2 2024","Currency=USD","Period=FQ","BEST_FPERIOD_OVERRIDE=FQ","FILING_STATUS=MR","SCALING_FORMAT=MLN","Sort=A","Dates=H","DateFormat=P","Fill=—","Direction=H","UseDPDF=Y")</f>
        <v>161.27600000000001</v>
      </c>
      <c r="Z59" s="13">
        <f>_xll.BDH("ITCI US Equity","ARDR_PRODUCT_REVENUE","FQ3 2024","FQ3 2024","Currency=USD","Period=FQ","BEST_FPERIOD_OVERRIDE=FQ","FILING_STATUS=MR","SCALING_FORMAT=MLN","Sort=A","Dates=H","DateFormat=P","Fill=—","Direction=H","UseDPDF=Y")</f>
        <v>175.15899999999999</v>
      </c>
      <c r="AA59" s="13" t="str">
        <f>_xll.BDH("ITCI US Equity","ARDR_PRODUCT_REVENUE","FQ4 2024","FQ4 2024","Currency=USD","Period=FQ","BEST_FPERIOD_OVERRIDE=FQ","FILING_STATUS=MR","SCALING_FORMAT=MLN","Sort=A","Dates=H","DateFormat=P","Fill=—","Direction=H","UseDPDF=Y")</f>
        <v>—</v>
      </c>
    </row>
    <row r="60" spans="1:27" x14ac:dyDescent="0.25">
      <c r="A60" s="10" t="s">
        <v>460</v>
      </c>
      <c r="B60" s="10" t="s">
        <v>461</v>
      </c>
      <c r="C60" s="13" t="str">
        <f>_xll.BDH("ITCI US Equity","ARDR_DILUTED_NET_INCOME","FQ4 2018","FQ4 2018","Currency=USD","Period=FQ","BEST_FPERIOD_OVERRIDE=FQ","FILING_STATUS=MR","SCALING_FORMAT=MLN","Sort=A","Dates=H","DateFormat=P","Fill=—","Direction=H","UseDPDF=Y")</f>
        <v>—</v>
      </c>
      <c r="D60" s="13" t="str">
        <f>_xll.BDH("ITCI US Equity","ARDR_DILUTED_NET_INCOME","FQ1 2019","FQ1 2019","Currency=USD","Period=FQ","BEST_FPERIOD_OVERRIDE=FQ","FILING_STATUS=MR","SCALING_FORMAT=MLN","Sort=A","Dates=H","DateFormat=P","Fill=—","Direction=H","UseDPDF=Y")</f>
        <v>—</v>
      </c>
      <c r="E60" s="13" t="str">
        <f>_xll.BDH("ITCI US Equity","ARDR_DILUTED_NET_INCOME","FQ2 2019","FQ2 2019","Currency=USD","Period=FQ","BEST_FPERIOD_OVERRIDE=FQ","FILING_STATUS=MR","SCALING_FORMAT=MLN","Sort=A","Dates=H","DateFormat=P","Fill=—","Direction=H","UseDPDF=Y")</f>
        <v>—</v>
      </c>
      <c r="F60" s="13" t="str">
        <f>_xll.BDH("ITCI US Equity","ARDR_DILUTED_NET_INCOME","FQ3 2019","FQ3 2019","Currency=USD","Period=FQ","BEST_FPERIOD_OVERRIDE=FQ","FILING_STATUS=MR","SCALING_FORMAT=MLN","Sort=A","Dates=H","DateFormat=P","Fill=—","Direction=H","UseDPDF=Y")</f>
        <v>—</v>
      </c>
      <c r="G60" s="13" t="str">
        <f>_xll.BDH("ITCI US Equity","ARDR_DILUTED_NET_INCOME","FQ4 2019","FQ4 2019","Currency=USD","Period=FQ","BEST_FPERIOD_OVERRIDE=FQ","FILING_STATUS=MR","SCALING_FORMAT=MLN","Sort=A","Dates=H","DateFormat=P","Fill=—","Direction=H","UseDPDF=Y")</f>
        <v>—</v>
      </c>
      <c r="H60" s="13" t="str">
        <f>_xll.BDH("ITCI US Equity","ARDR_DILUTED_NET_INCOME","FQ1 2020","FQ1 2020","Currency=USD","Period=FQ","BEST_FPERIOD_OVERRIDE=FQ","FILING_STATUS=MR","SCALING_FORMAT=MLN","Sort=A","Dates=H","DateFormat=P","Fill=—","Direction=H","UseDPDF=Y")</f>
        <v>—</v>
      </c>
      <c r="I60" s="13" t="str">
        <f>_xll.BDH("ITCI US Equity","ARDR_DILUTED_NET_INCOME","FQ2 2020","FQ2 2020","Currency=USD","Period=FQ","BEST_FPERIOD_OVERRIDE=FQ","FILING_STATUS=MR","SCALING_FORMAT=MLN","Sort=A","Dates=H","DateFormat=P","Fill=—","Direction=H","UseDPDF=Y")</f>
        <v>—</v>
      </c>
      <c r="J60" s="13" t="str">
        <f>_xll.BDH("ITCI US Equity","ARDR_DILUTED_NET_INCOME","FQ3 2020","FQ3 2020","Currency=USD","Period=FQ","BEST_FPERIOD_OVERRIDE=FQ","FILING_STATUS=MR","SCALING_FORMAT=MLN","Sort=A","Dates=H","DateFormat=P","Fill=—","Direction=H","UseDPDF=Y")</f>
        <v>—</v>
      </c>
      <c r="K60" s="13" t="str">
        <f>_xll.BDH("ITCI US Equity","ARDR_DILUTED_NET_INCOME","FQ4 2020","FQ4 2020","Currency=USD","Period=FQ","BEST_FPERIOD_OVERRIDE=FQ","FILING_STATUS=MR","SCALING_FORMAT=MLN","Sort=A","Dates=H","DateFormat=P","Fill=—","Direction=H","UseDPDF=Y")</f>
        <v>—</v>
      </c>
      <c r="L60" s="13" t="str">
        <f>_xll.BDH("ITCI US Equity","ARDR_DILUTED_NET_INCOME","FQ1 2021","FQ1 2021","Currency=USD","Period=FQ","BEST_FPERIOD_OVERRIDE=FQ","FILING_STATUS=MR","SCALING_FORMAT=MLN","Sort=A","Dates=H","DateFormat=P","Fill=—","Direction=H","UseDPDF=Y")</f>
        <v>—</v>
      </c>
      <c r="M60" s="13" t="str">
        <f>_xll.BDH("ITCI US Equity","ARDR_DILUTED_NET_INCOME","FQ2 2021","FQ2 2021","Currency=USD","Period=FQ","BEST_FPERIOD_OVERRIDE=FQ","FILING_STATUS=MR","SCALING_FORMAT=MLN","Sort=A","Dates=H","DateFormat=P","Fill=—","Direction=H","UseDPDF=Y")</f>
        <v>—</v>
      </c>
      <c r="N60" s="13" t="str">
        <f>_xll.BDH("ITCI US Equity","ARDR_DILUTED_NET_INCOME","FQ3 2021","FQ3 2021","Currency=USD","Period=FQ","BEST_FPERIOD_OVERRIDE=FQ","FILING_STATUS=MR","SCALING_FORMAT=MLN","Sort=A","Dates=H","DateFormat=P","Fill=—","Direction=H","UseDPDF=Y")</f>
        <v>—</v>
      </c>
      <c r="O60" s="13" t="str">
        <f>_xll.BDH("ITCI US Equity","ARDR_DILUTED_NET_INCOME","FQ4 2021","FQ4 2021","Currency=USD","Period=FQ","BEST_FPERIOD_OVERRIDE=FQ","FILING_STATUS=MR","SCALING_FORMAT=MLN","Sort=A","Dates=H","DateFormat=P","Fill=—","Direction=H","UseDPDF=Y")</f>
        <v>—</v>
      </c>
      <c r="P60" s="13" t="str">
        <f>_xll.BDH("ITCI US Equity","ARDR_DILUTED_NET_INCOME","FQ1 2022","FQ1 2022","Currency=USD","Period=FQ","BEST_FPERIOD_OVERRIDE=FQ","FILING_STATUS=MR","SCALING_FORMAT=MLN","Sort=A","Dates=H","DateFormat=P","Fill=—","Direction=H","UseDPDF=Y")</f>
        <v>—</v>
      </c>
      <c r="Q60" s="13" t="str">
        <f>_xll.BDH("ITCI US Equity","ARDR_DILUTED_NET_INCOME","FQ2 2022","FQ2 2022","Currency=USD","Period=FQ","BEST_FPERIOD_OVERRIDE=FQ","FILING_STATUS=MR","SCALING_FORMAT=MLN","Sort=A","Dates=H","DateFormat=P","Fill=—","Direction=H","UseDPDF=Y")</f>
        <v>—</v>
      </c>
      <c r="R60" s="13" t="str">
        <f>_xll.BDH("ITCI US Equity","ARDR_DILUTED_NET_INCOME","FQ3 2022","FQ3 2022","Currency=USD","Period=FQ","BEST_FPERIOD_OVERRIDE=FQ","FILING_STATUS=MR","SCALING_FORMAT=MLN","Sort=A","Dates=H","DateFormat=P","Fill=—","Direction=H","UseDPDF=Y")</f>
        <v>—</v>
      </c>
      <c r="S60" s="13" t="str">
        <f>_xll.BDH("ITCI US Equity","ARDR_DILUTED_NET_INCOME","FQ4 2022","FQ4 2022","Currency=USD","Period=FQ","BEST_FPERIOD_OVERRIDE=FQ","FILING_STATUS=MR","SCALING_FORMAT=MLN","Sort=A","Dates=H","DateFormat=P","Fill=—","Direction=H","UseDPDF=Y")</f>
        <v>—</v>
      </c>
      <c r="T60" s="13" t="str">
        <f>_xll.BDH("ITCI US Equity","ARDR_DILUTED_NET_INCOME","FQ1 2023","FQ1 2023","Currency=USD","Period=FQ","BEST_FPERIOD_OVERRIDE=FQ","FILING_STATUS=MR","SCALING_FORMAT=MLN","Sort=A","Dates=H","DateFormat=P","Fill=—","Direction=H","UseDPDF=Y")</f>
        <v>—</v>
      </c>
      <c r="U60" s="13" t="str">
        <f>_xll.BDH("ITCI US Equity","ARDR_DILUTED_NET_INCOME","FQ2 2023","FQ2 2023","Currency=USD","Period=FQ","BEST_FPERIOD_OVERRIDE=FQ","FILING_STATUS=MR","SCALING_FORMAT=MLN","Sort=A","Dates=H","DateFormat=P","Fill=—","Direction=H","UseDPDF=Y")</f>
        <v>—</v>
      </c>
      <c r="V60" s="13" t="str">
        <f>_xll.BDH("ITCI US Equity","ARDR_DILUTED_NET_INCOME","FQ3 2023","FQ3 2023","Currency=USD","Period=FQ","BEST_FPERIOD_OVERRIDE=FQ","FILING_STATUS=MR","SCALING_FORMAT=MLN","Sort=A","Dates=H","DateFormat=P","Fill=—","Direction=H","UseDPDF=Y")</f>
        <v>—</v>
      </c>
      <c r="W60" s="13" t="str">
        <f>_xll.BDH("ITCI US Equity","ARDR_DILUTED_NET_INCOME","FQ4 2023","FQ4 2023","Currency=USD","Period=FQ","BEST_FPERIOD_OVERRIDE=FQ","FILING_STATUS=MR","SCALING_FORMAT=MLN","Sort=A","Dates=H","DateFormat=P","Fill=—","Direction=H","UseDPDF=Y")</f>
        <v>—</v>
      </c>
      <c r="X60" s="13">
        <f>_xll.BDH("ITCI US Equity","ARDR_DILUTED_NET_INCOME","FQ1 2024","FQ1 2024","Currency=USD","Period=FQ","BEST_FPERIOD_OVERRIDE=FQ","FILING_STATUS=MR","SCALING_FORMAT=MLN","Sort=A","Dates=H","DateFormat=P","Fill=—","Direction=H","UseDPDF=Y")</f>
        <v>-15.247</v>
      </c>
      <c r="Y60" s="13" t="str">
        <f>_xll.BDH("ITCI US Equity","ARDR_DILUTED_NET_INCOME","FQ2 2024","FQ2 2024","Currency=USD","Period=FQ","BEST_FPERIOD_OVERRIDE=FQ","FILING_STATUS=MR","SCALING_FORMAT=MLN","Sort=A","Dates=H","DateFormat=P","Fill=—","Direction=H","UseDPDF=Y")</f>
        <v>—</v>
      </c>
      <c r="Z60" s="13" t="str">
        <f>_xll.BDH("ITCI US Equity","ARDR_DILUTED_NET_INCOME","FQ3 2024","FQ3 2024","Currency=USD","Period=FQ","BEST_FPERIOD_OVERRIDE=FQ","FILING_STATUS=MR","SCALING_FORMAT=MLN","Sort=A","Dates=H","DateFormat=P","Fill=—","Direction=H","UseDPDF=Y")</f>
        <v>—</v>
      </c>
      <c r="AA60" s="13" t="str">
        <f>_xll.BDH("ITCI US Equity","ARDR_DILUTED_NET_INCOME","FQ4 2024","FQ4 2024","Currency=USD","Period=FQ","BEST_FPERIOD_OVERRIDE=FQ","FILING_STATUS=MR","SCALING_FORMAT=MLN","Sort=A","Dates=H","DateFormat=P","Fill=—","Direction=H","UseDPDF=Y")</f>
        <v>—</v>
      </c>
    </row>
    <row r="61" spans="1:27" x14ac:dyDescent="0.25">
      <c r="A61" s="10" t="s">
        <v>462</v>
      </c>
      <c r="B61" s="10" t="s">
        <v>463</v>
      </c>
      <c r="C61" s="13" t="str">
        <f>_xll.BDH("ITCI US Equity","ARDR_ADVERTISING_EXPENSES","FQ4 2018","FQ4 2018","Currency=USD","Period=FQ","BEST_FPERIOD_OVERRIDE=FQ","FILING_STATUS=MR","SCALING_FORMAT=MLN","Sort=A","Dates=H","DateFormat=P","Fill=—","Direction=H","UseDPDF=Y")</f>
        <v>—</v>
      </c>
      <c r="D61" s="13" t="str">
        <f>_xll.BDH("ITCI US Equity","ARDR_ADVERTISING_EXPENSES","FQ1 2019","FQ1 2019","Currency=USD","Period=FQ","BEST_FPERIOD_OVERRIDE=FQ","FILING_STATUS=MR","SCALING_FORMAT=MLN","Sort=A","Dates=H","DateFormat=P","Fill=—","Direction=H","UseDPDF=Y")</f>
        <v>—</v>
      </c>
      <c r="E61" s="13" t="str">
        <f>_xll.BDH("ITCI US Equity","ARDR_ADVERTISING_EXPENSES","FQ2 2019","FQ2 2019","Currency=USD","Period=FQ","BEST_FPERIOD_OVERRIDE=FQ","FILING_STATUS=MR","SCALING_FORMAT=MLN","Sort=A","Dates=H","DateFormat=P","Fill=—","Direction=H","UseDPDF=Y")</f>
        <v>—</v>
      </c>
      <c r="F61" s="13" t="str">
        <f>_xll.BDH("ITCI US Equity","ARDR_ADVERTISING_EXPENSES","FQ3 2019","FQ3 2019","Currency=USD","Period=FQ","BEST_FPERIOD_OVERRIDE=FQ","FILING_STATUS=MR","SCALING_FORMAT=MLN","Sort=A","Dates=H","DateFormat=P","Fill=—","Direction=H","UseDPDF=Y")</f>
        <v>—</v>
      </c>
      <c r="G61" s="13" t="str">
        <f>_xll.BDH("ITCI US Equity","ARDR_ADVERTISING_EXPENSES","FQ4 2019","FQ4 2019","Currency=USD","Period=FQ","BEST_FPERIOD_OVERRIDE=FQ","FILING_STATUS=MR","SCALING_FORMAT=MLN","Sort=A","Dates=H","DateFormat=P","Fill=—","Direction=H","UseDPDF=Y")</f>
        <v>—</v>
      </c>
      <c r="H61" s="13" t="str">
        <f>_xll.BDH("ITCI US Equity","ARDR_ADVERTISING_EXPENSES","FQ1 2020","FQ1 2020","Currency=USD","Period=FQ","BEST_FPERIOD_OVERRIDE=FQ","FILING_STATUS=MR","SCALING_FORMAT=MLN","Sort=A","Dates=H","DateFormat=P","Fill=—","Direction=H","UseDPDF=Y")</f>
        <v>—</v>
      </c>
      <c r="I61" s="13" t="str">
        <f>_xll.BDH("ITCI US Equity","ARDR_ADVERTISING_EXPENSES","FQ2 2020","FQ2 2020","Currency=USD","Period=FQ","BEST_FPERIOD_OVERRIDE=FQ","FILING_STATUS=MR","SCALING_FORMAT=MLN","Sort=A","Dates=H","DateFormat=P","Fill=—","Direction=H","UseDPDF=Y")</f>
        <v>—</v>
      </c>
      <c r="J61" s="13" t="str">
        <f>_xll.BDH("ITCI US Equity","ARDR_ADVERTISING_EXPENSES","FQ3 2020","FQ3 2020","Currency=USD","Period=FQ","BEST_FPERIOD_OVERRIDE=FQ","FILING_STATUS=MR","SCALING_FORMAT=MLN","Sort=A","Dates=H","DateFormat=P","Fill=—","Direction=H","UseDPDF=Y")</f>
        <v>—</v>
      </c>
      <c r="K61" s="13" t="str">
        <f>_xll.BDH("ITCI US Equity","ARDR_ADVERTISING_EXPENSES","FQ4 2020","FQ4 2020","Currency=USD","Period=FQ","BEST_FPERIOD_OVERRIDE=FQ","FILING_STATUS=MR","SCALING_FORMAT=MLN","Sort=A","Dates=H","DateFormat=P","Fill=—","Direction=H","UseDPDF=Y")</f>
        <v>—</v>
      </c>
      <c r="L61" s="13" t="str">
        <f>_xll.BDH("ITCI US Equity","ARDR_ADVERTISING_EXPENSES","FQ1 2021","FQ1 2021","Currency=USD","Period=FQ","BEST_FPERIOD_OVERRIDE=FQ","FILING_STATUS=MR","SCALING_FORMAT=MLN","Sort=A","Dates=H","DateFormat=P","Fill=—","Direction=H","UseDPDF=Y")</f>
        <v>—</v>
      </c>
      <c r="M61" s="13" t="str">
        <f>_xll.BDH("ITCI US Equity","ARDR_ADVERTISING_EXPENSES","FQ2 2021","FQ2 2021","Currency=USD","Period=FQ","BEST_FPERIOD_OVERRIDE=FQ","FILING_STATUS=MR","SCALING_FORMAT=MLN","Sort=A","Dates=H","DateFormat=P","Fill=—","Direction=H","UseDPDF=Y")</f>
        <v>—</v>
      </c>
      <c r="N61" s="13">
        <f>_xll.BDH("ITCI US Equity","ARDR_ADVERTISING_EXPENSES","FQ3 2021","FQ3 2021","Currency=USD","Period=FQ","BEST_FPERIOD_OVERRIDE=FQ","FILING_STATUS=MR","SCALING_FORMAT=MLN","Sort=A","Dates=H","DateFormat=P","Fill=—","Direction=H","UseDPDF=Y")</f>
        <v>23.2</v>
      </c>
      <c r="O61" s="13" t="str">
        <f>_xll.BDH("ITCI US Equity","ARDR_ADVERTISING_EXPENSES","FQ4 2021","FQ4 2021","Currency=USD","Period=FQ","BEST_FPERIOD_OVERRIDE=FQ","FILING_STATUS=MR","SCALING_FORMAT=MLN","Sort=A","Dates=H","DateFormat=P","Fill=—","Direction=H","UseDPDF=Y")</f>
        <v>—</v>
      </c>
      <c r="P61" s="13" t="str">
        <f>_xll.BDH("ITCI US Equity","ARDR_ADVERTISING_EXPENSES","FQ1 2022","FQ1 2022","Currency=USD","Period=FQ","BEST_FPERIOD_OVERRIDE=FQ","FILING_STATUS=MR","SCALING_FORMAT=MLN","Sort=A","Dates=H","DateFormat=P","Fill=—","Direction=H","UseDPDF=Y")</f>
        <v>—</v>
      </c>
      <c r="Q61" s="13" t="str">
        <f>_xll.BDH("ITCI US Equity","ARDR_ADVERTISING_EXPENSES","FQ2 2022","FQ2 2022","Currency=USD","Period=FQ","BEST_FPERIOD_OVERRIDE=FQ","FILING_STATUS=MR","SCALING_FORMAT=MLN","Sort=A","Dates=H","DateFormat=P","Fill=—","Direction=H","UseDPDF=Y")</f>
        <v>—</v>
      </c>
      <c r="R61" s="13" t="str">
        <f>_xll.BDH("ITCI US Equity","ARDR_ADVERTISING_EXPENSES","FQ3 2022","FQ3 2022","Currency=USD","Period=FQ","BEST_FPERIOD_OVERRIDE=FQ","FILING_STATUS=MR","SCALING_FORMAT=MLN","Sort=A","Dates=H","DateFormat=P","Fill=—","Direction=H","UseDPDF=Y")</f>
        <v>—</v>
      </c>
      <c r="S61" s="13" t="str">
        <f>_xll.BDH("ITCI US Equity","ARDR_ADVERTISING_EXPENSES","FQ4 2022","FQ4 2022","Currency=USD","Period=FQ","BEST_FPERIOD_OVERRIDE=FQ","FILING_STATUS=MR","SCALING_FORMAT=MLN","Sort=A","Dates=H","DateFormat=P","Fill=—","Direction=H","UseDPDF=Y")</f>
        <v>—</v>
      </c>
      <c r="T61" s="13" t="str">
        <f>_xll.BDH("ITCI US Equity","ARDR_ADVERTISING_EXPENSES","FQ1 2023","FQ1 2023","Currency=USD","Period=FQ","BEST_FPERIOD_OVERRIDE=FQ","FILING_STATUS=MR","SCALING_FORMAT=MLN","Sort=A","Dates=H","DateFormat=P","Fill=—","Direction=H","UseDPDF=Y")</f>
        <v>—</v>
      </c>
      <c r="U61" s="13" t="str">
        <f>_xll.BDH("ITCI US Equity","ARDR_ADVERTISING_EXPENSES","FQ2 2023","FQ2 2023","Currency=USD","Period=FQ","BEST_FPERIOD_OVERRIDE=FQ","FILING_STATUS=MR","SCALING_FORMAT=MLN","Sort=A","Dates=H","DateFormat=P","Fill=—","Direction=H","UseDPDF=Y")</f>
        <v>—</v>
      </c>
      <c r="V61" s="13" t="str">
        <f>_xll.BDH("ITCI US Equity","ARDR_ADVERTISING_EXPENSES","FQ3 2023","FQ3 2023","Currency=USD","Period=FQ","BEST_FPERIOD_OVERRIDE=FQ","FILING_STATUS=MR","SCALING_FORMAT=MLN","Sort=A","Dates=H","DateFormat=P","Fill=—","Direction=H","UseDPDF=Y")</f>
        <v>—</v>
      </c>
      <c r="W61" s="13" t="str">
        <f>_xll.BDH("ITCI US Equity","ARDR_ADVERTISING_EXPENSES","FQ4 2023","FQ4 2023","Currency=USD","Period=FQ","BEST_FPERIOD_OVERRIDE=FQ","FILING_STATUS=MR","SCALING_FORMAT=MLN","Sort=A","Dates=H","DateFormat=P","Fill=—","Direction=H","UseDPDF=Y")</f>
        <v>—</v>
      </c>
      <c r="X61" s="13" t="str">
        <f>_xll.BDH("ITCI US Equity","ARDR_ADVERTISING_EXPENSES","FQ1 2024","FQ1 2024","Currency=USD","Period=FQ","BEST_FPERIOD_OVERRIDE=FQ","FILING_STATUS=MR","SCALING_FORMAT=MLN","Sort=A","Dates=H","DateFormat=P","Fill=—","Direction=H","UseDPDF=Y")</f>
        <v>—</v>
      </c>
      <c r="Y61" s="13" t="str">
        <f>_xll.BDH("ITCI US Equity","ARDR_ADVERTISING_EXPENSES","FQ2 2024","FQ2 2024","Currency=USD","Period=FQ","BEST_FPERIOD_OVERRIDE=FQ","FILING_STATUS=MR","SCALING_FORMAT=MLN","Sort=A","Dates=H","DateFormat=P","Fill=—","Direction=H","UseDPDF=Y")</f>
        <v>—</v>
      </c>
      <c r="Z61" s="13" t="str">
        <f>_xll.BDH("ITCI US Equity","ARDR_ADVERTISING_EXPENSES","FQ3 2024","FQ3 2024","Currency=USD","Period=FQ","BEST_FPERIOD_OVERRIDE=FQ","FILING_STATUS=MR","SCALING_FORMAT=MLN","Sort=A","Dates=H","DateFormat=P","Fill=—","Direction=H","UseDPDF=Y")</f>
        <v>—</v>
      </c>
      <c r="AA61" s="13" t="str">
        <f>_xll.BDH("ITCI US Equity","ARDR_ADVERTISING_EXPENSES","FQ4 2024","FQ4 2024","Currency=USD","Period=FQ","BEST_FPERIOD_OVERRIDE=FQ","FILING_STATUS=MR","SCALING_FORMAT=MLN","Sort=A","Dates=H","DateFormat=P","Fill=—","Direction=H","UseDPDF=Y")</f>
        <v>—</v>
      </c>
    </row>
    <row r="62" spans="1:27" x14ac:dyDescent="0.25">
      <c r="A62" s="10" t="s">
        <v>464</v>
      </c>
      <c r="B62" s="10" t="s">
        <v>465</v>
      </c>
      <c r="C62" s="13">
        <f>_xll.BDH("ITCI US Equity","ARDR_STOCK_BASED_CMPNSTN_IN_R&amp;D","FQ4 2018","FQ4 2018","Currency=USD","Period=FQ","BEST_FPERIOD_OVERRIDE=FQ","FILING_STATUS=MR","Sort=A","Dates=H","DateFormat=P","Fill=—","Direction=H","UseDPDF=Y")</f>
        <v>1.7662</v>
      </c>
      <c r="D62" s="13">
        <f>_xll.BDH("ITCI US Equity","ARDR_STOCK_BASED_CMPNSTN_IN_R&amp;D","FQ1 2019","FQ1 2019","Currency=USD","Period=FQ","BEST_FPERIOD_OVERRIDE=FQ","FILING_STATUS=MR","Sort=A","Dates=H","DateFormat=P","Fill=—","Direction=H","UseDPDF=Y")</f>
        <v>2.4076</v>
      </c>
      <c r="E62" s="13">
        <f>_xll.BDH("ITCI US Equity","ARDR_STOCK_BASED_CMPNSTN_IN_R&amp;D","FQ2 2019","FQ2 2019","Currency=USD","Period=FQ","BEST_FPERIOD_OVERRIDE=FQ","FILING_STATUS=MR","Sort=A","Dates=H","DateFormat=P","Fill=—","Direction=H","UseDPDF=Y")</f>
        <v>2.3538999999999999</v>
      </c>
      <c r="F62" s="13">
        <f>_xll.BDH("ITCI US Equity","ARDR_STOCK_BASED_CMPNSTN_IN_R&amp;D","FQ3 2019","FQ3 2019","Currency=USD","Period=FQ","BEST_FPERIOD_OVERRIDE=FQ","FILING_STATUS=MR","Sort=A","Dates=H","DateFormat=P","Fill=—","Direction=H","UseDPDF=Y")</f>
        <v>2.0236999999999998</v>
      </c>
      <c r="G62" s="13">
        <f>_xll.BDH("ITCI US Equity","ARDR_STOCK_BASED_CMPNSTN_IN_R&amp;D","FQ4 2019","FQ4 2019","Currency=USD","Period=FQ","BEST_FPERIOD_OVERRIDE=FQ","FILING_STATUS=MR","Sort=A","Dates=H","DateFormat=P","Fill=—","Direction=H","UseDPDF=Y")</f>
        <v>2.6257999999999999</v>
      </c>
      <c r="H62" s="13">
        <f>_xll.BDH("ITCI US Equity","ARDR_STOCK_BASED_CMPNSTN_IN_R&amp;D","FQ1 2020","FQ1 2020","Currency=USD","Period=FQ","BEST_FPERIOD_OVERRIDE=FQ","FILING_STATUS=MR","Sort=A","Dates=H","DateFormat=P","Fill=—","Direction=H","UseDPDF=Y")</f>
        <v>2.0068999999999999</v>
      </c>
      <c r="I62" s="13">
        <f>_xll.BDH("ITCI US Equity","ARDR_STOCK_BASED_CMPNSTN_IN_R&amp;D","FQ2 2020","FQ2 2020","Currency=USD","Period=FQ","BEST_FPERIOD_OVERRIDE=FQ","FILING_STATUS=MR","Sort=A","Dates=H","DateFormat=P","Fill=—","Direction=H","UseDPDF=Y")</f>
        <v>2.3828</v>
      </c>
      <c r="J62" s="13">
        <f>_xll.BDH("ITCI US Equity","ARDR_STOCK_BASED_CMPNSTN_IN_R&amp;D","FQ3 2020","FQ3 2020","Currency=USD","Period=FQ","BEST_FPERIOD_OVERRIDE=FQ","FILING_STATUS=MR","Sort=A","Dates=H","DateFormat=P","Fill=—","Direction=H","UseDPDF=Y")</f>
        <v>2.4028999999999998</v>
      </c>
      <c r="K62" s="13">
        <f>_xll.BDH("ITCI US Equity","ARDR_STOCK_BASED_CMPNSTN_IN_R&amp;D","FQ4 2020","FQ4 2020","Currency=USD","Period=FQ","BEST_FPERIOD_OVERRIDE=FQ","FILING_STATUS=MR","Sort=A","Dates=H","DateFormat=P","Fill=—","Direction=H","UseDPDF=Y")</f>
        <v>0.28000000000000003</v>
      </c>
      <c r="L62" s="13">
        <f>_xll.BDH("ITCI US Equity","ARDR_STOCK_BASED_CMPNSTN_IN_R&amp;D","FQ1 2021","FQ1 2021","Currency=USD","Period=FQ","BEST_FPERIOD_OVERRIDE=FQ","FILING_STATUS=MR","Sort=A","Dates=H","DateFormat=P","Fill=—","Direction=H","UseDPDF=Y")</f>
        <v>1.9605999999999999</v>
      </c>
      <c r="M62" s="13">
        <f>_xll.BDH("ITCI US Equity","ARDR_STOCK_BASED_CMPNSTN_IN_R&amp;D","FQ2 2021","FQ2 2021","Currency=USD","Period=FQ","BEST_FPERIOD_OVERRIDE=FQ","FILING_STATUS=MR","Sort=A","Dates=H","DateFormat=P","Fill=—","Direction=H","UseDPDF=Y")</f>
        <v>2.4237000000000002</v>
      </c>
      <c r="N62" s="13">
        <f>_xll.BDH("ITCI US Equity","ARDR_STOCK_BASED_CMPNSTN_IN_R&amp;D","FQ3 2021","FQ3 2021","Currency=USD","Period=FQ","BEST_FPERIOD_OVERRIDE=FQ","FILING_STATUS=MR","Sort=A","Dates=H","DateFormat=P","Fill=—","Direction=H","UseDPDF=Y")</f>
        <v>2.7696000000000001</v>
      </c>
      <c r="O62" s="13">
        <f>_xll.BDH("ITCI US Equity","ARDR_STOCK_BASED_CMPNSTN_IN_R&amp;D","FQ4 2021","FQ4 2021","Currency=USD","Period=FQ","BEST_FPERIOD_OVERRIDE=FQ","FILING_STATUS=MR","Sort=A","Dates=H","DateFormat=P","Fill=—","Direction=H","UseDPDF=Y")</f>
        <v>2.6783000000000001</v>
      </c>
      <c r="P62" s="13">
        <f>_xll.BDH("ITCI US Equity","ARDR_STOCK_BASED_CMPNSTN_IN_R&amp;D","FQ1 2022","FQ1 2022","Currency=USD","Period=FQ","BEST_FPERIOD_OVERRIDE=FQ","FILING_STATUS=MR","Sort=A","Dates=H","DateFormat=P","Fill=—","Direction=H","UseDPDF=Y")</f>
        <v>2.371</v>
      </c>
      <c r="Q62" s="13">
        <f>_xll.BDH("ITCI US Equity","ARDR_STOCK_BASED_CMPNSTN_IN_R&amp;D","FQ2 2022","FQ2 2022","Currency=USD","Period=FQ","BEST_FPERIOD_OVERRIDE=FQ","FILING_STATUS=MR","Sort=A","Dates=H","DateFormat=P","Fill=—","Direction=H","UseDPDF=Y")</f>
        <v>5.5069999999999997</v>
      </c>
      <c r="R62" s="13">
        <f>_xll.BDH("ITCI US Equity","ARDR_STOCK_BASED_CMPNSTN_IN_R&amp;D","FQ3 2022","FQ3 2022","Currency=USD","Period=FQ","BEST_FPERIOD_OVERRIDE=FQ","FILING_STATUS=MR","Sort=A","Dates=H","DateFormat=P","Fill=—","Direction=H","UseDPDF=Y")</f>
        <v>4.6820000000000004</v>
      </c>
      <c r="S62" s="13">
        <f>_xll.BDH("ITCI US Equity","ARDR_STOCK_BASED_CMPNSTN_IN_R&amp;D","FQ4 2022","FQ4 2022","Currency=USD","Period=FQ","BEST_FPERIOD_OVERRIDE=FQ","FILING_STATUS=MR","Sort=A","Dates=H","DateFormat=P","Fill=—","Direction=H","UseDPDF=Y")</f>
        <v>10.705</v>
      </c>
      <c r="T62" s="13">
        <f>_xll.BDH("ITCI US Equity","ARDR_STOCK_BASED_CMPNSTN_IN_R&amp;D","FQ1 2023","FQ1 2023","Currency=USD","Period=FQ","BEST_FPERIOD_OVERRIDE=FQ","FILING_STATUS=MR","Sort=A","Dates=H","DateFormat=P","Fill=—","Direction=H","UseDPDF=Y")</f>
        <v>3.117</v>
      </c>
      <c r="U62" s="13">
        <f>_xll.BDH("ITCI US Equity","ARDR_STOCK_BASED_CMPNSTN_IN_R&amp;D","FQ2 2023","FQ2 2023","Currency=USD","Period=FQ","BEST_FPERIOD_OVERRIDE=FQ","FILING_STATUS=MR","Sort=A","Dates=H","DateFormat=P","Fill=—","Direction=H","UseDPDF=Y")</f>
        <v>4.0810000000000004</v>
      </c>
      <c r="V62" s="13">
        <f>_xll.BDH("ITCI US Equity","ARDR_STOCK_BASED_CMPNSTN_IN_R&amp;D","FQ3 2023","FQ3 2023","Currency=USD","Period=FQ","BEST_FPERIOD_OVERRIDE=FQ","FILING_STATUS=MR","Sort=A","Dates=H","DateFormat=P","Fill=—","Direction=H","UseDPDF=Y")</f>
        <v>4.3230000000000004</v>
      </c>
      <c r="W62" s="13">
        <f>_xll.BDH("ITCI US Equity","ARDR_STOCK_BASED_CMPNSTN_IN_R&amp;D","FQ4 2023","FQ4 2023","Currency=USD","Period=FQ","BEST_FPERIOD_OVERRIDE=FQ","FILING_STATUS=MR","Sort=A","Dates=H","DateFormat=P","Fill=—","Direction=H","UseDPDF=Y")</f>
        <v>4.26</v>
      </c>
      <c r="X62" s="13">
        <f>_xll.BDH("ITCI US Equity","ARDR_STOCK_BASED_CMPNSTN_IN_R&amp;D","FQ1 2024","FQ1 2024","Currency=USD","Period=FQ","BEST_FPERIOD_OVERRIDE=FQ","FILING_STATUS=MR","Sort=A","Dates=H","DateFormat=P","Fill=—","Direction=H","UseDPDF=Y")</f>
        <v>4.2089999999999996</v>
      </c>
      <c r="Y62" s="13">
        <f>_xll.BDH("ITCI US Equity","ARDR_STOCK_BASED_CMPNSTN_IN_R&amp;D","FQ2 2024","FQ2 2024","Currency=USD","Period=FQ","BEST_FPERIOD_OVERRIDE=FQ","FILING_STATUS=MR","Sort=A","Dates=H","DateFormat=P","Fill=—","Direction=H","UseDPDF=Y")</f>
        <v>5.0709999999999997</v>
      </c>
      <c r="Z62" s="13">
        <f>_xll.BDH("ITCI US Equity","ARDR_STOCK_BASED_CMPNSTN_IN_R&amp;D","FQ3 2024","FQ3 2024","Currency=USD","Period=FQ","BEST_FPERIOD_OVERRIDE=FQ","FILING_STATUS=MR","Sort=A","Dates=H","DateFormat=P","Fill=—","Direction=H","UseDPDF=Y")</f>
        <v>5.0940000000000003</v>
      </c>
      <c r="AA62" s="13">
        <f>_xll.BDH("ITCI US Equity","ARDR_STOCK_BASED_CMPNSTN_IN_R&amp;D","FQ4 2024","FQ4 2024","Currency=USD","Period=FQ","BEST_FPERIOD_OVERRIDE=FQ","FILING_STATUS=MR","Sort=A","Dates=H","DateFormat=P","Fill=—","Direction=H","UseDPDF=Y")</f>
        <v>5.1260000000000003</v>
      </c>
    </row>
    <row r="63" spans="1:27" x14ac:dyDescent="0.25">
      <c r="A63" s="10" t="s">
        <v>466</v>
      </c>
      <c r="B63" s="10" t="s">
        <v>467</v>
      </c>
      <c r="C63" s="13">
        <f>_xll.BDH("ITCI US Equity","ARDR_STOCK_BASED_CMPNSTN_IN_SG&amp;A","FQ4 2018","FQ4 2018","Currency=USD","Period=FQ","BEST_FPERIOD_OVERRIDE=FQ","FILING_STATUS=MR","Sort=A","Dates=H","DateFormat=P","Fill=—","Direction=H","UseDPDF=Y")</f>
        <v>2.6585000000000001</v>
      </c>
      <c r="D63" s="13">
        <f>_xll.BDH("ITCI US Equity","ARDR_STOCK_BASED_CMPNSTN_IN_SG&amp;A","FQ1 2019","FQ1 2019","Currency=USD","Period=FQ","BEST_FPERIOD_OVERRIDE=FQ","FILING_STATUS=MR","Sort=A","Dates=H","DateFormat=P","Fill=—","Direction=H","UseDPDF=Y")</f>
        <v>2.6476000000000002</v>
      </c>
      <c r="E63" s="13">
        <f>_xll.BDH("ITCI US Equity","ARDR_STOCK_BASED_CMPNSTN_IN_SG&amp;A","FQ2 2019","FQ2 2019","Currency=USD","Period=FQ","BEST_FPERIOD_OVERRIDE=FQ","FILING_STATUS=MR","Sort=A","Dates=H","DateFormat=P","Fill=—","Direction=H","UseDPDF=Y")</f>
        <v>2.6335000000000002</v>
      </c>
      <c r="F63" s="13">
        <f>_xll.BDH("ITCI US Equity","ARDR_STOCK_BASED_CMPNSTN_IN_SG&amp;A","FQ3 2019","FQ3 2019","Currency=USD","Period=FQ","BEST_FPERIOD_OVERRIDE=FQ","FILING_STATUS=MR","Sort=A","Dates=H","DateFormat=P","Fill=—","Direction=H","UseDPDF=Y")</f>
        <v>2.7831000000000001</v>
      </c>
      <c r="G63" s="13">
        <f>_xll.BDH("ITCI US Equity","ARDR_STOCK_BASED_CMPNSTN_IN_SG&amp;A","FQ4 2019","FQ4 2019","Currency=USD","Period=FQ","BEST_FPERIOD_OVERRIDE=FQ","FILING_STATUS=MR","Sort=A","Dates=H","DateFormat=P","Fill=—","Direction=H","UseDPDF=Y")</f>
        <v>3.3134999999999999</v>
      </c>
      <c r="H63" s="13">
        <f>_xll.BDH("ITCI US Equity","ARDR_STOCK_BASED_CMPNSTN_IN_SG&amp;A","FQ1 2020","FQ1 2020","Currency=USD","Period=FQ","BEST_FPERIOD_OVERRIDE=FQ","FILING_STATUS=MR","Sort=A","Dates=H","DateFormat=P","Fill=—","Direction=H","UseDPDF=Y")</f>
        <v>3.2040999999999999</v>
      </c>
      <c r="I63" s="13">
        <f>_xll.BDH("ITCI US Equity","ARDR_STOCK_BASED_CMPNSTN_IN_SG&amp;A","FQ2 2020","FQ2 2020","Currency=USD","Period=FQ","BEST_FPERIOD_OVERRIDE=FQ","FILING_STATUS=MR","Sort=A","Dates=H","DateFormat=P","Fill=—","Direction=H","UseDPDF=Y")</f>
        <v>4.2064000000000004</v>
      </c>
      <c r="J63" s="13">
        <f>_xll.BDH("ITCI US Equity","ARDR_STOCK_BASED_CMPNSTN_IN_SG&amp;A","FQ3 2020","FQ3 2020","Currency=USD","Period=FQ","BEST_FPERIOD_OVERRIDE=FQ","FILING_STATUS=MR","Sort=A","Dates=H","DateFormat=P","Fill=—","Direction=H","UseDPDF=Y")</f>
        <v>4.1524000000000001</v>
      </c>
      <c r="K63" s="13">
        <f>_xll.BDH("ITCI US Equity","ARDR_STOCK_BASED_CMPNSTN_IN_SG&amp;A","FQ4 2020","FQ4 2020","Currency=USD","Period=FQ","BEST_FPERIOD_OVERRIDE=FQ","FILING_STATUS=MR","Sort=A","Dates=H","DateFormat=P","Fill=—","Direction=H","UseDPDF=Y")</f>
        <v>4.1375000000000002</v>
      </c>
      <c r="L63" s="13">
        <f>_xll.BDH("ITCI US Equity","ARDR_STOCK_BASED_CMPNSTN_IN_SG&amp;A","FQ1 2021","FQ1 2021","Currency=USD","Period=FQ","BEST_FPERIOD_OVERRIDE=FQ","FILING_STATUS=MR","Sort=A","Dates=H","DateFormat=P","Fill=—","Direction=H","UseDPDF=Y")</f>
        <v>4.4561000000000002</v>
      </c>
      <c r="M63" s="13">
        <f>_xll.BDH("ITCI US Equity","ARDR_STOCK_BASED_CMPNSTN_IN_SG&amp;A","FQ2 2021","FQ2 2021","Currency=USD","Period=FQ","BEST_FPERIOD_OVERRIDE=FQ","FILING_STATUS=MR","Sort=A","Dates=H","DateFormat=P","Fill=—","Direction=H","UseDPDF=Y")</f>
        <v>5.7549000000000001</v>
      </c>
      <c r="N63" s="13">
        <f>_xll.BDH("ITCI US Equity","ARDR_STOCK_BASED_CMPNSTN_IN_SG&amp;A","FQ3 2021","FQ3 2021","Currency=USD","Period=FQ","BEST_FPERIOD_OVERRIDE=FQ","FILING_STATUS=MR","Sort=A","Dates=H","DateFormat=P","Fill=—","Direction=H","UseDPDF=Y")</f>
        <v>6.3475999999999999</v>
      </c>
      <c r="O63" s="13">
        <f>_xll.BDH("ITCI US Equity","ARDR_STOCK_BASED_CMPNSTN_IN_SG&amp;A","FQ4 2021","FQ4 2021","Currency=USD","Period=FQ","BEST_FPERIOD_OVERRIDE=FQ","FILING_STATUS=MR","Sort=A","Dates=H","DateFormat=P","Fill=—","Direction=H","UseDPDF=Y")</f>
        <v>6.2881999999999998</v>
      </c>
      <c r="P63" s="13" t="str">
        <f>_xll.BDH("ITCI US Equity","ARDR_STOCK_BASED_CMPNSTN_IN_SG&amp;A","FQ1 2022","FQ1 2022","Currency=USD","Period=FQ","BEST_FPERIOD_OVERRIDE=FQ","FILING_STATUS=MR","Sort=A","Dates=H","DateFormat=P","Fill=—","Direction=H","UseDPDF=Y")</f>
        <v>—</v>
      </c>
      <c r="Q63" s="13" t="str">
        <f>_xll.BDH("ITCI US Equity","ARDR_STOCK_BASED_CMPNSTN_IN_SG&amp;A","FQ2 2022","FQ2 2022","Currency=USD","Period=FQ","BEST_FPERIOD_OVERRIDE=FQ","FILING_STATUS=MR","Sort=A","Dates=H","DateFormat=P","Fill=—","Direction=H","UseDPDF=Y")</f>
        <v>—</v>
      </c>
      <c r="R63" s="13" t="str">
        <f>_xll.BDH("ITCI US Equity","ARDR_STOCK_BASED_CMPNSTN_IN_SG&amp;A","FQ3 2022","FQ3 2022","Currency=USD","Period=FQ","BEST_FPERIOD_OVERRIDE=FQ","FILING_STATUS=MR","Sort=A","Dates=H","DateFormat=P","Fill=—","Direction=H","UseDPDF=Y")</f>
        <v>—</v>
      </c>
      <c r="S63" s="13" t="str">
        <f>_xll.BDH("ITCI US Equity","ARDR_STOCK_BASED_CMPNSTN_IN_SG&amp;A","FQ4 2022","FQ4 2022","Currency=USD","Period=FQ","BEST_FPERIOD_OVERRIDE=FQ","FILING_STATUS=MR","Sort=A","Dates=H","DateFormat=P","Fill=—","Direction=H","UseDPDF=Y")</f>
        <v>—</v>
      </c>
      <c r="T63" s="13" t="str">
        <f>_xll.BDH("ITCI US Equity","ARDR_STOCK_BASED_CMPNSTN_IN_SG&amp;A","FQ1 2023","FQ1 2023","Currency=USD","Period=FQ","BEST_FPERIOD_OVERRIDE=FQ","FILING_STATUS=MR","Sort=A","Dates=H","DateFormat=P","Fill=—","Direction=H","UseDPDF=Y")</f>
        <v>—</v>
      </c>
      <c r="U63" s="13" t="str">
        <f>_xll.BDH("ITCI US Equity","ARDR_STOCK_BASED_CMPNSTN_IN_SG&amp;A","FQ2 2023","FQ2 2023","Currency=USD","Period=FQ","BEST_FPERIOD_OVERRIDE=FQ","FILING_STATUS=MR","Sort=A","Dates=H","DateFormat=P","Fill=—","Direction=H","UseDPDF=Y")</f>
        <v>—</v>
      </c>
      <c r="V63" s="13" t="str">
        <f>_xll.BDH("ITCI US Equity","ARDR_STOCK_BASED_CMPNSTN_IN_SG&amp;A","FQ3 2023","FQ3 2023","Currency=USD","Period=FQ","BEST_FPERIOD_OVERRIDE=FQ","FILING_STATUS=MR","Sort=A","Dates=H","DateFormat=P","Fill=—","Direction=H","UseDPDF=Y")</f>
        <v>—</v>
      </c>
      <c r="W63" s="13" t="str">
        <f>_xll.BDH("ITCI US Equity","ARDR_STOCK_BASED_CMPNSTN_IN_SG&amp;A","FQ4 2023","FQ4 2023","Currency=USD","Period=FQ","BEST_FPERIOD_OVERRIDE=FQ","FILING_STATUS=MR","Sort=A","Dates=H","DateFormat=P","Fill=—","Direction=H","UseDPDF=Y")</f>
        <v>—</v>
      </c>
      <c r="X63" s="13">
        <f>_xll.BDH("ITCI US Equity","ARDR_STOCK_BASED_CMPNSTN_IN_SG&amp;A","FQ1 2024","FQ1 2024","Currency=USD","Period=FQ","BEST_FPERIOD_OVERRIDE=FQ","FILING_STATUS=MR","Sort=A","Dates=H","DateFormat=P","Fill=—","Direction=H","UseDPDF=Y")</f>
        <v>9.2170000000000005</v>
      </c>
      <c r="Y63" s="13" t="str">
        <f>_xll.BDH("ITCI US Equity","ARDR_STOCK_BASED_CMPNSTN_IN_SG&amp;A","FQ2 2024","FQ2 2024","Currency=USD","Period=FQ","BEST_FPERIOD_OVERRIDE=FQ","FILING_STATUS=MR","Sort=A","Dates=H","DateFormat=P","Fill=—","Direction=H","UseDPDF=Y")</f>
        <v>—</v>
      </c>
      <c r="Z63" s="13" t="str">
        <f>_xll.BDH("ITCI US Equity","ARDR_STOCK_BASED_CMPNSTN_IN_SG&amp;A","FQ3 2024","FQ3 2024","Currency=USD","Period=FQ","BEST_FPERIOD_OVERRIDE=FQ","FILING_STATUS=MR","Sort=A","Dates=H","DateFormat=P","Fill=—","Direction=H","UseDPDF=Y")</f>
        <v>—</v>
      </c>
      <c r="AA63" s="13" t="str">
        <f>_xll.BDH("ITCI US Equity","ARDR_STOCK_BASED_CMPNSTN_IN_SG&amp;A","FQ4 2024","FQ4 2024","Currency=USD","Period=FQ","BEST_FPERIOD_OVERRIDE=FQ","FILING_STATUS=MR","Sort=A","Dates=H","DateFormat=P","Fill=—","Direction=H","UseDPDF=Y")</f>
        <v>—</v>
      </c>
    </row>
    <row r="64" spans="1:27" x14ac:dyDescent="0.25">
      <c r="A64" s="10" t="s">
        <v>468</v>
      </c>
      <c r="B64" s="10" t="s">
        <v>469</v>
      </c>
      <c r="C64" s="13" t="str">
        <f>_xll.BDH("ITCI US Equity","ARDR_STOCK_BASED_CMPNSTN_IN_COGS","FQ4 2018","FQ4 2018","Currency=USD","Period=FQ","BEST_FPERIOD_OVERRIDE=FQ","FILING_STATUS=MR","Sort=A","Dates=H","DateFormat=P","Fill=—","Direction=H","UseDPDF=Y")</f>
        <v>—</v>
      </c>
      <c r="D64" s="13" t="str">
        <f>_xll.BDH("ITCI US Equity","ARDR_STOCK_BASED_CMPNSTN_IN_COGS","FQ1 2019","FQ1 2019","Currency=USD","Period=FQ","BEST_FPERIOD_OVERRIDE=FQ","FILING_STATUS=MR","Sort=A","Dates=H","DateFormat=P","Fill=—","Direction=H","UseDPDF=Y")</f>
        <v>—</v>
      </c>
      <c r="E64" s="13" t="str">
        <f>_xll.BDH("ITCI US Equity","ARDR_STOCK_BASED_CMPNSTN_IN_COGS","FQ2 2019","FQ2 2019","Currency=USD","Period=FQ","BEST_FPERIOD_OVERRIDE=FQ","FILING_STATUS=MR","Sort=A","Dates=H","DateFormat=P","Fill=—","Direction=H","UseDPDF=Y")</f>
        <v>—</v>
      </c>
      <c r="F64" s="13" t="str">
        <f>_xll.BDH("ITCI US Equity","ARDR_STOCK_BASED_CMPNSTN_IN_COGS","FQ3 2019","FQ3 2019","Currency=USD","Period=FQ","BEST_FPERIOD_OVERRIDE=FQ","FILING_STATUS=MR","Sort=A","Dates=H","DateFormat=P","Fill=—","Direction=H","UseDPDF=Y")</f>
        <v>—</v>
      </c>
      <c r="G64" s="13" t="str">
        <f>_xll.BDH("ITCI US Equity","ARDR_STOCK_BASED_CMPNSTN_IN_COGS","FQ4 2019","FQ4 2019","Currency=USD","Period=FQ","BEST_FPERIOD_OVERRIDE=FQ","FILING_STATUS=MR","Sort=A","Dates=H","DateFormat=P","Fill=—","Direction=H","UseDPDF=Y")</f>
        <v>—</v>
      </c>
      <c r="H64" s="13">
        <f>_xll.BDH("ITCI US Equity","ARDR_STOCK_BASED_CMPNSTN_IN_COGS","FQ1 2020","FQ1 2020","Currency=USD","Period=FQ","BEST_FPERIOD_OVERRIDE=FQ","FILING_STATUS=MR","Sort=A","Dates=H","DateFormat=P","Fill=—","Direction=H","UseDPDF=Y")</f>
        <v>0.29339999999999999</v>
      </c>
      <c r="I64" s="13">
        <f>_xll.BDH("ITCI US Equity","ARDR_STOCK_BASED_CMPNSTN_IN_COGS","FQ2 2020","FQ2 2020","Currency=USD","Period=FQ","BEST_FPERIOD_OVERRIDE=FQ","FILING_STATUS=MR","Sort=A","Dates=H","DateFormat=P","Fill=—","Direction=H","UseDPDF=Y")</f>
        <v>0.35799999999999998</v>
      </c>
      <c r="J64" s="13">
        <f>_xll.BDH("ITCI US Equity","ARDR_STOCK_BASED_CMPNSTN_IN_COGS","FQ3 2020","FQ3 2020","Currency=USD","Period=FQ","BEST_FPERIOD_OVERRIDE=FQ","FILING_STATUS=MR","Sort=A","Dates=H","DateFormat=P","Fill=—","Direction=H","UseDPDF=Y")</f>
        <v>0.34549999999999997</v>
      </c>
      <c r="K64" s="13">
        <f>_xll.BDH("ITCI US Equity","ARDR_STOCK_BASED_CMPNSTN_IN_COGS","FQ4 2020","FQ4 2020","Currency=USD","Period=FQ","BEST_FPERIOD_OVERRIDE=FQ","FILING_STATUS=MR","Sort=A","Dates=H","DateFormat=P","Fill=—","Direction=H","UseDPDF=Y")</f>
        <v>0.34549999999999997</v>
      </c>
      <c r="L64" s="13">
        <f>_xll.BDH("ITCI US Equity","ARDR_STOCK_BASED_CMPNSTN_IN_COGS","FQ1 2021","FQ1 2021","Currency=USD","Period=FQ","BEST_FPERIOD_OVERRIDE=FQ","FILING_STATUS=MR","Sort=A","Dates=H","DateFormat=P","Fill=—","Direction=H","UseDPDF=Y")</f>
        <v>0.36170000000000002</v>
      </c>
      <c r="M64" s="13">
        <f>_xll.BDH("ITCI US Equity","ARDR_STOCK_BASED_CMPNSTN_IN_COGS","FQ2 2021","FQ2 2021","Currency=USD","Period=FQ","BEST_FPERIOD_OVERRIDE=FQ","FILING_STATUS=MR","Sort=A","Dates=H","DateFormat=P","Fill=—","Direction=H","UseDPDF=Y")</f>
        <v>0.43809999999999999</v>
      </c>
      <c r="N64" s="13">
        <f>_xll.BDH("ITCI US Equity","ARDR_STOCK_BASED_CMPNSTN_IN_COGS","FQ3 2021","FQ3 2021","Currency=USD","Period=FQ","BEST_FPERIOD_OVERRIDE=FQ","FILING_STATUS=MR","Sort=A","Dates=H","DateFormat=P","Fill=—","Direction=H","UseDPDF=Y")</f>
        <v>0.41310000000000002</v>
      </c>
      <c r="O64" s="13">
        <f>_xll.BDH("ITCI US Equity","ARDR_STOCK_BASED_CMPNSTN_IN_COGS","FQ4 2021","FQ4 2021","Currency=USD","Period=FQ","BEST_FPERIOD_OVERRIDE=FQ","FILING_STATUS=MR","Sort=A","Dates=H","DateFormat=P","Fill=—","Direction=H","UseDPDF=Y")</f>
        <v>0.41120000000000001</v>
      </c>
      <c r="P64" s="13">
        <f>_xll.BDH("ITCI US Equity","ARDR_STOCK_BASED_CMPNSTN_IN_COGS","FQ1 2022","FQ1 2022","Currency=USD","Period=FQ","BEST_FPERIOD_OVERRIDE=FQ","FILING_STATUS=MR","Sort=A","Dates=H","DateFormat=P","Fill=—","Direction=H","UseDPDF=Y")</f>
        <v>3.1549999999999998</v>
      </c>
      <c r="Q64" s="13">
        <f>_xll.BDH("ITCI US Equity","ARDR_STOCK_BASED_CMPNSTN_IN_COGS","FQ2 2022","FQ2 2022","Currency=USD","Period=FQ","BEST_FPERIOD_OVERRIDE=FQ","FILING_STATUS=MR","Sort=A","Dates=H","DateFormat=P","Fill=—","Direction=H","UseDPDF=Y")</f>
        <v>4.6500000000000004</v>
      </c>
      <c r="R64" s="13">
        <f>_xll.BDH("ITCI US Equity","ARDR_STOCK_BASED_CMPNSTN_IN_COGS","FQ3 2022","FQ3 2022","Currency=USD","Period=FQ","BEST_FPERIOD_OVERRIDE=FQ","FILING_STATUS=MR","Sort=A","Dates=H","DateFormat=P","Fill=—","Direction=H","UseDPDF=Y")</f>
        <v>5.85</v>
      </c>
      <c r="S64" s="13" t="str">
        <f>_xll.BDH("ITCI US Equity","ARDR_STOCK_BASED_CMPNSTN_IN_COGS","FQ4 2022","FQ4 2022","Currency=USD","Period=FQ","BEST_FPERIOD_OVERRIDE=FQ","FILING_STATUS=MR","Sort=A","Dates=H","DateFormat=P","Fill=—","Direction=H","UseDPDF=Y")</f>
        <v>—</v>
      </c>
      <c r="T64" s="13">
        <f>_xll.BDH("ITCI US Equity","ARDR_STOCK_BASED_CMPNSTN_IN_COGS","FQ1 2023","FQ1 2023","Currency=USD","Period=FQ","BEST_FPERIOD_OVERRIDE=FQ","FILING_STATUS=MR","Sort=A","Dates=H","DateFormat=P","Fill=—","Direction=H","UseDPDF=Y")</f>
        <v>6.7510000000000003</v>
      </c>
      <c r="U64" s="13">
        <f>_xll.BDH("ITCI US Equity","ARDR_STOCK_BASED_CMPNSTN_IN_COGS","FQ2 2023","FQ2 2023","Currency=USD","Period=FQ","BEST_FPERIOD_OVERRIDE=FQ","FILING_STATUS=MR","Sort=A","Dates=H","DateFormat=P","Fill=—","Direction=H","UseDPDF=Y")</f>
        <v>7.1630000000000003</v>
      </c>
      <c r="V64" s="13">
        <f>_xll.BDH("ITCI US Equity","ARDR_STOCK_BASED_CMPNSTN_IN_COGS","FQ3 2023","FQ3 2023","Currency=USD","Period=FQ","BEST_FPERIOD_OVERRIDE=FQ","FILING_STATUS=MR","Sort=A","Dates=H","DateFormat=P","Fill=—","Direction=H","UseDPDF=Y")</f>
        <v>9.1289999999999996</v>
      </c>
      <c r="W64" s="13" t="str">
        <f>_xll.BDH("ITCI US Equity","ARDR_STOCK_BASED_CMPNSTN_IN_COGS","FQ4 2023","FQ4 2023","Currency=USD","Period=FQ","BEST_FPERIOD_OVERRIDE=FQ","FILING_STATUS=MR","Sort=A","Dates=H","DateFormat=P","Fill=—","Direction=H","UseDPDF=Y")</f>
        <v>—</v>
      </c>
      <c r="X64" s="13">
        <f>_xll.BDH("ITCI US Equity","ARDR_STOCK_BASED_CMPNSTN_IN_COGS","FQ1 2024","FQ1 2024","Currency=USD","Period=FQ","BEST_FPERIOD_OVERRIDE=FQ","FILING_STATUS=MR","Sort=A","Dates=H","DateFormat=P","Fill=—","Direction=H","UseDPDF=Y")</f>
        <v>0.41699999999999998</v>
      </c>
      <c r="Y64" s="13">
        <f>_xll.BDH("ITCI US Equity","ARDR_STOCK_BASED_CMPNSTN_IN_COGS","FQ2 2024","FQ2 2024","Currency=USD","Period=FQ","BEST_FPERIOD_OVERRIDE=FQ","FILING_STATUS=MR","Sort=A","Dates=H","DateFormat=P","Fill=—","Direction=H","UseDPDF=Y")</f>
        <v>11.353999999999999</v>
      </c>
      <c r="Z64" s="13">
        <f>_xll.BDH("ITCI US Equity","ARDR_STOCK_BASED_CMPNSTN_IN_COGS","FQ3 2024","FQ3 2024","Currency=USD","Period=FQ","BEST_FPERIOD_OVERRIDE=FQ","FILING_STATUS=MR","Sort=A","Dates=H","DateFormat=P","Fill=—","Direction=H","UseDPDF=Y")</f>
        <v>0.497</v>
      </c>
      <c r="AA64" s="13" t="str">
        <f>_xll.BDH("ITCI US Equity","ARDR_STOCK_BASED_CMPNSTN_IN_COGS","FQ4 2024","FQ4 2024","Currency=USD","Period=FQ","BEST_FPERIOD_OVERRIDE=FQ","FILING_STATUS=MR","Sort=A","Dates=H","DateFormat=P","Fill=—","Direction=H","UseDPDF=Y")</f>
        <v>—</v>
      </c>
    </row>
    <row r="65" spans="1:27" x14ac:dyDescent="0.25">
      <c r="A65" s="10" t="s">
        <v>470</v>
      </c>
      <c r="B65" s="10" t="s">
        <v>471</v>
      </c>
      <c r="C65" s="13" t="str">
        <f>_xll.BDH("ITCI US Equity","ARDR_EBIT","FQ4 2018","FQ4 2018","Currency=USD","Period=FQ","BEST_FPERIOD_OVERRIDE=FQ","FILING_STATUS=MR","SCALING_FORMAT=MLN","Sort=A","Dates=H","DateFormat=P","Fill=—","Direction=H","UseDPDF=Y")</f>
        <v>—</v>
      </c>
      <c r="D65" s="13" t="str">
        <f>_xll.BDH("ITCI US Equity","ARDR_EBIT","FQ1 2019","FQ1 2019","Currency=USD","Period=FQ","BEST_FPERIOD_OVERRIDE=FQ","FILING_STATUS=MR","SCALING_FORMAT=MLN","Sort=A","Dates=H","DateFormat=P","Fill=—","Direction=H","UseDPDF=Y")</f>
        <v>—</v>
      </c>
      <c r="E65" s="13" t="str">
        <f>_xll.BDH("ITCI US Equity","ARDR_EBIT","FQ2 2019","FQ2 2019","Currency=USD","Period=FQ","BEST_FPERIOD_OVERRIDE=FQ","FILING_STATUS=MR","SCALING_FORMAT=MLN","Sort=A","Dates=H","DateFormat=P","Fill=—","Direction=H","UseDPDF=Y")</f>
        <v>—</v>
      </c>
      <c r="F65" s="13" t="str">
        <f>_xll.BDH("ITCI US Equity","ARDR_EBIT","FQ3 2019","FQ3 2019","Currency=USD","Period=FQ","BEST_FPERIOD_OVERRIDE=FQ","FILING_STATUS=MR","SCALING_FORMAT=MLN","Sort=A","Dates=H","DateFormat=P","Fill=—","Direction=H","UseDPDF=Y")</f>
        <v>—</v>
      </c>
      <c r="G65" s="13" t="str">
        <f>_xll.BDH("ITCI US Equity","ARDR_EBIT","FQ4 2019","FQ4 2019","Currency=USD","Period=FQ","BEST_FPERIOD_OVERRIDE=FQ","FILING_STATUS=MR","SCALING_FORMAT=MLN","Sort=A","Dates=H","DateFormat=P","Fill=—","Direction=H","UseDPDF=Y")</f>
        <v>—</v>
      </c>
      <c r="H65" s="13" t="str">
        <f>_xll.BDH("ITCI US Equity","ARDR_EBIT","FQ1 2020","FQ1 2020","Currency=USD","Period=FQ","BEST_FPERIOD_OVERRIDE=FQ","FILING_STATUS=MR","SCALING_FORMAT=MLN","Sort=A","Dates=H","DateFormat=P","Fill=—","Direction=H","UseDPDF=Y")</f>
        <v>—</v>
      </c>
      <c r="I65" s="13" t="str">
        <f>_xll.BDH("ITCI US Equity","ARDR_EBIT","FQ2 2020","FQ2 2020","Currency=USD","Period=FQ","BEST_FPERIOD_OVERRIDE=FQ","FILING_STATUS=MR","SCALING_FORMAT=MLN","Sort=A","Dates=H","DateFormat=P","Fill=—","Direction=H","UseDPDF=Y")</f>
        <v>—</v>
      </c>
      <c r="J65" s="13" t="str">
        <f>_xll.BDH("ITCI US Equity","ARDR_EBIT","FQ3 2020","FQ3 2020","Currency=USD","Period=FQ","BEST_FPERIOD_OVERRIDE=FQ","FILING_STATUS=MR","SCALING_FORMAT=MLN","Sort=A","Dates=H","DateFormat=P","Fill=—","Direction=H","UseDPDF=Y")</f>
        <v>—</v>
      </c>
      <c r="K65" s="13" t="str">
        <f>_xll.BDH("ITCI US Equity","ARDR_EBIT","FQ4 2020","FQ4 2020","Currency=USD","Period=FQ","BEST_FPERIOD_OVERRIDE=FQ","FILING_STATUS=MR","SCALING_FORMAT=MLN","Sort=A","Dates=H","DateFormat=P","Fill=—","Direction=H","UseDPDF=Y")</f>
        <v>—</v>
      </c>
      <c r="L65" s="13" t="str">
        <f>_xll.BDH("ITCI US Equity","ARDR_EBIT","FQ1 2021","FQ1 2021","Currency=USD","Period=FQ","BEST_FPERIOD_OVERRIDE=FQ","FILING_STATUS=MR","SCALING_FORMAT=MLN","Sort=A","Dates=H","DateFormat=P","Fill=—","Direction=H","UseDPDF=Y")</f>
        <v>—</v>
      </c>
      <c r="M65" s="13" t="str">
        <f>_xll.BDH("ITCI US Equity","ARDR_EBIT","FQ2 2021","FQ2 2021","Currency=USD","Period=FQ","BEST_FPERIOD_OVERRIDE=FQ","FILING_STATUS=MR","SCALING_FORMAT=MLN","Sort=A","Dates=H","DateFormat=P","Fill=—","Direction=H","UseDPDF=Y")</f>
        <v>—</v>
      </c>
      <c r="N65" s="13" t="str">
        <f>_xll.BDH("ITCI US Equity","ARDR_EBIT","FQ3 2021","FQ3 2021","Currency=USD","Period=FQ","BEST_FPERIOD_OVERRIDE=FQ","FILING_STATUS=MR","SCALING_FORMAT=MLN","Sort=A","Dates=H","DateFormat=P","Fill=—","Direction=H","UseDPDF=Y")</f>
        <v>—</v>
      </c>
      <c r="O65" s="13" t="str">
        <f>_xll.BDH("ITCI US Equity","ARDR_EBIT","FQ4 2021","FQ4 2021","Currency=USD","Period=FQ","BEST_FPERIOD_OVERRIDE=FQ","FILING_STATUS=MR","SCALING_FORMAT=MLN","Sort=A","Dates=H","DateFormat=P","Fill=—","Direction=H","UseDPDF=Y")</f>
        <v>—</v>
      </c>
      <c r="P65" s="13" t="str">
        <f>_xll.BDH("ITCI US Equity","ARDR_EBIT","FQ1 2022","FQ1 2022","Currency=USD","Period=FQ","BEST_FPERIOD_OVERRIDE=FQ","FILING_STATUS=MR","SCALING_FORMAT=MLN","Sort=A","Dates=H","DateFormat=P","Fill=—","Direction=H","UseDPDF=Y")</f>
        <v>—</v>
      </c>
      <c r="Q65" s="13" t="str">
        <f>_xll.BDH("ITCI US Equity","ARDR_EBIT","FQ2 2022","FQ2 2022","Currency=USD","Period=FQ","BEST_FPERIOD_OVERRIDE=FQ","FILING_STATUS=MR","SCALING_FORMAT=MLN","Sort=A","Dates=H","DateFormat=P","Fill=—","Direction=H","UseDPDF=Y")</f>
        <v>—</v>
      </c>
      <c r="R65" s="13" t="str">
        <f>_xll.BDH("ITCI US Equity","ARDR_EBIT","FQ3 2022","FQ3 2022","Currency=USD","Period=FQ","BEST_FPERIOD_OVERRIDE=FQ","FILING_STATUS=MR","SCALING_FORMAT=MLN","Sort=A","Dates=H","DateFormat=P","Fill=—","Direction=H","UseDPDF=Y")</f>
        <v>—</v>
      </c>
      <c r="S65" s="13" t="str">
        <f>_xll.BDH("ITCI US Equity","ARDR_EBIT","FQ4 2022","FQ4 2022","Currency=USD","Period=FQ","BEST_FPERIOD_OVERRIDE=FQ","FILING_STATUS=MR","SCALING_FORMAT=MLN","Sort=A","Dates=H","DateFormat=P","Fill=—","Direction=H","UseDPDF=Y")</f>
        <v>—</v>
      </c>
      <c r="T65" s="13" t="str">
        <f>_xll.BDH("ITCI US Equity","ARDR_EBIT","FQ1 2023","FQ1 2023","Currency=USD","Period=FQ","BEST_FPERIOD_OVERRIDE=FQ","FILING_STATUS=MR","SCALING_FORMAT=MLN","Sort=A","Dates=H","DateFormat=P","Fill=—","Direction=H","UseDPDF=Y")</f>
        <v>—</v>
      </c>
      <c r="U65" s="13" t="str">
        <f>_xll.BDH("ITCI US Equity","ARDR_EBIT","FQ2 2023","FQ2 2023","Currency=USD","Period=FQ","BEST_FPERIOD_OVERRIDE=FQ","FILING_STATUS=MR","SCALING_FORMAT=MLN","Sort=A","Dates=H","DateFormat=P","Fill=—","Direction=H","UseDPDF=Y")</f>
        <v>—</v>
      </c>
      <c r="V65" s="13" t="str">
        <f>_xll.BDH("ITCI US Equity","ARDR_EBIT","FQ3 2023","FQ3 2023","Currency=USD","Period=FQ","BEST_FPERIOD_OVERRIDE=FQ","FILING_STATUS=MR","SCALING_FORMAT=MLN","Sort=A","Dates=H","DateFormat=P","Fill=—","Direction=H","UseDPDF=Y")</f>
        <v>—</v>
      </c>
      <c r="W65" s="13" t="str">
        <f>_xll.BDH("ITCI US Equity","ARDR_EBIT","FQ4 2023","FQ4 2023","Currency=USD","Period=FQ","BEST_FPERIOD_OVERRIDE=FQ","FILING_STATUS=MR","SCALING_FORMAT=MLN","Sort=A","Dates=H","DateFormat=P","Fill=—","Direction=H","UseDPDF=Y")</f>
        <v>—</v>
      </c>
      <c r="X65" s="13">
        <f>_xll.BDH("ITCI US Equity","ARDR_EBIT","FQ1 2024","FQ1 2024","Currency=USD","Period=FQ","BEST_FPERIOD_OVERRIDE=FQ","FILING_STATUS=MR","SCALING_FORMAT=MLN","Sort=A","Dates=H","DateFormat=P","Fill=—","Direction=H","UseDPDF=Y")</f>
        <v>-20.952000000000002</v>
      </c>
      <c r="Y65" s="13">
        <f>_xll.BDH("ITCI US Equity","ARDR_EBIT","FQ2 2024","FQ2 2024","Currency=USD","Period=FQ","BEST_FPERIOD_OVERRIDE=FQ","FILING_STATUS=MR","SCALING_FORMAT=MLN","Sort=A","Dates=H","DateFormat=P","Fill=—","Direction=H","UseDPDF=Y")</f>
        <v>-27.722999999999999</v>
      </c>
      <c r="Z65" s="13">
        <f>_xll.BDH("ITCI US Equity","ARDR_EBIT","FQ3 2024","FQ3 2024","Currency=USD","Period=FQ","BEST_FPERIOD_OVERRIDE=FQ","FILING_STATUS=MR","SCALING_FORMAT=MLN","Sort=A","Dates=H","DateFormat=P","Fill=—","Direction=H","UseDPDF=Y")</f>
        <v>-38.848999999999997</v>
      </c>
      <c r="AA65" s="13" t="str">
        <f>_xll.BDH("ITCI US Equity","ARDR_EBIT","FQ4 2024","FQ4 2024","Currency=USD","Period=FQ","BEST_FPERIOD_OVERRIDE=FQ","FILING_STATUS=MR","SCALING_FORMAT=MLN","Sort=A","Dates=H","DateFormat=P","Fill=—","Direction=H","UseDPDF=Y")</f>
        <v>—</v>
      </c>
    </row>
    <row r="66" spans="1:27" x14ac:dyDescent="0.25">
      <c r="A66" s="10" t="s">
        <v>472</v>
      </c>
      <c r="B66" s="10" t="s">
        <v>473</v>
      </c>
      <c r="C66" s="13">
        <f>_xll.BDH("ITCI US Equity","ARDR_STK_BSD_COMP_ATTRIB_TO_G&amp;AE","FQ4 2018","FQ4 2018","Currency=USD","Period=FQ","BEST_FPERIOD_OVERRIDE=FQ","FILING_STATUS=MR","Sort=A","Dates=H","DateFormat=P","Fill=—","Direction=H","UseDPDF=Y")</f>
        <v>2.6585000000000001</v>
      </c>
      <c r="D66" s="13">
        <f>_xll.BDH("ITCI US Equity","ARDR_STK_BSD_COMP_ATTRIB_TO_G&amp;AE","FQ1 2019","FQ1 2019","Currency=USD","Period=FQ","BEST_FPERIOD_OVERRIDE=FQ","FILING_STATUS=MR","Sort=A","Dates=H","DateFormat=P","Fill=—","Direction=H","UseDPDF=Y")</f>
        <v>2.6476000000000002</v>
      </c>
      <c r="E66" s="13">
        <f>_xll.BDH("ITCI US Equity","ARDR_STK_BSD_COMP_ATTRIB_TO_G&amp;AE","FQ2 2019","FQ2 2019","Currency=USD","Period=FQ","BEST_FPERIOD_OVERRIDE=FQ","FILING_STATUS=MR","Sort=A","Dates=H","DateFormat=P","Fill=—","Direction=H","UseDPDF=Y")</f>
        <v>2.6335000000000002</v>
      </c>
      <c r="F66" s="13">
        <f>_xll.BDH("ITCI US Equity","ARDR_STK_BSD_COMP_ATTRIB_TO_G&amp;AE","FQ3 2019","FQ3 2019","Currency=USD","Period=FQ","BEST_FPERIOD_OVERRIDE=FQ","FILING_STATUS=MR","Sort=A","Dates=H","DateFormat=P","Fill=—","Direction=H","UseDPDF=Y")</f>
        <v>2.7831000000000001</v>
      </c>
      <c r="G66" s="13">
        <f>_xll.BDH("ITCI US Equity","ARDR_STK_BSD_COMP_ATTRIB_TO_G&amp;AE","FQ4 2019","FQ4 2019","Currency=USD","Period=FQ","BEST_FPERIOD_OVERRIDE=FQ","FILING_STATUS=MR","Sort=A","Dates=H","DateFormat=P","Fill=—","Direction=H","UseDPDF=Y")</f>
        <v>3.3134999999999999</v>
      </c>
      <c r="H66" s="13" t="str">
        <f>_xll.BDH("ITCI US Equity","ARDR_STK_BSD_COMP_ATTRIB_TO_G&amp;AE","FQ1 2020","FQ1 2020","Currency=USD","Period=FQ","BEST_FPERIOD_OVERRIDE=FQ","FILING_STATUS=MR","Sort=A","Dates=H","DateFormat=P","Fill=—","Direction=H","UseDPDF=Y")</f>
        <v>—</v>
      </c>
      <c r="I66" s="13">
        <f>_xll.BDH("ITCI US Equity","ARDR_STK_BSD_COMP_ATTRIB_TO_G&amp;AE","FQ2 2020","FQ2 2020","Currency=USD","Period=FQ","BEST_FPERIOD_OVERRIDE=FQ","FILING_STATUS=MR","Sort=A","Dates=H","DateFormat=P","Fill=—","Direction=H","UseDPDF=Y")</f>
        <v>4.2064000000000004</v>
      </c>
      <c r="J66" s="13">
        <f>_xll.BDH("ITCI US Equity","ARDR_STK_BSD_COMP_ATTRIB_TO_G&amp;AE","FQ3 2020","FQ3 2020","Currency=USD","Period=FQ","BEST_FPERIOD_OVERRIDE=FQ","FILING_STATUS=MR","Sort=A","Dates=H","DateFormat=P","Fill=—","Direction=H","UseDPDF=Y")</f>
        <v>4.1524000000000001</v>
      </c>
      <c r="K66" s="13">
        <f>_xll.BDH("ITCI US Equity","ARDR_STK_BSD_COMP_ATTRIB_TO_G&amp;AE","FQ4 2020","FQ4 2020","Currency=USD","Period=FQ","BEST_FPERIOD_OVERRIDE=FQ","FILING_STATUS=MR","Sort=A","Dates=H","DateFormat=P","Fill=—","Direction=H","UseDPDF=Y")</f>
        <v>4.1375000000000002</v>
      </c>
      <c r="L66" s="13">
        <f>_xll.BDH("ITCI US Equity","ARDR_STK_BSD_COMP_ATTRIB_TO_G&amp;AE","FQ1 2021","FQ1 2021","Currency=USD","Period=FQ","BEST_FPERIOD_OVERRIDE=FQ","FILING_STATUS=MR","Sort=A","Dates=H","DateFormat=P","Fill=—","Direction=H","UseDPDF=Y")</f>
        <v>4.4561000000000002</v>
      </c>
      <c r="M66" s="13">
        <f>_xll.BDH("ITCI US Equity","ARDR_STK_BSD_COMP_ATTRIB_TO_G&amp;AE","FQ2 2021","FQ2 2021","Currency=USD","Period=FQ","BEST_FPERIOD_OVERRIDE=FQ","FILING_STATUS=MR","Sort=A","Dates=H","DateFormat=P","Fill=—","Direction=H","UseDPDF=Y")</f>
        <v>5.7549000000000001</v>
      </c>
      <c r="N66" s="13">
        <f>_xll.BDH("ITCI US Equity","ARDR_STK_BSD_COMP_ATTRIB_TO_G&amp;AE","FQ3 2021","FQ3 2021","Currency=USD","Period=FQ","BEST_FPERIOD_OVERRIDE=FQ","FILING_STATUS=MR","Sort=A","Dates=H","DateFormat=P","Fill=—","Direction=H","UseDPDF=Y")</f>
        <v>6.3475999999999999</v>
      </c>
      <c r="O66" s="13">
        <f>_xll.BDH("ITCI US Equity","ARDR_STK_BSD_COMP_ATTRIB_TO_G&amp;AE","FQ4 2021","FQ4 2021","Currency=USD","Period=FQ","BEST_FPERIOD_OVERRIDE=FQ","FILING_STATUS=MR","Sort=A","Dates=H","DateFormat=P","Fill=—","Direction=H","UseDPDF=Y")</f>
        <v>15.693</v>
      </c>
      <c r="P66" s="13">
        <f>_xll.BDH("ITCI US Equity","ARDR_STK_BSD_COMP_ATTRIB_TO_G&amp;AE","FQ1 2022","FQ1 2022","Currency=USD","Period=FQ","BEST_FPERIOD_OVERRIDE=FQ","FILING_STATUS=MR","Sort=A","Dates=H","DateFormat=P","Fill=—","Direction=H","UseDPDF=Y")</f>
        <v>75.459999999999994</v>
      </c>
      <c r="Q66" s="13">
        <f>_xll.BDH("ITCI US Equity","ARDR_STK_BSD_COMP_ATTRIB_TO_G&amp;AE","FQ2 2022","FQ2 2022","Currency=USD","Period=FQ","BEST_FPERIOD_OVERRIDE=FQ","FILING_STATUS=MR","Sort=A","Dates=H","DateFormat=P","Fill=—","Direction=H","UseDPDF=Y")</f>
        <v>100.316</v>
      </c>
      <c r="R66" s="13">
        <f>_xll.BDH("ITCI US Equity","ARDR_STK_BSD_COMP_ATTRIB_TO_G&amp;AE","FQ3 2022","FQ3 2022","Currency=USD","Period=FQ","BEST_FPERIOD_OVERRIDE=FQ","FILING_STATUS=MR","Sort=A","Dates=H","DateFormat=P","Fill=—","Direction=H","UseDPDF=Y")</f>
        <v>88.375</v>
      </c>
      <c r="S66" s="13" t="str">
        <f>_xll.BDH("ITCI US Equity","ARDR_STK_BSD_COMP_ATTRIB_TO_G&amp;AE","FQ4 2022","FQ4 2022","Currency=USD","Period=FQ","BEST_FPERIOD_OVERRIDE=FQ","FILING_STATUS=MR","Sort=A","Dates=H","DateFormat=P","Fill=—","Direction=H","UseDPDF=Y")</f>
        <v>—</v>
      </c>
      <c r="T66" s="13">
        <f>_xll.BDH("ITCI US Equity","ARDR_STK_BSD_COMP_ATTRIB_TO_G&amp;AE","FQ1 2023","FQ1 2023","Currency=USD","Period=FQ","BEST_FPERIOD_OVERRIDE=FQ","FILING_STATUS=MR","Sort=A","Dates=H","DateFormat=P","Fill=—","Direction=H","UseDPDF=Y")</f>
        <v>98.923000000000002</v>
      </c>
      <c r="U66" s="13">
        <f>_xll.BDH("ITCI US Equity","ARDR_STK_BSD_COMP_ATTRIB_TO_G&amp;AE","FQ2 2023","FQ2 2023","Currency=USD","Period=FQ","BEST_FPERIOD_OVERRIDE=FQ","FILING_STATUS=MR","Sort=A","Dates=H","DateFormat=P","Fill=—","Direction=H","UseDPDF=Y")</f>
        <v>101.014</v>
      </c>
      <c r="V66" s="13">
        <f>_xll.BDH("ITCI US Equity","ARDR_STK_BSD_COMP_ATTRIB_TO_G&amp;AE","FQ3 2023","FQ3 2023","Currency=USD","Period=FQ","BEST_FPERIOD_OVERRIDE=FQ","FILING_STATUS=MR","Sort=A","Dates=H","DateFormat=P","Fill=—","Direction=H","UseDPDF=Y")</f>
        <v>105.20699999999999</v>
      </c>
      <c r="W66" s="13" t="str">
        <f>_xll.BDH("ITCI US Equity","ARDR_STK_BSD_COMP_ATTRIB_TO_G&amp;AE","FQ4 2023","FQ4 2023","Currency=USD","Period=FQ","BEST_FPERIOD_OVERRIDE=FQ","FILING_STATUS=MR","Sort=A","Dates=H","DateFormat=P","Fill=—","Direction=H","UseDPDF=Y")</f>
        <v>—</v>
      </c>
      <c r="X66" s="13" t="str">
        <f>_xll.BDH("ITCI US Equity","ARDR_STK_BSD_COMP_ATTRIB_TO_G&amp;AE","FQ1 2024","FQ1 2024","Currency=USD","Period=FQ","BEST_FPERIOD_OVERRIDE=FQ","FILING_STATUS=MR","Sort=A","Dates=H","DateFormat=P","Fill=—","Direction=H","UseDPDF=Y")</f>
        <v>—</v>
      </c>
      <c r="Y66" s="13">
        <f>_xll.BDH("ITCI US Equity","ARDR_STK_BSD_COMP_ATTRIB_TO_G&amp;AE","FQ2 2024","FQ2 2024","Currency=USD","Period=FQ","BEST_FPERIOD_OVERRIDE=FQ","FILING_STATUS=MR","Sort=A","Dates=H","DateFormat=P","Fill=—","Direction=H","UseDPDF=Y")</f>
        <v>121.574</v>
      </c>
      <c r="Z66" s="13">
        <f>_xll.BDH("ITCI US Equity","ARDR_STK_BSD_COMP_ATTRIB_TO_G&amp;AE","FQ3 2024","FQ3 2024","Currency=USD","Period=FQ","BEST_FPERIOD_OVERRIDE=FQ","FILING_STATUS=MR","Sort=A","Dates=H","DateFormat=P","Fill=—","Direction=H","UseDPDF=Y")</f>
        <v>11.898</v>
      </c>
      <c r="AA66" s="13" t="str">
        <f>_xll.BDH("ITCI US Equity","ARDR_STK_BSD_COMP_ATTRIB_TO_G&amp;AE","FQ4 2024","FQ4 2024","Currency=USD","Period=FQ","BEST_FPERIOD_OVERRIDE=FQ","FILING_STATUS=MR","Sort=A","Dates=H","DateFormat=P","Fill=—","Direction=H","UseDPDF=Y")</f>
        <v>—</v>
      </c>
    </row>
    <row r="67" spans="1:27" x14ac:dyDescent="0.25">
      <c r="A67" s="10" t="s">
        <v>474</v>
      </c>
      <c r="B67" s="10" t="s">
        <v>475</v>
      </c>
      <c r="C67" s="13">
        <f>_xll.BDH("ITCI US Equity","ARDR_STK_BSD_CMPNSTN_CF_PRE_TAX","FQ4 2018","FQ4 2018","Currency=USD","Period=FQ","BEST_FPERIOD_OVERRIDE=FQ","FILING_STATUS=MR","SCALING_FORMAT=MLN","Sort=A","Dates=H","DateFormat=P","Fill=—","Direction=H","UseDPDF=Y")</f>
        <v>4.4246999999999996</v>
      </c>
      <c r="D67" s="13">
        <f>_xll.BDH("ITCI US Equity","ARDR_STK_BSD_CMPNSTN_CF_PRE_TAX","FQ1 2019","FQ1 2019","Currency=USD","Period=FQ","BEST_FPERIOD_OVERRIDE=FQ","FILING_STATUS=MR","SCALING_FORMAT=MLN","Sort=A","Dates=H","DateFormat=P","Fill=—","Direction=H","UseDPDF=Y")</f>
        <v>5.0552000000000001</v>
      </c>
      <c r="E67" s="13">
        <f>_xll.BDH("ITCI US Equity","ARDR_STK_BSD_CMPNSTN_CF_PRE_TAX","FQ2 2019","FQ2 2019","Currency=USD","Period=FQ","BEST_FPERIOD_OVERRIDE=FQ","FILING_STATUS=MR","SCALING_FORMAT=MLN","Sort=A","Dates=H","DateFormat=P","Fill=—","Direction=H","UseDPDF=Y")</f>
        <v>4.9874000000000001</v>
      </c>
      <c r="F67" s="13">
        <f>_xll.BDH("ITCI US Equity","ARDR_STK_BSD_CMPNSTN_CF_PRE_TAX","FQ3 2019","FQ3 2019","Currency=USD","Period=FQ","BEST_FPERIOD_OVERRIDE=FQ","FILING_STATUS=MR","SCALING_FORMAT=MLN","Sort=A","Dates=H","DateFormat=P","Fill=—","Direction=H","UseDPDF=Y")</f>
        <v>4.8068</v>
      </c>
      <c r="G67" s="13">
        <f>_xll.BDH("ITCI US Equity","ARDR_STK_BSD_CMPNSTN_CF_PRE_TAX","FQ4 2019","FQ4 2019","Currency=USD","Period=FQ","BEST_FPERIOD_OVERRIDE=FQ","FILING_STATUS=MR","SCALING_FORMAT=MLN","Sort=A","Dates=H","DateFormat=P","Fill=—","Direction=H","UseDPDF=Y")</f>
        <v>5.9393000000000002</v>
      </c>
      <c r="H67" s="13">
        <f>_xll.BDH("ITCI US Equity","ARDR_STK_BSD_CMPNSTN_CF_PRE_TAX","FQ1 2020","FQ1 2020","Currency=USD","Period=FQ","BEST_FPERIOD_OVERRIDE=FQ","FILING_STATUS=MR","SCALING_FORMAT=MLN","Sort=A","Dates=H","DateFormat=P","Fill=—","Direction=H","UseDPDF=Y")</f>
        <v>5.5042999999999997</v>
      </c>
      <c r="I67" s="13">
        <f>_xll.BDH("ITCI US Equity","ARDR_STK_BSD_CMPNSTN_CF_PRE_TAX","FQ2 2020","FQ2 2020","Currency=USD","Period=FQ","BEST_FPERIOD_OVERRIDE=FQ","FILING_STATUS=MR","SCALING_FORMAT=MLN","Sort=A","Dates=H","DateFormat=P","Fill=—","Direction=H","UseDPDF=Y")</f>
        <v>6.9470999999999998</v>
      </c>
      <c r="J67" s="13">
        <f>_xll.BDH("ITCI US Equity","ARDR_STK_BSD_CMPNSTN_CF_PRE_TAX","FQ3 2020","FQ3 2020","Currency=USD","Period=FQ","BEST_FPERIOD_OVERRIDE=FQ","FILING_STATUS=MR","SCALING_FORMAT=MLN","Sort=A","Dates=H","DateFormat=P","Fill=—","Direction=H","UseDPDF=Y")</f>
        <v>6.9006999999999996</v>
      </c>
      <c r="K67" s="13">
        <f>_xll.BDH("ITCI US Equity","ARDR_STK_BSD_CMPNSTN_CF_PRE_TAX","FQ4 2020","FQ4 2020","Currency=USD","Period=FQ","BEST_FPERIOD_OVERRIDE=FQ","FILING_STATUS=MR","SCALING_FORMAT=MLN","Sort=A","Dates=H","DateFormat=P","Fill=—","Direction=H","UseDPDF=Y")</f>
        <v>4.7629999999999999</v>
      </c>
      <c r="L67" s="13">
        <f>_xll.BDH("ITCI US Equity","ARDR_STK_BSD_CMPNSTN_CF_PRE_TAX","FQ1 2021","FQ1 2021","Currency=USD","Period=FQ","BEST_FPERIOD_OVERRIDE=FQ","FILING_STATUS=MR","SCALING_FORMAT=MLN","Sort=A","Dates=H","DateFormat=P","Fill=—","Direction=H","UseDPDF=Y")</f>
        <v>6.7784000000000004</v>
      </c>
      <c r="M67" s="13">
        <f>_xll.BDH("ITCI US Equity","ARDR_STK_BSD_CMPNSTN_CF_PRE_TAX","FQ2 2021","FQ2 2021","Currency=USD","Period=FQ","BEST_FPERIOD_OVERRIDE=FQ","FILING_STATUS=MR","SCALING_FORMAT=MLN","Sort=A","Dates=H","DateFormat=P","Fill=—","Direction=H","UseDPDF=Y")</f>
        <v>8.6166999999999998</v>
      </c>
      <c r="N67" s="13">
        <f>_xll.BDH("ITCI US Equity","ARDR_STK_BSD_CMPNSTN_CF_PRE_TAX","FQ3 2021","FQ3 2021","Currency=USD","Period=FQ","BEST_FPERIOD_OVERRIDE=FQ","FILING_STATUS=MR","SCALING_FORMAT=MLN","Sort=A","Dates=H","DateFormat=P","Fill=—","Direction=H","UseDPDF=Y")</f>
        <v>9.5303000000000004</v>
      </c>
      <c r="O67" s="13">
        <f>_xll.BDH("ITCI US Equity","ARDR_STK_BSD_CMPNSTN_CF_PRE_TAX","FQ4 2021","FQ4 2021","Currency=USD","Period=FQ","BEST_FPERIOD_OVERRIDE=FQ","FILING_STATUS=MR","SCALING_FORMAT=MLN","Sort=A","Dates=H","DateFormat=P","Fill=—","Direction=H","UseDPDF=Y")</f>
        <v>9.3775999999999993</v>
      </c>
      <c r="P67" s="13">
        <f>_xll.BDH("ITCI US Equity","ARDR_STK_BSD_CMPNSTN_CF_PRE_TAX","FQ1 2022","FQ1 2022","Currency=USD","Period=FQ","BEST_FPERIOD_OVERRIDE=FQ","FILING_STATUS=MR","SCALING_FORMAT=MLN","Sort=A","Dates=H","DateFormat=P","Fill=—","Direction=H","UseDPDF=Y")</f>
        <v>8.1050000000000004</v>
      </c>
      <c r="Q67" s="13">
        <f>_xll.BDH("ITCI US Equity","ARDR_STK_BSD_CMPNSTN_CF_PRE_TAX","FQ2 2022","FQ2 2022","Currency=USD","Period=FQ","BEST_FPERIOD_OVERRIDE=FQ","FILING_STATUS=MR","SCALING_FORMAT=MLN","Sort=A","Dates=H","DateFormat=P","Fill=—","Direction=H","UseDPDF=Y")</f>
        <v>11.997999999999999</v>
      </c>
      <c r="R67" s="13">
        <f>_xll.BDH("ITCI US Equity","ARDR_STK_BSD_CMPNSTN_CF_PRE_TAX","FQ3 2022","FQ3 2022","Currency=USD","Period=FQ","BEST_FPERIOD_OVERRIDE=FQ","FILING_STATUS=MR","SCALING_FORMAT=MLN","Sort=A","Dates=H","DateFormat=P","Fill=—","Direction=H","UseDPDF=Y")</f>
        <v>11.750999999999999</v>
      </c>
      <c r="S67" s="13">
        <f>_xll.BDH("ITCI US Equity","ARDR_STK_BSD_CMPNSTN_CF_PRE_TAX","FQ4 2022","FQ4 2022","Currency=USD","Period=FQ","BEST_FPERIOD_OVERRIDE=FQ","FILING_STATUS=MR","SCALING_FORMAT=MLN","Sort=A","Dates=H","DateFormat=P","Fill=—","Direction=H","UseDPDF=Y")</f>
        <v>11.159000000000001</v>
      </c>
      <c r="T67" s="13">
        <f>_xll.BDH("ITCI US Equity","ARDR_STK_BSD_CMPNSTN_CF_PRE_TAX","FQ1 2023","FQ1 2023","Currency=USD","Period=FQ","BEST_FPERIOD_OVERRIDE=FQ","FILING_STATUS=MR","SCALING_FORMAT=MLN","Sort=A","Dates=H","DateFormat=P","Fill=—","Direction=H","UseDPDF=Y")</f>
        <v>10.439</v>
      </c>
      <c r="U67" s="13" t="str">
        <f>_xll.BDH("ITCI US Equity","ARDR_STK_BSD_CMPNSTN_CF_PRE_TAX","FQ2 2023","FQ2 2023","Currency=USD","Period=FQ","BEST_FPERIOD_OVERRIDE=FQ","FILING_STATUS=MR","SCALING_FORMAT=MLN","Sort=A","Dates=H","DateFormat=P","Fill=—","Direction=H","UseDPDF=Y")</f>
        <v>—</v>
      </c>
      <c r="V67" s="13">
        <f>_xll.BDH("ITCI US Equity","ARDR_STK_BSD_CMPNSTN_CF_PRE_TAX","FQ3 2023","FQ3 2023","Currency=USD","Period=FQ","BEST_FPERIOD_OVERRIDE=FQ","FILING_STATUS=MR","SCALING_FORMAT=MLN","Sort=A","Dates=H","DateFormat=P","Fill=—","Direction=H","UseDPDF=Y")</f>
        <v>14.311</v>
      </c>
      <c r="W67" s="13">
        <f>_xll.BDH("ITCI US Equity","ARDR_STK_BSD_CMPNSTN_CF_PRE_TAX","FQ4 2023","FQ4 2023","Currency=USD","Period=FQ","BEST_FPERIOD_OVERRIDE=FQ","FILING_STATUS=MR","SCALING_FORMAT=MLN","Sort=A","Dates=H","DateFormat=P","Fill=—","Direction=H","UseDPDF=Y")</f>
        <v>14.856</v>
      </c>
      <c r="X67" s="13">
        <f>_xll.BDH("ITCI US Equity","ARDR_STK_BSD_CMPNSTN_CF_PRE_TAX","FQ1 2024","FQ1 2024","Currency=USD","Period=FQ","BEST_FPERIOD_OVERRIDE=FQ","FILING_STATUS=MR","SCALING_FORMAT=MLN","Sort=A","Dates=H","DateFormat=P","Fill=—","Direction=H","UseDPDF=Y")</f>
        <v>13.843</v>
      </c>
      <c r="Y67" s="13" t="str">
        <f>_xll.BDH("ITCI US Equity","ARDR_STK_BSD_CMPNSTN_CF_PRE_TAX","FQ2 2024","FQ2 2024","Currency=USD","Period=FQ","BEST_FPERIOD_OVERRIDE=FQ","FILING_STATUS=MR","SCALING_FORMAT=MLN","Sort=A","Dates=H","DateFormat=P","Fill=—","Direction=H","UseDPDF=Y")</f>
        <v>—</v>
      </c>
      <c r="Z67" s="13">
        <f>_xll.BDH("ITCI US Equity","ARDR_STK_BSD_CMPNSTN_CF_PRE_TAX","FQ3 2024","FQ3 2024","Currency=USD","Period=FQ","BEST_FPERIOD_OVERRIDE=FQ","FILING_STATUS=MR","SCALING_FORMAT=MLN","Sort=A","Dates=H","DateFormat=P","Fill=—","Direction=H","UseDPDF=Y")</f>
        <v>17.489000000000001</v>
      </c>
      <c r="AA67" s="13">
        <f>_xll.BDH("ITCI US Equity","ARDR_STK_BSD_CMPNSTN_CF_PRE_TAX","FQ4 2024","FQ4 2024","Currency=USD","Period=FQ","BEST_FPERIOD_OVERRIDE=FQ","FILING_STATUS=MR","SCALING_FORMAT=MLN","Sort=A","Dates=H","DateFormat=P","Fill=—","Direction=H","UseDPDF=Y")</f>
        <v>16.332999999999998</v>
      </c>
    </row>
    <row r="68" spans="1:27" x14ac:dyDescent="0.25">
      <c r="A68" s="7" t="s">
        <v>90</v>
      </c>
      <c r="B68" s="7"/>
      <c r="C68" s="7" t="s">
        <v>5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42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476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6" t="s">
        <v>477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6" t="s">
        <v>478</v>
      </c>
      <c r="B7" s="6" t="s">
        <v>99</v>
      </c>
      <c r="C7" s="19">
        <f>_xll.BDH("ITCI US Equity","IS_OPER_INC","FQ4 2018","FQ4 2018","Currency=USD","Period=FQ","BEST_FPERIOD_OVERRIDE=FQ","FILING_STATUS=MR","SCALING_FORMAT=MLN","FA_ADJUSTED=GAAP","Sort=A","Dates=H","DateFormat=P","Fill=—","Direction=H","UseDPDF=Y")</f>
        <v>-42.622900000000001</v>
      </c>
      <c r="D7" s="19">
        <f>_xll.BDH("ITCI US Equity","IS_OPER_INC","FQ1 2019","FQ1 2019","Currency=USD","Period=FQ","BEST_FPERIOD_OVERRIDE=FQ","FILING_STATUS=MR","SCALING_FORMAT=MLN","FA_ADJUSTED=GAAP","Sort=A","Dates=H","DateFormat=P","Fill=—","Direction=H","UseDPDF=Y")</f>
        <v>-36.695799999999998</v>
      </c>
      <c r="E7" s="19">
        <f>_xll.BDH("ITCI US Equity","IS_OPER_INC","FQ2 2019","FQ2 2019","Currency=USD","Period=FQ","BEST_FPERIOD_OVERRIDE=FQ","FILING_STATUS=MR","SCALING_FORMAT=MLN","FA_ADJUSTED=GAAP","Sort=A","Dates=H","DateFormat=P","Fill=—","Direction=H","UseDPDF=Y")</f>
        <v>-39.171100000000003</v>
      </c>
      <c r="F7" s="19">
        <f>_xll.BDH("ITCI US Equity","IS_OPER_INC","FQ3 2019","FQ3 2019","Currency=USD","Period=FQ","BEST_FPERIOD_OVERRIDE=FQ","FILING_STATUS=MR","SCALING_FORMAT=MLN","FA_ADJUSTED=GAAP","Sort=A","Dates=H","DateFormat=P","Fill=—","Direction=H","UseDPDF=Y")</f>
        <v>-36.376199999999997</v>
      </c>
      <c r="G7" s="19">
        <f>_xll.BDH("ITCI US Equity","IS_OPER_INC","FQ4 2019","FQ4 2019","Currency=USD","Period=FQ","BEST_FPERIOD_OVERRIDE=FQ","FILING_STATUS=MR","SCALING_FORMAT=MLN","FA_ADJUSTED=GAAP","Sort=A","Dates=H","DateFormat=P","Fill=—","Direction=H","UseDPDF=Y")</f>
        <v>-41.768700000000003</v>
      </c>
      <c r="H7" s="19">
        <f>_xll.BDH("ITCI US Equity","IS_OPER_INC","FQ1 2020","FQ1 2020","Currency=USD","Period=FQ","BEST_FPERIOD_OVERRIDE=FQ","FILING_STATUS=MR","SCALING_FORMAT=MLN","FA_ADJUSTED=GAAP","Sort=A","Dates=H","DateFormat=P","Fill=—","Direction=H","UseDPDF=Y")</f>
        <v>-49.085500000000003</v>
      </c>
      <c r="I7" s="19">
        <f>_xll.BDH("ITCI US Equity","IS_OPER_INC","FQ2 2020","FQ2 2020","Currency=USD","Period=FQ","BEST_FPERIOD_OVERRIDE=FQ","FILING_STATUS=MR","SCALING_FORMAT=MLN","FA_ADJUSTED=GAAP","Sort=A","Dates=H","DateFormat=P","Fill=—","Direction=H","UseDPDF=Y")</f>
        <v>-64.872299999999996</v>
      </c>
      <c r="J7" s="19">
        <f>_xll.BDH("ITCI US Equity","IS_OPER_INC","FQ3 2020","FQ3 2020","Currency=USD","Period=FQ","BEST_FPERIOD_OVERRIDE=FQ","FILING_STATUS=MR","SCALING_FORMAT=MLN","FA_ADJUSTED=GAAP","Sort=A","Dates=H","DateFormat=P","Fill=—","Direction=H","UseDPDF=Y")</f>
        <v>-55.936500000000002</v>
      </c>
      <c r="K7" s="19">
        <f>_xll.BDH("ITCI US Equity","IS_OPER_INC","FQ4 2020","FQ4 2020","Currency=USD","Period=FQ","BEST_FPERIOD_OVERRIDE=FQ","FILING_STATUS=MR","SCALING_FORMAT=MLN","FA_ADJUSTED=GAAP","Sort=A","Dates=H","DateFormat=P","Fill=—","Direction=H","UseDPDF=Y")</f>
        <v>-61.333300000000001</v>
      </c>
      <c r="L7" s="19">
        <f>_xll.BDH("ITCI US Equity","IS_OPER_INC","FQ1 2021","FQ1 2021","Currency=USD","Period=FQ","BEST_FPERIOD_OVERRIDE=FQ","FILING_STATUS=MR","SCALING_FORMAT=MLN","FA_ADJUSTED=GAAP","Sort=A","Dates=H","DateFormat=P","Fill=—","Direction=H","UseDPDF=Y")</f>
        <v>-53.218699999999998</v>
      </c>
      <c r="M7" s="19">
        <f>_xll.BDH("ITCI US Equity","IS_OPER_INC","FQ2 2021","FQ2 2021","Currency=USD","Period=FQ","BEST_FPERIOD_OVERRIDE=FQ","FILING_STATUS=MR","SCALING_FORMAT=MLN","FA_ADJUSTED=GAAP","Sort=A","Dates=H","DateFormat=P","Fill=—","Direction=H","UseDPDF=Y")</f>
        <v>-69.141099999999994</v>
      </c>
      <c r="N7" s="19">
        <f>_xll.BDH("ITCI US Equity","IS_OPER_INC","FQ3 2021","FQ3 2021","Currency=USD","Period=FQ","BEST_FPERIOD_OVERRIDE=FQ","FILING_STATUS=MR","SCALING_FORMAT=MLN","FA_ADJUSTED=GAAP","Sort=A","Dates=H","DateFormat=P","Fill=—","Direction=H","UseDPDF=Y")</f>
        <v>-77.323800000000006</v>
      </c>
      <c r="O7" s="19">
        <f>_xll.BDH("ITCI US Equity","IS_OPER_INC","FQ4 2021","FQ4 2021","Currency=USD","Period=FQ","BEST_FPERIOD_OVERRIDE=FQ","FILING_STATUS=MR","SCALING_FORMAT=MLN","FA_ADJUSTED=GAAP","Sort=A","Dates=H","DateFormat=P","Fill=—","Direction=H","UseDPDF=Y")</f>
        <v>-86.004599999999996</v>
      </c>
      <c r="P7" s="19">
        <f>_xll.BDH("ITCI US Equity","IS_OPER_INC","FQ1 2022","FQ1 2022","Currency=USD","Period=FQ","BEST_FPERIOD_OVERRIDE=FQ","FILING_STATUS=MR","SCALING_FORMAT=MLN","FA_ADJUSTED=GAAP","Sort=A","Dates=H","DateFormat=P","Fill=—","Direction=H","UseDPDF=Y")</f>
        <v>-72.662000000000006</v>
      </c>
      <c r="Q7" s="19">
        <f>_xll.BDH("ITCI US Equity","IS_OPER_INC","FQ2 2022","FQ2 2022","Currency=USD","Period=FQ","BEST_FPERIOD_OVERRIDE=FQ","FILING_STATUS=MR","SCALING_FORMAT=MLN","FA_ADJUSTED=GAAP","Sort=A","Dates=H","DateFormat=P","Fill=—","Direction=H","UseDPDF=Y")</f>
        <v>-87.923000000000002</v>
      </c>
      <c r="R7" s="19">
        <f>_xll.BDH("ITCI US Equity","IS_OPER_INC","FQ3 2022","FQ3 2022","Currency=USD","Period=FQ","BEST_FPERIOD_OVERRIDE=FQ","FILING_STATUS=MR","SCALING_FORMAT=MLN","FA_ADJUSTED=GAAP","Sort=A","Dates=H","DateFormat=P","Fill=—","Direction=H","UseDPDF=Y")</f>
        <v>-55.628999999999998</v>
      </c>
      <c r="S7" s="19">
        <f>_xll.BDH("ITCI US Equity","IS_OPER_INC","FQ4 2022","FQ4 2022","Currency=USD","Period=FQ","BEST_FPERIOD_OVERRIDE=FQ","FILING_STATUS=MR","SCALING_FORMAT=MLN","FA_ADJUSTED=GAAP","Sort=A","Dates=H","DateFormat=P","Fill=—","Direction=H","UseDPDF=Y")</f>
        <v>-47.411999999999999</v>
      </c>
      <c r="T7" s="19">
        <f>_xll.BDH("ITCI US Equity","IS_OPER_INC","FQ1 2023","FQ1 2023","Currency=USD","Period=FQ","BEST_FPERIOD_OVERRIDE=FQ","FILING_STATUS=MR","SCALING_FORMAT=MLN","FA_ADJUSTED=GAAP","Sort=A","Dates=H","DateFormat=P","Fill=—","Direction=H","UseDPDF=Y")</f>
        <v>-48.392000000000003</v>
      </c>
      <c r="U7" s="19">
        <f>_xll.BDH("ITCI US Equity","IS_OPER_INC","FQ2 2023","FQ2 2023","Currency=USD","Period=FQ","BEST_FPERIOD_OVERRIDE=FQ","FILING_STATUS=MR","SCALING_FORMAT=MLN","FA_ADJUSTED=GAAP","Sort=A","Dates=H","DateFormat=P","Fill=—","Direction=H","UseDPDF=Y")</f>
        <v>-47.179000000000002</v>
      </c>
      <c r="V7" s="19">
        <f>_xll.BDH("ITCI US Equity","IS_OPER_INC","FQ3 2023","FQ3 2023","Currency=USD","Period=FQ","BEST_FPERIOD_OVERRIDE=FQ","FILING_STATUS=MR","SCALING_FORMAT=MLN","FA_ADJUSTED=GAAP","Sort=A","Dates=H","DateFormat=P","Fill=—","Direction=H","UseDPDF=Y")</f>
        <v>-29.713000000000001</v>
      </c>
      <c r="W7" s="19">
        <f>_xll.BDH("ITCI US Equity","IS_OPER_INC","FQ4 2023","FQ4 2023","Currency=USD","Period=FQ","BEST_FPERIOD_OVERRIDE=FQ","FILING_STATUS=MR","SCALING_FORMAT=MLN","FA_ADJUSTED=GAAP","Sort=A","Dates=H","DateFormat=P","Fill=—","Direction=H","UseDPDF=Y")</f>
        <v>-34.097000000000001</v>
      </c>
      <c r="X7" s="19">
        <f>_xll.BDH("ITCI US Equity","IS_OPER_INC","FQ1 2024","FQ1 2024","Currency=USD","Period=FQ","BEST_FPERIOD_OVERRIDE=FQ","FILING_STATUS=MR","SCALING_FORMAT=MLN","FA_ADJUSTED=GAAP","Sort=A","Dates=H","DateFormat=P","Fill=—","Direction=H","UseDPDF=Y")</f>
        <v>-20.952000000000002</v>
      </c>
      <c r="Y7" s="19">
        <f>_xll.BDH("ITCI US Equity","IS_OPER_INC","FQ2 2024","FQ2 2024","Currency=USD","Period=FQ","BEST_FPERIOD_OVERRIDE=FQ","FILING_STATUS=MR","SCALING_FORMAT=MLN","FA_ADJUSTED=GAAP","Sort=A","Dates=H","DateFormat=P","Fill=—","Direction=H","UseDPDF=Y")</f>
        <v>-27.722999999999999</v>
      </c>
      <c r="Z7" s="19">
        <f>_xll.BDH("ITCI US Equity","IS_OPER_INC","FQ3 2024","FQ3 2024","Currency=USD","Period=FQ","BEST_FPERIOD_OVERRIDE=FQ","FILING_STATUS=MR","SCALING_FORMAT=MLN","FA_ADJUSTED=GAAP","Sort=A","Dates=H","DateFormat=P","Fill=—","Direction=H","UseDPDF=Y")</f>
        <v>-38.848999999999997</v>
      </c>
      <c r="AA7" s="19">
        <f>_xll.BDH("ITCI US Equity","IS_OPER_INC","FQ4 2024","FQ4 2024","Currency=USD","Period=FQ","BEST_FPERIOD_OVERRIDE=FQ","FILING_STATUS=MR","SCALING_FORMAT=MLN","FA_ADJUSTED=GAAP","Sort=A","Dates=H","DateFormat=P","Fill=—","Direction=H","UseDPDF=Y")</f>
        <v>-29.196999999999999</v>
      </c>
    </row>
    <row r="8" spans="1:27" x14ac:dyDescent="0.25">
      <c r="A8" s="10" t="s">
        <v>479</v>
      </c>
      <c r="B8" s="10" t="s">
        <v>480</v>
      </c>
      <c r="C8" s="13">
        <f>_xll.BDH("ITCI US Equity","IS_REVENUE_ADJUSTMENTS","FQ4 2018","FQ4 2018","Currency=USD","Period=FQ","BEST_FPERIOD_OVERRIDE=FQ","FILING_STATUS=MR","SCALING_FORMAT=MLN","Sort=A","Dates=H","DateFormat=P","Fill=—","Direction=H","UseDPDF=Y")</f>
        <v>0</v>
      </c>
      <c r="D8" s="13">
        <f>_xll.BDH("ITCI US Equity","IS_REVENUE_ADJUSTMENTS","FQ1 2019","FQ1 2019","Currency=USD","Period=FQ","BEST_FPERIOD_OVERRIDE=FQ","FILING_STATUS=MR","SCALING_FORMAT=MLN","Sort=A","Dates=H","DateFormat=P","Fill=—","Direction=H","UseDPDF=Y")</f>
        <v>0</v>
      </c>
      <c r="E8" s="13">
        <f>_xll.BDH("ITCI US Equity","IS_REVENUE_ADJUSTMENTS","FQ2 2019","FQ2 2019","Currency=USD","Period=FQ","BEST_FPERIOD_OVERRIDE=FQ","FILING_STATUS=MR","SCALING_FORMAT=MLN","Sort=A","Dates=H","DateFormat=P","Fill=—","Direction=H","UseDPDF=Y")</f>
        <v>0</v>
      </c>
      <c r="F8" s="13">
        <f>_xll.BDH("ITCI US Equity","IS_REVENUE_ADJUSTMENTS","FQ3 2019","FQ3 2019","Currency=USD","Period=FQ","BEST_FPERIOD_OVERRIDE=FQ","FILING_STATUS=MR","SCALING_FORMAT=MLN","Sort=A","Dates=H","DateFormat=P","Fill=—","Direction=H","UseDPDF=Y")</f>
        <v>0</v>
      </c>
      <c r="G8" s="13">
        <f>_xll.BDH("ITCI US Equity","IS_REVENUE_ADJUSTMENTS","FQ4 2019","FQ4 2019","Currency=USD","Period=FQ","BEST_FPERIOD_OVERRIDE=FQ","FILING_STATUS=MR","SCALING_FORMAT=MLN","Sort=A","Dates=H","DateFormat=P","Fill=—","Direction=H","UseDPDF=Y")</f>
        <v>0</v>
      </c>
      <c r="H8" s="13">
        <f>_xll.BDH("ITCI US Equity","IS_REVENUE_ADJUSTMENTS","FQ1 2020","FQ1 2020","Currency=USD","Period=FQ","BEST_FPERIOD_OVERRIDE=FQ","FILING_STATUS=MR","SCALING_FORMAT=MLN","Sort=A","Dates=H","DateFormat=P","Fill=—","Direction=H","UseDPDF=Y")</f>
        <v>0</v>
      </c>
      <c r="I8" s="13">
        <f>_xll.BDH("ITCI US Equity","IS_REVENUE_ADJUSTMENTS","FQ2 2020","FQ2 2020","Currency=USD","Period=FQ","BEST_FPERIOD_OVERRIDE=FQ","FILING_STATUS=MR","SCALING_FORMAT=MLN","Sort=A","Dates=H","DateFormat=P","Fill=—","Direction=H","UseDPDF=Y")</f>
        <v>0</v>
      </c>
      <c r="J8" s="13">
        <f>_xll.BDH("ITCI US Equity","IS_REVENUE_ADJUSTMENTS","FQ3 2020","FQ3 2020","Currency=USD","Period=FQ","BEST_FPERIOD_OVERRIDE=FQ","FILING_STATUS=MR","SCALING_FORMAT=MLN","Sort=A","Dates=H","DateFormat=P","Fill=—","Direction=H","UseDPDF=Y")</f>
        <v>0</v>
      </c>
      <c r="K8" s="13">
        <f>_xll.BDH("ITCI US Equity","IS_REVENUE_ADJUSTMENTS","FQ4 2020","FQ4 2020","Currency=USD","Period=FQ","BEST_FPERIOD_OVERRIDE=FQ","FILING_STATUS=MR","SCALING_FORMAT=MLN","Sort=A","Dates=H","DateFormat=P","Fill=—","Direction=H","UseDPDF=Y")</f>
        <v>0</v>
      </c>
      <c r="L8" s="13">
        <f>_xll.BDH("ITCI US Equity","IS_REVENUE_ADJUSTMENTS","FQ1 2021","FQ1 2021","Currency=USD","Period=FQ","BEST_FPERIOD_OVERRIDE=FQ","FILING_STATUS=MR","SCALING_FORMAT=MLN","Sort=A","Dates=H","DateFormat=P","Fill=—","Direction=H","UseDPDF=Y")</f>
        <v>0</v>
      </c>
      <c r="M8" s="13">
        <f>_xll.BDH("ITCI US Equity","IS_REVENUE_ADJUSTMENTS","FQ2 2021","FQ2 2021","Currency=USD","Period=FQ","BEST_FPERIOD_OVERRIDE=FQ","FILING_STATUS=MR","SCALING_FORMAT=MLN","Sort=A","Dates=H","DateFormat=P","Fill=—","Direction=H","UseDPDF=Y")</f>
        <v>0</v>
      </c>
      <c r="N8" s="13">
        <f>_xll.BDH("ITCI US Equity","IS_REVENUE_ADJUSTMENTS","FQ3 2021","FQ3 2021","Currency=USD","Period=FQ","BEST_FPERIOD_OVERRIDE=FQ","FILING_STATUS=MR","SCALING_FORMAT=MLN","Sort=A","Dates=H","DateFormat=P","Fill=—","Direction=H","UseDPDF=Y")</f>
        <v>0</v>
      </c>
      <c r="O8" s="13">
        <f>_xll.BDH("ITCI US Equity","IS_REVENUE_ADJUSTMENTS","FQ4 2021","FQ4 2021","Currency=USD","Period=FQ","BEST_FPERIOD_OVERRIDE=FQ","FILING_STATUS=MR","SCALING_FORMAT=MLN","Sort=A","Dates=H","DateFormat=P","Fill=—","Direction=H","UseDPDF=Y")</f>
        <v>0</v>
      </c>
      <c r="P8" s="13">
        <f>_xll.BDH("ITCI US Equity","IS_REVENUE_ADJUSTMENTS","FQ1 2022","FQ1 2022","Currency=USD","Period=FQ","BEST_FPERIOD_OVERRIDE=FQ","FILING_STATUS=MR","SCALING_FORMAT=MLN","Sort=A","Dates=H","DateFormat=P","Fill=—","Direction=H","UseDPDF=Y")</f>
        <v>0</v>
      </c>
      <c r="Q8" s="13">
        <f>_xll.BDH("ITCI US Equity","IS_REVENUE_ADJUSTMENTS","FQ2 2022","FQ2 2022","Currency=USD","Period=FQ","BEST_FPERIOD_OVERRIDE=FQ","FILING_STATUS=MR","SCALING_FORMAT=MLN","Sort=A","Dates=H","DateFormat=P","Fill=—","Direction=H","UseDPDF=Y")</f>
        <v>0</v>
      </c>
      <c r="R8" s="13">
        <f>_xll.BDH("ITCI US Equity","IS_REVENUE_ADJUSTMENTS","FQ3 2022","FQ3 2022","Currency=USD","Period=FQ","BEST_FPERIOD_OVERRIDE=FQ","FILING_STATUS=MR","SCALING_FORMAT=MLN","Sort=A","Dates=H","DateFormat=P","Fill=—","Direction=H","UseDPDF=Y")</f>
        <v>0</v>
      </c>
      <c r="S8" s="13">
        <f>_xll.BDH("ITCI US Equity","IS_REVENUE_ADJUSTMENTS","FQ4 2022","FQ4 2022","Currency=USD","Period=FQ","BEST_FPERIOD_OVERRIDE=FQ","FILING_STATUS=MR","SCALING_FORMAT=MLN","Sort=A","Dates=H","DateFormat=P","Fill=—","Direction=H","UseDPDF=Y")</f>
        <v>0</v>
      </c>
      <c r="T8" s="13">
        <f>_xll.BDH("ITCI US Equity","IS_REVENUE_ADJUSTMENTS","FQ1 2023","FQ1 2023","Currency=USD","Period=FQ","BEST_FPERIOD_OVERRIDE=FQ","FILING_STATUS=MR","SCALING_FORMAT=MLN","Sort=A","Dates=H","DateFormat=P","Fill=—","Direction=H","UseDPDF=Y")</f>
        <v>0</v>
      </c>
      <c r="U8" s="13">
        <f>_xll.BDH("ITCI US Equity","IS_REVENUE_ADJUSTMENTS","FQ2 2023","FQ2 2023","Currency=USD","Period=FQ","BEST_FPERIOD_OVERRIDE=FQ","FILING_STATUS=MR","SCALING_FORMAT=MLN","Sort=A","Dates=H","DateFormat=P","Fill=—","Direction=H","UseDPDF=Y")</f>
        <v>0</v>
      </c>
      <c r="V8" s="13">
        <f>_xll.BDH("ITCI US Equity","IS_REVENUE_ADJUSTMENTS","FQ3 2023","FQ3 2023","Currency=USD","Period=FQ","BEST_FPERIOD_OVERRIDE=FQ","FILING_STATUS=MR","SCALING_FORMAT=MLN","Sort=A","Dates=H","DateFormat=P","Fill=—","Direction=H","UseDPDF=Y")</f>
        <v>0</v>
      </c>
      <c r="W8" s="13">
        <f>_xll.BDH("ITCI US Equity","IS_REVENUE_ADJUSTMENTS","FQ4 2023","FQ4 2023","Currency=USD","Period=FQ","BEST_FPERIOD_OVERRIDE=FQ","FILING_STATUS=MR","SCALING_FORMAT=MLN","Sort=A","Dates=H","DateFormat=P","Fill=—","Direction=H","UseDPDF=Y")</f>
        <v>0</v>
      </c>
      <c r="X8" s="13">
        <f>_xll.BDH("ITCI US Equity","IS_REVENUE_ADJUSTMENTS","FQ1 2024","FQ1 2024","Currency=USD","Period=FQ","BEST_FPERIOD_OVERRIDE=FQ","FILING_STATUS=MR","SCALING_FORMAT=MLN","Sort=A","Dates=H","DateFormat=P","Fill=—","Direction=H","UseDPDF=Y")</f>
        <v>0</v>
      </c>
      <c r="Y8" s="13">
        <f>_xll.BDH("ITCI US Equity","IS_REVENUE_ADJUSTMENTS","FQ2 2024","FQ2 2024","Currency=USD","Period=FQ","BEST_FPERIOD_OVERRIDE=FQ","FILING_STATUS=MR","SCALING_FORMAT=MLN","Sort=A","Dates=H","DateFormat=P","Fill=—","Direction=H","UseDPDF=Y")</f>
        <v>0</v>
      </c>
      <c r="Z8" s="13">
        <f>_xll.BDH("ITCI US Equity","IS_REVENUE_ADJUSTMENTS","FQ3 2024","FQ3 2024","Currency=USD","Period=FQ","BEST_FPERIOD_OVERRIDE=FQ","FILING_STATUS=MR","SCALING_FORMAT=MLN","Sort=A","Dates=H","DateFormat=P","Fill=—","Direction=H","UseDPDF=Y")</f>
        <v>0</v>
      </c>
      <c r="AA8" s="13">
        <f>_xll.BDH("ITCI US Equity","IS_REVENUE_ADJUSTMENTS","FQ4 2024","FQ4 2024","Currency=USD","Period=FQ","BEST_FPERIOD_OVERRIDE=FQ","FILING_STATUS=MR","SCALING_FORMAT=MLN","Sort=A","Dates=H","DateFormat=P","Fill=—","Direction=H","UseDPDF=Y")</f>
        <v>0</v>
      </c>
    </row>
    <row r="9" spans="1:27" x14ac:dyDescent="0.25">
      <c r="A9" s="10" t="s">
        <v>481</v>
      </c>
      <c r="B9" s="10" t="s">
        <v>482</v>
      </c>
      <c r="C9" s="13">
        <f>_xll.BDH("ITCI US Equity","IS_COST_OF_REVENUE_ADJUSTMENTS","FQ4 2018","FQ4 2018","Currency=USD","Period=FQ","BEST_FPERIOD_OVERRIDE=FQ","FILING_STATUS=MR","SCALING_FORMAT=MLN","Sort=A","Dates=H","DateFormat=P","Fill=—","Direction=H","UseDPDF=Y")</f>
        <v>0</v>
      </c>
      <c r="D9" s="13">
        <f>_xll.BDH("ITCI US Equity","IS_COST_OF_REVENUE_ADJUSTMENTS","FQ1 2019","FQ1 2019","Currency=USD","Period=FQ","BEST_FPERIOD_OVERRIDE=FQ","FILING_STATUS=MR","SCALING_FORMAT=MLN","Sort=A","Dates=H","DateFormat=P","Fill=—","Direction=H","UseDPDF=Y")</f>
        <v>0</v>
      </c>
      <c r="E9" s="13">
        <f>_xll.BDH("ITCI US Equity","IS_COST_OF_REVENUE_ADJUSTMENTS","FQ2 2019","FQ2 2019","Currency=USD","Period=FQ","BEST_FPERIOD_OVERRIDE=FQ","FILING_STATUS=MR","SCALING_FORMAT=MLN","Sort=A","Dates=H","DateFormat=P","Fill=—","Direction=H","UseDPDF=Y")</f>
        <v>0</v>
      </c>
      <c r="F9" s="13">
        <f>_xll.BDH("ITCI US Equity","IS_COST_OF_REVENUE_ADJUSTMENTS","FQ3 2019","FQ3 2019","Currency=USD","Period=FQ","BEST_FPERIOD_OVERRIDE=FQ","FILING_STATUS=MR","SCALING_FORMAT=MLN","Sort=A","Dates=H","DateFormat=P","Fill=—","Direction=H","UseDPDF=Y")</f>
        <v>0</v>
      </c>
      <c r="G9" s="13">
        <f>_xll.BDH("ITCI US Equity","IS_COST_OF_REVENUE_ADJUSTMENTS","FQ4 2019","FQ4 2019","Currency=USD","Period=FQ","BEST_FPERIOD_OVERRIDE=FQ","FILING_STATUS=MR","SCALING_FORMAT=MLN","Sort=A","Dates=H","DateFormat=P","Fill=—","Direction=H","UseDPDF=Y")</f>
        <v>0</v>
      </c>
      <c r="H9" s="13">
        <f>_xll.BDH("ITCI US Equity","IS_COST_OF_REVENUE_ADJUSTMENTS","FQ1 2020","FQ1 2020","Currency=USD","Period=FQ","BEST_FPERIOD_OVERRIDE=FQ","FILING_STATUS=MR","SCALING_FORMAT=MLN","Sort=A","Dates=H","DateFormat=P","Fill=—","Direction=H","UseDPDF=Y")</f>
        <v>0</v>
      </c>
      <c r="I9" s="13">
        <f>_xll.BDH("ITCI US Equity","IS_COST_OF_REVENUE_ADJUSTMENTS","FQ2 2020","FQ2 2020","Currency=USD","Period=FQ","BEST_FPERIOD_OVERRIDE=FQ","FILING_STATUS=MR","SCALING_FORMAT=MLN","Sort=A","Dates=H","DateFormat=P","Fill=—","Direction=H","UseDPDF=Y")</f>
        <v>0</v>
      </c>
      <c r="J9" s="13">
        <f>_xll.BDH("ITCI US Equity","IS_COST_OF_REVENUE_ADJUSTMENTS","FQ3 2020","FQ3 2020","Currency=USD","Period=FQ","BEST_FPERIOD_OVERRIDE=FQ","FILING_STATUS=MR","SCALING_FORMAT=MLN","Sort=A","Dates=H","DateFormat=P","Fill=—","Direction=H","UseDPDF=Y")</f>
        <v>0</v>
      </c>
      <c r="K9" s="13">
        <f>_xll.BDH("ITCI US Equity","IS_COST_OF_REVENUE_ADJUSTMENTS","FQ4 2020","FQ4 2020","Currency=USD","Period=FQ","BEST_FPERIOD_OVERRIDE=FQ","FILING_STATUS=MR","SCALING_FORMAT=MLN","Sort=A","Dates=H","DateFormat=P","Fill=—","Direction=H","UseDPDF=Y")</f>
        <v>0</v>
      </c>
      <c r="L9" s="13">
        <f>_xll.BDH("ITCI US Equity","IS_COST_OF_REVENUE_ADJUSTMENTS","FQ1 2021","FQ1 2021","Currency=USD","Period=FQ","BEST_FPERIOD_OVERRIDE=FQ","FILING_STATUS=MR","SCALING_FORMAT=MLN","Sort=A","Dates=H","DateFormat=P","Fill=—","Direction=H","UseDPDF=Y")</f>
        <v>0</v>
      </c>
      <c r="M9" s="13">
        <f>_xll.BDH("ITCI US Equity","IS_COST_OF_REVENUE_ADJUSTMENTS","FQ2 2021","FQ2 2021","Currency=USD","Period=FQ","BEST_FPERIOD_OVERRIDE=FQ","FILING_STATUS=MR","SCALING_FORMAT=MLN","Sort=A","Dates=H","DateFormat=P","Fill=—","Direction=H","UseDPDF=Y")</f>
        <v>0</v>
      </c>
      <c r="N9" s="13">
        <f>_xll.BDH("ITCI US Equity","IS_COST_OF_REVENUE_ADJUSTMENTS","FQ3 2021","FQ3 2021","Currency=USD","Period=FQ","BEST_FPERIOD_OVERRIDE=FQ","FILING_STATUS=MR","SCALING_FORMAT=MLN","Sort=A","Dates=H","DateFormat=P","Fill=—","Direction=H","UseDPDF=Y")</f>
        <v>0</v>
      </c>
      <c r="O9" s="13">
        <f>_xll.BDH("ITCI US Equity","IS_COST_OF_REVENUE_ADJUSTMENTS","FQ4 2021","FQ4 2021","Currency=USD","Period=FQ","BEST_FPERIOD_OVERRIDE=FQ","FILING_STATUS=MR","SCALING_FORMAT=MLN","Sort=A","Dates=H","DateFormat=P","Fill=—","Direction=H","UseDPDF=Y")</f>
        <v>0</v>
      </c>
      <c r="P9" s="13">
        <f>_xll.BDH("ITCI US Equity","IS_COST_OF_REVENUE_ADJUSTMENTS","FQ1 2022","FQ1 2022","Currency=USD","Period=FQ","BEST_FPERIOD_OVERRIDE=FQ","FILING_STATUS=MR","SCALING_FORMAT=MLN","Sort=A","Dates=H","DateFormat=P","Fill=—","Direction=H","UseDPDF=Y")</f>
        <v>0</v>
      </c>
      <c r="Q9" s="13">
        <f>_xll.BDH("ITCI US Equity","IS_COST_OF_REVENUE_ADJUSTMENTS","FQ2 2022","FQ2 2022","Currency=USD","Period=FQ","BEST_FPERIOD_OVERRIDE=FQ","FILING_STATUS=MR","SCALING_FORMAT=MLN","Sort=A","Dates=H","DateFormat=P","Fill=—","Direction=H","UseDPDF=Y")</f>
        <v>0</v>
      </c>
      <c r="R9" s="13">
        <f>_xll.BDH("ITCI US Equity","IS_COST_OF_REVENUE_ADJUSTMENTS","FQ3 2022","FQ3 2022","Currency=USD","Period=FQ","BEST_FPERIOD_OVERRIDE=FQ","FILING_STATUS=MR","SCALING_FORMAT=MLN","Sort=A","Dates=H","DateFormat=P","Fill=—","Direction=H","UseDPDF=Y")</f>
        <v>0</v>
      </c>
      <c r="S9" s="13">
        <f>_xll.BDH("ITCI US Equity","IS_COST_OF_REVENUE_ADJUSTMENTS","FQ4 2022","FQ4 2022","Currency=USD","Period=FQ","BEST_FPERIOD_OVERRIDE=FQ","FILING_STATUS=MR","SCALING_FORMAT=MLN","Sort=A","Dates=H","DateFormat=P","Fill=—","Direction=H","UseDPDF=Y")</f>
        <v>0</v>
      </c>
      <c r="T9" s="13">
        <f>_xll.BDH("ITCI US Equity","IS_COST_OF_REVENUE_ADJUSTMENTS","FQ1 2023","FQ1 2023","Currency=USD","Period=FQ","BEST_FPERIOD_OVERRIDE=FQ","FILING_STATUS=MR","SCALING_FORMAT=MLN","Sort=A","Dates=H","DateFormat=P","Fill=—","Direction=H","UseDPDF=Y")</f>
        <v>0</v>
      </c>
      <c r="U9" s="13">
        <f>_xll.BDH("ITCI US Equity","IS_COST_OF_REVENUE_ADJUSTMENTS","FQ2 2023","FQ2 2023","Currency=USD","Period=FQ","BEST_FPERIOD_OVERRIDE=FQ","FILING_STATUS=MR","SCALING_FORMAT=MLN","Sort=A","Dates=H","DateFormat=P","Fill=—","Direction=H","UseDPDF=Y")</f>
        <v>0</v>
      </c>
      <c r="V9" s="13">
        <f>_xll.BDH("ITCI US Equity","IS_COST_OF_REVENUE_ADJUSTMENTS","FQ3 2023","FQ3 2023","Currency=USD","Period=FQ","BEST_FPERIOD_OVERRIDE=FQ","FILING_STATUS=MR","SCALING_FORMAT=MLN","Sort=A","Dates=H","DateFormat=P","Fill=—","Direction=H","UseDPDF=Y")</f>
        <v>0</v>
      </c>
      <c r="W9" s="13">
        <f>_xll.BDH("ITCI US Equity","IS_COST_OF_REVENUE_ADJUSTMENTS","FQ4 2023","FQ4 2023","Currency=USD","Period=FQ","BEST_FPERIOD_OVERRIDE=FQ","FILING_STATUS=MR","SCALING_FORMAT=MLN","Sort=A","Dates=H","DateFormat=P","Fill=—","Direction=H","UseDPDF=Y")</f>
        <v>0</v>
      </c>
      <c r="X9" s="13">
        <f>_xll.BDH("ITCI US Equity","IS_COST_OF_REVENUE_ADJUSTMENTS","FQ1 2024","FQ1 2024","Currency=USD","Period=FQ","BEST_FPERIOD_OVERRIDE=FQ","FILING_STATUS=MR","SCALING_FORMAT=MLN","Sort=A","Dates=H","DateFormat=P","Fill=—","Direction=H","UseDPDF=Y")</f>
        <v>0</v>
      </c>
      <c r="Y9" s="13">
        <f>_xll.BDH("ITCI US Equity","IS_COST_OF_REVENUE_ADJUSTMENTS","FQ2 2024","FQ2 2024","Currency=USD","Period=FQ","BEST_FPERIOD_OVERRIDE=FQ","FILING_STATUS=MR","SCALING_FORMAT=MLN","Sort=A","Dates=H","DateFormat=P","Fill=—","Direction=H","UseDPDF=Y")</f>
        <v>0</v>
      </c>
      <c r="Z9" s="13">
        <f>_xll.BDH("ITCI US Equity","IS_COST_OF_REVENUE_ADJUSTMENTS","FQ3 2024","FQ3 2024","Currency=USD","Period=FQ","BEST_FPERIOD_OVERRIDE=FQ","FILING_STATUS=MR","SCALING_FORMAT=MLN","Sort=A","Dates=H","DateFormat=P","Fill=—","Direction=H","UseDPDF=Y")</f>
        <v>0</v>
      </c>
      <c r="AA9" s="13">
        <f>_xll.BDH("ITCI US Equity","IS_COST_OF_REVENUE_ADJUSTMENTS","FQ4 2024","FQ4 2024","Currency=USD","Period=FQ","BEST_FPERIOD_OVERRIDE=FQ","FILING_STATUS=MR","SCALING_FORMAT=MLN","Sort=A","Dates=H","DateFormat=P","Fill=—","Direction=H","UseDPDF=Y")</f>
        <v>0</v>
      </c>
    </row>
    <row r="10" spans="1:27" x14ac:dyDescent="0.25">
      <c r="A10" s="10" t="s">
        <v>483</v>
      </c>
      <c r="B10" s="10" t="s">
        <v>484</v>
      </c>
      <c r="C10" s="13">
        <f>_xll.BDH("ITCI US Equity","IS_OTHER_OPER_INC_NONGAAP_ADJUST","FQ4 2018","FQ4 2018","Currency=USD","Period=FQ","BEST_FPERIOD_OVERRIDE=FQ","FILING_STATUS=MR","SCALING_FORMAT=MLN","Sort=A","Dates=H","DateFormat=P","Fill=—","Direction=H","UseDPDF=Y")</f>
        <v>0</v>
      </c>
      <c r="D10" s="13">
        <f>_xll.BDH("ITCI US Equity","IS_OTHER_OPER_INC_NONGAAP_ADJUST","FQ1 2019","FQ1 2019","Currency=USD","Period=FQ","BEST_FPERIOD_OVERRIDE=FQ","FILING_STATUS=MR","SCALING_FORMAT=MLN","Sort=A","Dates=H","DateFormat=P","Fill=—","Direction=H","UseDPDF=Y")</f>
        <v>0</v>
      </c>
      <c r="E10" s="13">
        <f>_xll.BDH("ITCI US Equity","IS_OTHER_OPER_INC_NONGAAP_ADJUST","FQ2 2019","FQ2 2019","Currency=USD","Period=FQ","BEST_FPERIOD_OVERRIDE=FQ","FILING_STATUS=MR","SCALING_FORMAT=MLN","Sort=A","Dates=H","DateFormat=P","Fill=—","Direction=H","UseDPDF=Y")</f>
        <v>0</v>
      </c>
      <c r="F10" s="13">
        <f>_xll.BDH("ITCI US Equity","IS_OTHER_OPER_INC_NONGAAP_ADJUST","FQ3 2019","FQ3 2019","Currency=USD","Period=FQ","BEST_FPERIOD_OVERRIDE=FQ","FILING_STATUS=MR","SCALING_FORMAT=MLN","Sort=A","Dates=H","DateFormat=P","Fill=—","Direction=H","UseDPDF=Y")</f>
        <v>0</v>
      </c>
      <c r="G10" s="13">
        <f>_xll.BDH("ITCI US Equity","IS_OTHER_OPER_INC_NONGAAP_ADJUST","FQ4 2019","FQ4 2019","Currency=USD","Period=FQ","BEST_FPERIOD_OVERRIDE=FQ","FILING_STATUS=MR","SCALING_FORMAT=MLN","Sort=A","Dates=H","DateFormat=P","Fill=—","Direction=H","UseDPDF=Y")</f>
        <v>0</v>
      </c>
      <c r="H10" s="13">
        <f>_xll.BDH("ITCI US Equity","IS_OTHER_OPER_INC_NONGAAP_ADJUST","FQ1 2020","FQ1 2020","Currency=USD","Period=FQ","BEST_FPERIOD_OVERRIDE=FQ","FILING_STATUS=MR","SCALING_FORMAT=MLN","Sort=A","Dates=H","DateFormat=P","Fill=—","Direction=H","UseDPDF=Y")</f>
        <v>0</v>
      </c>
      <c r="I10" s="13">
        <f>_xll.BDH("ITCI US Equity","IS_OTHER_OPER_INC_NONGAAP_ADJUST","FQ2 2020","FQ2 2020","Currency=USD","Period=FQ","BEST_FPERIOD_OVERRIDE=FQ","FILING_STATUS=MR","SCALING_FORMAT=MLN","Sort=A","Dates=H","DateFormat=P","Fill=—","Direction=H","UseDPDF=Y")</f>
        <v>0</v>
      </c>
      <c r="J10" s="13">
        <f>_xll.BDH("ITCI US Equity","IS_OTHER_OPER_INC_NONGAAP_ADJUST","FQ3 2020","FQ3 2020","Currency=USD","Period=FQ","BEST_FPERIOD_OVERRIDE=FQ","FILING_STATUS=MR","SCALING_FORMAT=MLN","Sort=A","Dates=H","DateFormat=P","Fill=—","Direction=H","UseDPDF=Y")</f>
        <v>0</v>
      </c>
      <c r="K10" s="13">
        <f>_xll.BDH("ITCI US Equity","IS_OTHER_OPER_INC_NONGAAP_ADJUST","FQ4 2020","FQ4 2020","Currency=USD","Period=FQ","BEST_FPERIOD_OVERRIDE=FQ","FILING_STATUS=MR","SCALING_FORMAT=MLN","Sort=A","Dates=H","DateFormat=P","Fill=—","Direction=H","UseDPDF=Y")</f>
        <v>0</v>
      </c>
      <c r="L10" s="13">
        <f>_xll.BDH("ITCI US Equity","IS_OTHER_OPER_INC_NONGAAP_ADJUST","FQ1 2021","FQ1 2021","Currency=USD","Period=FQ","BEST_FPERIOD_OVERRIDE=FQ","FILING_STATUS=MR","SCALING_FORMAT=MLN","Sort=A","Dates=H","DateFormat=P","Fill=—","Direction=H","UseDPDF=Y")</f>
        <v>0</v>
      </c>
      <c r="M10" s="13">
        <f>_xll.BDH("ITCI US Equity","IS_OTHER_OPER_INC_NONGAAP_ADJUST","FQ2 2021","FQ2 2021","Currency=USD","Period=FQ","BEST_FPERIOD_OVERRIDE=FQ","FILING_STATUS=MR","SCALING_FORMAT=MLN","Sort=A","Dates=H","DateFormat=P","Fill=—","Direction=H","UseDPDF=Y")</f>
        <v>0</v>
      </c>
      <c r="N10" s="13">
        <f>_xll.BDH("ITCI US Equity","IS_OTHER_OPER_INC_NONGAAP_ADJUST","FQ3 2021","FQ3 2021","Currency=USD","Period=FQ","BEST_FPERIOD_OVERRIDE=FQ","FILING_STATUS=MR","SCALING_FORMAT=MLN","Sort=A","Dates=H","DateFormat=P","Fill=—","Direction=H","UseDPDF=Y")</f>
        <v>0</v>
      </c>
      <c r="O10" s="13">
        <f>_xll.BDH("ITCI US Equity","IS_OTHER_OPER_INC_NONGAAP_ADJUST","FQ4 2021","FQ4 2021","Currency=USD","Period=FQ","BEST_FPERIOD_OVERRIDE=FQ","FILING_STATUS=MR","SCALING_FORMAT=MLN","Sort=A","Dates=H","DateFormat=P","Fill=—","Direction=H","UseDPDF=Y")</f>
        <v>0</v>
      </c>
      <c r="P10" s="13">
        <f>_xll.BDH("ITCI US Equity","IS_OTHER_OPER_INC_NONGAAP_ADJUST","FQ1 2022","FQ1 2022","Currency=USD","Period=FQ","BEST_FPERIOD_OVERRIDE=FQ","FILING_STATUS=MR","SCALING_FORMAT=MLN","Sort=A","Dates=H","DateFormat=P","Fill=—","Direction=H","UseDPDF=Y")</f>
        <v>0</v>
      </c>
      <c r="Q10" s="13">
        <f>_xll.BDH("ITCI US Equity","IS_OTHER_OPER_INC_NONGAAP_ADJUST","FQ2 2022","FQ2 2022","Currency=USD","Period=FQ","BEST_FPERIOD_OVERRIDE=FQ","FILING_STATUS=MR","SCALING_FORMAT=MLN","Sort=A","Dates=H","DateFormat=P","Fill=—","Direction=H","UseDPDF=Y")</f>
        <v>0</v>
      </c>
      <c r="R10" s="13">
        <f>_xll.BDH("ITCI US Equity","IS_OTHER_OPER_INC_NONGAAP_ADJUST","FQ3 2022","FQ3 2022","Currency=USD","Period=FQ","BEST_FPERIOD_OVERRIDE=FQ","FILING_STATUS=MR","SCALING_FORMAT=MLN","Sort=A","Dates=H","DateFormat=P","Fill=—","Direction=H","UseDPDF=Y")</f>
        <v>0</v>
      </c>
      <c r="S10" s="13">
        <f>_xll.BDH("ITCI US Equity","IS_OTHER_OPER_INC_NONGAAP_ADJUST","FQ4 2022","FQ4 2022","Currency=USD","Period=FQ","BEST_FPERIOD_OVERRIDE=FQ","FILING_STATUS=MR","SCALING_FORMAT=MLN","Sort=A","Dates=H","DateFormat=P","Fill=—","Direction=H","UseDPDF=Y")</f>
        <v>0</v>
      </c>
      <c r="T10" s="13">
        <f>_xll.BDH("ITCI US Equity","IS_OTHER_OPER_INC_NONGAAP_ADJUST","FQ1 2023","FQ1 2023","Currency=USD","Period=FQ","BEST_FPERIOD_OVERRIDE=FQ","FILING_STATUS=MR","SCALING_FORMAT=MLN","Sort=A","Dates=H","DateFormat=P","Fill=—","Direction=H","UseDPDF=Y")</f>
        <v>0</v>
      </c>
      <c r="U10" s="13">
        <f>_xll.BDH("ITCI US Equity","IS_OTHER_OPER_INC_NONGAAP_ADJUST","FQ2 2023","FQ2 2023","Currency=USD","Period=FQ","BEST_FPERIOD_OVERRIDE=FQ","FILING_STATUS=MR","SCALING_FORMAT=MLN","Sort=A","Dates=H","DateFormat=P","Fill=—","Direction=H","UseDPDF=Y")</f>
        <v>0</v>
      </c>
      <c r="V10" s="13">
        <f>_xll.BDH("ITCI US Equity","IS_OTHER_OPER_INC_NONGAAP_ADJUST","FQ3 2023","FQ3 2023","Currency=USD","Period=FQ","BEST_FPERIOD_OVERRIDE=FQ","FILING_STATUS=MR","SCALING_FORMAT=MLN","Sort=A","Dates=H","DateFormat=P","Fill=—","Direction=H","UseDPDF=Y")</f>
        <v>0</v>
      </c>
      <c r="W10" s="13">
        <f>_xll.BDH("ITCI US Equity","IS_OTHER_OPER_INC_NONGAAP_ADJUST","FQ4 2023","FQ4 2023","Currency=USD","Period=FQ","BEST_FPERIOD_OVERRIDE=FQ","FILING_STATUS=MR","SCALING_FORMAT=MLN","Sort=A","Dates=H","DateFormat=P","Fill=—","Direction=H","UseDPDF=Y")</f>
        <v>0</v>
      </c>
      <c r="X10" s="13">
        <f>_xll.BDH("ITCI US Equity","IS_OTHER_OPER_INC_NONGAAP_ADJUST","FQ1 2024","FQ1 2024","Currency=USD","Period=FQ","BEST_FPERIOD_OVERRIDE=FQ","FILING_STATUS=MR","SCALING_FORMAT=MLN","Sort=A","Dates=H","DateFormat=P","Fill=—","Direction=H","UseDPDF=Y")</f>
        <v>0</v>
      </c>
      <c r="Y10" s="13">
        <f>_xll.BDH("ITCI US Equity","IS_OTHER_OPER_INC_NONGAAP_ADJUST","FQ2 2024","FQ2 2024","Currency=USD","Period=FQ","BEST_FPERIOD_OVERRIDE=FQ","FILING_STATUS=MR","SCALING_FORMAT=MLN","Sort=A","Dates=H","DateFormat=P","Fill=—","Direction=H","UseDPDF=Y")</f>
        <v>0</v>
      </c>
      <c r="Z10" s="13">
        <f>_xll.BDH("ITCI US Equity","IS_OTHER_OPER_INC_NONGAAP_ADJUST","FQ3 2024","FQ3 2024","Currency=USD","Period=FQ","BEST_FPERIOD_OVERRIDE=FQ","FILING_STATUS=MR","SCALING_FORMAT=MLN","Sort=A","Dates=H","DateFormat=P","Fill=—","Direction=H","UseDPDF=Y")</f>
        <v>0</v>
      </c>
      <c r="AA10" s="13">
        <f>_xll.BDH("ITCI US Equity","IS_OTHER_OPER_INC_NONGAAP_ADJUST","FQ4 2024","FQ4 2024","Currency=USD","Period=FQ","BEST_FPERIOD_OVERRIDE=FQ","FILING_STATUS=MR","SCALING_FORMAT=MLN","Sort=A","Dates=H","DateFormat=P","Fill=—","Direction=H","UseDPDF=Y")</f>
        <v>0</v>
      </c>
    </row>
    <row r="11" spans="1:27" x14ac:dyDescent="0.25">
      <c r="A11" s="10" t="s">
        <v>485</v>
      </c>
      <c r="B11" s="10" t="s">
        <v>486</v>
      </c>
      <c r="C11" s="13">
        <f>_xll.BDH("ITCI US Equity","IS_SGA_ADJ","FQ4 2018","FQ4 2018","Currency=USD","Period=FQ","BEST_FPERIOD_OVERRIDE=FQ","FILING_STATUS=MR","SCALING_FORMAT=MLN","Sort=A","Dates=H","DateFormat=P","Fill=—","Direction=H","UseDPDF=Y")</f>
        <v>0</v>
      </c>
      <c r="D11" s="13">
        <f>_xll.BDH("ITCI US Equity","IS_SGA_ADJ","FQ1 2019","FQ1 2019","Currency=USD","Period=FQ","BEST_FPERIOD_OVERRIDE=FQ","FILING_STATUS=MR","SCALING_FORMAT=MLN","Sort=A","Dates=H","DateFormat=P","Fill=—","Direction=H","UseDPDF=Y")</f>
        <v>0</v>
      </c>
      <c r="E11" s="13">
        <f>_xll.BDH("ITCI US Equity","IS_SGA_ADJ","FQ2 2019","FQ2 2019","Currency=USD","Period=FQ","BEST_FPERIOD_OVERRIDE=FQ","FILING_STATUS=MR","SCALING_FORMAT=MLN","Sort=A","Dates=H","DateFormat=P","Fill=—","Direction=H","UseDPDF=Y")</f>
        <v>0</v>
      </c>
      <c r="F11" s="13">
        <f>_xll.BDH("ITCI US Equity","IS_SGA_ADJ","FQ3 2019","FQ3 2019","Currency=USD","Period=FQ","BEST_FPERIOD_OVERRIDE=FQ","FILING_STATUS=MR","SCALING_FORMAT=MLN","Sort=A","Dates=H","DateFormat=P","Fill=—","Direction=H","UseDPDF=Y")</f>
        <v>0</v>
      </c>
      <c r="G11" s="13">
        <f>_xll.BDH("ITCI US Equity","IS_SGA_ADJ","FQ4 2019","FQ4 2019","Currency=USD","Period=FQ","BEST_FPERIOD_OVERRIDE=FQ","FILING_STATUS=MR","SCALING_FORMAT=MLN","Sort=A","Dates=H","DateFormat=P","Fill=—","Direction=H","UseDPDF=Y")</f>
        <v>0</v>
      </c>
      <c r="H11" s="13">
        <f>_xll.BDH("ITCI US Equity","IS_SGA_ADJ","FQ1 2020","FQ1 2020","Currency=USD","Period=FQ","BEST_FPERIOD_OVERRIDE=FQ","FILING_STATUS=MR","SCALING_FORMAT=MLN","Sort=A","Dates=H","DateFormat=P","Fill=—","Direction=H","UseDPDF=Y")</f>
        <v>0</v>
      </c>
      <c r="I11" s="13">
        <f>_xll.BDH("ITCI US Equity","IS_SGA_ADJ","FQ2 2020","FQ2 2020","Currency=USD","Period=FQ","BEST_FPERIOD_OVERRIDE=FQ","FILING_STATUS=MR","SCALING_FORMAT=MLN","Sort=A","Dates=H","DateFormat=P","Fill=—","Direction=H","UseDPDF=Y")</f>
        <v>0</v>
      </c>
      <c r="J11" s="13">
        <f>_xll.BDH("ITCI US Equity","IS_SGA_ADJ","FQ3 2020","FQ3 2020","Currency=USD","Period=FQ","BEST_FPERIOD_OVERRIDE=FQ","FILING_STATUS=MR","SCALING_FORMAT=MLN","Sort=A","Dates=H","DateFormat=P","Fill=—","Direction=H","UseDPDF=Y")</f>
        <v>0</v>
      </c>
      <c r="K11" s="13">
        <f>_xll.BDH("ITCI US Equity","IS_SGA_ADJ","FQ4 2020","FQ4 2020","Currency=USD","Period=FQ","BEST_FPERIOD_OVERRIDE=FQ","FILING_STATUS=MR","SCALING_FORMAT=MLN","Sort=A","Dates=H","DateFormat=P","Fill=—","Direction=H","UseDPDF=Y")</f>
        <v>0</v>
      </c>
      <c r="L11" s="13">
        <f>_xll.BDH("ITCI US Equity","IS_SGA_ADJ","FQ1 2021","FQ1 2021","Currency=USD","Period=FQ","BEST_FPERIOD_OVERRIDE=FQ","FILING_STATUS=MR","SCALING_FORMAT=MLN","Sort=A","Dates=H","DateFormat=P","Fill=—","Direction=H","UseDPDF=Y")</f>
        <v>0</v>
      </c>
      <c r="M11" s="13">
        <f>_xll.BDH("ITCI US Equity","IS_SGA_ADJ","FQ2 2021","FQ2 2021","Currency=USD","Period=FQ","BEST_FPERIOD_OVERRIDE=FQ","FILING_STATUS=MR","SCALING_FORMAT=MLN","Sort=A","Dates=H","DateFormat=P","Fill=—","Direction=H","UseDPDF=Y")</f>
        <v>0</v>
      </c>
      <c r="N11" s="13">
        <f>_xll.BDH("ITCI US Equity","IS_SGA_ADJ","FQ3 2021","FQ3 2021","Currency=USD","Period=FQ","BEST_FPERIOD_OVERRIDE=FQ","FILING_STATUS=MR","SCALING_FORMAT=MLN","Sort=A","Dates=H","DateFormat=P","Fill=—","Direction=H","UseDPDF=Y")</f>
        <v>0</v>
      </c>
      <c r="O11" s="13">
        <f>_xll.BDH("ITCI US Equity","IS_SGA_ADJ","FQ4 2021","FQ4 2021","Currency=USD","Period=FQ","BEST_FPERIOD_OVERRIDE=FQ","FILING_STATUS=MR","SCALING_FORMAT=MLN","Sort=A","Dates=H","DateFormat=P","Fill=—","Direction=H","UseDPDF=Y")</f>
        <v>0</v>
      </c>
      <c r="P11" s="13">
        <f>_xll.BDH("ITCI US Equity","IS_SGA_ADJ","FQ1 2022","FQ1 2022","Currency=USD","Period=FQ","BEST_FPERIOD_OVERRIDE=FQ","FILING_STATUS=MR","SCALING_FORMAT=MLN","Sort=A","Dates=H","DateFormat=P","Fill=—","Direction=H","UseDPDF=Y")</f>
        <v>0</v>
      </c>
      <c r="Q11" s="13">
        <f>_xll.BDH("ITCI US Equity","IS_SGA_ADJ","FQ2 2022","FQ2 2022","Currency=USD","Period=FQ","BEST_FPERIOD_OVERRIDE=FQ","FILING_STATUS=MR","SCALING_FORMAT=MLN","Sort=A","Dates=H","DateFormat=P","Fill=—","Direction=H","UseDPDF=Y")</f>
        <v>0</v>
      </c>
      <c r="R11" s="13">
        <f>_xll.BDH("ITCI US Equity","IS_SGA_ADJ","FQ3 2022","FQ3 2022","Currency=USD","Period=FQ","BEST_FPERIOD_OVERRIDE=FQ","FILING_STATUS=MR","SCALING_FORMAT=MLN","Sort=A","Dates=H","DateFormat=P","Fill=—","Direction=H","UseDPDF=Y")</f>
        <v>0</v>
      </c>
      <c r="S11" s="13">
        <f>_xll.BDH("ITCI US Equity","IS_SGA_ADJ","FQ4 2022","FQ4 2022","Currency=USD","Period=FQ","BEST_FPERIOD_OVERRIDE=FQ","FILING_STATUS=MR","SCALING_FORMAT=MLN","Sort=A","Dates=H","DateFormat=P","Fill=—","Direction=H","UseDPDF=Y")</f>
        <v>0</v>
      </c>
      <c r="T11" s="13">
        <f>_xll.BDH("ITCI US Equity","IS_SGA_ADJ","FQ1 2023","FQ1 2023","Currency=USD","Period=FQ","BEST_FPERIOD_OVERRIDE=FQ","FILING_STATUS=MR","SCALING_FORMAT=MLN","Sort=A","Dates=H","DateFormat=P","Fill=—","Direction=H","UseDPDF=Y")</f>
        <v>0</v>
      </c>
      <c r="U11" s="13">
        <f>_xll.BDH("ITCI US Equity","IS_SGA_ADJ","FQ2 2023","FQ2 2023","Currency=USD","Period=FQ","BEST_FPERIOD_OVERRIDE=FQ","FILING_STATUS=MR","SCALING_FORMAT=MLN","Sort=A","Dates=H","DateFormat=P","Fill=—","Direction=H","UseDPDF=Y")</f>
        <v>0</v>
      </c>
      <c r="V11" s="13">
        <f>_xll.BDH("ITCI US Equity","IS_SGA_ADJ","FQ3 2023","FQ3 2023","Currency=USD","Period=FQ","BEST_FPERIOD_OVERRIDE=FQ","FILING_STATUS=MR","SCALING_FORMAT=MLN","Sort=A","Dates=H","DateFormat=P","Fill=—","Direction=H","UseDPDF=Y")</f>
        <v>0</v>
      </c>
      <c r="W11" s="13">
        <f>_xll.BDH("ITCI US Equity","IS_SGA_ADJ","FQ4 2023","FQ4 2023","Currency=USD","Period=FQ","BEST_FPERIOD_OVERRIDE=FQ","FILING_STATUS=MR","SCALING_FORMAT=MLN","Sort=A","Dates=H","DateFormat=P","Fill=—","Direction=H","UseDPDF=Y")</f>
        <v>0</v>
      </c>
      <c r="X11" s="13">
        <f>_xll.BDH("ITCI US Equity","IS_SGA_ADJ","FQ1 2024","FQ1 2024","Currency=USD","Period=FQ","BEST_FPERIOD_OVERRIDE=FQ","FILING_STATUS=MR","SCALING_FORMAT=MLN","Sort=A","Dates=H","DateFormat=P","Fill=—","Direction=H","UseDPDF=Y")</f>
        <v>0</v>
      </c>
      <c r="Y11" s="13">
        <f>_xll.BDH("ITCI US Equity","IS_SGA_ADJ","FQ2 2024","FQ2 2024","Currency=USD","Period=FQ","BEST_FPERIOD_OVERRIDE=FQ","FILING_STATUS=MR","SCALING_FORMAT=MLN","Sort=A","Dates=H","DateFormat=P","Fill=—","Direction=H","UseDPDF=Y")</f>
        <v>0</v>
      </c>
      <c r="Z11" s="13">
        <f>_xll.BDH("ITCI US Equity","IS_SGA_ADJ","FQ3 2024","FQ3 2024","Currency=USD","Period=FQ","BEST_FPERIOD_OVERRIDE=FQ","FILING_STATUS=MR","SCALING_FORMAT=MLN","Sort=A","Dates=H","DateFormat=P","Fill=—","Direction=H","UseDPDF=Y")</f>
        <v>0</v>
      </c>
      <c r="AA11" s="13">
        <f>_xll.BDH("ITCI US Equity","IS_SGA_ADJ","FQ4 2024","FQ4 2024","Currency=USD","Period=FQ","BEST_FPERIOD_OVERRIDE=FQ","FILING_STATUS=MR","SCALING_FORMAT=MLN","Sort=A","Dates=H","DateFormat=P","Fill=—","Direction=H","UseDPDF=Y")</f>
        <v>0</v>
      </c>
    </row>
    <row r="12" spans="1:27" x14ac:dyDescent="0.25">
      <c r="A12" s="10" t="s">
        <v>487</v>
      </c>
      <c r="B12" s="10" t="s">
        <v>488</v>
      </c>
      <c r="C12" s="13">
        <f>_xll.BDH("ITCI US Equity","IS_RD_EXPENSE_NON_GAAP_ADJ","FQ4 2018","FQ4 2018","Currency=USD","Period=FQ","BEST_FPERIOD_OVERRIDE=FQ","FILING_STATUS=MR","SCALING_FORMAT=MLN","Sort=A","Dates=H","DateFormat=P","Fill=—","Direction=H","UseDPDF=Y")</f>
        <v>0</v>
      </c>
      <c r="D12" s="13">
        <f>_xll.BDH("ITCI US Equity","IS_RD_EXPENSE_NON_GAAP_ADJ","FQ1 2019","FQ1 2019","Currency=USD","Period=FQ","BEST_FPERIOD_OVERRIDE=FQ","FILING_STATUS=MR","SCALING_FORMAT=MLN","Sort=A","Dates=H","DateFormat=P","Fill=—","Direction=H","UseDPDF=Y")</f>
        <v>0</v>
      </c>
      <c r="E12" s="13">
        <f>_xll.BDH("ITCI US Equity","IS_RD_EXPENSE_NON_GAAP_ADJ","FQ2 2019","FQ2 2019","Currency=USD","Period=FQ","BEST_FPERIOD_OVERRIDE=FQ","FILING_STATUS=MR","SCALING_FORMAT=MLN","Sort=A","Dates=H","DateFormat=P","Fill=—","Direction=H","UseDPDF=Y")</f>
        <v>0</v>
      </c>
      <c r="F12" s="13">
        <f>_xll.BDH("ITCI US Equity","IS_RD_EXPENSE_NON_GAAP_ADJ","FQ3 2019","FQ3 2019","Currency=USD","Period=FQ","BEST_FPERIOD_OVERRIDE=FQ","FILING_STATUS=MR","SCALING_FORMAT=MLN","Sort=A","Dates=H","DateFormat=P","Fill=—","Direction=H","UseDPDF=Y")</f>
        <v>0</v>
      </c>
      <c r="G12" s="13">
        <f>_xll.BDH("ITCI US Equity","IS_RD_EXPENSE_NON_GAAP_ADJ","FQ4 2019","FQ4 2019","Currency=USD","Period=FQ","BEST_FPERIOD_OVERRIDE=FQ","FILING_STATUS=MR","SCALING_FORMAT=MLN","Sort=A","Dates=H","DateFormat=P","Fill=—","Direction=H","UseDPDF=Y")</f>
        <v>0</v>
      </c>
      <c r="H12" s="13">
        <f>_xll.BDH("ITCI US Equity","IS_RD_EXPENSE_NON_GAAP_ADJ","FQ1 2020","FQ1 2020","Currency=USD","Period=FQ","BEST_FPERIOD_OVERRIDE=FQ","FILING_STATUS=MR","SCALING_FORMAT=MLN","Sort=A","Dates=H","DateFormat=P","Fill=—","Direction=H","UseDPDF=Y")</f>
        <v>0</v>
      </c>
      <c r="I12" s="13">
        <f>_xll.BDH("ITCI US Equity","IS_RD_EXPENSE_NON_GAAP_ADJ","FQ2 2020","FQ2 2020","Currency=USD","Period=FQ","BEST_FPERIOD_OVERRIDE=FQ","FILING_STATUS=MR","SCALING_FORMAT=MLN","Sort=A","Dates=H","DateFormat=P","Fill=—","Direction=H","UseDPDF=Y")</f>
        <v>0</v>
      </c>
      <c r="J12" s="13">
        <f>_xll.BDH("ITCI US Equity","IS_RD_EXPENSE_NON_GAAP_ADJ","FQ3 2020","FQ3 2020","Currency=USD","Period=FQ","BEST_FPERIOD_OVERRIDE=FQ","FILING_STATUS=MR","SCALING_FORMAT=MLN","Sort=A","Dates=H","DateFormat=P","Fill=—","Direction=H","UseDPDF=Y")</f>
        <v>0</v>
      </c>
      <c r="K12" s="13">
        <f>_xll.BDH("ITCI US Equity","IS_RD_EXPENSE_NON_GAAP_ADJ","FQ4 2020","FQ4 2020","Currency=USD","Period=FQ","BEST_FPERIOD_OVERRIDE=FQ","FILING_STATUS=MR","SCALING_FORMAT=MLN","Sort=A","Dates=H","DateFormat=P","Fill=—","Direction=H","UseDPDF=Y")</f>
        <v>0</v>
      </c>
      <c r="L12" s="13">
        <f>_xll.BDH("ITCI US Equity","IS_RD_EXPENSE_NON_GAAP_ADJ","FQ1 2021","FQ1 2021","Currency=USD","Period=FQ","BEST_FPERIOD_OVERRIDE=FQ","FILING_STATUS=MR","SCALING_FORMAT=MLN","Sort=A","Dates=H","DateFormat=P","Fill=—","Direction=H","UseDPDF=Y")</f>
        <v>0</v>
      </c>
      <c r="M12" s="13">
        <f>_xll.BDH("ITCI US Equity","IS_RD_EXPENSE_NON_GAAP_ADJ","FQ2 2021","FQ2 2021","Currency=USD","Period=FQ","BEST_FPERIOD_OVERRIDE=FQ","FILING_STATUS=MR","SCALING_FORMAT=MLN","Sort=A","Dates=H","DateFormat=P","Fill=—","Direction=H","UseDPDF=Y")</f>
        <v>0</v>
      </c>
      <c r="N12" s="13">
        <f>_xll.BDH("ITCI US Equity","IS_RD_EXPENSE_NON_GAAP_ADJ","FQ3 2021","FQ3 2021","Currency=USD","Period=FQ","BEST_FPERIOD_OVERRIDE=FQ","FILING_STATUS=MR","SCALING_FORMAT=MLN","Sort=A","Dates=H","DateFormat=P","Fill=—","Direction=H","UseDPDF=Y")</f>
        <v>0</v>
      </c>
      <c r="O12" s="13">
        <f>_xll.BDH("ITCI US Equity","IS_RD_EXPENSE_NON_GAAP_ADJ","FQ4 2021","FQ4 2021","Currency=USD","Period=FQ","BEST_FPERIOD_OVERRIDE=FQ","FILING_STATUS=MR","SCALING_FORMAT=MLN","Sort=A","Dates=H","DateFormat=P","Fill=—","Direction=H","UseDPDF=Y")</f>
        <v>0</v>
      </c>
      <c r="P12" s="13">
        <f>_xll.BDH("ITCI US Equity","IS_RD_EXPENSE_NON_GAAP_ADJ","FQ1 2022","FQ1 2022","Currency=USD","Period=FQ","BEST_FPERIOD_OVERRIDE=FQ","FILING_STATUS=MR","SCALING_FORMAT=MLN","Sort=A","Dates=H","DateFormat=P","Fill=—","Direction=H","UseDPDF=Y")</f>
        <v>0</v>
      </c>
      <c r="Q12" s="13">
        <f>_xll.BDH("ITCI US Equity","IS_RD_EXPENSE_NON_GAAP_ADJ","FQ2 2022","FQ2 2022","Currency=USD","Period=FQ","BEST_FPERIOD_OVERRIDE=FQ","FILING_STATUS=MR","SCALING_FORMAT=MLN","Sort=A","Dates=H","DateFormat=P","Fill=—","Direction=H","UseDPDF=Y")</f>
        <v>0</v>
      </c>
      <c r="R12" s="13">
        <f>_xll.BDH("ITCI US Equity","IS_RD_EXPENSE_NON_GAAP_ADJ","FQ3 2022","FQ3 2022","Currency=USD","Period=FQ","BEST_FPERIOD_OVERRIDE=FQ","FILING_STATUS=MR","SCALING_FORMAT=MLN","Sort=A","Dates=H","DateFormat=P","Fill=—","Direction=H","UseDPDF=Y")</f>
        <v>0</v>
      </c>
      <c r="S12" s="13">
        <f>_xll.BDH("ITCI US Equity","IS_RD_EXPENSE_NON_GAAP_ADJ","FQ4 2022","FQ4 2022","Currency=USD","Period=FQ","BEST_FPERIOD_OVERRIDE=FQ","FILING_STATUS=MR","SCALING_FORMAT=MLN","Sort=A","Dates=H","DateFormat=P","Fill=—","Direction=H","UseDPDF=Y")</f>
        <v>0</v>
      </c>
      <c r="T12" s="13">
        <f>_xll.BDH("ITCI US Equity","IS_RD_EXPENSE_NON_GAAP_ADJ","FQ1 2023","FQ1 2023","Currency=USD","Period=FQ","BEST_FPERIOD_OVERRIDE=FQ","FILING_STATUS=MR","SCALING_FORMAT=MLN","Sort=A","Dates=H","DateFormat=P","Fill=—","Direction=H","UseDPDF=Y")</f>
        <v>0</v>
      </c>
      <c r="U12" s="13">
        <f>_xll.BDH("ITCI US Equity","IS_RD_EXPENSE_NON_GAAP_ADJ","FQ2 2023","FQ2 2023","Currency=USD","Period=FQ","BEST_FPERIOD_OVERRIDE=FQ","FILING_STATUS=MR","SCALING_FORMAT=MLN","Sort=A","Dates=H","DateFormat=P","Fill=—","Direction=H","UseDPDF=Y")</f>
        <v>0</v>
      </c>
      <c r="V12" s="13">
        <f>_xll.BDH("ITCI US Equity","IS_RD_EXPENSE_NON_GAAP_ADJ","FQ3 2023","FQ3 2023","Currency=USD","Period=FQ","BEST_FPERIOD_OVERRIDE=FQ","FILING_STATUS=MR","SCALING_FORMAT=MLN","Sort=A","Dates=H","DateFormat=P","Fill=—","Direction=H","UseDPDF=Y")</f>
        <v>0</v>
      </c>
      <c r="W12" s="13">
        <f>_xll.BDH("ITCI US Equity","IS_RD_EXPENSE_NON_GAAP_ADJ","FQ4 2023","FQ4 2023","Currency=USD","Period=FQ","BEST_FPERIOD_OVERRIDE=FQ","FILING_STATUS=MR","SCALING_FORMAT=MLN","Sort=A","Dates=H","DateFormat=P","Fill=—","Direction=H","UseDPDF=Y")</f>
        <v>0</v>
      </c>
      <c r="X12" s="13">
        <f>_xll.BDH("ITCI US Equity","IS_RD_EXPENSE_NON_GAAP_ADJ","FQ1 2024","FQ1 2024","Currency=USD","Period=FQ","BEST_FPERIOD_OVERRIDE=FQ","FILING_STATUS=MR","SCALING_FORMAT=MLN","Sort=A","Dates=H","DateFormat=P","Fill=—","Direction=H","UseDPDF=Y")</f>
        <v>0</v>
      </c>
      <c r="Y12" s="13">
        <f>_xll.BDH("ITCI US Equity","IS_RD_EXPENSE_NON_GAAP_ADJ","FQ2 2024","FQ2 2024","Currency=USD","Period=FQ","BEST_FPERIOD_OVERRIDE=FQ","FILING_STATUS=MR","SCALING_FORMAT=MLN","Sort=A","Dates=H","DateFormat=P","Fill=—","Direction=H","UseDPDF=Y")</f>
        <v>0</v>
      </c>
      <c r="Z12" s="13">
        <f>_xll.BDH("ITCI US Equity","IS_RD_EXPENSE_NON_GAAP_ADJ","FQ3 2024","FQ3 2024","Currency=USD","Period=FQ","BEST_FPERIOD_OVERRIDE=FQ","FILING_STATUS=MR","SCALING_FORMAT=MLN","Sort=A","Dates=H","DateFormat=P","Fill=—","Direction=H","UseDPDF=Y")</f>
        <v>0</v>
      </c>
      <c r="AA12" s="13">
        <f>_xll.BDH("ITCI US Equity","IS_RD_EXPENSE_NON_GAAP_ADJ","FQ4 2024","FQ4 2024","Currency=USD","Period=FQ","BEST_FPERIOD_OVERRIDE=FQ","FILING_STATUS=MR","SCALING_FORMAT=MLN","Sort=A","Dates=H","DateFormat=P","Fill=—","Direction=H","UseDPDF=Y")</f>
        <v>0</v>
      </c>
    </row>
    <row r="13" spans="1:27" x14ac:dyDescent="0.25">
      <c r="A13" s="10" t="s">
        <v>489</v>
      </c>
      <c r="B13" s="10" t="s">
        <v>490</v>
      </c>
      <c r="C13" s="13">
        <f>_xll.BDH("ITCI US Equity","IS_DA_NON_GAAP_ADJ","FQ4 2018","FQ4 2018","Currency=USD","Period=FQ","BEST_FPERIOD_OVERRIDE=FQ","FILING_STATUS=MR","SCALING_FORMAT=MLN","Sort=A","Dates=H","DateFormat=P","Fill=—","Direction=H","UseDPDF=Y")</f>
        <v>0</v>
      </c>
      <c r="D13" s="13">
        <f>_xll.BDH("ITCI US Equity","IS_DA_NON_GAAP_ADJ","FQ1 2019","FQ1 2019","Currency=USD","Period=FQ","BEST_FPERIOD_OVERRIDE=FQ","FILING_STATUS=MR","SCALING_FORMAT=MLN","Sort=A","Dates=H","DateFormat=P","Fill=—","Direction=H","UseDPDF=Y")</f>
        <v>0</v>
      </c>
      <c r="E13" s="13">
        <f>_xll.BDH("ITCI US Equity","IS_DA_NON_GAAP_ADJ","FQ2 2019","FQ2 2019","Currency=USD","Period=FQ","BEST_FPERIOD_OVERRIDE=FQ","FILING_STATUS=MR","SCALING_FORMAT=MLN","Sort=A","Dates=H","DateFormat=P","Fill=—","Direction=H","UseDPDF=Y")</f>
        <v>0</v>
      </c>
      <c r="F13" s="13">
        <f>_xll.BDH("ITCI US Equity","IS_DA_NON_GAAP_ADJ","FQ3 2019","FQ3 2019","Currency=USD","Period=FQ","BEST_FPERIOD_OVERRIDE=FQ","FILING_STATUS=MR","SCALING_FORMAT=MLN","Sort=A","Dates=H","DateFormat=P","Fill=—","Direction=H","UseDPDF=Y")</f>
        <v>0</v>
      </c>
      <c r="G13" s="13">
        <f>_xll.BDH("ITCI US Equity","IS_DA_NON_GAAP_ADJ","FQ4 2019","FQ4 2019","Currency=USD","Period=FQ","BEST_FPERIOD_OVERRIDE=FQ","FILING_STATUS=MR","SCALING_FORMAT=MLN","Sort=A","Dates=H","DateFormat=P","Fill=—","Direction=H","UseDPDF=Y")</f>
        <v>0</v>
      </c>
      <c r="H13" s="13">
        <f>_xll.BDH("ITCI US Equity","IS_DA_NON_GAAP_ADJ","FQ1 2020","FQ1 2020","Currency=USD","Period=FQ","BEST_FPERIOD_OVERRIDE=FQ","FILING_STATUS=MR","SCALING_FORMAT=MLN","Sort=A","Dates=H","DateFormat=P","Fill=—","Direction=H","UseDPDF=Y")</f>
        <v>0</v>
      </c>
      <c r="I13" s="13">
        <f>_xll.BDH("ITCI US Equity","IS_DA_NON_GAAP_ADJ","FQ2 2020","FQ2 2020","Currency=USD","Period=FQ","BEST_FPERIOD_OVERRIDE=FQ","FILING_STATUS=MR","SCALING_FORMAT=MLN","Sort=A","Dates=H","DateFormat=P","Fill=—","Direction=H","UseDPDF=Y")</f>
        <v>0</v>
      </c>
      <c r="J13" s="13">
        <f>_xll.BDH("ITCI US Equity","IS_DA_NON_GAAP_ADJ","FQ3 2020","FQ3 2020","Currency=USD","Period=FQ","BEST_FPERIOD_OVERRIDE=FQ","FILING_STATUS=MR","SCALING_FORMAT=MLN","Sort=A","Dates=H","DateFormat=P","Fill=—","Direction=H","UseDPDF=Y")</f>
        <v>0</v>
      </c>
      <c r="K13" s="13">
        <f>_xll.BDH("ITCI US Equity","IS_DA_NON_GAAP_ADJ","FQ4 2020","FQ4 2020","Currency=USD","Period=FQ","BEST_FPERIOD_OVERRIDE=FQ","FILING_STATUS=MR","SCALING_FORMAT=MLN","Sort=A","Dates=H","DateFormat=P","Fill=—","Direction=H","UseDPDF=Y")</f>
        <v>0</v>
      </c>
      <c r="L13" s="13">
        <f>_xll.BDH("ITCI US Equity","IS_DA_NON_GAAP_ADJ","FQ1 2021","FQ1 2021","Currency=USD","Period=FQ","BEST_FPERIOD_OVERRIDE=FQ","FILING_STATUS=MR","SCALING_FORMAT=MLN","Sort=A","Dates=H","DateFormat=P","Fill=—","Direction=H","UseDPDF=Y")</f>
        <v>0</v>
      </c>
      <c r="M13" s="13">
        <f>_xll.BDH("ITCI US Equity","IS_DA_NON_GAAP_ADJ","FQ2 2021","FQ2 2021","Currency=USD","Period=FQ","BEST_FPERIOD_OVERRIDE=FQ","FILING_STATUS=MR","SCALING_FORMAT=MLN","Sort=A","Dates=H","DateFormat=P","Fill=—","Direction=H","UseDPDF=Y")</f>
        <v>0</v>
      </c>
      <c r="N13" s="13">
        <f>_xll.BDH("ITCI US Equity","IS_DA_NON_GAAP_ADJ","FQ3 2021","FQ3 2021","Currency=USD","Period=FQ","BEST_FPERIOD_OVERRIDE=FQ","FILING_STATUS=MR","SCALING_FORMAT=MLN","Sort=A","Dates=H","DateFormat=P","Fill=—","Direction=H","UseDPDF=Y")</f>
        <v>0</v>
      </c>
      <c r="O13" s="13">
        <f>_xll.BDH("ITCI US Equity","IS_DA_NON_GAAP_ADJ","FQ4 2021","FQ4 2021","Currency=USD","Period=FQ","BEST_FPERIOD_OVERRIDE=FQ","FILING_STATUS=MR","SCALING_FORMAT=MLN","Sort=A","Dates=H","DateFormat=P","Fill=—","Direction=H","UseDPDF=Y")</f>
        <v>0</v>
      </c>
      <c r="P13" s="13">
        <f>_xll.BDH("ITCI US Equity","IS_DA_NON_GAAP_ADJ","FQ1 2022","FQ1 2022","Currency=USD","Period=FQ","BEST_FPERIOD_OVERRIDE=FQ","FILING_STATUS=MR","SCALING_FORMAT=MLN","Sort=A","Dates=H","DateFormat=P","Fill=—","Direction=H","UseDPDF=Y")</f>
        <v>0</v>
      </c>
      <c r="Q13" s="13">
        <f>_xll.BDH("ITCI US Equity","IS_DA_NON_GAAP_ADJ","FQ2 2022","FQ2 2022","Currency=USD","Period=FQ","BEST_FPERIOD_OVERRIDE=FQ","FILING_STATUS=MR","SCALING_FORMAT=MLN","Sort=A","Dates=H","DateFormat=P","Fill=—","Direction=H","UseDPDF=Y")</f>
        <v>0</v>
      </c>
      <c r="R13" s="13">
        <f>_xll.BDH("ITCI US Equity","IS_DA_NON_GAAP_ADJ","FQ3 2022","FQ3 2022","Currency=USD","Period=FQ","BEST_FPERIOD_OVERRIDE=FQ","FILING_STATUS=MR","SCALING_FORMAT=MLN","Sort=A","Dates=H","DateFormat=P","Fill=—","Direction=H","UseDPDF=Y")</f>
        <v>0</v>
      </c>
      <c r="S13" s="13">
        <f>_xll.BDH("ITCI US Equity","IS_DA_NON_GAAP_ADJ","FQ4 2022","FQ4 2022","Currency=USD","Period=FQ","BEST_FPERIOD_OVERRIDE=FQ","FILING_STATUS=MR","SCALING_FORMAT=MLN","Sort=A","Dates=H","DateFormat=P","Fill=—","Direction=H","UseDPDF=Y")</f>
        <v>0</v>
      </c>
      <c r="T13" s="13">
        <f>_xll.BDH("ITCI US Equity","IS_DA_NON_GAAP_ADJ","FQ1 2023","FQ1 2023","Currency=USD","Period=FQ","BEST_FPERIOD_OVERRIDE=FQ","FILING_STATUS=MR","SCALING_FORMAT=MLN","Sort=A","Dates=H","DateFormat=P","Fill=—","Direction=H","UseDPDF=Y")</f>
        <v>0</v>
      </c>
      <c r="U13" s="13">
        <f>_xll.BDH("ITCI US Equity","IS_DA_NON_GAAP_ADJ","FQ2 2023","FQ2 2023","Currency=USD","Period=FQ","BEST_FPERIOD_OVERRIDE=FQ","FILING_STATUS=MR","SCALING_FORMAT=MLN","Sort=A","Dates=H","DateFormat=P","Fill=—","Direction=H","UseDPDF=Y")</f>
        <v>0</v>
      </c>
      <c r="V13" s="13">
        <f>_xll.BDH("ITCI US Equity","IS_DA_NON_GAAP_ADJ","FQ3 2023","FQ3 2023","Currency=USD","Period=FQ","BEST_FPERIOD_OVERRIDE=FQ","FILING_STATUS=MR","SCALING_FORMAT=MLN","Sort=A","Dates=H","DateFormat=P","Fill=—","Direction=H","UseDPDF=Y")</f>
        <v>0</v>
      </c>
      <c r="W13" s="13">
        <f>_xll.BDH("ITCI US Equity","IS_DA_NON_GAAP_ADJ","FQ4 2023","FQ4 2023","Currency=USD","Period=FQ","BEST_FPERIOD_OVERRIDE=FQ","FILING_STATUS=MR","SCALING_FORMAT=MLN","Sort=A","Dates=H","DateFormat=P","Fill=—","Direction=H","UseDPDF=Y")</f>
        <v>0</v>
      </c>
      <c r="X13" s="13">
        <f>_xll.BDH("ITCI US Equity","IS_DA_NON_GAAP_ADJ","FQ1 2024","FQ1 2024","Currency=USD","Period=FQ","BEST_FPERIOD_OVERRIDE=FQ","FILING_STATUS=MR","SCALING_FORMAT=MLN","Sort=A","Dates=H","DateFormat=P","Fill=—","Direction=H","UseDPDF=Y")</f>
        <v>0</v>
      </c>
      <c r="Y13" s="13">
        <f>_xll.BDH("ITCI US Equity","IS_DA_NON_GAAP_ADJ","FQ2 2024","FQ2 2024","Currency=USD","Period=FQ","BEST_FPERIOD_OVERRIDE=FQ","FILING_STATUS=MR","SCALING_FORMAT=MLN","Sort=A","Dates=H","DateFormat=P","Fill=—","Direction=H","UseDPDF=Y")</f>
        <v>0</v>
      </c>
      <c r="Z13" s="13">
        <f>_xll.BDH("ITCI US Equity","IS_DA_NON_GAAP_ADJ","FQ3 2024","FQ3 2024","Currency=USD","Period=FQ","BEST_FPERIOD_OVERRIDE=FQ","FILING_STATUS=MR","SCALING_FORMAT=MLN","Sort=A","Dates=H","DateFormat=P","Fill=—","Direction=H","UseDPDF=Y")</f>
        <v>0</v>
      </c>
      <c r="AA13" s="13">
        <f>_xll.BDH("ITCI US Equity","IS_DA_NON_GAAP_ADJ","FQ4 2024","FQ4 2024","Currency=USD","Period=FQ","BEST_FPERIOD_OVERRIDE=FQ","FILING_STATUS=MR","SCALING_FORMAT=MLN","Sort=A","Dates=H","DateFormat=P","Fill=—","Direction=H","UseDPDF=Y")</f>
        <v>0</v>
      </c>
    </row>
    <row r="14" spans="1:27" x14ac:dyDescent="0.25">
      <c r="A14" s="10" t="s">
        <v>491</v>
      </c>
      <c r="B14" s="10" t="s">
        <v>492</v>
      </c>
      <c r="C14" s="13">
        <f>_xll.BDH("ITCI US Equity","IS_PDA_NONGAAP_ADJUSTMENTS","FQ4 2018","FQ4 2018","Currency=USD","Period=FQ","BEST_FPERIOD_OVERRIDE=FQ","FILING_STATUS=MR","SCALING_FORMAT=MLN","Sort=A","Dates=H","DateFormat=P","Fill=—","Direction=H","UseDPDF=Y")</f>
        <v>0</v>
      </c>
      <c r="D14" s="13">
        <f>_xll.BDH("ITCI US Equity","IS_PDA_NONGAAP_ADJUSTMENTS","FQ1 2019","FQ1 2019","Currency=USD","Period=FQ","BEST_FPERIOD_OVERRIDE=FQ","FILING_STATUS=MR","SCALING_FORMAT=MLN","Sort=A","Dates=H","DateFormat=P","Fill=—","Direction=H","UseDPDF=Y")</f>
        <v>0</v>
      </c>
      <c r="E14" s="13">
        <f>_xll.BDH("ITCI US Equity","IS_PDA_NONGAAP_ADJUSTMENTS","FQ2 2019","FQ2 2019","Currency=USD","Period=FQ","BEST_FPERIOD_OVERRIDE=FQ","FILING_STATUS=MR","SCALING_FORMAT=MLN","Sort=A","Dates=H","DateFormat=P","Fill=—","Direction=H","UseDPDF=Y")</f>
        <v>0</v>
      </c>
      <c r="F14" s="13">
        <f>_xll.BDH("ITCI US Equity","IS_PDA_NONGAAP_ADJUSTMENTS","FQ3 2019","FQ3 2019","Currency=USD","Period=FQ","BEST_FPERIOD_OVERRIDE=FQ","FILING_STATUS=MR","SCALING_FORMAT=MLN","Sort=A","Dates=H","DateFormat=P","Fill=—","Direction=H","UseDPDF=Y")</f>
        <v>0</v>
      </c>
      <c r="G14" s="13">
        <f>_xll.BDH("ITCI US Equity","IS_PDA_NONGAAP_ADJUSTMENTS","FQ4 2019","FQ4 2019","Currency=USD","Period=FQ","BEST_FPERIOD_OVERRIDE=FQ","FILING_STATUS=MR","SCALING_FORMAT=MLN","Sort=A","Dates=H","DateFormat=P","Fill=—","Direction=H","UseDPDF=Y")</f>
        <v>0</v>
      </c>
      <c r="H14" s="13">
        <f>_xll.BDH("ITCI US Equity","IS_PDA_NONGAAP_ADJUSTMENTS","FQ1 2020","FQ1 2020","Currency=USD","Period=FQ","BEST_FPERIOD_OVERRIDE=FQ","FILING_STATUS=MR","SCALING_FORMAT=MLN","Sort=A","Dates=H","DateFormat=P","Fill=—","Direction=H","UseDPDF=Y")</f>
        <v>0</v>
      </c>
      <c r="I14" s="13">
        <f>_xll.BDH("ITCI US Equity","IS_PDA_NONGAAP_ADJUSTMENTS","FQ2 2020","FQ2 2020","Currency=USD","Period=FQ","BEST_FPERIOD_OVERRIDE=FQ","FILING_STATUS=MR","SCALING_FORMAT=MLN","Sort=A","Dates=H","DateFormat=P","Fill=—","Direction=H","UseDPDF=Y")</f>
        <v>0</v>
      </c>
      <c r="J14" s="13">
        <f>_xll.BDH("ITCI US Equity","IS_PDA_NONGAAP_ADJUSTMENTS","FQ3 2020","FQ3 2020","Currency=USD","Period=FQ","BEST_FPERIOD_OVERRIDE=FQ","FILING_STATUS=MR","SCALING_FORMAT=MLN","Sort=A","Dates=H","DateFormat=P","Fill=—","Direction=H","UseDPDF=Y")</f>
        <v>0</v>
      </c>
      <c r="K14" s="13">
        <f>_xll.BDH("ITCI US Equity","IS_PDA_NONGAAP_ADJUSTMENTS","FQ4 2020","FQ4 2020","Currency=USD","Period=FQ","BEST_FPERIOD_OVERRIDE=FQ","FILING_STATUS=MR","SCALING_FORMAT=MLN","Sort=A","Dates=H","DateFormat=P","Fill=—","Direction=H","UseDPDF=Y")</f>
        <v>0</v>
      </c>
      <c r="L14" s="13">
        <f>_xll.BDH("ITCI US Equity","IS_PDA_NONGAAP_ADJUSTMENTS","FQ1 2021","FQ1 2021","Currency=USD","Period=FQ","BEST_FPERIOD_OVERRIDE=FQ","FILING_STATUS=MR","SCALING_FORMAT=MLN","Sort=A","Dates=H","DateFormat=P","Fill=—","Direction=H","UseDPDF=Y")</f>
        <v>0</v>
      </c>
      <c r="M14" s="13">
        <f>_xll.BDH("ITCI US Equity","IS_PDA_NONGAAP_ADJUSTMENTS","FQ2 2021","FQ2 2021","Currency=USD","Period=FQ","BEST_FPERIOD_OVERRIDE=FQ","FILING_STATUS=MR","SCALING_FORMAT=MLN","Sort=A","Dates=H","DateFormat=P","Fill=—","Direction=H","UseDPDF=Y")</f>
        <v>0</v>
      </c>
      <c r="N14" s="13">
        <f>_xll.BDH("ITCI US Equity","IS_PDA_NONGAAP_ADJUSTMENTS","FQ3 2021","FQ3 2021","Currency=USD","Period=FQ","BEST_FPERIOD_OVERRIDE=FQ","FILING_STATUS=MR","SCALING_FORMAT=MLN","Sort=A","Dates=H","DateFormat=P","Fill=—","Direction=H","UseDPDF=Y")</f>
        <v>0</v>
      </c>
      <c r="O14" s="13">
        <f>_xll.BDH("ITCI US Equity","IS_PDA_NONGAAP_ADJUSTMENTS","FQ4 2021","FQ4 2021","Currency=USD","Period=FQ","BEST_FPERIOD_OVERRIDE=FQ","FILING_STATUS=MR","SCALING_FORMAT=MLN","Sort=A","Dates=H","DateFormat=P","Fill=—","Direction=H","UseDPDF=Y")</f>
        <v>0</v>
      </c>
      <c r="P14" s="13">
        <f>_xll.BDH("ITCI US Equity","IS_PDA_NONGAAP_ADJUSTMENTS","FQ1 2022","FQ1 2022","Currency=USD","Period=FQ","BEST_FPERIOD_OVERRIDE=FQ","FILING_STATUS=MR","SCALING_FORMAT=MLN","Sort=A","Dates=H","DateFormat=P","Fill=—","Direction=H","UseDPDF=Y")</f>
        <v>0</v>
      </c>
      <c r="Q14" s="13">
        <f>_xll.BDH("ITCI US Equity","IS_PDA_NONGAAP_ADJUSTMENTS","FQ2 2022","FQ2 2022","Currency=USD","Period=FQ","BEST_FPERIOD_OVERRIDE=FQ","FILING_STATUS=MR","SCALING_FORMAT=MLN","Sort=A","Dates=H","DateFormat=P","Fill=—","Direction=H","UseDPDF=Y")</f>
        <v>0</v>
      </c>
      <c r="R14" s="13">
        <f>_xll.BDH("ITCI US Equity","IS_PDA_NONGAAP_ADJUSTMENTS","FQ3 2022","FQ3 2022","Currency=USD","Period=FQ","BEST_FPERIOD_OVERRIDE=FQ","FILING_STATUS=MR","SCALING_FORMAT=MLN","Sort=A","Dates=H","DateFormat=P","Fill=—","Direction=H","UseDPDF=Y")</f>
        <v>0</v>
      </c>
      <c r="S14" s="13">
        <f>_xll.BDH("ITCI US Equity","IS_PDA_NONGAAP_ADJUSTMENTS","FQ4 2022","FQ4 2022","Currency=USD","Period=FQ","BEST_FPERIOD_OVERRIDE=FQ","FILING_STATUS=MR","SCALING_FORMAT=MLN","Sort=A","Dates=H","DateFormat=P","Fill=—","Direction=H","UseDPDF=Y")</f>
        <v>0</v>
      </c>
      <c r="T14" s="13">
        <f>_xll.BDH("ITCI US Equity","IS_PDA_NONGAAP_ADJUSTMENTS","FQ1 2023","FQ1 2023","Currency=USD","Period=FQ","BEST_FPERIOD_OVERRIDE=FQ","FILING_STATUS=MR","SCALING_FORMAT=MLN","Sort=A","Dates=H","DateFormat=P","Fill=—","Direction=H","UseDPDF=Y")</f>
        <v>0</v>
      </c>
      <c r="U14" s="13">
        <f>_xll.BDH("ITCI US Equity","IS_PDA_NONGAAP_ADJUSTMENTS","FQ2 2023","FQ2 2023","Currency=USD","Period=FQ","BEST_FPERIOD_OVERRIDE=FQ","FILING_STATUS=MR","SCALING_FORMAT=MLN","Sort=A","Dates=H","DateFormat=P","Fill=—","Direction=H","UseDPDF=Y")</f>
        <v>0</v>
      </c>
      <c r="V14" s="13">
        <f>_xll.BDH("ITCI US Equity","IS_PDA_NONGAAP_ADJUSTMENTS","FQ3 2023","FQ3 2023","Currency=USD","Period=FQ","BEST_FPERIOD_OVERRIDE=FQ","FILING_STATUS=MR","SCALING_FORMAT=MLN","Sort=A","Dates=H","DateFormat=P","Fill=—","Direction=H","UseDPDF=Y")</f>
        <v>0</v>
      </c>
      <c r="W14" s="13">
        <f>_xll.BDH("ITCI US Equity","IS_PDA_NONGAAP_ADJUSTMENTS","FQ4 2023","FQ4 2023","Currency=USD","Period=FQ","BEST_FPERIOD_OVERRIDE=FQ","FILING_STATUS=MR","SCALING_FORMAT=MLN","Sort=A","Dates=H","DateFormat=P","Fill=—","Direction=H","UseDPDF=Y")</f>
        <v>0</v>
      </c>
      <c r="X14" s="13">
        <f>_xll.BDH("ITCI US Equity","IS_PDA_NONGAAP_ADJUSTMENTS","FQ1 2024","FQ1 2024","Currency=USD","Period=FQ","BEST_FPERIOD_OVERRIDE=FQ","FILING_STATUS=MR","SCALING_FORMAT=MLN","Sort=A","Dates=H","DateFormat=P","Fill=—","Direction=H","UseDPDF=Y")</f>
        <v>0</v>
      </c>
      <c r="Y14" s="13">
        <f>_xll.BDH("ITCI US Equity","IS_PDA_NONGAAP_ADJUSTMENTS","FQ2 2024","FQ2 2024","Currency=USD","Period=FQ","BEST_FPERIOD_OVERRIDE=FQ","FILING_STATUS=MR","SCALING_FORMAT=MLN","Sort=A","Dates=H","DateFormat=P","Fill=—","Direction=H","UseDPDF=Y")</f>
        <v>0</v>
      </c>
      <c r="Z14" s="13">
        <f>_xll.BDH("ITCI US Equity","IS_PDA_NONGAAP_ADJUSTMENTS","FQ3 2024","FQ3 2024","Currency=USD","Period=FQ","BEST_FPERIOD_OVERRIDE=FQ","FILING_STATUS=MR","SCALING_FORMAT=MLN","Sort=A","Dates=H","DateFormat=P","Fill=—","Direction=H","UseDPDF=Y")</f>
        <v>0</v>
      </c>
      <c r="AA14" s="13">
        <f>_xll.BDH("ITCI US Equity","IS_PDA_NONGAAP_ADJUSTMENTS","FQ4 2024","FQ4 2024","Currency=USD","Period=FQ","BEST_FPERIOD_OVERRIDE=FQ","FILING_STATUS=MR","SCALING_FORMAT=MLN","Sort=A","Dates=H","DateFormat=P","Fill=—","Direction=H","UseDPDF=Y")</f>
        <v>0</v>
      </c>
    </row>
    <row r="15" spans="1:27" x14ac:dyDescent="0.25">
      <c r="A15" s="10" t="s">
        <v>493</v>
      </c>
      <c r="B15" s="10" t="s">
        <v>494</v>
      </c>
      <c r="C15" s="13">
        <f>_xll.BDH("ITCI US Equity","IS_OTHER_OPERATING_EXPN_ADJUST","FQ4 2018","FQ4 2018","Currency=USD","Period=FQ","BEST_FPERIOD_OVERRIDE=FQ","FILING_STATUS=MR","SCALING_FORMAT=MLN","Sort=A","Dates=H","DateFormat=P","Fill=—","Direction=H","UseDPDF=Y")</f>
        <v>0</v>
      </c>
      <c r="D15" s="13">
        <f>_xll.BDH("ITCI US Equity","IS_OTHER_OPERATING_EXPN_ADJUST","FQ1 2019","FQ1 2019","Currency=USD","Period=FQ","BEST_FPERIOD_OVERRIDE=FQ","FILING_STATUS=MR","SCALING_FORMAT=MLN","Sort=A","Dates=H","DateFormat=P","Fill=—","Direction=H","UseDPDF=Y")</f>
        <v>0</v>
      </c>
      <c r="E15" s="13">
        <f>_xll.BDH("ITCI US Equity","IS_OTHER_OPERATING_EXPN_ADJUST","FQ2 2019","FQ2 2019","Currency=USD","Period=FQ","BEST_FPERIOD_OVERRIDE=FQ","FILING_STATUS=MR","SCALING_FORMAT=MLN","Sort=A","Dates=H","DateFormat=P","Fill=—","Direction=H","UseDPDF=Y")</f>
        <v>0</v>
      </c>
      <c r="F15" s="13">
        <f>_xll.BDH("ITCI US Equity","IS_OTHER_OPERATING_EXPN_ADJUST","FQ3 2019","FQ3 2019","Currency=USD","Period=FQ","BEST_FPERIOD_OVERRIDE=FQ","FILING_STATUS=MR","SCALING_FORMAT=MLN","Sort=A","Dates=H","DateFormat=P","Fill=—","Direction=H","UseDPDF=Y")</f>
        <v>0</v>
      </c>
      <c r="G15" s="13">
        <f>_xll.BDH("ITCI US Equity","IS_OTHER_OPERATING_EXPN_ADJUST","FQ4 2019","FQ4 2019","Currency=USD","Period=FQ","BEST_FPERIOD_OVERRIDE=FQ","FILING_STATUS=MR","SCALING_FORMAT=MLN","Sort=A","Dates=H","DateFormat=P","Fill=—","Direction=H","UseDPDF=Y")</f>
        <v>0</v>
      </c>
      <c r="H15" s="13">
        <f>_xll.BDH("ITCI US Equity","IS_OTHER_OPERATING_EXPN_ADJUST","FQ1 2020","FQ1 2020","Currency=USD","Period=FQ","BEST_FPERIOD_OVERRIDE=FQ","FILING_STATUS=MR","SCALING_FORMAT=MLN","Sort=A","Dates=H","DateFormat=P","Fill=—","Direction=H","UseDPDF=Y")</f>
        <v>0</v>
      </c>
      <c r="I15" s="13">
        <f>_xll.BDH("ITCI US Equity","IS_OTHER_OPERATING_EXPN_ADJUST","FQ2 2020","FQ2 2020","Currency=USD","Period=FQ","BEST_FPERIOD_OVERRIDE=FQ","FILING_STATUS=MR","SCALING_FORMAT=MLN","Sort=A","Dates=H","DateFormat=P","Fill=—","Direction=H","UseDPDF=Y")</f>
        <v>0</v>
      </c>
      <c r="J15" s="13">
        <f>_xll.BDH("ITCI US Equity","IS_OTHER_OPERATING_EXPN_ADJUST","FQ3 2020","FQ3 2020","Currency=USD","Period=FQ","BEST_FPERIOD_OVERRIDE=FQ","FILING_STATUS=MR","SCALING_FORMAT=MLN","Sort=A","Dates=H","DateFormat=P","Fill=—","Direction=H","UseDPDF=Y")</f>
        <v>0</v>
      </c>
      <c r="K15" s="13">
        <f>_xll.BDH("ITCI US Equity","IS_OTHER_OPERATING_EXPN_ADJUST","FQ4 2020","FQ4 2020","Currency=USD","Period=FQ","BEST_FPERIOD_OVERRIDE=FQ","FILING_STATUS=MR","SCALING_FORMAT=MLN","Sort=A","Dates=H","DateFormat=P","Fill=—","Direction=H","UseDPDF=Y")</f>
        <v>0</v>
      </c>
      <c r="L15" s="13">
        <f>_xll.BDH("ITCI US Equity","IS_OTHER_OPERATING_EXPN_ADJUST","FQ1 2021","FQ1 2021","Currency=USD","Period=FQ","BEST_FPERIOD_OVERRIDE=FQ","FILING_STATUS=MR","SCALING_FORMAT=MLN","Sort=A","Dates=H","DateFormat=P","Fill=—","Direction=H","UseDPDF=Y")</f>
        <v>0</v>
      </c>
      <c r="M15" s="13">
        <f>_xll.BDH("ITCI US Equity","IS_OTHER_OPERATING_EXPN_ADJUST","FQ2 2021","FQ2 2021","Currency=USD","Period=FQ","BEST_FPERIOD_OVERRIDE=FQ","FILING_STATUS=MR","SCALING_FORMAT=MLN","Sort=A","Dates=H","DateFormat=P","Fill=—","Direction=H","UseDPDF=Y")</f>
        <v>0</v>
      </c>
      <c r="N15" s="13">
        <f>_xll.BDH("ITCI US Equity","IS_OTHER_OPERATING_EXPN_ADJUST","FQ3 2021","FQ3 2021","Currency=USD","Period=FQ","BEST_FPERIOD_OVERRIDE=FQ","FILING_STATUS=MR","SCALING_FORMAT=MLN","Sort=A","Dates=H","DateFormat=P","Fill=—","Direction=H","UseDPDF=Y")</f>
        <v>0</v>
      </c>
      <c r="O15" s="13">
        <f>_xll.BDH("ITCI US Equity","IS_OTHER_OPERATING_EXPN_ADJUST","FQ4 2021","FQ4 2021","Currency=USD","Period=FQ","BEST_FPERIOD_OVERRIDE=FQ","FILING_STATUS=MR","SCALING_FORMAT=MLN","Sort=A","Dates=H","DateFormat=P","Fill=—","Direction=H","UseDPDF=Y")</f>
        <v>0</v>
      </c>
      <c r="P15" s="13">
        <f>_xll.BDH("ITCI US Equity","IS_OTHER_OPERATING_EXPN_ADJUST","FQ1 2022","FQ1 2022","Currency=USD","Period=FQ","BEST_FPERIOD_OVERRIDE=FQ","FILING_STATUS=MR","SCALING_FORMAT=MLN","Sort=A","Dates=H","DateFormat=P","Fill=—","Direction=H","UseDPDF=Y")</f>
        <v>0</v>
      </c>
      <c r="Q15" s="13">
        <f>_xll.BDH("ITCI US Equity","IS_OTHER_OPERATING_EXPN_ADJUST","FQ2 2022","FQ2 2022","Currency=USD","Period=FQ","BEST_FPERIOD_OVERRIDE=FQ","FILING_STATUS=MR","SCALING_FORMAT=MLN","Sort=A","Dates=H","DateFormat=P","Fill=—","Direction=H","UseDPDF=Y")</f>
        <v>0</v>
      </c>
      <c r="R15" s="13">
        <f>_xll.BDH("ITCI US Equity","IS_OTHER_OPERATING_EXPN_ADJUST","FQ3 2022","FQ3 2022","Currency=USD","Period=FQ","BEST_FPERIOD_OVERRIDE=FQ","FILING_STATUS=MR","SCALING_FORMAT=MLN","Sort=A","Dates=H","DateFormat=P","Fill=—","Direction=H","UseDPDF=Y")</f>
        <v>0</v>
      </c>
      <c r="S15" s="13">
        <f>_xll.BDH("ITCI US Equity","IS_OTHER_OPERATING_EXPN_ADJUST","FQ4 2022","FQ4 2022","Currency=USD","Period=FQ","BEST_FPERIOD_OVERRIDE=FQ","FILING_STATUS=MR","SCALING_FORMAT=MLN","Sort=A","Dates=H","DateFormat=P","Fill=—","Direction=H","UseDPDF=Y")</f>
        <v>0</v>
      </c>
      <c r="T15" s="13">
        <f>_xll.BDH("ITCI US Equity","IS_OTHER_OPERATING_EXPN_ADJUST","FQ1 2023","FQ1 2023","Currency=USD","Period=FQ","BEST_FPERIOD_OVERRIDE=FQ","FILING_STATUS=MR","SCALING_FORMAT=MLN","Sort=A","Dates=H","DateFormat=P","Fill=—","Direction=H","UseDPDF=Y")</f>
        <v>0</v>
      </c>
      <c r="U15" s="13">
        <f>_xll.BDH("ITCI US Equity","IS_OTHER_OPERATING_EXPN_ADJUST","FQ2 2023","FQ2 2023","Currency=USD","Period=FQ","BEST_FPERIOD_OVERRIDE=FQ","FILING_STATUS=MR","SCALING_FORMAT=MLN","Sort=A","Dates=H","DateFormat=P","Fill=—","Direction=H","UseDPDF=Y")</f>
        <v>0</v>
      </c>
      <c r="V15" s="13">
        <f>_xll.BDH("ITCI US Equity","IS_OTHER_OPERATING_EXPN_ADJUST","FQ3 2023","FQ3 2023","Currency=USD","Period=FQ","BEST_FPERIOD_OVERRIDE=FQ","FILING_STATUS=MR","SCALING_FORMAT=MLN","Sort=A","Dates=H","DateFormat=P","Fill=—","Direction=H","UseDPDF=Y")</f>
        <v>0</v>
      </c>
      <c r="W15" s="13">
        <f>_xll.BDH("ITCI US Equity","IS_OTHER_OPERATING_EXPN_ADJUST","FQ4 2023","FQ4 2023","Currency=USD","Period=FQ","BEST_FPERIOD_OVERRIDE=FQ","FILING_STATUS=MR","SCALING_FORMAT=MLN","Sort=A","Dates=H","DateFormat=P","Fill=—","Direction=H","UseDPDF=Y")</f>
        <v>0</v>
      </c>
      <c r="X15" s="13">
        <f>_xll.BDH("ITCI US Equity","IS_OTHER_OPERATING_EXPN_ADJUST","FQ1 2024","FQ1 2024","Currency=USD","Period=FQ","BEST_FPERIOD_OVERRIDE=FQ","FILING_STATUS=MR","SCALING_FORMAT=MLN","Sort=A","Dates=H","DateFormat=P","Fill=—","Direction=H","UseDPDF=Y")</f>
        <v>0</v>
      </c>
      <c r="Y15" s="13">
        <f>_xll.BDH("ITCI US Equity","IS_OTHER_OPERATING_EXPN_ADJUST","FQ2 2024","FQ2 2024","Currency=USD","Period=FQ","BEST_FPERIOD_OVERRIDE=FQ","FILING_STATUS=MR","SCALING_FORMAT=MLN","Sort=A","Dates=H","DateFormat=P","Fill=—","Direction=H","UseDPDF=Y")</f>
        <v>0</v>
      </c>
      <c r="Z15" s="13">
        <f>_xll.BDH("ITCI US Equity","IS_OTHER_OPERATING_EXPN_ADJUST","FQ3 2024","FQ3 2024","Currency=USD","Period=FQ","BEST_FPERIOD_OVERRIDE=FQ","FILING_STATUS=MR","SCALING_FORMAT=MLN","Sort=A","Dates=H","DateFormat=P","Fill=—","Direction=H","UseDPDF=Y")</f>
        <v>0</v>
      </c>
      <c r="AA15" s="13">
        <f>_xll.BDH("ITCI US Equity","IS_OTHER_OPERATING_EXPN_ADJUST","FQ4 2024","FQ4 2024","Currency=USD","Period=FQ","BEST_FPERIOD_OVERRIDE=FQ","FILING_STATUS=MR","SCALING_FORMAT=MLN","Sort=A","Dates=H","DateFormat=P","Fill=—","Direction=H","UseDPDF=Y")</f>
        <v>0</v>
      </c>
    </row>
    <row r="16" spans="1:27" x14ac:dyDescent="0.25">
      <c r="A16" s="6" t="s">
        <v>495</v>
      </c>
      <c r="B16" s="6" t="s">
        <v>99</v>
      </c>
      <c r="C16" s="19">
        <f>_xll.BDH("ITCI US Equity","IS_OPER_INC","FQ4 2018","FQ4 2018","Currency=USD","Period=FQ","BEST_FPERIOD_OVERRIDE=FQ","FILING_STATUS=MR","SCALING_FORMAT=MLN","FA_ADJUSTED=Adjusted","Sort=A","Dates=H","DateFormat=P","Fill=—","Direction=H","UseDPDF=Y")</f>
        <v>-42.622900000000001</v>
      </c>
      <c r="D16" s="19">
        <f>_xll.BDH("ITCI US Equity","IS_OPER_INC","FQ1 2019","FQ1 2019","Currency=USD","Period=FQ","BEST_FPERIOD_OVERRIDE=FQ","FILING_STATUS=MR","SCALING_FORMAT=MLN","FA_ADJUSTED=Adjusted","Sort=A","Dates=H","DateFormat=P","Fill=—","Direction=H","UseDPDF=Y")</f>
        <v>-36.695799999999998</v>
      </c>
      <c r="E16" s="19">
        <f>_xll.BDH("ITCI US Equity","IS_OPER_INC","FQ2 2019","FQ2 2019","Currency=USD","Period=FQ","BEST_FPERIOD_OVERRIDE=FQ","FILING_STATUS=MR","SCALING_FORMAT=MLN","FA_ADJUSTED=Adjusted","Sort=A","Dates=H","DateFormat=P","Fill=—","Direction=H","UseDPDF=Y")</f>
        <v>-39.171100000000003</v>
      </c>
      <c r="F16" s="19">
        <f>_xll.BDH("ITCI US Equity","IS_OPER_INC","FQ3 2019","FQ3 2019","Currency=USD","Period=FQ","BEST_FPERIOD_OVERRIDE=FQ","FILING_STATUS=MR","SCALING_FORMAT=MLN","FA_ADJUSTED=Adjusted","Sort=A","Dates=H","DateFormat=P","Fill=—","Direction=H","UseDPDF=Y")</f>
        <v>-36.376199999999997</v>
      </c>
      <c r="G16" s="19">
        <f>_xll.BDH("ITCI US Equity","IS_OPER_INC","FQ4 2019","FQ4 2019","Currency=USD","Period=FQ","BEST_FPERIOD_OVERRIDE=FQ","FILING_STATUS=MR","SCALING_FORMAT=MLN","FA_ADJUSTED=Adjusted","Sort=A","Dates=H","DateFormat=P","Fill=—","Direction=H","UseDPDF=Y")</f>
        <v>-41.768700000000003</v>
      </c>
      <c r="H16" s="19">
        <f>_xll.BDH("ITCI US Equity","IS_OPER_INC","FQ1 2020","FQ1 2020","Currency=USD","Period=FQ","BEST_FPERIOD_OVERRIDE=FQ","FILING_STATUS=MR","SCALING_FORMAT=MLN","FA_ADJUSTED=Adjusted","Sort=A","Dates=H","DateFormat=P","Fill=—","Direction=H","UseDPDF=Y")</f>
        <v>-49.085500000000003</v>
      </c>
      <c r="I16" s="19">
        <f>_xll.BDH("ITCI US Equity","IS_OPER_INC","FQ2 2020","FQ2 2020","Currency=USD","Period=FQ","BEST_FPERIOD_OVERRIDE=FQ","FILING_STATUS=MR","SCALING_FORMAT=MLN","FA_ADJUSTED=Adjusted","Sort=A","Dates=H","DateFormat=P","Fill=—","Direction=H","UseDPDF=Y")</f>
        <v>-64.872299999999996</v>
      </c>
      <c r="J16" s="19">
        <f>_xll.BDH("ITCI US Equity","IS_OPER_INC","FQ3 2020","FQ3 2020","Currency=USD","Period=FQ","BEST_FPERIOD_OVERRIDE=FQ","FILING_STATUS=MR","SCALING_FORMAT=MLN","FA_ADJUSTED=Adjusted","Sort=A","Dates=H","DateFormat=P","Fill=—","Direction=H","UseDPDF=Y")</f>
        <v>-55.936500000000002</v>
      </c>
      <c r="K16" s="19">
        <f>_xll.BDH("ITCI US Equity","IS_OPER_INC","FQ4 2020","FQ4 2020","Currency=USD","Period=FQ","BEST_FPERIOD_OVERRIDE=FQ","FILING_STATUS=MR","SCALING_FORMAT=MLN","FA_ADJUSTED=Adjusted","Sort=A","Dates=H","DateFormat=P","Fill=—","Direction=H","UseDPDF=Y")</f>
        <v>-61.333300000000001</v>
      </c>
      <c r="L16" s="19">
        <f>_xll.BDH("ITCI US Equity","IS_OPER_INC","FQ1 2021","FQ1 2021","Currency=USD","Period=FQ","BEST_FPERIOD_OVERRIDE=FQ","FILING_STATUS=MR","SCALING_FORMAT=MLN","FA_ADJUSTED=Adjusted","Sort=A","Dates=H","DateFormat=P","Fill=—","Direction=H","UseDPDF=Y")</f>
        <v>-53.218699999999998</v>
      </c>
      <c r="M16" s="19">
        <f>_xll.BDH("ITCI US Equity","IS_OPER_INC","FQ2 2021","FQ2 2021","Currency=USD","Period=FQ","BEST_FPERIOD_OVERRIDE=FQ","FILING_STATUS=MR","SCALING_FORMAT=MLN","FA_ADJUSTED=Adjusted","Sort=A","Dates=H","DateFormat=P","Fill=—","Direction=H","UseDPDF=Y")</f>
        <v>-69.141099999999994</v>
      </c>
      <c r="N16" s="19">
        <f>_xll.BDH("ITCI US Equity","IS_OPER_INC","FQ3 2021","FQ3 2021","Currency=USD","Period=FQ","BEST_FPERIOD_OVERRIDE=FQ","FILING_STATUS=MR","SCALING_FORMAT=MLN","FA_ADJUSTED=Adjusted","Sort=A","Dates=H","DateFormat=P","Fill=—","Direction=H","UseDPDF=Y")</f>
        <v>-77.323800000000006</v>
      </c>
      <c r="O16" s="19">
        <f>_xll.BDH("ITCI US Equity","IS_OPER_INC","FQ4 2021","FQ4 2021","Currency=USD","Period=FQ","BEST_FPERIOD_OVERRIDE=FQ","FILING_STATUS=MR","SCALING_FORMAT=MLN","FA_ADJUSTED=Adjusted","Sort=A","Dates=H","DateFormat=P","Fill=—","Direction=H","UseDPDF=Y")</f>
        <v>-86.004599999999996</v>
      </c>
      <c r="P16" s="19">
        <f>_xll.BDH("ITCI US Equity","IS_OPER_INC","FQ1 2022","FQ1 2022","Currency=USD","Period=FQ","BEST_FPERIOD_OVERRIDE=FQ","FILING_STATUS=MR","SCALING_FORMAT=MLN","FA_ADJUSTED=Adjusted","Sort=A","Dates=H","DateFormat=P","Fill=—","Direction=H","UseDPDF=Y")</f>
        <v>-72.662000000000006</v>
      </c>
      <c r="Q16" s="19">
        <f>_xll.BDH("ITCI US Equity","IS_OPER_INC","FQ2 2022","FQ2 2022","Currency=USD","Period=FQ","BEST_FPERIOD_OVERRIDE=FQ","FILING_STATUS=MR","SCALING_FORMAT=MLN","FA_ADJUSTED=Adjusted","Sort=A","Dates=H","DateFormat=P","Fill=—","Direction=H","UseDPDF=Y")</f>
        <v>-87.923000000000002</v>
      </c>
      <c r="R16" s="19">
        <f>_xll.BDH("ITCI US Equity","IS_OPER_INC","FQ3 2022","FQ3 2022","Currency=USD","Period=FQ","BEST_FPERIOD_OVERRIDE=FQ","FILING_STATUS=MR","SCALING_FORMAT=MLN","FA_ADJUSTED=Adjusted","Sort=A","Dates=H","DateFormat=P","Fill=—","Direction=H","UseDPDF=Y")</f>
        <v>-55.628999999999998</v>
      </c>
      <c r="S16" s="19">
        <f>_xll.BDH("ITCI US Equity","IS_OPER_INC","FQ4 2022","FQ4 2022","Currency=USD","Period=FQ","BEST_FPERIOD_OVERRIDE=FQ","FILING_STATUS=MR","SCALING_FORMAT=MLN","FA_ADJUSTED=Adjusted","Sort=A","Dates=H","DateFormat=P","Fill=—","Direction=H","UseDPDF=Y")</f>
        <v>-47.411999999999999</v>
      </c>
      <c r="T16" s="19">
        <f>_xll.BDH("ITCI US Equity","IS_OPER_INC","FQ1 2023","FQ1 2023","Currency=USD","Period=FQ","BEST_FPERIOD_OVERRIDE=FQ","FILING_STATUS=MR","SCALING_FORMAT=MLN","FA_ADJUSTED=Adjusted","Sort=A","Dates=H","DateFormat=P","Fill=—","Direction=H","UseDPDF=Y")</f>
        <v>-48.392000000000003</v>
      </c>
      <c r="U16" s="19">
        <f>_xll.BDH("ITCI US Equity","IS_OPER_INC","FQ2 2023","FQ2 2023","Currency=USD","Period=FQ","BEST_FPERIOD_OVERRIDE=FQ","FILING_STATUS=MR","SCALING_FORMAT=MLN","FA_ADJUSTED=Adjusted","Sort=A","Dates=H","DateFormat=P","Fill=—","Direction=H","UseDPDF=Y")</f>
        <v>-47.179000000000002</v>
      </c>
      <c r="V16" s="19">
        <f>_xll.BDH("ITCI US Equity","IS_OPER_INC","FQ3 2023","FQ3 2023","Currency=USD","Period=FQ","BEST_FPERIOD_OVERRIDE=FQ","FILING_STATUS=MR","SCALING_FORMAT=MLN","FA_ADJUSTED=Adjusted","Sort=A","Dates=H","DateFormat=P","Fill=—","Direction=H","UseDPDF=Y")</f>
        <v>-29.713000000000001</v>
      </c>
      <c r="W16" s="19">
        <f>_xll.BDH("ITCI US Equity","IS_OPER_INC","FQ4 2023","FQ4 2023","Currency=USD","Period=FQ","BEST_FPERIOD_OVERRIDE=FQ","FILING_STATUS=MR","SCALING_FORMAT=MLN","FA_ADJUSTED=Adjusted","Sort=A","Dates=H","DateFormat=P","Fill=—","Direction=H","UseDPDF=Y")</f>
        <v>-34.097000000000001</v>
      </c>
      <c r="X16" s="19">
        <f>_xll.BDH("ITCI US Equity","IS_OPER_INC","FQ1 2024","FQ1 2024","Currency=USD","Period=FQ","BEST_FPERIOD_OVERRIDE=FQ","FILING_STATUS=MR","SCALING_FORMAT=MLN","FA_ADJUSTED=Adjusted","Sort=A","Dates=H","DateFormat=P","Fill=—","Direction=H","UseDPDF=Y")</f>
        <v>-20.952000000000002</v>
      </c>
      <c r="Y16" s="19">
        <f>_xll.BDH("ITCI US Equity","IS_OPER_INC","FQ2 2024","FQ2 2024","Currency=USD","Period=FQ","BEST_FPERIOD_OVERRIDE=FQ","FILING_STATUS=MR","SCALING_FORMAT=MLN","FA_ADJUSTED=Adjusted","Sort=A","Dates=H","DateFormat=P","Fill=—","Direction=H","UseDPDF=Y")</f>
        <v>-27.722999999999999</v>
      </c>
      <c r="Z16" s="19">
        <f>_xll.BDH("ITCI US Equity","IS_OPER_INC","FQ3 2024","FQ3 2024","Currency=USD","Period=FQ","BEST_FPERIOD_OVERRIDE=FQ","FILING_STATUS=MR","SCALING_FORMAT=MLN","FA_ADJUSTED=Adjusted","Sort=A","Dates=H","DateFormat=P","Fill=—","Direction=H","UseDPDF=Y")</f>
        <v>-38.848999999999997</v>
      </c>
      <c r="AA16" s="19">
        <f>_xll.BDH("ITCI US Equity","IS_OPER_INC","FQ4 2024","FQ4 2024","Currency=USD","Period=FQ","BEST_FPERIOD_OVERRIDE=FQ","FILING_STATUS=MR","SCALING_FORMAT=MLN","FA_ADJUSTED=Adjusted","Sort=A","Dates=H","DateFormat=P","Fill=—","Direction=H","UseDPDF=Y")</f>
        <v>-29.196999999999999</v>
      </c>
    </row>
    <row r="17" spans="1:27" x14ac:dyDescent="0.25">
      <c r="A17" s="10" t="s">
        <v>496</v>
      </c>
      <c r="B17" s="10" t="s">
        <v>497</v>
      </c>
      <c r="C17" s="13">
        <f>_xll.BDH("ITCI US Equity","ADJUSTED_DA_EXPENSES","FQ4 2018","FQ4 2018","Currency=USD","Period=FQ","BEST_FPERIOD_OVERRIDE=FQ","FILING_STATUS=MR","SCALING_FORMAT=MLN","Sort=A","Dates=H","DateFormat=P","Fill=—","Direction=H","UseDPDF=Y")</f>
        <v>9.5500000000000002E-2</v>
      </c>
      <c r="D17" s="13">
        <f>_xll.BDH("ITCI US Equity","ADJUSTED_DA_EXPENSES","FQ1 2019","FQ1 2019","Currency=USD","Period=FQ","BEST_FPERIOD_OVERRIDE=FQ","FILING_STATUS=MR","SCALING_FORMAT=MLN","Sort=A","Dates=H","DateFormat=P","Fill=—","Direction=H","UseDPDF=Y")</f>
        <v>0.1014</v>
      </c>
      <c r="E17" s="13">
        <f>_xll.BDH("ITCI US Equity","ADJUSTED_DA_EXPENSES","FQ2 2019","FQ2 2019","Currency=USD","Period=FQ","BEST_FPERIOD_OVERRIDE=FQ","FILING_STATUS=MR","SCALING_FORMAT=MLN","Sort=A","Dates=H","DateFormat=P","Fill=—","Direction=H","UseDPDF=Y")</f>
        <v>0.1051</v>
      </c>
      <c r="F17" s="13">
        <f>_xll.BDH("ITCI US Equity","ADJUSTED_DA_EXPENSES","FQ3 2019","FQ3 2019","Currency=USD","Period=FQ","BEST_FPERIOD_OVERRIDE=FQ","FILING_STATUS=MR","SCALING_FORMAT=MLN","Sort=A","Dates=H","DateFormat=P","Fill=—","Direction=H","UseDPDF=Y")</f>
        <v>0.12909999999999999</v>
      </c>
      <c r="G17" s="13">
        <f>_xll.BDH("ITCI US Equity","ADJUSTED_DA_EXPENSES","FQ4 2019","FQ4 2019","Currency=USD","Period=FQ","BEST_FPERIOD_OVERRIDE=FQ","FILING_STATUS=MR","SCALING_FORMAT=MLN","Sort=A","Dates=H","DateFormat=P","Fill=—","Direction=H","UseDPDF=Y")</f>
        <v>0.14169999999999999</v>
      </c>
      <c r="H17" s="13">
        <f>_xll.BDH("ITCI US Equity","ADJUSTED_DA_EXPENSES","FQ1 2020","FQ1 2020","Currency=USD","Period=FQ","BEST_FPERIOD_OVERRIDE=FQ","FILING_STATUS=MR","SCALING_FORMAT=MLN","Sort=A","Dates=H","DateFormat=P","Fill=—","Direction=H","UseDPDF=Y")</f>
        <v>0.14879999999999999</v>
      </c>
      <c r="I17" s="13">
        <f>_xll.BDH("ITCI US Equity","ADJUSTED_DA_EXPENSES","FQ2 2020","FQ2 2020","Currency=USD","Period=FQ","BEST_FPERIOD_OVERRIDE=FQ","FILING_STATUS=MR","SCALING_FORMAT=MLN","Sort=A","Dates=H","DateFormat=P","Fill=—","Direction=H","UseDPDF=Y")</f>
        <v>0.1323</v>
      </c>
      <c r="J17" s="13">
        <f>_xll.BDH("ITCI US Equity","ADJUSTED_DA_EXPENSES","FQ3 2020","FQ3 2020","Currency=USD","Period=FQ","BEST_FPERIOD_OVERRIDE=FQ","FILING_STATUS=MR","SCALING_FORMAT=MLN","Sort=A","Dates=H","DateFormat=P","Fill=—","Direction=H","UseDPDF=Y")</f>
        <v>0.121</v>
      </c>
      <c r="K17" s="13">
        <f>_xll.BDH("ITCI US Equity","ADJUSTED_DA_EXPENSES","FQ4 2020","FQ4 2020","Currency=USD","Period=FQ","BEST_FPERIOD_OVERRIDE=FQ","FILING_STATUS=MR","SCALING_FORMAT=MLN","Sort=A","Dates=H","DateFormat=P","Fill=—","Direction=H","UseDPDF=Y")</f>
        <v>0.126</v>
      </c>
      <c r="L17" s="13">
        <f>_xll.BDH("ITCI US Equity","ADJUSTED_DA_EXPENSES","FQ1 2021","FQ1 2021","Currency=USD","Period=FQ","BEST_FPERIOD_OVERRIDE=FQ","FILING_STATUS=MR","SCALING_FORMAT=MLN","Sort=A","Dates=H","DateFormat=P","Fill=—","Direction=H","UseDPDF=Y")</f>
        <v>0.127</v>
      </c>
      <c r="M17" s="13">
        <f>_xll.BDH("ITCI US Equity","ADJUSTED_DA_EXPENSES","FQ2 2021","FQ2 2021","Currency=USD","Period=FQ","BEST_FPERIOD_OVERRIDE=FQ","FILING_STATUS=MR","SCALING_FORMAT=MLN","Sort=A","Dates=H","DateFormat=P","Fill=—","Direction=H","UseDPDF=Y")</f>
        <v>0.12559999999999999</v>
      </c>
      <c r="N17" s="13">
        <f>_xll.BDH("ITCI US Equity","ADJUSTED_DA_EXPENSES","FQ3 2021","FQ3 2021","Currency=USD","Period=FQ","BEST_FPERIOD_OVERRIDE=FQ","FILING_STATUS=MR","SCALING_FORMAT=MLN","Sort=A","Dates=H","DateFormat=P","Fill=—","Direction=H","UseDPDF=Y")</f>
        <v>0.13389999999999999</v>
      </c>
      <c r="O17" s="13">
        <f>_xll.BDH("ITCI US Equity","ADJUSTED_DA_EXPENSES","FQ4 2021","FQ4 2021","Currency=USD","Period=FQ","BEST_FPERIOD_OVERRIDE=FQ","FILING_STATUS=MR","SCALING_FORMAT=MLN","Sort=A","Dates=H","DateFormat=P","Fill=—","Direction=H","UseDPDF=Y")</f>
        <v>0.14680000000000001</v>
      </c>
      <c r="P17" s="13">
        <f>_xll.BDH("ITCI US Equity","ADJUSTED_DA_EXPENSES","FQ1 2022","FQ1 2022","Currency=USD","Period=FQ","BEST_FPERIOD_OVERRIDE=FQ","FILING_STATUS=MR","SCALING_FORMAT=MLN","Sort=A","Dates=H","DateFormat=P","Fill=—","Direction=H","UseDPDF=Y")</f>
        <v>0.17100000000000001</v>
      </c>
      <c r="Q17" s="13">
        <f>_xll.BDH("ITCI US Equity","ADJUSTED_DA_EXPENSES","FQ2 2022","FQ2 2022","Currency=USD","Period=FQ","BEST_FPERIOD_OVERRIDE=FQ","FILING_STATUS=MR","SCALING_FORMAT=MLN","Sort=A","Dates=H","DateFormat=P","Fill=—","Direction=H","UseDPDF=Y")</f>
        <v>0.17199999999999999</v>
      </c>
      <c r="R17" s="13">
        <f>_xll.BDH("ITCI US Equity","ADJUSTED_DA_EXPENSES","FQ3 2022","FQ3 2022","Currency=USD","Period=FQ","BEST_FPERIOD_OVERRIDE=FQ","FILING_STATUS=MR","SCALING_FORMAT=MLN","Sort=A","Dates=H","DateFormat=P","Fill=—","Direction=H","UseDPDF=Y")</f>
        <v>0.17</v>
      </c>
      <c r="S17" s="13">
        <f>_xll.BDH("ITCI US Equity","ADJUSTED_DA_EXPENSES","FQ4 2022","FQ4 2022","Currency=USD","Period=FQ","BEST_FPERIOD_OVERRIDE=FQ","FILING_STATUS=MR","SCALING_FORMAT=MLN","Sort=A","Dates=H","DateFormat=P","Fill=—","Direction=H","UseDPDF=Y")</f>
        <v>0.14299999999999999</v>
      </c>
      <c r="T17" s="13">
        <f>_xll.BDH("ITCI US Equity","ADJUSTED_DA_EXPENSES","FQ1 2023","FQ1 2023","Currency=USD","Period=FQ","BEST_FPERIOD_OVERRIDE=FQ","FILING_STATUS=MR","SCALING_FORMAT=MLN","Sort=A","Dates=H","DateFormat=P","Fill=—","Direction=H","UseDPDF=Y")</f>
        <v>0.13400000000000001</v>
      </c>
      <c r="U17" s="13">
        <f>_xll.BDH("ITCI US Equity","ADJUSTED_DA_EXPENSES","FQ2 2023","FQ2 2023","Currency=USD","Period=FQ","BEST_FPERIOD_OVERRIDE=FQ","FILING_STATUS=MR","SCALING_FORMAT=MLN","Sort=A","Dates=H","DateFormat=P","Fill=—","Direction=H","UseDPDF=Y")</f>
        <v>0.123</v>
      </c>
      <c r="V17" s="13">
        <f>_xll.BDH("ITCI US Equity","ADJUSTED_DA_EXPENSES","FQ3 2023","FQ3 2023","Currency=USD","Period=FQ","BEST_FPERIOD_OVERRIDE=FQ","FILING_STATUS=MR","SCALING_FORMAT=MLN","Sort=A","Dates=H","DateFormat=P","Fill=—","Direction=H","UseDPDF=Y")</f>
        <v>0.13500000000000001</v>
      </c>
      <c r="W17" s="13">
        <f>_xll.BDH("ITCI US Equity","ADJUSTED_DA_EXPENSES","FQ4 2023","FQ4 2023","Currency=USD","Period=FQ","BEST_FPERIOD_OVERRIDE=FQ","FILING_STATUS=MR","SCALING_FORMAT=MLN","Sort=A","Dates=H","DateFormat=P","Fill=—","Direction=H","UseDPDF=Y")</f>
        <v>0.13600000000000001</v>
      </c>
      <c r="X17" s="13">
        <f>_xll.BDH("ITCI US Equity","ADJUSTED_DA_EXPENSES","FQ1 2024","FQ1 2024","Currency=USD","Period=FQ","BEST_FPERIOD_OVERRIDE=FQ","FILING_STATUS=MR","SCALING_FORMAT=MLN","Sort=A","Dates=H","DateFormat=P","Fill=—","Direction=H","UseDPDF=Y")</f>
        <v>0.13200000000000001</v>
      </c>
      <c r="Y17" s="13">
        <f>_xll.BDH("ITCI US Equity","ADJUSTED_DA_EXPENSES","FQ2 2024","FQ2 2024","Currency=USD","Period=FQ","BEST_FPERIOD_OVERRIDE=FQ","FILING_STATUS=MR","SCALING_FORMAT=MLN","Sort=A","Dates=H","DateFormat=P","Fill=—","Direction=H","UseDPDF=Y")</f>
        <v>0.129</v>
      </c>
      <c r="Z17" s="13">
        <f>_xll.BDH("ITCI US Equity","ADJUSTED_DA_EXPENSES","FQ3 2024","FQ3 2024","Currency=USD","Period=FQ","BEST_FPERIOD_OVERRIDE=FQ","FILING_STATUS=MR","SCALING_FORMAT=MLN","Sort=A","Dates=H","DateFormat=P","Fill=—","Direction=H","UseDPDF=Y")</f>
        <v>0.13800000000000001</v>
      </c>
      <c r="AA17" s="13">
        <f>_xll.BDH("ITCI US Equity","ADJUSTED_DA_EXPENSES","FQ4 2024","FQ4 2024","Currency=USD","Period=FQ","BEST_FPERIOD_OVERRIDE=FQ","FILING_STATUS=MR","SCALING_FORMAT=MLN","Sort=A","Dates=H","DateFormat=P","Fill=—","Direction=H","UseDPDF=Y")</f>
        <v>0.109</v>
      </c>
    </row>
    <row r="18" spans="1:27" x14ac:dyDescent="0.25">
      <c r="A18" s="10" t="s">
        <v>498</v>
      </c>
      <c r="B18" s="10" t="s">
        <v>499</v>
      </c>
      <c r="C18" s="13">
        <f>_xll.BDH("ITCI US Equity","COST_CAPITALIZED_OPERATING_LEAS","FQ4 2018","FQ4 2018","Currency=USD","Period=FQ","BEST_FPERIOD_OVERRIDE=FQ","FILING_STATUS=MR","SCALING_FORMAT=MLN","Sort=A","Dates=H","DateFormat=P","Fill=—","Direction=H","UseDPDF=Y")</f>
        <v>0</v>
      </c>
      <c r="D18" s="13">
        <f>_xll.BDH("ITCI US Equity","COST_CAPITALIZED_OPERATING_LEAS","FQ1 2019","FQ1 2019","Currency=USD","Period=FQ","BEST_FPERIOD_OVERRIDE=FQ","FILING_STATUS=MR","SCALING_FORMAT=MLN","Sort=A","Dates=H","DateFormat=P","Fill=—","Direction=H","UseDPDF=Y")</f>
        <v>0.83</v>
      </c>
      <c r="E18" s="13">
        <f>_xll.BDH("ITCI US Equity","COST_CAPITALIZED_OPERATING_LEAS","FQ2 2019","FQ2 2019","Currency=USD","Period=FQ","BEST_FPERIOD_OVERRIDE=FQ","FILING_STATUS=MR","SCALING_FORMAT=MLN","Sort=A","Dates=H","DateFormat=P","Fill=—","Direction=H","UseDPDF=Y")</f>
        <v>0.95599999999999996</v>
      </c>
      <c r="F18" s="13">
        <f>_xll.BDH("ITCI US Equity","COST_CAPITALIZED_OPERATING_LEAS","FQ3 2019","FQ3 2019","Currency=USD","Period=FQ","BEST_FPERIOD_OVERRIDE=FQ","FILING_STATUS=MR","SCALING_FORMAT=MLN","Sort=A","Dates=H","DateFormat=P","Fill=—","Direction=H","UseDPDF=Y")</f>
        <v>0.81799999999999995</v>
      </c>
      <c r="G18" s="13">
        <f>_xll.BDH("ITCI US Equity","COST_CAPITALIZED_OPERATING_LEAS","FQ4 2019","FQ4 2019","Currency=USD","Period=FQ","BEST_FPERIOD_OVERRIDE=FQ","FILING_STATUS=MR","SCALING_FORMAT=MLN","Sort=A","Dates=H","DateFormat=P","Fill=—","Direction=H","UseDPDF=Y")</f>
        <v>0.8</v>
      </c>
      <c r="H18" s="13">
        <f>_xll.BDH("ITCI US Equity","COST_CAPITALIZED_OPERATING_LEAS","FQ1 2020","FQ1 2020","Currency=USD","Period=FQ","BEST_FPERIOD_OVERRIDE=FQ","FILING_STATUS=MR","SCALING_FORMAT=MLN","Sort=A","Dates=H","DateFormat=P","Fill=—","Direction=H","UseDPDF=Y")</f>
        <v>0.81799999999999995</v>
      </c>
      <c r="I18" s="13">
        <f>_xll.BDH("ITCI US Equity","COST_CAPITALIZED_OPERATING_LEAS","FQ2 2020","FQ2 2020","Currency=USD","Period=FQ","BEST_FPERIOD_OVERRIDE=FQ","FILING_STATUS=MR","SCALING_FORMAT=MLN","Sort=A","Dates=H","DateFormat=P","Fill=—","Direction=H","UseDPDF=Y")</f>
        <v>0.8</v>
      </c>
      <c r="J18" s="13">
        <f>_xll.BDH("ITCI US Equity","COST_CAPITALIZED_OPERATING_LEAS","FQ3 2020","FQ3 2020","Currency=USD","Period=FQ","BEST_FPERIOD_OVERRIDE=FQ","FILING_STATUS=MR","SCALING_FORMAT=MLN","Sort=A","Dates=H","DateFormat=P","Fill=—","Direction=H","UseDPDF=Y")</f>
        <v>0.8</v>
      </c>
      <c r="K18" s="13">
        <f>_xll.BDH("ITCI US Equity","COST_CAPITALIZED_OPERATING_LEAS","FQ4 2020","FQ4 2020","Currency=USD","Period=FQ","BEST_FPERIOD_OVERRIDE=FQ","FILING_STATUS=MR","SCALING_FORMAT=MLN","Sort=A","Dates=H","DateFormat=P","Fill=—","Direction=H","UseDPDF=Y")</f>
        <v>0.3831</v>
      </c>
      <c r="L18" s="13">
        <f>_xll.BDH("ITCI US Equity","COST_CAPITALIZED_OPERATING_LEAS","FQ1 2021","FQ1 2021","Currency=USD","Period=FQ","BEST_FPERIOD_OVERRIDE=FQ","FILING_STATUS=MR","SCALING_FORMAT=MLN","Sort=A","Dates=H","DateFormat=P","Fill=—","Direction=H","UseDPDF=Y")</f>
        <v>0.8</v>
      </c>
      <c r="M18" s="13">
        <f>_xll.BDH("ITCI US Equity","COST_CAPITALIZED_OPERATING_LEAS","FQ2 2021","FQ2 2021","Currency=USD","Period=FQ","BEST_FPERIOD_OVERRIDE=FQ","FILING_STATUS=MR","SCALING_FORMAT=MLN","Sort=A","Dates=H","DateFormat=P","Fill=—","Direction=H","UseDPDF=Y")</f>
        <v>0.8</v>
      </c>
      <c r="N18" s="13">
        <f>_xll.BDH("ITCI US Equity","COST_CAPITALIZED_OPERATING_LEAS","FQ3 2021","FQ3 2021","Currency=USD","Period=FQ","BEST_FPERIOD_OVERRIDE=FQ","FILING_STATUS=MR","SCALING_FORMAT=MLN","Sort=A","Dates=H","DateFormat=P","Fill=—","Direction=H","UseDPDF=Y")</f>
        <v>0.8</v>
      </c>
      <c r="O18" s="13">
        <f>_xll.BDH("ITCI US Equity","COST_CAPITALIZED_OPERATING_LEAS","FQ4 2021","FQ4 2021","Currency=USD","Period=FQ","BEST_FPERIOD_OVERRIDE=FQ","FILING_STATUS=MR","SCALING_FORMAT=MLN","Sort=A","Dates=H","DateFormat=P","Fill=—","Direction=H","UseDPDF=Y")</f>
        <v>0.94889999999999997</v>
      </c>
      <c r="P18" s="13">
        <f>_xll.BDH("ITCI US Equity","COST_CAPITALIZED_OPERATING_LEAS","FQ1 2022","FQ1 2022","Currency=USD","Period=FQ","BEST_FPERIOD_OVERRIDE=FQ","FILING_STATUS=MR","SCALING_FORMAT=MLN","Sort=A","Dates=H","DateFormat=P","Fill=—","Direction=H","UseDPDF=Y")</f>
        <v>0</v>
      </c>
      <c r="Q18" s="13">
        <f>_xll.BDH("ITCI US Equity","COST_CAPITALIZED_OPERATING_LEAS","FQ2 2022","FQ2 2022","Currency=USD","Period=FQ","BEST_FPERIOD_OVERRIDE=FQ","FILING_STATUS=MR","SCALING_FORMAT=MLN","Sort=A","Dates=H","DateFormat=P","Fill=—","Direction=H","UseDPDF=Y")</f>
        <v>0</v>
      </c>
      <c r="R18" s="13">
        <f>_xll.BDH("ITCI US Equity","COST_CAPITALIZED_OPERATING_LEAS","FQ3 2022","FQ3 2022","Currency=USD","Period=FQ","BEST_FPERIOD_OVERRIDE=FQ","FILING_STATUS=MR","SCALING_FORMAT=MLN","Sort=A","Dates=H","DateFormat=P","Fill=—","Direction=H","UseDPDF=Y")</f>
        <v>0</v>
      </c>
      <c r="S18" s="13">
        <f>_xll.BDH("ITCI US Equity","COST_CAPITALIZED_OPERATING_LEAS","FQ4 2022","FQ4 2022","Currency=USD","Period=FQ","BEST_FPERIOD_OVERRIDE=FQ","FILING_STATUS=MR","SCALING_FORMAT=MLN","Sort=A","Dates=H","DateFormat=P","Fill=—","Direction=H","UseDPDF=Y")</f>
        <v>7.2039999999999997</v>
      </c>
      <c r="T18" s="13">
        <f>_xll.BDH("ITCI US Equity","COST_CAPITALIZED_OPERATING_LEAS","FQ1 2023","FQ1 2023","Currency=USD","Period=FQ","BEST_FPERIOD_OVERRIDE=FQ","FILING_STATUS=MR","SCALING_FORMAT=MLN","Sort=A","Dates=H","DateFormat=P","Fill=—","Direction=H","UseDPDF=Y")</f>
        <v>1.085</v>
      </c>
      <c r="U18" s="13">
        <f>_xll.BDH("ITCI US Equity","COST_CAPITALIZED_OPERATING_LEAS","FQ2 2023","FQ2 2023","Currency=USD","Period=FQ","BEST_FPERIOD_OVERRIDE=FQ","FILING_STATUS=MR","SCALING_FORMAT=MLN","Sort=A","Dates=H","DateFormat=P","Fill=—","Direction=H","UseDPDF=Y")</f>
        <v>0</v>
      </c>
      <c r="V18" s="13">
        <f>_xll.BDH("ITCI US Equity","COST_CAPITALIZED_OPERATING_LEAS","FQ3 2023","FQ3 2023","Currency=USD","Period=FQ","BEST_FPERIOD_OVERRIDE=FQ","FILING_STATUS=MR","SCALING_FORMAT=MLN","Sort=A","Dates=H","DateFormat=P","Fill=—","Direction=H","UseDPDF=Y")</f>
        <v>0.91800000000000004</v>
      </c>
      <c r="W18" s="13">
        <f>_xll.BDH("ITCI US Equity","COST_CAPITALIZED_OPERATING_LEAS","FQ4 2023","FQ4 2023","Currency=USD","Period=FQ","BEST_FPERIOD_OVERRIDE=FQ","FILING_STATUS=MR","SCALING_FORMAT=MLN","Sort=A","Dates=H","DateFormat=P","Fill=—","Direction=H","UseDPDF=Y")</f>
        <v>7.6849999999999996</v>
      </c>
      <c r="X18" s="13">
        <f>_xll.BDH("ITCI US Equity","COST_CAPITALIZED_OPERATING_LEAS","FQ1 2024","FQ1 2024","Currency=USD","Period=FQ","BEST_FPERIOD_OVERRIDE=FQ","FILING_STATUS=MR","SCALING_FORMAT=MLN","Sort=A","Dates=H","DateFormat=P","Fill=—","Direction=H","UseDPDF=Y")</f>
        <v>0.94099999999999995</v>
      </c>
      <c r="Y18" s="13">
        <f>_xll.BDH("ITCI US Equity","COST_CAPITALIZED_OPERATING_LEAS","FQ2 2024","FQ2 2024","Currency=USD","Period=FQ","BEST_FPERIOD_OVERRIDE=FQ","FILING_STATUS=MR","SCALING_FORMAT=MLN","Sort=A","Dates=H","DateFormat=P","Fill=—","Direction=H","UseDPDF=Y")</f>
        <v>1.0329999999999999</v>
      </c>
      <c r="Z18" s="13">
        <f>_xll.BDH("ITCI US Equity","COST_CAPITALIZED_OPERATING_LEAS","FQ3 2024","FQ3 2024","Currency=USD","Period=FQ","BEST_FPERIOD_OVERRIDE=FQ","FILING_STATUS=MR","SCALING_FORMAT=MLN","Sort=A","Dates=H","DateFormat=P","Fill=—","Direction=H","UseDPDF=Y")</f>
        <v>1.0529999999999999</v>
      </c>
      <c r="AA18" s="13">
        <f>_xll.BDH("ITCI US Equity","COST_CAPITALIZED_OPERATING_LEAS","FQ4 2024","FQ4 2024","Currency=USD","Period=FQ","BEST_FPERIOD_OVERRIDE=FQ","FILING_STATUS=MR","SCALING_FORMAT=MLN","Sort=A","Dates=H","DateFormat=P","Fill=—","Direction=H","UseDPDF=Y")</f>
        <v>2.1059999999999999</v>
      </c>
    </row>
    <row r="19" spans="1:27" x14ac:dyDescent="0.25">
      <c r="A19" s="6" t="s">
        <v>500</v>
      </c>
      <c r="B19" s="6" t="s">
        <v>78</v>
      </c>
      <c r="C19" s="19">
        <f>_xll.BDH("ITCI US Equity","EBITDA","FQ4 2018","FQ4 2018","Currency=USD","Period=FQ","BEST_FPERIOD_OVERRIDE=FQ","FILING_STATUS=MR","SCALING_FORMAT=MLN","FA_ADJUSTED=Adjusted","Sort=A","Dates=H","DateFormat=P","Fill=—","Direction=H","UseDPDF=Y")</f>
        <v>-42.527500000000003</v>
      </c>
      <c r="D19" s="19">
        <f>_xll.BDH("ITCI US Equity","EBITDA","FQ1 2019","FQ1 2019","Currency=USD","Period=FQ","BEST_FPERIOD_OVERRIDE=FQ","FILING_STATUS=MR","SCALING_FORMAT=MLN","FA_ADJUSTED=Adjusted","Sort=A","Dates=H","DateFormat=P","Fill=—","Direction=H","UseDPDF=Y")</f>
        <v>-35.764499999999998</v>
      </c>
      <c r="E19" s="19">
        <f>_xll.BDH("ITCI US Equity","EBITDA","FQ2 2019","FQ2 2019","Currency=USD","Period=FQ","BEST_FPERIOD_OVERRIDE=FQ","FILING_STATUS=MR","SCALING_FORMAT=MLN","FA_ADJUSTED=Adjusted","Sort=A","Dates=H","DateFormat=P","Fill=—","Direction=H","UseDPDF=Y")</f>
        <v>-38.110100000000003</v>
      </c>
      <c r="F19" s="19">
        <f>_xll.BDH("ITCI US Equity","EBITDA","FQ3 2019","FQ3 2019","Currency=USD","Period=FQ","BEST_FPERIOD_OVERRIDE=FQ","FILING_STATUS=MR","SCALING_FORMAT=MLN","FA_ADJUSTED=Adjusted","Sort=A","Dates=H","DateFormat=P","Fill=—","Direction=H","UseDPDF=Y")</f>
        <v>-35.429200000000002</v>
      </c>
      <c r="G19" s="19">
        <f>_xll.BDH("ITCI US Equity","EBITDA","FQ4 2019","FQ4 2019","Currency=USD","Period=FQ","BEST_FPERIOD_OVERRIDE=FQ","FILING_STATUS=MR","SCALING_FORMAT=MLN","FA_ADJUSTED=Adjusted","Sort=A","Dates=H","DateFormat=P","Fill=—","Direction=H","UseDPDF=Y")</f>
        <v>-40.826999999999998</v>
      </c>
      <c r="H19" s="19">
        <f>_xll.BDH("ITCI US Equity","EBITDA","FQ1 2020","FQ1 2020","Currency=USD","Period=FQ","BEST_FPERIOD_OVERRIDE=FQ","FILING_STATUS=MR","SCALING_FORMAT=MLN","FA_ADJUSTED=Adjusted","Sort=A","Dates=H","DateFormat=P","Fill=—","Direction=H","UseDPDF=Y")</f>
        <v>-48.118699999999997</v>
      </c>
      <c r="I19" s="19">
        <f>_xll.BDH("ITCI US Equity","EBITDA","FQ2 2020","FQ2 2020","Currency=USD","Period=FQ","BEST_FPERIOD_OVERRIDE=FQ","FILING_STATUS=MR","SCALING_FORMAT=MLN","FA_ADJUSTED=Adjusted","Sort=A","Dates=H","DateFormat=P","Fill=—","Direction=H","UseDPDF=Y")</f>
        <v>-63.94</v>
      </c>
      <c r="J19" s="19">
        <f>_xll.BDH("ITCI US Equity","EBITDA","FQ3 2020","FQ3 2020","Currency=USD","Period=FQ","BEST_FPERIOD_OVERRIDE=FQ","FILING_STATUS=MR","SCALING_FORMAT=MLN","FA_ADJUSTED=Adjusted","Sort=A","Dates=H","DateFormat=P","Fill=—","Direction=H","UseDPDF=Y")</f>
        <v>-55.0154</v>
      </c>
      <c r="K19" s="19">
        <f>_xll.BDH("ITCI US Equity","EBITDA","FQ4 2020","FQ4 2020","Currency=USD","Period=FQ","BEST_FPERIOD_OVERRIDE=FQ","FILING_STATUS=MR","SCALING_FORMAT=MLN","FA_ADJUSTED=Adjusted","Sort=A","Dates=H","DateFormat=P","Fill=—","Direction=H","UseDPDF=Y")</f>
        <v>-60.824300000000001</v>
      </c>
      <c r="L19" s="19">
        <f>_xll.BDH("ITCI US Equity","EBITDA","FQ1 2021","FQ1 2021","Currency=USD","Period=FQ","BEST_FPERIOD_OVERRIDE=FQ","FILING_STATUS=MR","SCALING_FORMAT=MLN","FA_ADJUSTED=Adjusted","Sort=A","Dates=H","DateFormat=P","Fill=—","Direction=H","UseDPDF=Y")</f>
        <v>-52.291699999999999</v>
      </c>
      <c r="M19" s="19">
        <f>_xll.BDH("ITCI US Equity","EBITDA","FQ2 2021","FQ2 2021","Currency=USD","Period=FQ","BEST_FPERIOD_OVERRIDE=FQ","FILING_STATUS=MR","SCALING_FORMAT=MLN","FA_ADJUSTED=Adjusted","Sort=A","Dates=H","DateFormat=P","Fill=—","Direction=H","UseDPDF=Y")</f>
        <v>-68.215500000000006</v>
      </c>
      <c r="N19" s="19">
        <f>_xll.BDH("ITCI US Equity","EBITDA","FQ3 2021","FQ3 2021","Currency=USD","Period=FQ","BEST_FPERIOD_OVERRIDE=FQ","FILING_STATUS=MR","SCALING_FORMAT=MLN","FA_ADJUSTED=Adjusted","Sort=A","Dates=H","DateFormat=P","Fill=—","Direction=H","UseDPDF=Y")</f>
        <v>-76.389899999999997</v>
      </c>
      <c r="O19" s="19">
        <f>_xll.BDH("ITCI US Equity","EBITDA","FQ4 2021","FQ4 2021","Currency=USD","Period=FQ","BEST_FPERIOD_OVERRIDE=FQ","FILING_STATUS=MR","SCALING_FORMAT=MLN","FA_ADJUSTED=Adjusted","Sort=A","Dates=H","DateFormat=P","Fill=—","Direction=H","UseDPDF=Y")</f>
        <v>-84.908799999999999</v>
      </c>
      <c r="P19" s="19">
        <f>_xll.BDH("ITCI US Equity","EBITDA","FQ1 2022","FQ1 2022","Currency=USD","Period=FQ","BEST_FPERIOD_OVERRIDE=FQ","FILING_STATUS=MR","SCALING_FORMAT=MLN","FA_ADJUSTED=Adjusted","Sort=A","Dates=H","DateFormat=P","Fill=—","Direction=H","UseDPDF=Y")</f>
        <v>-72.491</v>
      </c>
      <c r="Q19" s="19">
        <f>_xll.BDH("ITCI US Equity","EBITDA","FQ2 2022","FQ2 2022","Currency=USD","Period=FQ","BEST_FPERIOD_OVERRIDE=FQ","FILING_STATUS=MR","SCALING_FORMAT=MLN","FA_ADJUSTED=Adjusted","Sort=A","Dates=H","DateFormat=P","Fill=—","Direction=H","UseDPDF=Y")</f>
        <v>-87.751000000000005</v>
      </c>
      <c r="R19" s="19">
        <f>_xll.BDH("ITCI US Equity","EBITDA","FQ3 2022","FQ3 2022","Currency=USD","Period=FQ","BEST_FPERIOD_OVERRIDE=FQ","FILING_STATUS=MR","SCALING_FORMAT=MLN","FA_ADJUSTED=Adjusted","Sort=A","Dates=H","DateFormat=P","Fill=—","Direction=H","UseDPDF=Y")</f>
        <v>-55.459000000000003</v>
      </c>
      <c r="S19" s="19">
        <f>_xll.BDH("ITCI US Equity","EBITDA","FQ4 2022","FQ4 2022","Currency=USD","Period=FQ","BEST_FPERIOD_OVERRIDE=FQ","FILING_STATUS=MR","SCALING_FORMAT=MLN","FA_ADJUSTED=Adjusted","Sort=A","Dates=H","DateFormat=P","Fill=—","Direction=H","UseDPDF=Y")</f>
        <v>-40.064999999999998</v>
      </c>
      <c r="T19" s="19">
        <f>_xll.BDH("ITCI US Equity","EBITDA","FQ1 2023","FQ1 2023","Currency=USD","Period=FQ","BEST_FPERIOD_OVERRIDE=FQ","FILING_STATUS=MR","SCALING_FORMAT=MLN","FA_ADJUSTED=Adjusted","Sort=A","Dates=H","DateFormat=P","Fill=—","Direction=H","UseDPDF=Y")</f>
        <v>-47.173000000000002</v>
      </c>
      <c r="U19" s="19">
        <f>_xll.BDH("ITCI US Equity","EBITDA","FQ2 2023","FQ2 2023","Currency=USD","Period=FQ","BEST_FPERIOD_OVERRIDE=FQ","FILING_STATUS=MR","SCALING_FORMAT=MLN","FA_ADJUSTED=Adjusted","Sort=A","Dates=H","DateFormat=P","Fill=—","Direction=H","UseDPDF=Y")</f>
        <v>-47.055999999999997</v>
      </c>
      <c r="V19" s="19">
        <f>_xll.BDH("ITCI US Equity","EBITDA","FQ3 2023","FQ3 2023","Currency=USD","Period=FQ","BEST_FPERIOD_OVERRIDE=FQ","FILING_STATUS=MR","SCALING_FORMAT=MLN","FA_ADJUSTED=Adjusted","Sort=A","Dates=H","DateFormat=P","Fill=—","Direction=H","UseDPDF=Y")</f>
        <v>-28.66</v>
      </c>
      <c r="W19" s="19">
        <f>_xll.BDH("ITCI US Equity","EBITDA","FQ4 2023","FQ4 2023","Currency=USD","Period=FQ","BEST_FPERIOD_OVERRIDE=FQ","FILING_STATUS=MR","SCALING_FORMAT=MLN","FA_ADJUSTED=Adjusted","Sort=A","Dates=H","DateFormat=P","Fill=—","Direction=H","UseDPDF=Y")</f>
        <v>-26.276</v>
      </c>
      <c r="X19" s="19">
        <f>_xll.BDH("ITCI US Equity","EBITDA","FQ1 2024","FQ1 2024","Currency=USD","Period=FQ","BEST_FPERIOD_OVERRIDE=FQ","FILING_STATUS=MR","SCALING_FORMAT=MLN","FA_ADJUSTED=Adjusted","Sort=A","Dates=H","DateFormat=P","Fill=—","Direction=H","UseDPDF=Y")</f>
        <v>-19.879000000000001</v>
      </c>
      <c r="Y19" s="19">
        <f>_xll.BDH("ITCI US Equity","EBITDA","FQ2 2024","FQ2 2024","Currency=USD","Period=FQ","BEST_FPERIOD_OVERRIDE=FQ","FILING_STATUS=MR","SCALING_FORMAT=MLN","FA_ADJUSTED=Adjusted","Sort=A","Dates=H","DateFormat=P","Fill=—","Direction=H","UseDPDF=Y")</f>
        <v>-26.561</v>
      </c>
      <c r="Z19" s="19">
        <f>_xll.BDH("ITCI US Equity","EBITDA","FQ3 2024","FQ3 2024","Currency=USD","Period=FQ","BEST_FPERIOD_OVERRIDE=FQ","FILING_STATUS=MR","SCALING_FORMAT=MLN","FA_ADJUSTED=Adjusted","Sort=A","Dates=H","DateFormat=P","Fill=—","Direction=H","UseDPDF=Y")</f>
        <v>-37.658000000000001</v>
      </c>
      <c r="AA19" s="19">
        <f>_xll.BDH("ITCI US Equity","EBITDA","FQ4 2024","FQ4 2024","Currency=USD","Period=FQ","BEST_FPERIOD_OVERRIDE=FQ","FILING_STATUS=MR","SCALING_FORMAT=MLN","FA_ADJUSTED=Adjusted","Sort=A","Dates=H","DateFormat=P","Fill=—","Direction=H","UseDPDF=Y")</f>
        <v>-26.981999999999999</v>
      </c>
    </row>
    <row r="20" spans="1:27" x14ac:dyDescent="0.25">
      <c r="A20" s="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x14ac:dyDescent="0.25">
      <c r="A21" s="6" t="s">
        <v>501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x14ac:dyDescent="0.25">
      <c r="A22" s="6" t="s">
        <v>478</v>
      </c>
      <c r="B22" s="6" t="s">
        <v>99</v>
      </c>
      <c r="C22" s="19">
        <f>_xll.BDH("ITCI US Equity","IS_OPER_INC","FQ4 2018","FQ4 2018","Currency=USD","Period=FQ","BEST_FPERIOD_OVERRIDE=FQ","FILING_STATUS=MR","SCALING_FORMAT=MLN","FA_ADJUSTED=GAAP","Sort=A","Dates=H","DateFormat=P","Fill=—","Direction=H","UseDPDF=Y")</f>
        <v>-42.622900000000001</v>
      </c>
      <c r="D22" s="19">
        <f>_xll.BDH("ITCI US Equity","IS_OPER_INC","FQ1 2019","FQ1 2019","Currency=USD","Period=FQ","BEST_FPERIOD_OVERRIDE=FQ","FILING_STATUS=MR","SCALING_FORMAT=MLN","FA_ADJUSTED=GAAP","Sort=A","Dates=H","DateFormat=P","Fill=—","Direction=H","UseDPDF=Y")</f>
        <v>-36.695799999999998</v>
      </c>
      <c r="E22" s="19">
        <f>_xll.BDH("ITCI US Equity","IS_OPER_INC","FQ2 2019","FQ2 2019","Currency=USD","Period=FQ","BEST_FPERIOD_OVERRIDE=FQ","FILING_STATUS=MR","SCALING_FORMAT=MLN","FA_ADJUSTED=GAAP","Sort=A","Dates=H","DateFormat=P","Fill=—","Direction=H","UseDPDF=Y")</f>
        <v>-39.171100000000003</v>
      </c>
      <c r="F22" s="19">
        <f>_xll.BDH("ITCI US Equity","IS_OPER_INC","FQ3 2019","FQ3 2019","Currency=USD","Period=FQ","BEST_FPERIOD_OVERRIDE=FQ","FILING_STATUS=MR","SCALING_FORMAT=MLN","FA_ADJUSTED=GAAP","Sort=A","Dates=H","DateFormat=P","Fill=—","Direction=H","UseDPDF=Y")</f>
        <v>-36.376199999999997</v>
      </c>
      <c r="G22" s="19">
        <f>_xll.BDH("ITCI US Equity","IS_OPER_INC","FQ4 2019","FQ4 2019","Currency=USD","Period=FQ","BEST_FPERIOD_OVERRIDE=FQ","FILING_STATUS=MR","SCALING_FORMAT=MLN","FA_ADJUSTED=GAAP","Sort=A","Dates=H","DateFormat=P","Fill=—","Direction=H","UseDPDF=Y")</f>
        <v>-41.768700000000003</v>
      </c>
      <c r="H22" s="19">
        <f>_xll.BDH("ITCI US Equity","IS_OPER_INC","FQ1 2020","FQ1 2020","Currency=USD","Period=FQ","BEST_FPERIOD_OVERRIDE=FQ","FILING_STATUS=MR","SCALING_FORMAT=MLN","FA_ADJUSTED=GAAP","Sort=A","Dates=H","DateFormat=P","Fill=—","Direction=H","UseDPDF=Y")</f>
        <v>-49.085500000000003</v>
      </c>
      <c r="I22" s="19">
        <f>_xll.BDH("ITCI US Equity","IS_OPER_INC","FQ2 2020","FQ2 2020","Currency=USD","Period=FQ","BEST_FPERIOD_OVERRIDE=FQ","FILING_STATUS=MR","SCALING_FORMAT=MLN","FA_ADJUSTED=GAAP","Sort=A","Dates=H","DateFormat=P","Fill=—","Direction=H","UseDPDF=Y")</f>
        <v>-64.872299999999996</v>
      </c>
      <c r="J22" s="19">
        <f>_xll.BDH("ITCI US Equity","IS_OPER_INC","FQ3 2020","FQ3 2020","Currency=USD","Period=FQ","BEST_FPERIOD_OVERRIDE=FQ","FILING_STATUS=MR","SCALING_FORMAT=MLN","FA_ADJUSTED=GAAP","Sort=A","Dates=H","DateFormat=P","Fill=—","Direction=H","UseDPDF=Y")</f>
        <v>-55.936500000000002</v>
      </c>
      <c r="K22" s="19">
        <f>_xll.BDH("ITCI US Equity","IS_OPER_INC","FQ4 2020","FQ4 2020","Currency=USD","Period=FQ","BEST_FPERIOD_OVERRIDE=FQ","FILING_STATUS=MR","SCALING_FORMAT=MLN","FA_ADJUSTED=GAAP","Sort=A","Dates=H","DateFormat=P","Fill=—","Direction=H","UseDPDF=Y")</f>
        <v>-61.333300000000001</v>
      </c>
      <c r="L22" s="19">
        <f>_xll.BDH("ITCI US Equity","IS_OPER_INC","FQ1 2021","FQ1 2021","Currency=USD","Period=FQ","BEST_FPERIOD_OVERRIDE=FQ","FILING_STATUS=MR","SCALING_FORMAT=MLN","FA_ADJUSTED=GAAP","Sort=A","Dates=H","DateFormat=P","Fill=—","Direction=H","UseDPDF=Y")</f>
        <v>-53.218699999999998</v>
      </c>
      <c r="M22" s="19">
        <f>_xll.BDH("ITCI US Equity","IS_OPER_INC","FQ2 2021","FQ2 2021","Currency=USD","Period=FQ","BEST_FPERIOD_OVERRIDE=FQ","FILING_STATUS=MR","SCALING_FORMAT=MLN","FA_ADJUSTED=GAAP","Sort=A","Dates=H","DateFormat=P","Fill=—","Direction=H","UseDPDF=Y")</f>
        <v>-69.141099999999994</v>
      </c>
      <c r="N22" s="19">
        <f>_xll.BDH("ITCI US Equity","IS_OPER_INC","FQ3 2021","FQ3 2021","Currency=USD","Period=FQ","BEST_FPERIOD_OVERRIDE=FQ","FILING_STATUS=MR","SCALING_FORMAT=MLN","FA_ADJUSTED=GAAP","Sort=A","Dates=H","DateFormat=P","Fill=—","Direction=H","UseDPDF=Y")</f>
        <v>-77.323800000000006</v>
      </c>
      <c r="O22" s="19">
        <f>_xll.BDH("ITCI US Equity","IS_OPER_INC","FQ4 2021","FQ4 2021","Currency=USD","Period=FQ","BEST_FPERIOD_OVERRIDE=FQ","FILING_STATUS=MR","SCALING_FORMAT=MLN","FA_ADJUSTED=GAAP","Sort=A","Dates=H","DateFormat=P","Fill=—","Direction=H","UseDPDF=Y")</f>
        <v>-86.004599999999996</v>
      </c>
      <c r="P22" s="19">
        <f>_xll.BDH("ITCI US Equity","IS_OPER_INC","FQ1 2022","FQ1 2022","Currency=USD","Period=FQ","BEST_FPERIOD_OVERRIDE=FQ","FILING_STATUS=MR","SCALING_FORMAT=MLN","FA_ADJUSTED=GAAP","Sort=A","Dates=H","DateFormat=P","Fill=—","Direction=H","UseDPDF=Y")</f>
        <v>-72.662000000000006</v>
      </c>
      <c r="Q22" s="19">
        <f>_xll.BDH("ITCI US Equity","IS_OPER_INC","FQ2 2022","FQ2 2022","Currency=USD","Period=FQ","BEST_FPERIOD_OVERRIDE=FQ","FILING_STATUS=MR","SCALING_FORMAT=MLN","FA_ADJUSTED=GAAP","Sort=A","Dates=H","DateFormat=P","Fill=—","Direction=H","UseDPDF=Y")</f>
        <v>-87.923000000000002</v>
      </c>
      <c r="R22" s="19">
        <f>_xll.BDH("ITCI US Equity","IS_OPER_INC","FQ3 2022","FQ3 2022","Currency=USD","Period=FQ","BEST_FPERIOD_OVERRIDE=FQ","FILING_STATUS=MR","SCALING_FORMAT=MLN","FA_ADJUSTED=GAAP","Sort=A","Dates=H","DateFormat=P","Fill=—","Direction=H","UseDPDF=Y")</f>
        <v>-55.628999999999998</v>
      </c>
      <c r="S22" s="19">
        <f>_xll.BDH("ITCI US Equity","IS_OPER_INC","FQ4 2022","FQ4 2022","Currency=USD","Period=FQ","BEST_FPERIOD_OVERRIDE=FQ","FILING_STATUS=MR","SCALING_FORMAT=MLN","FA_ADJUSTED=GAAP","Sort=A","Dates=H","DateFormat=P","Fill=—","Direction=H","UseDPDF=Y")</f>
        <v>-47.411999999999999</v>
      </c>
      <c r="T22" s="19">
        <f>_xll.BDH("ITCI US Equity","IS_OPER_INC","FQ1 2023","FQ1 2023","Currency=USD","Period=FQ","BEST_FPERIOD_OVERRIDE=FQ","FILING_STATUS=MR","SCALING_FORMAT=MLN","FA_ADJUSTED=GAAP","Sort=A","Dates=H","DateFormat=P","Fill=—","Direction=H","UseDPDF=Y")</f>
        <v>-48.392000000000003</v>
      </c>
      <c r="U22" s="19">
        <f>_xll.BDH("ITCI US Equity","IS_OPER_INC","FQ2 2023","FQ2 2023","Currency=USD","Period=FQ","BEST_FPERIOD_OVERRIDE=FQ","FILING_STATUS=MR","SCALING_FORMAT=MLN","FA_ADJUSTED=GAAP","Sort=A","Dates=H","DateFormat=P","Fill=—","Direction=H","UseDPDF=Y")</f>
        <v>-47.179000000000002</v>
      </c>
      <c r="V22" s="19">
        <f>_xll.BDH("ITCI US Equity","IS_OPER_INC","FQ3 2023","FQ3 2023","Currency=USD","Period=FQ","BEST_FPERIOD_OVERRIDE=FQ","FILING_STATUS=MR","SCALING_FORMAT=MLN","FA_ADJUSTED=GAAP","Sort=A","Dates=H","DateFormat=P","Fill=—","Direction=H","UseDPDF=Y")</f>
        <v>-29.713000000000001</v>
      </c>
      <c r="W22" s="19">
        <f>_xll.BDH("ITCI US Equity","IS_OPER_INC","FQ4 2023","FQ4 2023","Currency=USD","Period=FQ","BEST_FPERIOD_OVERRIDE=FQ","FILING_STATUS=MR","SCALING_FORMAT=MLN","FA_ADJUSTED=GAAP","Sort=A","Dates=H","DateFormat=P","Fill=—","Direction=H","UseDPDF=Y")</f>
        <v>-34.097000000000001</v>
      </c>
      <c r="X22" s="19">
        <f>_xll.BDH("ITCI US Equity","IS_OPER_INC","FQ1 2024","FQ1 2024","Currency=USD","Period=FQ","BEST_FPERIOD_OVERRIDE=FQ","FILING_STATUS=MR","SCALING_FORMAT=MLN","FA_ADJUSTED=GAAP","Sort=A","Dates=H","DateFormat=P","Fill=—","Direction=H","UseDPDF=Y")</f>
        <v>-20.952000000000002</v>
      </c>
      <c r="Y22" s="19">
        <f>_xll.BDH("ITCI US Equity","IS_OPER_INC","FQ2 2024","FQ2 2024","Currency=USD","Period=FQ","BEST_FPERIOD_OVERRIDE=FQ","FILING_STATUS=MR","SCALING_FORMAT=MLN","FA_ADJUSTED=GAAP","Sort=A","Dates=H","DateFormat=P","Fill=—","Direction=H","UseDPDF=Y")</f>
        <v>-27.722999999999999</v>
      </c>
      <c r="Z22" s="19">
        <f>_xll.BDH("ITCI US Equity","IS_OPER_INC","FQ3 2024","FQ3 2024","Currency=USD","Period=FQ","BEST_FPERIOD_OVERRIDE=FQ","FILING_STATUS=MR","SCALING_FORMAT=MLN","FA_ADJUSTED=GAAP","Sort=A","Dates=H","DateFormat=P","Fill=—","Direction=H","UseDPDF=Y")</f>
        <v>-38.848999999999997</v>
      </c>
      <c r="AA22" s="19">
        <f>_xll.BDH("ITCI US Equity","IS_OPER_INC","FQ4 2024","FQ4 2024","Currency=USD","Period=FQ","BEST_FPERIOD_OVERRIDE=FQ","FILING_STATUS=MR","SCALING_FORMAT=MLN","FA_ADJUSTED=GAAP","Sort=A","Dates=H","DateFormat=P","Fill=—","Direction=H","UseDPDF=Y")</f>
        <v>-29.196999999999999</v>
      </c>
    </row>
    <row r="23" spans="1:27" x14ac:dyDescent="0.25">
      <c r="A23" s="6" t="s">
        <v>495</v>
      </c>
      <c r="B23" s="6" t="s">
        <v>99</v>
      </c>
      <c r="C23" s="19">
        <f>_xll.BDH("ITCI US Equity","IS_OPER_INC","FQ4 2018","FQ4 2018","Currency=USD","Period=FQ","BEST_FPERIOD_OVERRIDE=FQ","FILING_STATUS=MR","SCALING_FORMAT=MLN","FA_ADJUSTED=Adjusted","Sort=A","Dates=H","DateFormat=P","Fill=—","Direction=H","UseDPDF=Y")</f>
        <v>-42.622900000000001</v>
      </c>
      <c r="D23" s="19">
        <f>_xll.BDH("ITCI US Equity","IS_OPER_INC","FQ1 2019","FQ1 2019","Currency=USD","Period=FQ","BEST_FPERIOD_OVERRIDE=FQ","FILING_STATUS=MR","SCALING_FORMAT=MLN","FA_ADJUSTED=Adjusted","Sort=A","Dates=H","DateFormat=P","Fill=—","Direction=H","UseDPDF=Y")</f>
        <v>-36.695799999999998</v>
      </c>
      <c r="E23" s="19">
        <f>_xll.BDH("ITCI US Equity","IS_OPER_INC","FQ2 2019","FQ2 2019","Currency=USD","Period=FQ","BEST_FPERIOD_OVERRIDE=FQ","FILING_STATUS=MR","SCALING_FORMAT=MLN","FA_ADJUSTED=Adjusted","Sort=A","Dates=H","DateFormat=P","Fill=—","Direction=H","UseDPDF=Y")</f>
        <v>-39.171100000000003</v>
      </c>
      <c r="F23" s="19">
        <f>_xll.BDH("ITCI US Equity","IS_OPER_INC","FQ3 2019","FQ3 2019","Currency=USD","Period=FQ","BEST_FPERIOD_OVERRIDE=FQ","FILING_STATUS=MR","SCALING_FORMAT=MLN","FA_ADJUSTED=Adjusted","Sort=A","Dates=H","DateFormat=P","Fill=—","Direction=H","UseDPDF=Y")</f>
        <v>-36.376199999999997</v>
      </c>
      <c r="G23" s="19">
        <f>_xll.BDH("ITCI US Equity","IS_OPER_INC","FQ4 2019","FQ4 2019","Currency=USD","Period=FQ","BEST_FPERIOD_OVERRIDE=FQ","FILING_STATUS=MR","SCALING_FORMAT=MLN","FA_ADJUSTED=Adjusted","Sort=A","Dates=H","DateFormat=P","Fill=—","Direction=H","UseDPDF=Y")</f>
        <v>-41.768700000000003</v>
      </c>
      <c r="H23" s="19">
        <f>_xll.BDH("ITCI US Equity","IS_OPER_INC","FQ1 2020","FQ1 2020","Currency=USD","Period=FQ","BEST_FPERIOD_OVERRIDE=FQ","FILING_STATUS=MR","SCALING_FORMAT=MLN","FA_ADJUSTED=Adjusted","Sort=A","Dates=H","DateFormat=P","Fill=—","Direction=H","UseDPDF=Y")</f>
        <v>-49.085500000000003</v>
      </c>
      <c r="I23" s="19">
        <f>_xll.BDH("ITCI US Equity","IS_OPER_INC","FQ2 2020","FQ2 2020","Currency=USD","Period=FQ","BEST_FPERIOD_OVERRIDE=FQ","FILING_STATUS=MR","SCALING_FORMAT=MLN","FA_ADJUSTED=Adjusted","Sort=A","Dates=H","DateFormat=P","Fill=—","Direction=H","UseDPDF=Y")</f>
        <v>-64.872299999999996</v>
      </c>
      <c r="J23" s="19">
        <f>_xll.BDH("ITCI US Equity","IS_OPER_INC","FQ3 2020","FQ3 2020","Currency=USD","Period=FQ","BEST_FPERIOD_OVERRIDE=FQ","FILING_STATUS=MR","SCALING_FORMAT=MLN","FA_ADJUSTED=Adjusted","Sort=A","Dates=H","DateFormat=P","Fill=—","Direction=H","UseDPDF=Y")</f>
        <v>-55.936500000000002</v>
      </c>
      <c r="K23" s="19">
        <f>_xll.BDH("ITCI US Equity","IS_OPER_INC","FQ4 2020","FQ4 2020","Currency=USD","Period=FQ","BEST_FPERIOD_OVERRIDE=FQ","FILING_STATUS=MR","SCALING_FORMAT=MLN","FA_ADJUSTED=Adjusted","Sort=A","Dates=H","DateFormat=P","Fill=—","Direction=H","UseDPDF=Y")</f>
        <v>-61.333300000000001</v>
      </c>
      <c r="L23" s="19">
        <f>_xll.BDH("ITCI US Equity","IS_OPER_INC","FQ1 2021","FQ1 2021","Currency=USD","Period=FQ","BEST_FPERIOD_OVERRIDE=FQ","FILING_STATUS=MR","SCALING_FORMAT=MLN","FA_ADJUSTED=Adjusted","Sort=A","Dates=H","DateFormat=P","Fill=—","Direction=H","UseDPDF=Y")</f>
        <v>-53.218699999999998</v>
      </c>
      <c r="M23" s="19">
        <f>_xll.BDH("ITCI US Equity","IS_OPER_INC","FQ2 2021","FQ2 2021","Currency=USD","Period=FQ","BEST_FPERIOD_OVERRIDE=FQ","FILING_STATUS=MR","SCALING_FORMAT=MLN","FA_ADJUSTED=Adjusted","Sort=A","Dates=H","DateFormat=P","Fill=—","Direction=H","UseDPDF=Y")</f>
        <v>-69.141099999999994</v>
      </c>
      <c r="N23" s="19">
        <f>_xll.BDH("ITCI US Equity","IS_OPER_INC","FQ3 2021","FQ3 2021","Currency=USD","Period=FQ","BEST_FPERIOD_OVERRIDE=FQ","FILING_STATUS=MR","SCALING_FORMAT=MLN","FA_ADJUSTED=Adjusted","Sort=A","Dates=H","DateFormat=P","Fill=—","Direction=H","UseDPDF=Y")</f>
        <v>-77.323800000000006</v>
      </c>
      <c r="O23" s="19">
        <f>_xll.BDH("ITCI US Equity","IS_OPER_INC","FQ4 2021","FQ4 2021","Currency=USD","Period=FQ","BEST_FPERIOD_OVERRIDE=FQ","FILING_STATUS=MR","SCALING_FORMAT=MLN","FA_ADJUSTED=Adjusted","Sort=A","Dates=H","DateFormat=P","Fill=—","Direction=H","UseDPDF=Y")</f>
        <v>-86.004599999999996</v>
      </c>
      <c r="P23" s="19">
        <f>_xll.BDH("ITCI US Equity","IS_OPER_INC","FQ1 2022","FQ1 2022","Currency=USD","Period=FQ","BEST_FPERIOD_OVERRIDE=FQ","FILING_STATUS=MR","SCALING_FORMAT=MLN","FA_ADJUSTED=Adjusted","Sort=A","Dates=H","DateFormat=P","Fill=—","Direction=H","UseDPDF=Y")</f>
        <v>-72.662000000000006</v>
      </c>
      <c r="Q23" s="19">
        <f>_xll.BDH("ITCI US Equity","IS_OPER_INC","FQ2 2022","FQ2 2022","Currency=USD","Period=FQ","BEST_FPERIOD_OVERRIDE=FQ","FILING_STATUS=MR","SCALING_FORMAT=MLN","FA_ADJUSTED=Adjusted","Sort=A","Dates=H","DateFormat=P","Fill=—","Direction=H","UseDPDF=Y")</f>
        <v>-87.923000000000002</v>
      </c>
      <c r="R23" s="19">
        <f>_xll.BDH("ITCI US Equity","IS_OPER_INC","FQ3 2022","FQ3 2022","Currency=USD","Period=FQ","BEST_FPERIOD_OVERRIDE=FQ","FILING_STATUS=MR","SCALING_FORMAT=MLN","FA_ADJUSTED=Adjusted","Sort=A","Dates=H","DateFormat=P","Fill=—","Direction=H","UseDPDF=Y")</f>
        <v>-55.628999999999998</v>
      </c>
      <c r="S23" s="19">
        <f>_xll.BDH("ITCI US Equity","IS_OPER_INC","FQ4 2022","FQ4 2022","Currency=USD","Period=FQ","BEST_FPERIOD_OVERRIDE=FQ","FILING_STATUS=MR","SCALING_FORMAT=MLN","FA_ADJUSTED=Adjusted","Sort=A","Dates=H","DateFormat=P","Fill=—","Direction=H","UseDPDF=Y")</f>
        <v>-47.411999999999999</v>
      </c>
      <c r="T23" s="19">
        <f>_xll.BDH("ITCI US Equity","IS_OPER_INC","FQ1 2023","FQ1 2023","Currency=USD","Period=FQ","BEST_FPERIOD_OVERRIDE=FQ","FILING_STATUS=MR","SCALING_FORMAT=MLN","FA_ADJUSTED=Adjusted","Sort=A","Dates=H","DateFormat=P","Fill=—","Direction=H","UseDPDF=Y")</f>
        <v>-48.392000000000003</v>
      </c>
      <c r="U23" s="19">
        <f>_xll.BDH("ITCI US Equity","IS_OPER_INC","FQ2 2023","FQ2 2023","Currency=USD","Period=FQ","BEST_FPERIOD_OVERRIDE=FQ","FILING_STATUS=MR","SCALING_FORMAT=MLN","FA_ADJUSTED=Adjusted","Sort=A","Dates=H","DateFormat=P","Fill=—","Direction=H","UseDPDF=Y")</f>
        <v>-47.179000000000002</v>
      </c>
      <c r="V23" s="19">
        <f>_xll.BDH("ITCI US Equity","IS_OPER_INC","FQ3 2023","FQ3 2023","Currency=USD","Period=FQ","BEST_FPERIOD_OVERRIDE=FQ","FILING_STATUS=MR","SCALING_FORMAT=MLN","FA_ADJUSTED=Adjusted","Sort=A","Dates=H","DateFormat=P","Fill=—","Direction=H","UseDPDF=Y")</f>
        <v>-29.713000000000001</v>
      </c>
      <c r="W23" s="19">
        <f>_xll.BDH("ITCI US Equity","IS_OPER_INC","FQ4 2023","FQ4 2023","Currency=USD","Period=FQ","BEST_FPERIOD_OVERRIDE=FQ","FILING_STATUS=MR","SCALING_FORMAT=MLN","FA_ADJUSTED=Adjusted","Sort=A","Dates=H","DateFormat=P","Fill=—","Direction=H","UseDPDF=Y")</f>
        <v>-34.097000000000001</v>
      </c>
      <c r="X23" s="19">
        <f>_xll.BDH("ITCI US Equity","IS_OPER_INC","FQ1 2024","FQ1 2024","Currency=USD","Period=FQ","BEST_FPERIOD_OVERRIDE=FQ","FILING_STATUS=MR","SCALING_FORMAT=MLN","FA_ADJUSTED=Adjusted","Sort=A","Dates=H","DateFormat=P","Fill=—","Direction=H","UseDPDF=Y")</f>
        <v>-20.952000000000002</v>
      </c>
      <c r="Y23" s="19">
        <f>_xll.BDH("ITCI US Equity","IS_OPER_INC","FQ2 2024","FQ2 2024","Currency=USD","Period=FQ","BEST_FPERIOD_OVERRIDE=FQ","FILING_STATUS=MR","SCALING_FORMAT=MLN","FA_ADJUSTED=Adjusted","Sort=A","Dates=H","DateFormat=P","Fill=—","Direction=H","UseDPDF=Y")</f>
        <v>-27.722999999999999</v>
      </c>
      <c r="Z23" s="19">
        <f>_xll.BDH("ITCI US Equity","IS_OPER_INC","FQ3 2024","FQ3 2024","Currency=USD","Period=FQ","BEST_FPERIOD_OVERRIDE=FQ","FILING_STATUS=MR","SCALING_FORMAT=MLN","FA_ADJUSTED=Adjusted","Sort=A","Dates=H","DateFormat=P","Fill=—","Direction=H","UseDPDF=Y")</f>
        <v>-38.848999999999997</v>
      </c>
      <c r="AA23" s="19">
        <f>_xll.BDH("ITCI US Equity","IS_OPER_INC","FQ4 2024","FQ4 2024","Currency=USD","Period=FQ","BEST_FPERIOD_OVERRIDE=FQ","FILING_STATUS=MR","SCALING_FORMAT=MLN","FA_ADJUSTED=Adjusted","Sort=A","Dates=H","DateFormat=P","Fill=—","Direction=H","UseDPDF=Y")</f>
        <v>-29.196999999999999</v>
      </c>
    </row>
    <row r="24" spans="1:27" x14ac:dyDescent="0.25">
      <c r="A24" s="6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 x14ac:dyDescent="0.25">
      <c r="A25" s="6" t="s">
        <v>502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 x14ac:dyDescent="0.25">
      <c r="A26" s="6" t="s">
        <v>316</v>
      </c>
      <c r="B26" s="6" t="s">
        <v>157</v>
      </c>
      <c r="C26" s="19">
        <f>_xll.BDH("ITCI US Equity","PRETAX_INC","FQ4 2018","FQ4 2018","Currency=USD","Period=FQ","BEST_FPERIOD_OVERRIDE=FQ","FILING_STATUS=MR","SCALING_FORMAT=MLN","FA_ADJUSTED=GAAP","Sort=A","Dates=H","DateFormat=P","Fill=—","Direction=H","UseDPDF=Y")</f>
        <v>-40.747999999999998</v>
      </c>
      <c r="D26" s="19">
        <f>_xll.BDH("ITCI US Equity","PRETAX_INC","FQ1 2019","FQ1 2019","Currency=USD","Period=FQ","BEST_FPERIOD_OVERRIDE=FQ","FILING_STATUS=MR","SCALING_FORMAT=MLN","FA_ADJUSTED=GAAP","Sort=A","Dates=H","DateFormat=P","Fill=—","Direction=H","UseDPDF=Y")</f>
        <v>-34.835799999999999</v>
      </c>
      <c r="E26" s="19">
        <f>_xll.BDH("ITCI US Equity","PRETAX_INC","FQ2 2019","FQ2 2019","Currency=USD","Period=FQ","BEST_FPERIOD_OVERRIDE=FQ","FILING_STATUS=MR","SCALING_FORMAT=MLN","FA_ADJUSTED=GAAP","Sort=A","Dates=H","DateFormat=P","Fill=—","Direction=H","UseDPDF=Y")</f>
        <v>-37.439599999999999</v>
      </c>
      <c r="F26" s="19">
        <f>_xll.BDH("ITCI US Equity","PRETAX_INC","FQ3 2019","FQ3 2019","Currency=USD","Period=FQ","BEST_FPERIOD_OVERRIDE=FQ","FILING_STATUS=MR","SCALING_FORMAT=MLN","FA_ADJUSTED=GAAP","Sort=A","Dates=H","DateFormat=P","Fill=—","Direction=H","UseDPDF=Y")</f>
        <v>-34.862400000000001</v>
      </c>
      <c r="G26" s="19">
        <f>_xll.BDH("ITCI US Equity","PRETAX_INC","FQ4 2019","FQ4 2019","Currency=USD","Period=FQ","BEST_FPERIOD_OVERRIDE=FQ","FILING_STATUS=MR","SCALING_FORMAT=MLN","FA_ADJUSTED=GAAP","Sort=A","Dates=H","DateFormat=P","Fill=—","Direction=H","UseDPDF=Y")</f>
        <v>-40.582900000000002</v>
      </c>
      <c r="H26" s="19">
        <f>_xll.BDH("ITCI US Equity","PRETAX_INC","FQ1 2020","FQ1 2020","Currency=USD","Period=FQ","BEST_FPERIOD_OVERRIDE=FQ","FILING_STATUS=MR","SCALING_FORMAT=MLN","FA_ADJUSTED=GAAP","Sort=A","Dates=H","DateFormat=P","Fill=—","Direction=H","UseDPDF=Y")</f>
        <v>-47.407299999999999</v>
      </c>
      <c r="I26" s="19">
        <f>_xll.BDH("ITCI US Equity","PRETAX_INC","FQ2 2020","FQ2 2020","Currency=USD","Period=FQ","BEST_FPERIOD_OVERRIDE=FQ","FILING_STATUS=MR","SCALING_FORMAT=MLN","FA_ADJUSTED=GAAP","Sort=A","Dates=H","DateFormat=P","Fill=—","Direction=H","UseDPDF=Y")</f>
        <v>-63.712299999999999</v>
      </c>
      <c r="J26" s="19">
        <f>_xll.BDH("ITCI US Equity","PRETAX_INC","FQ3 2020","FQ3 2020","Currency=USD","Period=FQ","BEST_FPERIOD_OVERRIDE=FQ","FILING_STATUS=MR","SCALING_FORMAT=MLN","FA_ADJUSTED=GAAP","Sort=A","Dates=H","DateFormat=P","Fill=—","Direction=H","UseDPDF=Y")</f>
        <v>-55.183599999999998</v>
      </c>
      <c r="K26" s="19">
        <f>_xll.BDH("ITCI US Equity","PRETAX_INC","FQ4 2020","FQ4 2020","Currency=USD","Period=FQ","BEST_FPERIOD_OVERRIDE=FQ","FILING_STATUS=MR","SCALING_FORMAT=MLN","FA_ADJUSTED=GAAP","Sort=A","Dates=H","DateFormat=P","Fill=—","Direction=H","UseDPDF=Y")</f>
        <v>-60.688899999999997</v>
      </c>
      <c r="L26" s="19">
        <f>_xll.BDH("ITCI US Equity","PRETAX_INC","FQ1 2021","FQ1 2021","Currency=USD","Period=FQ","BEST_FPERIOD_OVERRIDE=FQ","FILING_STATUS=MR","SCALING_FORMAT=MLN","FA_ADJUSTED=GAAP","Sort=A","Dates=H","DateFormat=P","Fill=—","Direction=H","UseDPDF=Y")</f>
        <v>-52.734900000000003</v>
      </c>
      <c r="M26" s="19">
        <f>_xll.BDH("ITCI US Equity","PRETAX_INC","FQ2 2021","FQ2 2021","Currency=USD","Period=FQ","BEST_FPERIOD_OVERRIDE=FQ","FILING_STATUS=MR","SCALING_FORMAT=MLN","FA_ADJUSTED=GAAP","Sort=A","Dates=H","DateFormat=P","Fill=—","Direction=H","UseDPDF=Y")</f>
        <v>-68.72</v>
      </c>
      <c r="N26" s="19">
        <f>_xll.BDH("ITCI US Equity","PRETAX_INC","FQ3 2021","FQ3 2021","Currency=USD","Period=FQ","BEST_FPERIOD_OVERRIDE=FQ","FILING_STATUS=MR","SCALING_FORMAT=MLN","FA_ADJUSTED=GAAP","Sort=A","Dates=H","DateFormat=P","Fill=—","Direction=H","UseDPDF=Y")</f>
        <v>-76.931100000000001</v>
      </c>
      <c r="O26" s="19">
        <f>_xll.BDH("ITCI US Equity","PRETAX_INC","FQ4 2021","FQ4 2021","Currency=USD","Period=FQ","BEST_FPERIOD_OVERRIDE=FQ","FILING_STATUS=MR","SCALING_FORMAT=MLN","FA_ADJUSTED=GAAP","Sort=A","Dates=H","DateFormat=P","Fill=—","Direction=H","UseDPDF=Y")</f>
        <v>-85.733900000000006</v>
      </c>
      <c r="P26" s="19">
        <f>_xll.BDH("ITCI US Equity","PRETAX_INC","FQ1 2022","FQ1 2022","Currency=USD","Period=FQ","BEST_FPERIOD_OVERRIDE=FQ","FILING_STATUS=MR","SCALING_FORMAT=MLN","FA_ADJUSTED=GAAP","Sort=A","Dates=H","DateFormat=P","Fill=—","Direction=H","UseDPDF=Y")</f>
        <v>-72.114000000000004</v>
      </c>
      <c r="Q26" s="19">
        <f>_xll.BDH("ITCI US Equity","PRETAX_INC","FQ2 2022","FQ2 2022","Currency=USD","Period=FQ","BEST_FPERIOD_OVERRIDE=FQ","FILING_STATUS=MR","SCALING_FORMAT=MLN","FA_ADJUSTED=GAAP","Sort=A","Dates=H","DateFormat=P","Fill=—","Direction=H","UseDPDF=Y")</f>
        <v>-86.602999999999994</v>
      </c>
      <c r="R26" s="19">
        <f>_xll.BDH("ITCI US Equity","PRETAX_INC","FQ3 2022","FQ3 2022","Currency=USD","Period=FQ","BEST_FPERIOD_OVERRIDE=FQ","FILING_STATUS=MR","SCALING_FORMAT=MLN","FA_ADJUSTED=GAAP","Sort=A","Dates=H","DateFormat=P","Fill=—","Direction=H","UseDPDF=Y")</f>
        <v>-53.506999999999998</v>
      </c>
      <c r="S26" s="19">
        <f>_xll.BDH("ITCI US Equity","PRETAX_INC","FQ4 2022","FQ4 2022","Currency=USD","Period=FQ","BEST_FPERIOD_OVERRIDE=FQ","FILING_STATUS=MR","SCALING_FORMAT=MLN","FA_ADJUSTED=GAAP","Sort=A","Dates=H","DateFormat=P","Fill=—","Direction=H","UseDPDF=Y")</f>
        <v>-44.026000000000003</v>
      </c>
      <c r="T26" s="19">
        <f>_xll.BDH("ITCI US Equity","PRETAX_INC","FQ1 2023","FQ1 2023","Currency=USD","Period=FQ","BEST_FPERIOD_OVERRIDE=FQ","FILING_STATUS=MR","SCALING_FORMAT=MLN","FA_ADJUSTED=GAAP","Sort=A","Dates=H","DateFormat=P","Fill=—","Direction=H","UseDPDF=Y")</f>
        <v>-44.042999999999999</v>
      </c>
      <c r="U26" s="19">
        <f>_xll.BDH("ITCI US Equity","PRETAX_INC","FQ2 2023","FQ2 2023","Currency=USD","Period=FQ","BEST_FPERIOD_OVERRIDE=FQ","FILING_STATUS=MR","SCALING_FORMAT=MLN","FA_ADJUSTED=GAAP","Sort=A","Dates=H","DateFormat=P","Fill=—","Direction=H","UseDPDF=Y")</f>
        <v>-42.649000000000001</v>
      </c>
      <c r="V26" s="19">
        <f>_xll.BDH("ITCI US Equity","PRETAX_INC","FQ3 2023","FQ3 2023","Currency=USD","Period=FQ","BEST_FPERIOD_OVERRIDE=FQ","FILING_STATUS=MR","SCALING_FORMAT=MLN","FA_ADJUSTED=GAAP","Sort=A","Dates=H","DateFormat=P","Fill=—","Direction=H","UseDPDF=Y")</f>
        <v>-24.215</v>
      </c>
      <c r="W26" s="19">
        <f>_xll.BDH("ITCI US Equity","PRETAX_INC","FQ4 2023","FQ4 2023","Currency=USD","Period=FQ","BEST_FPERIOD_OVERRIDE=FQ","FILING_STATUS=MR","SCALING_FORMAT=MLN","FA_ADJUSTED=GAAP","Sort=A","Dates=H","DateFormat=P","Fill=—","Direction=H","UseDPDF=Y")</f>
        <v>-28.131</v>
      </c>
      <c r="X26" s="19">
        <f>_xll.BDH("ITCI US Equity","PRETAX_INC","FQ1 2024","FQ1 2024","Currency=USD","Period=FQ","BEST_FPERIOD_OVERRIDE=FQ","FILING_STATUS=MR","SCALING_FORMAT=MLN","FA_ADJUSTED=GAAP","Sort=A","Dates=H","DateFormat=P","Fill=—","Direction=H","UseDPDF=Y")</f>
        <v>-14.888</v>
      </c>
      <c r="Y26" s="19">
        <f>_xll.BDH("ITCI US Equity","PRETAX_INC","FQ2 2024","FQ2 2024","Currency=USD","Period=FQ","BEST_FPERIOD_OVERRIDE=FQ","FILING_STATUS=MR","SCALING_FORMAT=MLN","FA_ADJUSTED=GAAP","Sort=A","Dates=H","DateFormat=P","Fill=—","Direction=H","UseDPDF=Y")</f>
        <v>-16.163</v>
      </c>
      <c r="Z26" s="19">
        <f>_xll.BDH("ITCI US Equity","PRETAX_INC","FQ3 2024","FQ3 2024","Currency=USD","Period=FQ","BEST_FPERIOD_OVERRIDE=FQ","FILING_STATUS=MR","SCALING_FORMAT=MLN","FA_ADJUSTED=GAAP","Sort=A","Dates=H","DateFormat=P","Fill=—","Direction=H","UseDPDF=Y")</f>
        <v>-25.95</v>
      </c>
      <c r="AA26" s="19">
        <f>_xll.BDH("ITCI US Equity","PRETAX_INC","FQ4 2024","FQ4 2024","Currency=USD","Period=FQ","BEST_FPERIOD_OVERRIDE=FQ","FILING_STATUS=MR","SCALING_FORMAT=MLN","FA_ADJUSTED=GAAP","Sort=A","Dates=H","DateFormat=P","Fill=—","Direction=H","UseDPDF=Y")</f>
        <v>-17.202000000000002</v>
      </c>
    </row>
    <row r="27" spans="1:27" x14ac:dyDescent="0.25">
      <c r="A27" s="6" t="s">
        <v>313</v>
      </c>
      <c r="B27" s="6" t="s">
        <v>157</v>
      </c>
      <c r="C27" s="19">
        <f>_xll.BDH("ITCI US Equity","PRETAX_INC","FQ4 2018","FQ4 2018","Currency=USD","Period=FQ","BEST_FPERIOD_OVERRIDE=FQ","FILING_STATUS=MR","SCALING_FORMAT=MLN","FA_ADJUSTED=Adjusted","Sort=A","Dates=H","DateFormat=P","Fill=—","Direction=H","UseDPDF=Y")</f>
        <v>-40.747999999999998</v>
      </c>
      <c r="D27" s="19">
        <f>_xll.BDH("ITCI US Equity","PRETAX_INC","FQ1 2019","FQ1 2019","Currency=USD","Period=FQ","BEST_FPERIOD_OVERRIDE=FQ","FILING_STATUS=MR","SCALING_FORMAT=MLN","FA_ADJUSTED=Adjusted","Sort=A","Dates=H","DateFormat=P","Fill=—","Direction=H","UseDPDF=Y")</f>
        <v>-34.835799999999999</v>
      </c>
      <c r="E27" s="19">
        <f>_xll.BDH("ITCI US Equity","PRETAX_INC","FQ2 2019","FQ2 2019","Currency=USD","Period=FQ","BEST_FPERIOD_OVERRIDE=FQ","FILING_STATUS=MR","SCALING_FORMAT=MLN","FA_ADJUSTED=Adjusted","Sort=A","Dates=H","DateFormat=P","Fill=—","Direction=H","UseDPDF=Y")</f>
        <v>-37.439599999999999</v>
      </c>
      <c r="F27" s="19">
        <f>_xll.BDH("ITCI US Equity","PRETAX_INC","FQ3 2019","FQ3 2019","Currency=USD","Period=FQ","BEST_FPERIOD_OVERRIDE=FQ","FILING_STATUS=MR","SCALING_FORMAT=MLN","FA_ADJUSTED=Adjusted","Sort=A","Dates=H","DateFormat=P","Fill=—","Direction=H","UseDPDF=Y")</f>
        <v>-34.862400000000001</v>
      </c>
      <c r="G27" s="19">
        <f>_xll.BDH("ITCI US Equity","PRETAX_INC","FQ4 2019","FQ4 2019","Currency=USD","Period=FQ","BEST_FPERIOD_OVERRIDE=FQ","FILING_STATUS=MR","SCALING_FORMAT=MLN","FA_ADJUSTED=Adjusted","Sort=A","Dates=H","DateFormat=P","Fill=—","Direction=H","UseDPDF=Y")</f>
        <v>-40.582900000000002</v>
      </c>
      <c r="H27" s="19">
        <f>_xll.BDH("ITCI US Equity","PRETAX_INC","FQ1 2020","FQ1 2020","Currency=USD","Period=FQ","BEST_FPERIOD_OVERRIDE=FQ","FILING_STATUS=MR","SCALING_FORMAT=MLN","FA_ADJUSTED=Adjusted","Sort=A","Dates=H","DateFormat=P","Fill=—","Direction=H","UseDPDF=Y")</f>
        <v>-47.407299999999999</v>
      </c>
      <c r="I27" s="19">
        <f>_xll.BDH("ITCI US Equity","PRETAX_INC","FQ2 2020","FQ2 2020","Currency=USD","Period=FQ","BEST_FPERIOD_OVERRIDE=FQ","FILING_STATUS=MR","SCALING_FORMAT=MLN","FA_ADJUSTED=Adjusted","Sort=A","Dates=H","DateFormat=P","Fill=—","Direction=H","UseDPDF=Y")</f>
        <v>-63.712299999999999</v>
      </c>
      <c r="J27" s="19">
        <f>_xll.BDH("ITCI US Equity","PRETAX_INC","FQ3 2020","FQ3 2020","Currency=USD","Period=FQ","BEST_FPERIOD_OVERRIDE=FQ","FILING_STATUS=MR","SCALING_FORMAT=MLN","FA_ADJUSTED=Adjusted","Sort=A","Dates=H","DateFormat=P","Fill=—","Direction=H","UseDPDF=Y")</f>
        <v>-55.183599999999998</v>
      </c>
      <c r="K27" s="19">
        <f>_xll.BDH("ITCI US Equity","PRETAX_INC","FQ4 2020","FQ4 2020","Currency=USD","Period=FQ","BEST_FPERIOD_OVERRIDE=FQ","FILING_STATUS=MR","SCALING_FORMAT=MLN","FA_ADJUSTED=Adjusted","Sort=A","Dates=H","DateFormat=P","Fill=—","Direction=H","UseDPDF=Y")</f>
        <v>-60.688899999999997</v>
      </c>
      <c r="L27" s="19">
        <f>_xll.BDH("ITCI US Equity","PRETAX_INC","FQ1 2021","FQ1 2021","Currency=USD","Period=FQ","BEST_FPERIOD_OVERRIDE=FQ","FILING_STATUS=MR","SCALING_FORMAT=MLN","FA_ADJUSTED=Adjusted","Sort=A","Dates=H","DateFormat=P","Fill=—","Direction=H","UseDPDF=Y")</f>
        <v>-52.734900000000003</v>
      </c>
      <c r="M27" s="19">
        <f>_xll.BDH("ITCI US Equity","PRETAX_INC","FQ2 2021","FQ2 2021","Currency=USD","Period=FQ","BEST_FPERIOD_OVERRIDE=FQ","FILING_STATUS=MR","SCALING_FORMAT=MLN","FA_ADJUSTED=Adjusted","Sort=A","Dates=H","DateFormat=P","Fill=—","Direction=H","UseDPDF=Y")</f>
        <v>-68.72</v>
      </c>
      <c r="N27" s="19">
        <f>_xll.BDH("ITCI US Equity","PRETAX_INC","FQ3 2021","FQ3 2021","Currency=USD","Period=FQ","BEST_FPERIOD_OVERRIDE=FQ","FILING_STATUS=MR","SCALING_FORMAT=MLN","FA_ADJUSTED=Adjusted","Sort=A","Dates=H","DateFormat=P","Fill=—","Direction=H","UseDPDF=Y")</f>
        <v>-76.931100000000001</v>
      </c>
      <c r="O27" s="19">
        <f>_xll.BDH("ITCI US Equity","PRETAX_INC","FQ4 2021","FQ4 2021","Currency=USD","Period=FQ","BEST_FPERIOD_OVERRIDE=FQ","FILING_STATUS=MR","SCALING_FORMAT=MLN","FA_ADJUSTED=Adjusted","Sort=A","Dates=H","DateFormat=P","Fill=—","Direction=H","UseDPDF=Y")</f>
        <v>-85.733900000000006</v>
      </c>
      <c r="P27" s="19">
        <f>_xll.BDH("ITCI US Equity","PRETAX_INC","FQ1 2022","FQ1 2022","Currency=USD","Period=FQ","BEST_FPERIOD_OVERRIDE=FQ","FILING_STATUS=MR","SCALING_FORMAT=MLN","FA_ADJUSTED=Adjusted","Sort=A","Dates=H","DateFormat=P","Fill=—","Direction=H","UseDPDF=Y")</f>
        <v>-72.114000000000004</v>
      </c>
      <c r="Q27" s="19">
        <f>_xll.BDH("ITCI US Equity","PRETAX_INC","FQ2 2022","FQ2 2022","Currency=USD","Period=FQ","BEST_FPERIOD_OVERRIDE=FQ","FILING_STATUS=MR","SCALING_FORMAT=MLN","FA_ADJUSTED=Adjusted","Sort=A","Dates=H","DateFormat=P","Fill=—","Direction=H","UseDPDF=Y")</f>
        <v>-86.602999999999994</v>
      </c>
      <c r="R27" s="19">
        <f>_xll.BDH("ITCI US Equity","PRETAX_INC","FQ3 2022","FQ3 2022","Currency=USD","Period=FQ","BEST_FPERIOD_OVERRIDE=FQ","FILING_STATUS=MR","SCALING_FORMAT=MLN","FA_ADJUSTED=Adjusted","Sort=A","Dates=H","DateFormat=P","Fill=—","Direction=H","UseDPDF=Y")</f>
        <v>-53.506999999999998</v>
      </c>
      <c r="S27" s="19">
        <f>_xll.BDH("ITCI US Equity","PRETAX_INC","FQ4 2022","FQ4 2022","Currency=USD","Period=FQ","BEST_FPERIOD_OVERRIDE=FQ","FILING_STATUS=MR","SCALING_FORMAT=MLN","FA_ADJUSTED=Adjusted","Sort=A","Dates=H","DateFormat=P","Fill=—","Direction=H","UseDPDF=Y")</f>
        <v>-44.026000000000003</v>
      </c>
      <c r="T27" s="19">
        <f>_xll.BDH("ITCI US Equity","PRETAX_INC","FQ1 2023","FQ1 2023","Currency=USD","Period=FQ","BEST_FPERIOD_OVERRIDE=FQ","FILING_STATUS=MR","SCALING_FORMAT=MLN","FA_ADJUSTED=Adjusted","Sort=A","Dates=H","DateFormat=P","Fill=—","Direction=H","UseDPDF=Y")</f>
        <v>-44.042999999999999</v>
      </c>
      <c r="U27" s="19">
        <f>_xll.BDH("ITCI US Equity","PRETAX_INC","FQ2 2023","FQ2 2023","Currency=USD","Period=FQ","BEST_FPERIOD_OVERRIDE=FQ","FILING_STATUS=MR","SCALING_FORMAT=MLN","FA_ADJUSTED=Adjusted","Sort=A","Dates=H","DateFormat=P","Fill=—","Direction=H","UseDPDF=Y")</f>
        <v>-42.649000000000001</v>
      </c>
      <c r="V27" s="19">
        <f>_xll.BDH("ITCI US Equity","PRETAX_INC","FQ3 2023","FQ3 2023","Currency=USD","Period=FQ","BEST_FPERIOD_OVERRIDE=FQ","FILING_STATUS=MR","SCALING_FORMAT=MLN","FA_ADJUSTED=Adjusted","Sort=A","Dates=H","DateFormat=P","Fill=—","Direction=H","UseDPDF=Y")</f>
        <v>-24.215</v>
      </c>
      <c r="W27" s="19">
        <f>_xll.BDH("ITCI US Equity","PRETAX_INC","FQ4 2023","FQ4 2023","Currency=USD","Period=FQ","BEST_FPERIOD_OVERRIDE=FQ","FILING_STATUS=MR","SCALING_FORMAT=MLN","FA_ADJUSTED=Adjusted","Sort=A","Dates=H","DateFormat=P","Fill=—","Direction=H","UseDPDF=Y")</f>
        <v>-28.131</v>
      </c>
      <c r="X27" s="19">
        <f>_xll.BDH("ITCI US Equity","PRETAX_INC","FQ1 2024","FQ1 2024","Currency=USD","Period=FQ","BEST_FPERIOD_OVERRIDE=FQ","FILING_STATUS=MR","SCALING_FORMAT=MLN","FA_ADJUSTED=Adjusted","Sort=A","Dates=H","DateFormat=P","Fill=—","Direction=H","UseDPDF=Y")</f>
        <v>-14.888</v>
      </c>
      <c r="Y27" s="19">
        <f>_xll.BDH("ITCI US Equity","PRETAX_INC","FQ2 2024","FQ2 2024","Currency=USD","Period=FQ","BEST_FPERIOD_OVERRIDE=FQ","FILING_STATUS=MR","SCALING_FORMAT=MLN","FA_ADJUSTED=Adjusted","Sort=A","Dates=H","DateFormat=P","Fill=—","Direction=H","UseDPDF=Y")</f>
        <v>-16.163</v>
      </c>
      <c r="Z27" s="19">
        <f>_xll.BDH("ITCI US Equity","PRETAX_INC","FQ3 2024","FQ3 2024","Currency=USD","Period=FQ","BEST_FPERIOD_OVERRIDE=FQ","FILING_STATUS=MR","SCALING_FORMAT=MLN","FA_ADJUSTED=Adjusted","Sort=A","Dates=H","DateFormat=P","Fill=—","Direction=H","UseDPDF=Y")</f>
        <v>-25.95</v>
      </c>
      <c r="AA27" s="19">
        <f>_xll.BDH("ITCI US Equity","PRETAX_INC","FQ4 2024","FQ4 2024","Currency=USD","Period=FQ","BEST_FPERIOD_OVERRIDE=FQ","FILING_STATUS=MR","SCALING_FORMAT=MLN","FA_ADJUSTED=Adjusted","Sort=A","Dates=H","DateFormat=P","Fill=—","Direction=H","UseDPDF=Y")</f>
        <v>-17.202000000000002</v>
      </c>
    </row>
    <row r="28" spans="1:27" x14ac:dyDescent="0.25">
      <c r="A28" s="6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x14ac:dyDescent="0.25">
      <c r="A29" s="6" t="s">
        <v>503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 x14ac:dyDescent="0.25">
      <c r="A30" s="6" t="s">
        <v>504</v>
      </c>
      <c r="B30" s="6" t="s">
        <v>80</v>
      </c>
      <c r="C30" s="19">
        <f>_xll.BDH("ITCI US Equity","EARN_FOR_COMMON","FQ4 2018","FQ4 2018","Currency=USD","Period=FQ","BEST_FPERIOD_OVERRIDE=FQ","FILING_STATUS=MR","SCALING_FORMAT=MLN","FA_ADJUSTED=GAAP","Sort=A","Dates=H","DateFormat=P","Fill=—","Direction=H","UseDPDF=Y")</f>
        <v>-40.747999999999998</v>
      </c>
      <c r="D30" s="19">
        <f>_xll.BDH("ITCI US Equity","EARN_FOR_COMMON","FQ1 2019","FQ1 2019","Currency=USD","Period=FQ","BEST_FPERIOD_OVERRIDE=FQ","FILING_STATUS=MR","SCALING_FORMAT=MLN","FA_ADJUSTED=GAAP","Sort=A","Dates=H","DateFormat=P","Fill=—","Direction=H","UseDPDF=Y")</f>
        <v>-34.835799999999999</v>
      </c>
      <c r="E30" s="19">
        <f>_xll.BDH("ITCI US Equity","EARN_FOR_COMMON","FQ2 2019","FQ2 2019","Currency=USD","Period=FQ","BEST_FPERIOD_OVERRIDE=FQ","FILING_STATUS=MR","SCALING_FORMAT=MLN","FA_ADJUSTED=GAAP","Sort=A","Dates=H","DateFormat=P","Fill=—","Direction=H","UseDPDF=Y")</f>
        <v>-37.441200000000002</v>
      </c>
      <c r="F30" s="19">
        <f>_xll.BDH("ITCI US Equity","EARN_FOR_COMMON","FQ3 2019","FQ3 2019","Currency=USD","Period=FQ","BEST_FPERIOD_OVERRIDE=FQ","FILING_STATUS=MR","SCALING_FORMAT=MLN","FA_ADJUSTED=GAAP","Sort=A","Dates=H","DateFormat=P","Fill=—","Direction=H","UseDPDF=Y")</f>
        <v>-34.862400000000001</v>
      </c>
      <c r="G30" s="19">
        <f>_xll.BDH("ITCI US Equity","EARN_FOR_COMMON","FQ4 2019","FQ4 2019","Currency=USD","Period=FQ","BEST_FPERIOD_OVERRIDE=FQ","FILING_STATUS=MR","SCALING_FORMAT=MLN","FA_ADJUSTED=GAAP","Sort=A","Dates=H","DateFormat=P","Fill=—","Direction=H","UseDPDF=Y")</f>
        <v>-40.582900000000002</v>
      </c>
      <c r="H30" s="19">
        <f>_xll.BDH("ITCI US Equity","EARN_FOR_COMMON","FQ1 2020","FQ1 2020","Currency=USD","Period=FQ","BEST_FPERIOD_OVERRIDE=FQ","FILING_STATUS=MR","SCALING_FORMAT=MLN","FA_ADJUSTED=GAAP","Sort=A","Dates=H","DateFormat=P","Fill=—","Direction=H","UseDPDF=Y")</f>
        <v>-47.410600000000002</v>
      </c>
      <c r="I30" s="19">
        <f>_xll.BDH("ITCI US Equity","EARN_FOR_COMMON","FQ2 2020","FQ2 2020","Currency=USD","Period=FQ","BEST_FPERIOD_OVERRIDE=FQ","FILING_STATUS=MR","SCALING_FORMAT=MLN","FA_ADJUSTED=GAAP","Sort=A","Dates=H","DateFormat=P","Fill=—","Direction=H","UseDPDF=Y")</f>
        <v>-63.712299999999999</v>
      </c>
      <c r="J30" s="19">
        <f>_xll.BDH("ITCI US Equity","EARN_FOR_COMMON","FQ3 2020","FQ3 2020","Currency=USD","Period=FQ","BEST_FPERIOD_OVERRIDE=FQ","FILING_STATUS=MR","SCALING_FORMAT=MLN","FA_ADJUSTED=GAAP","Sort=A","Dates=H","DateFormat=P","Fill=—","Direction=H","UseDPDF=Y")</f>
        <v>-55.183599999999998</v>
      </c>
      <c r="K30" s="19">
        <f>_xll.BDH("ITCI US Equity","EARN_FOR_COMMON","FQ4 2020","FQ4 2020","Currency=USD","Period=FQ","BEST_FPERIOD_OVERRIDE=FQ","FILING_STATUS=MR","SCALING_FORMAT=MLN","FA_ADJUSTED=GAAP","Sort=A","Dates=H","DateFormat=P","Fill=—","Direction=H","UseDPDF=Y")</f>
        <v>-60.699199999999998</v>
      </c>
      <c r="L30" s="19">
        <f>_xll.BDH("ITCI US Equity","EARN_FOR_COMMON","FQ1 2021","FQ1 2021","Currency=USD","Period=FQ","BEST_FPERIOD_OVERRIDE=FQ","FILING_STATUS=MR","SCALING_FORMAT=MLN","FA_ADJUSTED=GAAP","Sort=A","Dates=H","DateFormat=P","Fill=—","Direction=H","UseDPDF=Y")</f>
        <v>-52.739899999999999</v>
      </c>
      <c r="M30" s="19">
        <f>_xll.BDH("ITCI US Equity","EARN_FOR_COMMON","FQ2 2021","FQ2 2021","Currency=USD","Period=FQ","BEST_FPERIOD_OVERRIDE=FQ","FILING_STATUS=MR","SCALING_FORMAT=MLN","FA_ADJUSTED=GAAP","Sort=A","Dates=H","DateFormat=P","Fill=—","Direction=H","UseDPDF=Y")</f>
        <v>-68.743799999999993</v>
      </c>
      <c r="N30" s="19">
        <f>_xll.BDH("ITCI US Equity","EARN_FOR_COMMON","FQ3 2021","FQ3 2021","Currency=USD","Period=FQ","BEST_FPERIOD_OVERRIDE=FQ","FILING_STATUS=MR","SCALING_FORMAT=MLN","FA_ADJUSTED=GAAP","Sort=A","Dates=H","DateFormat=P","Fill=—","Direction=H","UseDPDF=Y")</f>
        <v>-76.908000000000001</v>
      </c>
      <c r="O30" s="19">
        <f>_xll.BDH("ITCI US Equity","EARN_FOR_COMMON","FQ4 2021","FQ4 2021","Currency=USD","Period=FQ","BEST_FPERIOD_OVERRIDE=FQ","FILING_STATUS=MR","SCALING_FORMAT=MLN","FA_ADJUSTED=GAAP","Sort=A","Dates=H","DateFormat=P","Fill=—","Direction=H","UseDPDF=Y")</f>
        <v>-85.733900000000006</v>
      </c>
      <c r="P30" s="19">
        <f>_xll.BDH("ITCI US Equity","EARN_FOR_COMMON","FQ1 2022","FQ1 2022","Currency=USD","Period=FQ","BEST_FPERIOD_OVERRIDE=FQ","FILING_STATUS=MR","SCALING_FORMAT=MLN","FA_ADJUSTED=GAAP","Sort=A","Dates=H","DateFormat=P","Fill=—","Direction=H","UseDPDF=Y")</f>
        <v>-72.119</v>
      </c>
      <c r="Q30" s="19">
        <f>_xll.BDH("ITCI US Equity","EARN_FOR_COMMON","FQ2 2022","FQ2 2022","Currency=USD","Period=FQ","BEST_FPERIOD_OVERRIDE=FQ","FILING_STATUS=MR","SCALING_FORMAT=MLN","FA_ADJUSTED=GAAP","Sort=A","Dates=H","DateFormat=P","Fill=—","Direction=H","UseDPDF=Y")</f>
        <v>-86.602999999999994</v>
      </c>
      <c r="R30" s="19">
        <f>_xll.BDH("ITCI US Equity","EARN_FOR_COMMON","FQ3 2022","FQ3 2022","Currency=USD","Period=FQ","BEST_FPERIOD_OVERRIDE=FQ","FILING_STATUS=MR","SCALING_FORMAT=MLN","FA_ADJUSTED=GAAP","Sort=A","Dates=H","DateFormat=P","Fill=—","Direction=H","UseDPDF=Y")</f>
        <v>-53.508000000000003</v>
      </c>
      <c r="S30" s="19">
        <f>_xll.BDH("ITCI US Equity","EARN_FOR_COMMON","FQ4 2022","FQ4 2022","Currency=USD","Period=FQ","BEST_FPERIOD_OVERRIDE=FQ","FILING_STATUS=MR","SCALING_FORMAT=MLN","FA_ADJUSTED=GAAP","Sort=A","Dates=H","DateFormat=P","Fill=—","Direction=H","UseDPDF=Y")</f>
        <v>-44.026000000000003</v>
      </c>
      <c r="T30" s="19">
        <f>_xll.BDH("ITCI US Equity","EARN_FOR_COMMON","FQ1 2023","FQ1 2023","Currency=USD","Period=FQ","BEST_FPERIOD_OVERRIDE=FQ","FILING_STATUS=MR","SCALING_FORMAT=MLN","FA_ADJUSTED=GAAP","Sort=A","Dates=H","DateFormat=P","Fill=—","Direction=H","UseDPDF=Y")</f>
        <v>-44.052999999999997</v>
      </c>
      <c r="U30" s="19">
        <f>_xll.BDH("ITCI US Equity","EARN_FOR_COMMON","FQ2 2023","FQ2 2023","Currency=USD","Period=FQ","BEST_FPERIOD_OVERRIDE=FQ","FILING_STATUS=MR","SCALING_FORMAT=MLN","FA_ADJUSTED=GAAP","Sort=A","Dates=H","DateFormat=P","Fill=—","Direction=H","UseDPDF=Y")</f>
        <v>-42.783999999999999</v>
      </c>
      <c r="V30" s="19">
        <f>_xll.BDH("ITCI US Equity","EARN_FOR_COMMON","FQ3 2023","FQ3 2023","Currency=USD","Period=FQ","BEST_FPERIOD_OVERRIDE=FQ","FILING_STATUS=MR","SCALING_FORMAT=MLN","FA_ADJUSTED=GAAP","Sort=A","Dates=H","DateFormat=P","Fill=—","Direction=H","UseDPDF=Y")</f>
        <v>-24.257999999999999</v>
      </c>
      <c r="W30" s="19">
        <f>_xll.BDH("ITCI US Equity","EARN_FOR_COMMON","FQ4 2023","FQ4 2023","Currency=USD","Period=FQ","BEST_FPERIOD_OVERRIDE=FQ","FILING_STATUS=MR","SCALING_FORMAT=MLN","FA_ADJUSTED=GAAP","Sort=A","Dates=H","DateFormat=P","Fill=—","Direction=H","UseDPDF=Y")</f>
        <v>-28.579000000000001</v>
      </c>
      <c r="X30" s="19">
        <f>_xll.BDH("ITCI US Equity","EARN_FOR_COMMON","FQ1 2024","FQ1 2024","Currency=USD","Period=FQ","BEST_FPERIOD_OVERRIDE=FQ","FILING_STATUS=MR","SCALING_FORMAT=MLN","FA_ADJUSTED=GAAP","Sort=A","Dates=H","DateFormat=P","Fill=—","Direction=H","UseDPDF=Y")</f>
        <v>-15.247</v>
      </c>
      <c r="Y30" s="19">
        <f>_xll.BDH("ITCI US Equity","EARN_FOR_COMMON","FQ2 2024","FQ2 2024","Currency=USD","Period=FQ","BEST_FPERIOD_OVERRIDE=FQ","FILING_STATUS=MR","SCALING_FORMAT=MLN","FA_ADJUSTED=GAAP","Sort=A","Dates=H","DateFormat=P","Fill=—","Direction=H","UseDPDF=Y")</f>
        <v>-16.22</v>
      </c>
      <c r="Z30" s="19">
        <f>_xll.BDH("ITCI US Equity","EARN_FOR_COMMON","FQ3 2024","FQ3 2024","Currency=USD","Period=FQ","BEST_FPERIOD_OVERRIDE=FQ","FILING_STATUS=MR","SCALING_FORMAT=MLN","FA_ADJUSTED=GAAP","Sort=A","Dates=H","DateFormat=P","Fill=—","Direction=H","UseDPDF=Y")</f>
        <v>-26.324000000000002</v>
      </c>
      <c r="AA30" s="19">
        <f>_xll.BDH("ITCI US Equity","EARN_FOR_COMMON","FQ4 2024","FQ4 2024","Currency=USD","Period=FQ","BEST_FPERIOD_OVERRIDE=FQ","FILING_STATUS=MR","SCALING_FORMAT=MLN","FA_ADJUSTED=GAAP","Sort=A","Dates=H","DateFormat=P","Fill=—","Direction=H","UseDPDF=Y")</f>
        <v>-16.885000000000002</v>
      </c>
    </row>
    <row r="31" spans="1:27" x14ac:dyDescent="0.25">
      <c r="A31" s="10" t="s">
        <v>505</v>
      </c>
      <c r="B31" s="10" t="s">
        <v>328</v>
      </c>
      <c r="C31" s="13">
        <f>_xll.BDH("ITCI US Equity","IS_DISCONTINUED_OPERATIONS","FQ4 2018","FQ4 2018","Currency=USD","Period=FQ","BEST_FPERIOD_OVERRIDE=FQ","FILING_STATUS=MR","SCALING_FORMAT=MLN","Sort=A","Dates=H","DateFormat=P","Fill=—","Direction=H","UseDPDF=Y")</f>
        <v>0</v>
      </c>
      <c r="D31" s="13">
        <f>_xll.BDH("ITCI US Equity","IS_DISCONTINUED_OPERATIONS","FQ1 2019","FQ1 2019","Currency=USD","Period=FQ","BEST_FPERIOD_OVERRIDE=FQ","FILING_STATUS=MR","SCALING_FORMAT=MLN","Sort=A","Dates=H","DateFormat=P","Fill=—","Direction=H","UseDPDF=Y")</f>
        <v>0</v>
      </c>
      <c r="E31" s="13">
        <f>_xll.BDH("ITCI US Equity","IS_DISCONTINUED_OPERATIONS","FQ2 2019","FQ2 2019","Currency=USD","Period=FQ","BEST_FPERIOD_OVERRIDE=FQ","FILING_STATUS=MR","SCALING_FORMAT=MLN","Sort=A","Dates=H","DateFormat=P","Fill=—","Direction=H","UseDPDF=Y")</f>
        <v>0</v>
      </c>
      <c r="F31" s="13">
        <f>_xll.BDH("ITCI US Equity","IS_DISCONTINUED_OPERATIONS","FQ3 2019","FQ3 2019","Currency=USD","Period=FQ","BEST_FPERIOD_OVERRIDE=FQ","FILING_STATUS=MR","SCALING_FORMAT=MLN","Sort=A","Dates=H","DateFormat=P","Fill=—","Direction=H","UseDPDF=Y")</f>
        <v>0</v>
      </c>
      <c r="G31" s="13">
        <f>_xll.BDH("ITCI US Equity","IS_DISCONTINUED_OPERATIONS","FQ4 2019","FQ4 2019","Currency=USD","Period=FQ","BEST_FPERIOD_OVERRIDE=FQ","FILING_STATUS=MR","SCALING_FORMAT=MLN","Sort=A","Dates=H","DateFormat=P","Fill=—","Direction=H","UseDPDF=Y")</f>
        <v>0</v>
      </c>
      <c r="H31" s="13">
        <f>_xll.BDH("ITCI US Equity","IS_DISCONTINUED_OPERATIONS","FQ1 2020","FQ1 2020","Currency=USD","Period=FQ","BEST_FPERIOD_OVERRIDE=FQ","FILING_STATUS=MR","SCALING_FORMAT=MLN","Sort=A","Dates=H","DateFormat=P","Fill=—","Direction=H","UseDPDF=Y")</f>
        <v>0</v>
      </c>
      <c r="I31" s="13">
        <f>_xll.BDH("ITCI US Equity","IS_DISCONTINUED_OPERATIONS","FQ2 2020","FQ2 2020","Currency=USD","Period=FQ","BEST_FPERIOD_OVERRIDE=FQ","FILING_STATUS=MR","SCALING_FORMAT=MLN","Sort=A","Dates=H","DateFormat=P","Fill=—","Direction=H","UseDPDF=Y")</f>
        <v>0</v>
      </c>
      <c r="J31" s="13">
        <f>_xll.BDH("ITCI US Equity","IS_DISCONTINUED_OPERATIONS","FQ3 2020","FQ3 2020","Currency=USD","Period=FQ","BEST_FPERIOD_OVERRIDE=FQ","FILING_STATUS=MR","SCALING_FORMAT=MLN","Sort=A","Dates=H","DateFormat=P","Fill=—","Direction=H","UseDPDF=Y")</f>
        <v>0</v>
      </c>
      <c r="K31" s="13">
        <f>_xll.BDH("ITCI US Equity","IS_DISCONTINUED_OPERATIONS","FQ4 2020","FQ4 2020","Currency=USD","Period=FQ","BEST_FPERIOD_OVERRIDE=FQ","FILING_STATUS=MR","SCALING_FORMAT=MLN","Sort=A","Dates=H","DateFormat=P","Fill=—","Direction=H","UseDPDF=Y")</f>
        <v>0</v>
      </c>
      <c r="L31" s="13">
        <f>_xll.BDH("ITCI US Equity","IS_DISCONTINUED_OPERATIONS","FQ1 2021","FQ1 2021","Currency=USD","Period=FQ","BEST_FPERIOD_OVERRIDE=FQ","FILING_STATUS=MR","SCALING_FORMAT=MLN","Sort=A","Dates=H","DateFormat=P","Fill=—","Direction=H","UseDPDF=Y")</f>
        <v>0</v>
      </c>
      <c r="M31" s="13">
        <f>_xll.BDH("ITCI US Equity","IS_DISCONTINUED_OPERATIONS","FQ2 2021","FQ2 2021","Currency=USD","Period=FQ","BEST_FPERIOD_OVERRIDE=FQ","FILING_STATUS=MR","SCALING_FORMAT=MLN","Sort=A","Dates=H","DateFormat=P","Fill=—","Direction=H","UseDPDF=Y")</f>
        <v>0</v>
      </c>
      <c r="N31" s="13">
        <f>_xll.BDH("ITCI US Equity","IS_DISCONTINUED_OPERATIONS","FQ3 2021","FQ3 2021","Currency=USD","Period=FQ","BEST_FPERIOD_OVERRIDE=FQ","FILING_STATUS=MR","SCALING_FORMAT=MLN","Sort=A","Dates=H","DateFormat=P","Fill=—","Direction=H","UseDPDF=Y")</f>
        <v>0</v>
      </c>
      <c r="O31" s="13">
        <f>_xll.BDH("ITCI US Equity","IS_DISCONTINUED_OPERATIONS","FQ4 2021","FQ4 2021","Currency=USD","Period=FQ","BEST_FPERIOD_OVERRIDE=FQ","FILING_STATUS=MR","SCALING_FORMAT=MLN","Sort=A","Dates=H","DateFormat=P","Fill=—","Direction=H","UseDPDF=Y")</f>
        <v>0</v>
      </c>
      <c r="P31" s="13">
        <f>_xll.BDH("ITCI US Equity","IS_DISCONTINUED_OPERATIONS","FQ1 2022","FQ1 2022","Currency=USD","Period=FQ","BEST_FPERIOD_OVERRIDE=FQ","FILING_STATUS=MR","SCALING_FORMAT=MLN","Sort=A","Dates=H","DateFormat=P","Fill=—","Direction=H","UseDPDF=Y")</f>
        <v>0</v>
      </c>
      <c r="Q31" s="13">
        <f>_xll.BDH("ITCI US Equity","IS_DISCONTINUED_OPERATIONS","FQ2 2022","FQ2 2022","Currency=USD","Period=FQ","BEST_FPERIOD_OVERRIDE=FQ","FILING_STATUS=MR","SCALING_FORMAT=MLN","Sort=A","Dates=H","DateFormat=P","Fill=—","Direction=H","UseDPDF=Y")</f>
        <v>0</v>
      </c>
      <c r="R31" s="13">
        <f>_xll.BDH("ITCI US Equity","IS_DISCONTINUED_OPERATIONS","FQ3 2022","FQ3 2022","Currency=USD","Period=FQ","BEST_FPERIOD_OVERRIDE=FQ","FILING_STATUS=MR","SCALING_FORMAT=MLN","Sort=A","Dates=H","DateFormat=P","Fill=—","Direction=H","UseDPDF=Y")</f>
        <v>0</v>
      </c>
      <c r="S31" s="13">
        <f>_xll.BDH("ITCI US Equity","IS_DISCONTINUED_OPERATIONS","FQ4 2022","FQ4 2022","Currency=USD","Period=FQ","BEST_FPERIOD_OVERRIDE=FQ","FILING_STATUS=MR","SCALING_FORMAT=MLN","Sort=A","Dates=H","DateFormat=P","Fill=—","Direction=H","UseDPDF=Y")</f>
        <v>0</v>
      </c>
      <c r="T31" s="13">
        <f>_xll.BDH("ITCI US Equity","IS_DISCONTINUED_OPERATIONS","FQ1 2023","FQ1 2023","Currency=USD","Period=FQ","BEST_FPERIOD_OVERRIDE=FQ","FILING_STATUS=MR","SCALING_FORMAT=MLN","Sort=A","Dates=H","DateFormat=P","Fill=—","Direction=H","UseDPDF=Y")</f>
        <v>0</v>
      </c>
      <c r="U31" s="13">
        <f>_xll.BDH("ITCI US Equity","IS_DISCONTINUED_OPERATIONS","FQ2 2023","FQ2 2023","Currency=USD","Period=FQ","BEST_FPERIOD_OVERRIDE=FQ","FILING_STATUS=MR","SCALING_FORMAT=MLN","Sort=A","Dates=H","DateFormat=P","Fill=—","Direction=H","UseDPDF=Y")</f>
        <v>0</v>
      </c>
      <c r="V31" s="13">
        <f>_xll.BDH("ITCI US Equity","IS_DISCONTINUED_OPERATIONS","FQ3 2023","FQ3 2023","Currency=USD","Period=FQ","BEST_FPERIOD_OVERRIDE=FQ","FILING_STATUS=MR","SCALING_FORMAT=MLN","Sort=A","Dates=H","DateFormat=P","Fill=—","Direction=H","UseDPDF=Y")</f>
        <v>0</v>
      </c>
      <c r="W31" s="13">
        <f>_xll.BDH("ITCI US Equity","IS_DISCONTINUED_OPERATIONS","FQ4 2023","FQ4 2023","Currency=USD","Period=FQ","BEST_FPERIOD_OVERRIDE=FQ","FILING_STATUS=MR","SCALING_FORMAT=MLN","Sort=A","Dates=H","DateFormat=P","Fill=—","Direction=H","UseDPDF=Y")</f>
        <v>0</v>
      </c>
      <c r="X31" s="13">
        <f>_xll.BDH("ITCI US Equity","IS_DISCONTINUED_OPERATIONS","FQ1 2024","FQ1 2024","Currency=USD","Period=FQ","BEST_FPERIOD_OVERRIDE=FQ","FILING_STATUS=MR","SCALING_FORMAT=MLN","Sort=A","Dates=H","DateFormat=P","Fill=—","Direction=H","UseDPDF=Y")</f>
        <v>0</v>
      </c>
      <c r="Y31" s="13">
        <f>_xll.BDH("ITCI US Equity","IS_DISCONTINUED_OPERATIONS","FQ2 2024","FQ2 2024","Currency=USD","Period=FQ","BEST_FPERIOD_OVERRIDE=FQ","FILING_STATUS=MR","SCALING_FORMAT=MLN","Sort=A","Dates=H","DateFormat=P","Fill=—","Direction=H","UseDPDF=Y")</f>
        <v>0</v>
      </c>
      <c r="Z31" s="13">
        <f>_xll.BDH("ITCI US Equity","IS_DISCONTINUED_OPERATIONS","FQ3 2024","FQ3 2024","Currency=USD","Period=FQ","BEST_FPERIOD_OVERRIDE=FQ","FILING_STATUS=MR","SCALING_FORMAT=MLN","Sort=A","Dates=H","DateFormat=P","Fill=—","Direction=H","UseDPDF=Y")</f>
        <v>0</v>
      </c>
      <c r="AA31" s="13">
        <f>_xll.BDH("ITCI US Equity","IS_DISCONTINUED_OPERATIONS","FQ4 2024","FQ4 2024","Currency=USD","Period=FQ","BEST_FPERIOD_OVERRIDE=FQ","FILING_STATUS=MR","SCALING_FORMAT=MLN","Sort=A","Dates=H","DateFormat=P","Fill=—","Direction=H","UseDPDF=Y")</f>
        <v>0</v>
      </c>
    </row>
    <row r="32" spans="1:27" x14ac:dyDescent="0.25">
      <c r="A32" s="10" t="s">
        <v>506</v>
      </c>
      <c r="B32" s="10" t="s">
        <v>330</v>
      </c>
      <c r="C32" s="13">
        <f>_xll.BDH("ITCI US Equity","EXTRAORD_ITEMS_ACCOUNTING_CHANGS","FQ4 2018","FQ4 2018","Currency=USD","Period=FQ","BEST_FPERIOD_OVERRIDE=FQ","FILING_STATUS=MR","SCALING_FORMAT=MLN","Sort=A","Dates=H","DateFormat=P","Fill=—","Direction=H","UseDPDF=Y")</f>
        <v>0</v>
      </c>
      <c r="D32" s="13">
        <f>_xll.BDH("ITCI US Equity","EXTRAORD_ITEMS_ACCOUNTING_CHANGS","FQ1 2019","FQ1 2019","Currency=USD","Period=FQ","BEST_FPERIOD_OVERRIDE=FQ","FILING_STATUS=MR","SCALING_FORMAT=MLN","Sort=A","Dates=H","DateFormat=P","Fill=—","Direction=H","UseDPDF=Y")</f>
        <v>0</v>
      </c>
      <c r="E32" s="13">
        <f>_xll.BDH("ITCI US Equity","EXTRAORD_ITEMS_ACCOUNTING_CHANGS","FQ2 2019","FQ2 2019","Currency=USD","Period=FQ","BEST_FPERIOD_OVERRIDE=FQ","FILING_STATUS=MR","SCALING_FORMAT=MLN","Sort=A","Dates=H","DateFormat=P","Fill=—","Direction=H","UseDPDF=Y")</f>
        <v>0</v>
      </c>
      <c r="F32" s="13">
        <f>_xll.BDH("ITCI US Equity","EXTRAORD_ITEMS_ACCOUNTING_CHANGS","FQ3 2019","FQ3 2019","Currency=USD","Period=FQ","BEST_FPERIOD_OVERRIDE=FQ","FILING_STATUS=MR","SCALING_FORMAT=MLN","Sort=A","Dates=H","DateFormat=P","Fill=—","Direction=H","UseDPDF=Y")</f>
        <v>0</v>
      </c>
      <c r="G32" s="13">
        <f>_xll.BDH("ITCI US Equity","EXTRAORD_ITEMS_ACCOUNTING_CHANGS","FQ4 2019","FQ4 2019","Currency=USD","Period=FQ","BEST_FPERIOD_OVERRIDE=FQ","FILING_STATUS=MR","SCALING_FORMAT=MLN","Sort=A","Dates=H","DateFormat=P","Fill=—","Direction=H","UseDPDF=Y")</f>
        <v>0</v>
      </c>
      <c r="H32" s="13">
        <f>_xll.BDH("ITCI US Equity","EXTRAORD_ITEMS_ACCOUNTING_CHANGS","FQ1 2020","FQ1 2020","Currency=USD","Period=FQ","BEST_FPERIOD_OVERRIDE=FQ","FILING_STATUS=MR","SCALING_FORMAT=MLN","Sort=A","Dates=H","DateFormat=P","Fill=—","Direction=H","UseDPDF=Y")</f>
        <v>0</v>
      </c>
      <c r="I32" s="13">
        <f>_xll.BDH("ITCI US Equity","EXTRAORD_ITEMS_ACCOUNTING_CHANGS","FQ2 2020","FQ2 2020","Currency=USD","Period=FQ","BEST_FPERIOD_OVERRIDE=FQ","FILING_STATUS=MR","SCALING_FORMAT=MLN","Sort=A","Dates=H","DateFormat=P","Fill=—","Direction=H","UseDPDF=Y")</f>
        <v>0</v>
      </c>
      <c r="J32" s="13">
        <f>_xll.BDH("ITCI US Equity","EXTRAORD_ITEMS_ACCOUNTING_CHANGS","FQ3 2020","FQ3 2020","Currency=USD","Period=FQ","BEST_FPERIOD_OVERRIDE=FQ","FILING_STATUS=MR","SCALING_FORMAT=MLN","Sort=A","Dates=H","DateFormat=P","Fill=—","Direction=H","UseDPDF=Y")</f>
        <v>0</v>
      </c>
      <c r="K32" s="13">
        <f>_xll.BDH("ITCI US Equity","EXTRAORD_ITEMS_ACCOUNTING_CHANGS","FQ4 2020","FQ4 2020","Currency=USD","Period=FQ","BEST_FPERIOD_OVERRIDE=FQ","FILING_STATUS=MR","SCALING_FORMAT=MLN","Sort=A","Dates=H","DateFormat=P","Fill=—","Direction=H","UseDPDF=Y")</f>
        <v>0</v>
      </c>
      <c r="L32" s="13">
        <f>_xll.BDH("ITCI US Equity","EXTRAORD_ITEMS_ACCOUNTING_CHANGS","FQ1 2021","FQ1 2021","Currency=USD","Period=FQ","BEST_FPERIOD_OVERRIDE=FQ","FILING_STATUS=MR","SCALING_FORMAT=MLN","Sort=A","Dates=H","DateFormat=P","Fill=—","Direction=H","UseDPDF=Y")</f>
        <v>0</v>
      </c>
      <c r="M32" s="13">
        <f>_xll.BDH("ITCI US Equity","EXTRAORD_ITEMS_ACCOUNTING_CHANGS","FQ2 2021","FQ2 2021","Currency=USD","Period=FQ","BEST_FPERIOD_OVERRIDE=FQ","FILING_STATUS=MR","SCALING_FORMAT=MLN","Sort=A","Dates=H","DateFormat=P","Fill=—","Direction=H","UseDPDF=Y")</f>
        <v>0</v>
      </c>
      <c r="N32" s="13">
        <f>_xll.BDH("ITCI US Equity","EXTRAORD_ITEMS_ACCOUNTING_CHANGS","FQ3 2021","FQ3 2021","Currency=USD","Period=FQ","BEST_FPERIOD_OVERRIDE=FQ","FILING_STATUS=MR","SCALING_FORMAT=MLN","Sort=A","Dates=H","DateFormat=P","Fill=—","Direction=H","UseDPDF=Y")</f>
        <v>0</v>
      </c>
      <c r="O32" s="13">
        <f>_xll.BDH("ITCI US Equity","EXTRAORD_ITEMS_ACCOUNTING_CHANGS","FQ4 2021","FQ4 2021","Currency=USD","Period=FQ","BEST_FPERIOD_OVERRIDE=FQ","FILING_STATUS=MR","SCALING_FORMAT=MLN","Sort=A","Dates=H","DateFormat=P","Fill=—","Direction=H","UseDPDF=Y")</f>
        <v>0</v>
      </c>
      <c r="P32" s="13">
        <f>_xll.BDH("ITCI US Equity","EXTRAORD_ITEMS_ACCOUNTING_CHANGS","FQ1 2022","FQ1 2022","Currency=USD","Period=FQ","BEST_FPERIOD_OVERRIDE=FQ","FILING_STATUS=MR","SCALING_FORMAT=MLN","Sort=A","Dates=H","DateFormat=P","Fill=—","Direction=H","UseDPDF=Y")</f>
        <v>0</v>
      </c>
      <c r="Q32" s="13">
        <f>_xll.BDH("ITCI US Equity","EXTRAORD_ITEMS_ACCOUNTING_CHANGS","FQ2 2022","FQ2 2022","Currency=USD","Period=FQ","BEST_FPERIOD_OVERRIDE=FQ","FILING_STATUS=MR","SCALING_FORMAT=MLN","Sort=A","Dates=H","DateFormat=P","Fill=—","Direction=H","UseDPDF=Y")</f>
        <v>0</v>
      </c>
      <c r="R32" s="13">
        <f>_xll.BDH("ITCI US Equity","EXTRAORD_ITEMS_ACCOUNTING_CHANGS","FQ3 2022","FQ3 2022","Currency=USD","Period=FQ","BEST_FPERIOD_OVERRIDE=FQ","FILING_STATUS=MR","SCALING_FORMAT=MLN","Sort=A","Dates=H","DateFormat=P","Fill=—","Direction=H","UseDPDF=Y")</f>
        <v>0</v>
      </c>
      <c r="S32" s="13">
        <f>_xll.BDH("ITCI US Equity","EXTRAORD_ITEMS_ACCOUNTING_CHANGS","FQ4 2022","FQ4 2022","Currency=USD","Period=FQ","BEST_FPERIOD_OVERRIDE=FQ","FILING_STATUS=MR","SCALING_FORMAT=MLN","Sort=A","Dates=H","DateFormat=P","Fill=—","Direction=H","UseDPDF=Y")</f>
        <v>0</v>
      </c>
      <c r="T32" s="13">
        <f>_xll.BDH("ITCI US Equity","EXTRAORD_ITEMS_ACCOUNTING_CHANGS","FQ1 2023","FQ1 2023","Currency=USD","Period=FQ","BEST_FPERIOD_OVERRIDE=FQ","FILING_STATUS=MR","SCALING_FORMAT=MLN","Sort=A","Dates=H","DateFormat=P","Fill=—","Direction=H","UseDPDF=Y")</f>
        <v>0</v>
      </c>
      <c r="U32" s="13">
        <f>_xll.BDH("ITCI US Equity","EXTRAORD_ITEMS_ACCOUNTING_CHANGS","FQ2 2023","FQ2 2023","Currency=USD","Period=FQ","BEST_FPERIOD_OVERRIDE=FQ","FILING_STATUS=MR","SCALING_FORMAT=MLN","Sort=A","Dates=H","DateFormat=P","Fill=—","Direction=H","UseDPDF=Y")</f>
        <v>0</v>
      </c>
      <c r="V32" s="13">
        <f>_xll.BDH("ITCI US Equity","EXTRAORD_ITEMS_ACCOUNTING_CHANGS","FQ3 2023","FQ3 2023","Currency=USD","Period=FQ","BEST_FPERIOD_OVERRIDE=FQ","FILING_STATUS=MR","SCALING_FORMAT=MLN","Sort=A","Dates=H","DateFormat=P","Fill=—","Direction=H","UseDPDF=Y")</f>
        <v>0</v>
      </c>
      <c r="W32" s="13">
        <f>_xll.BDH("ITCI US Equity","EXTRAORD_ITEMS_ACCOUNTING_CHANGS","FQ4 2023","FQ4 2023","Currency=USD","Period=FQ","BEST_FPERIOD_OVERRIDE=FQ","FILING_STATUS=MR","SCALING_FORMAT=MLN","Sort=A","Dates=H","DateFormat=P","Fill=—","Direction=H","UseDPDF=Y")</f>
        <v>0</v>
      </c>
      <c r="X32" s="13">
        <f>_xll.BDH("ITCI US Equity","EXTRAORD_ITEMS_ACCOUNTING_CHANGS","FQ1 2024","FQ1 2024","Currency=USD","Period=FQ","BEST_FPERIOD_OVERRIDE=FQ","FILING_STATUS=MR","SCALING_FORMAT=MLN","Sort=A","Dates=H","DateFormat=P","Fill=—","Direction=H","UseDPDF=Y")</f>
        <v>0</v>
      </c>
      <c r="Y32" s="13">
        <f>_xll.BDH("ITCI US Equity","EXTRAORD_ITEMS_ACCOUNTING_CHANGS","FQ2 2024","FQ2 2024","Currency=USD","Period=FQ","BEST_FPERIOD_OVERRIDE=FQ","FILING_STATUS=MR","SCALING_FORMAT=MLN","Sort=A","Dates=H","DateFormat=P","Fill=—","Direction=H","UseDPDF=Y")</f>
        <v>0</v>
      </c>
      <c r="Z32" s="13">
        <f>_xll.BDH("ITCI US Equity","EXTRAORD_ITEMS_ACCOUNTING_CHANGS","FQ3 2024","FQ3 2024","Currency=USD","Period=FQ","BEST_FPERIOD_OVERRIDE=FQ","FILING_STATUS=MR","SCALING_FORMAT=MLN","Sort=A","Dates=H","DateFormat=P","Fill=—","Direction=H","UseDPDF=Y")</f>
        <v>0</v>
      </c>
      <c r="AA32" s="13">
        <f>_xll.BDH("ITCI US Equity","EXTRAORD_ITEMS_ACCOUNTING_CHANGS","FQ4 2024","FQ4 2024","Currency=USD","Period=FQ","BEST_FPERIOD_OVERRIDE=FQ","FILING_STATUS=MR","SCALING_FORMAT=MLN","Sort=A","Dates=H","DateFormat=P","Fill=—","Direction=H","UseDPDF=Y")</f>
        <v>0</v>
      </c>
    </row>
    <row r="33" spans="1:27" x14ac:dyDescent="0.25">
      <c r="A33" s="6" t="s">
        <v>507</v>
      </c>
      <c r="B33" s="6" t="s">
        <v>508</v>
      </c>
      <c r="C33" s="19">
        <f>_xll.BDH("ITCI US Equity","INC_BEF_XO_LESS_MIN_INT_PREF_DVD","FQ4 2018","FQ4 2018","Currency=USD","Period=FQ","BEST_FPERIOD_OVERRIDE=FQ","FILING_STATUS=MR","SCALING_FORMAT=MLN","FA_ADJUSTED=GAAP","Sort=A","Dates=H","DateFormat=P","Fill=—","Direction=H","UseDPDF=Y")</f>
        <v>-40.747999999999998</v>
      </c>
      <c r="D33" s="19">
        <f>_xll.BDH("ITCI US Equity","INC_BEF_XO_LESS_MIN_INT_PREF_DVD","FQ1 2019","FQ1 2019","Currency=USD","Period=FQ","BEST_FPERIOD_OVERRIDE=FQ","FILING_STATUS=MR","SCALING_FORMAT=MLN","FA_ADJUSTED=GAAP","Sort=A","Dates=H","DateFormat=P","Fill=—","Direction=H","UseDPDF=Y")</f>
        <v>-34.835799999999999</v>
      </c>
      <c r="E33" s="19">
        <f>_xll.BDH("ITCI US Equity","INC_BEF_XO_LESS_MIN_INT_PREF_DVD","FQ2 2019","FQ2 2019","Currency=USD","Period=FQ","BEST_FPERIOD_OVERRIDE=FQ","FILING_STATUS=MR","SCALING_FORMAT=MLN","FA_ADJUSTED=GAAP","Sort=A","Dates=H","DateFormat=P","Fill=—","Direction=H","UseDPDF=Y")</f>
        <v>-37.441200000000002</v>
      </c>
      <c r="F33" s="19">
        <f>_xll.BDH("ITCI US Equity","INC_BEF_XO_LESS_MIN_INT_PREF_DVD","FQ3 2019","FQ3 2019","Currency=USD","Period=FQ","BEST_FPERIOD_OVERRIDE=FQ","FILING_STATUS=MR","SCALING_FORMAT=MLN","FA_ADJUSTED=GAAP","Sort=A","Dates=H","DateFormat=P","Fill=—","Direction=H","UseDPDF=Y")</f>
        <v>-34.862400000000001</v>
      </c>
      <c r="G33" s="19">
        <f>_xll.BDH("ITCI US Equity","INC_BEF_XO_LESS_MIN_INT_PREF_DVD","FQ4 2019","FQ4 2019","Currency=USD","Period=FQ","BEST_FPERIOD_OVERRIDE=FQ","FILING_STATUS=MR","SCALING_FORMAT=MLN","FA_ADJUSTED=GAAP","Sort=A","Dates=H","DateFormat=P","Fill=—","Direction=H","UseDPDF=Y")</f>
        <v>-40.582900000000002</v>
      </c>
      <c r="H33" s="19">
        <f>_xll.BDH("ITCI US Equity","INC_BEF_XO_LESS_MIN_INT_PREF_DVD","FQ1 2020","FQ1 2020","Currency=USD","Period=FQ","BEST_FPERIOD_OVERRIDE=FQ","FILING_STATUS=MR","SCALING_FORMAT=MLN","FA_ADJUSTED=GAAP","Sort=A","Dates=H","DateFormat=P","Fill=—","Direction=H","UseDPDF=Y")</f>
        <v>-47.410600000000002</v>
      </c>
      <c r="I33" s="19">
        <f>_xll.BDH("ITCI US Equity","INC_BEF_XO_LESS_MIN_INT_PREF_DVD","FQ2 2020","FQ2 2020","Currency=USD","Period=FQ","BEST_FPERIOD_OVERRIDE=FQ","FILING_STATUS=MR","SCALING_FORMAT=MLN","FA_ADJUSTED=GAAP","Sort=A","Dates=H","DateFormat=P","Fill=—","Direction=H","UseDPDF=Y")</f>
        <v>-63.712299999999999</v>
      </c>
      <c r="J33" s="19">
        <f>_xll.BDH("ITCI US Equity","INC_BEF_XO_LESS_MIN_INT_PREF_DVD","FQ3 2020","FQ3 2020","Currency=USD","Period=FQ","BEST_FPERIOD_OVERRIDE=FQ","FILING_STATUS=MR","SCALING_FORMAT=MLN","FA_ADJUSTED=GAAP","Sort=A","Dates=H","DateFormat=P","Fill=—","Direction=H","UseDPDF=Y")</f>
        <v>-55.183599999999998</v>
      </c>
      <c r="K33" s="19">
        <f>_xll.BDH("ITCI US Equity","INC_BEF_XO_LESS_MIN_INT_PREF_DVD","FQ4 2020","FQ4 2020","Currency=USD","Period=FQ","BEST_FPERIOD_OVERRIDE=FQ","FILING_STATUS=MR","SCALING_FORMAT=MLN","FA_ADJUSTED=GAAP","Sort=A","Dates=H","DateFormat=P","Fill=—","Direction=H","UseDPDF=Y")</f>
        <v>-60.699199999999998</v>
      </c>
      <c r="L33" s="19">
        <f>_xll.BDH("ITCI US Equity","INC_BEF_XO_LESS_MIN_INT_PREF_DVD","FQ1 2021","FQ1 2021","Currency=USD","Period=FQ","BEST_FPERIOD_OVERRIDE=FQ","FILING_STATUS=MR","SCALING_FORMAT=MLN","FA_ADJUSTED=GAAP","Sort=A","Dates=H","DateFormat=P","Fill=—","Direction=H","UseDPDF=Y")</f>
        <v>-52.739899999999999</v>
      </c>
      <c r="M33" s="19">
        <f>_xll.BDH("ITCI US Equity","INC_BEF_XO_LESS_MIN_INT_PREF_DVD","FQ2 2021","FQ2 2021","Currency=USD","Period=FQ","BEST_FPERIOD_OVERRIDE=FQ","FILING_STATUS=MR","SCALING_FORMAT=MLN","FA_ADJUSTED=GAAP","Sort=A","Dates=H","DateFormat=P","Fill=—","Direction=H","UseDPDF=Y")</f>
        <v>-68.743799999999993</v>
      </c>
      <c r="N33" s="19">
        <f>_xll.BDH("ITCI US Equity","INC_BEF_XO_LESS_MIN_INT_PREF_DVD","FQ3 2021","FQ3 2021","Currency=USD","Period=FQ","BEST_FPERIOD_OVERRIDE=FQ","FILING_STATUS=MR","SCALING_FORMAT=MLN","FA_ADJUSTED=GAAP","Sort=A","Dates=H","DateFormat=P","Fill=—","Direction=H","UseDPDF=Y")</f>
        <v>-76.908000000000001</v>
      </c>
      <c r="O33" s="19">
        <f>_xll.BDH("ITCI US Equity","INC_BEF_XO_LESS_MIN_INT_PREF_DVD","FQ4 2021","FQ4 2021","Currency=USD","Period=FQ","BEST_FPERIOD_OVERRIDE=FQ","FILING_STATUS=MR","SCALING_FORMAT=MLN","FA_ADJUSTED=GAAP","Sort=A","Dates=H","DateFormat=P","Fill=—","Direction=H","UseDPDF=Y")</f>
        <v>-85.733900000000006</v>
      </c>
      <c r="P33" s="19">
        <f>_xll.BDH("ITCI US Equity","INC_BEF_XO_LESS_MIN_INT_PREF_DVD","FQ1 2022","FQ1 2022","Currency=USD","Period=FQ","BEST_FPERIOD_OVERRIDE=FQ","FILING_STATUS=MR","SCALING_FORMAT=MLN","FA_ADJUSTED=GAAP","Sort=A","Dates=H","DateFormat=P","Fill=—","Direction=H","UseDPDF=Y")</f>
        <v>-72.119</v>
      </c>
      <c r="Q33" s="19">
        <f>_xll.BDH("ITCI US Equity","INC_BEF_XO_LESS_MIN_INT_PREF_DVD","FQ2 2022","FQ2 2022","Currency=USD","Period=FQ","BEST_FPERIOD_OVERRIDE=FQ","FILING_STATUS=MR","SCALING_FORMAT=MLN","FA_ADJUSTED=GAAP","Sort=A","Dates=H","DateFormat=P","Fill=—","Direction=H","UseDPDF=Y")</f>
        <v>-86.602999999999994</v>
      </c>
      <c r="R33" s="19">
        <f>_xll.BDH("ITCI US Equity","INC_BEF_XO_LESS_MIN_INT_PREF_DVD","FQ3 2022","FQ3 2022","Currency=USD","Period=FQ","BEST_FPERIOD_OVERRIDE=FQ","FILING_STATUS=MR","SCALING_FORMAT=MLN","FA_ADJUSTED=GAAP","Sort=A","Dates=H","DateFormat=P","Fill=—","Direction=H","UseDPDF=Y")</f>
        <v>-53.508000000000003</v>
      </c>
      <c r="S33" s="19">
        <f>_xll.BDH("ITCI US Equity","INC_BEF_XO_LESS_MIN_INT_PREF_DVD","FQ4 2022","FQ4 2022","Currency=USD","Period=FQ","BEST_FPERIOD_OVERRIDE=FQ","FILING_STATUS=MR","SCALING_FORMAT=MLN","FA_ADJUSTED=GAAP","Sort=A","Dates=H","DateFormat=P","Fill=—","Direction=H","UseDPDF=Y")</f>
        <v>-44.026000000000003</v>
      </c>
      <c r="T33" s="19">
        <f>_xll.BDH("ITCI US Equity","INC_BEF_XO_LESS_MIN_INT_PREF_DVD","FQ1 2023","FQ1 2023","Currency=USD","Period=FQ","BEST_FPERIOD_OVERRIDE=FQ","FILING_STATUS=MR","SCALING_FORMAT=MLN","FA_ADJUSTED=GAAP","Sort=A","Dates=H","DateFormat=P","Fill=—","Direction=H","UseDPDF=Y")</f>
        <v>-44.052999999999997</v>
      </c>
      <c r="U33" s="19">
        <f>_xll.BDH("ITCI US Equity","INC_BEF_XO_LESS_MIN_INT_PREF_DVD","FQ2 2023","FQ2 2023","Currency=USD","Period=FQ","BEST_FPERIOD_OVERRIDE=FQ","FILING_STATUS=MR","SCALING_FORMAT=MLN","FA_ADJUSTED=GAAP","Sort=A","Dates=H","DateFormat=P","Fill=—","Direction=H","UseDPDF=Y")</f>
        <v>-42.783999999999999</v>
      </c>
      <c r="V33" s="19">
        <f>_xll.BDH("ITCI US Equity","INC_BEF_XO_LESS_MIN_INT_PREF_DVD","FQ3 2023","FQ3 2023","Currency=USD","Period=FQ","BEST_FPERIOD_OVERRIDE=FQ","FILING_STATUS=MR","SCALING_FORMAT=MLN","FA_ADJUSTED=GAAP","Sort=A","Dates=H","DateFormat=P","Fill=—","Direction=H","UseDPDF=Y")</f>
        <v>-24.257999999999999</v>
      </c>
      <c r="W33" s="19">
        <f>_xll.BDH("ITCI US Equity","INC_BEF_XO_LESS_MIN_INT_PREF_DVD","FQ4 2023","FQ4 2023","Currency=USD","Period=FQ","BEST_FPERIOD_OVERRIDE=FQ","FILING_STATUS=MR","SCALING_FORMAT=MLN","FA_ADJUSTED=GAAP","Sort=A","Dates=H","DateFormat=P","Fill=—","Direction=H","UseDPDF=Y")</f>
        <v>-28.579000000000001</v>
      </c>
      <c r="X33" s="19">
        <f>_xll.BDH("ITCI US Equity","INC_BEF_XO_LESS_MIN_INT_PREF_DVD","FQ1 2024","FQ1 2024","Currency=USD","Period=FQ","BEST_FPERIOD_OVERRIDE=FQ","FILING_STATUS=MR","SCALING_FORMAT=MLN","FA_ADJUSTED=GAAP","Sort=A","Dates=H","DateFormat=P","Fill=—","Direction=H","UseDPDF=Y")</f>
        <v>-15.247</v>
      </c>
      <c r="Y33" s="19">
        <f>_xll.BDH("ITCI US Equity","INC_BEF_XO_LESS_MIN_INT_PREF_DVD","FQ2 2024","FQ2 2024","Currency=USD","Period=FQ","BEST_FPERIOD_OVERRIDE=FQ","FILING_STATUS=MR","SCALING_FORMAT=MLN","FA_ADJUSTED=GAAP","Sort=A","Dates=H","DateFormat=P","Fill=—","Direction=H","UseDPDF=Y")</f>
        <v>-16.22</v>
      </c>
      <c r="Z33" s="19">
        <f>_xll.BDH("ITCI US Equity","INC_BEF_XO_LESS_MIN_INT_PREF_DVD","FQ3 2024","FQ3 2024","Currency=USD","Period=FQ","BEST_FPERIOD_OVERRIDE=FQ","FILING_STATUS=MR","SCALING_FORMAT=MLN","FA_ADJUSTED=GAAP","Sort=A","Dates=H","DateFormat=P","Fill=—","Direction=H","UseDPDF=Y")</f>
        <v>-26.324000000000002</v>
      </c>
      <c r="AA33" s="19">
        <f>_xll.BDH("ITCI US Equity","INC_BEF_XO_LESS_MIN_INT_PREF_DVD","FQ4 2024","FQ4 2024","Currency=USD","Period=FQ","BEST_FPERIOD_OVERRIDE=FQ","FILING_STATUS=MR","SCALING_FORMAT=MLN","FA_ADJUSTED=GAAP","Sort=A","Dates=H","DateFormat=P","Fill=—","Direction=H","UseDPDF=Y")</f>
        <v>-16.885000000000002</v>
      </c>
    </row>
    <row r="34" spans="1:27" x14ac:dyDescent="0.25">
      <c r="A34" s="6" t="s">
        <v>342</v>
      </c>
      <c r="B34" s="6" t="s">
        <v>80</v>
      </c>
      <c r="C34" s="19">
        <f>_xll.BDH("ITCI US Equity","EARN_FOR_COMMON","FQ4 2018","FQ4 2018","Currency=USD","Period=FQ","BEST_FPERIOD_OVERRIDE=FQ","FILING_STATUS=MR","SCALING_FORMAT=MLN","FA_ADJUSTED=Adjusted","Sort=A","Dates=H","DateFormat=P","Fill=—","Direction=H","UseDPDF=Y")</f>
        <v>-40.747999999999998</v>
      </c>
      <c r="D34" s="19">
        <f>_xll.BDH("ITCI US Equity","EARN_FOR_COMMON","FQ1 2019","FQ1 2019","Currency=USD","Period=FQ","BEST_FPERIOD_OVERRIDE=FQ","FILING_STATUS=MR","SCALING_FORMAT=MLN","FA_ADJUSTED=Adjusted","Sort=A","Dates=H","DateFormat=P","Fill=—","Direction=H","UseDPDF=Y")</f>
        <v>-34.835799999999999</v>
      </c>
      <c r="E34" s="19">
        <f>_xll.BDH("ITCI US Equity","EARN_FOR_COMMON","FQ2 2019","FQ2 2019","Currency=USD","Period=FQ","BEST_FPERIOD_OVERRIDE=FQ","FILING_STATUS=MR","SCALING_FORMAT=MLN","FA_ADJUSTED=Adjusted","Sort=A","Dates=H","DateFormat=P","Fill=—","Direction=H","UseDPDF=Y")</f>
        <v>-37.441200000000002</v>
      </c>
      <c r="F34" s="19">
        <f>_xll.BDH("ITCI US Equity","EARN_FOR_COMMON","FQ3 2019","FQ3 2019","Currency=USD","Period=FQ","BEST_FPERIOD_OVERRIDE=FQ","FILING_STATUS=MR","SCALING_FORMAT=MLN","FA_ADJUSTED=Adjusted","Sort=A","Dates=H","DateFormat=P","Fill=—","Direction=H","UseDPDF=Y")</f>
        <v>-34.862400000000001</v>
      </c>
      <c r="G34" s="19">
        <f>_xll.BDH("ITCI US Equity","EARN_FOR_COMMON","FQ4 2019","FQ4 2019","Currency=USD","Period=FQ","BEST_FPERIOD_OVERRIDE=FQ","FILING_STATUS=MR","SCALING_FORMAT=MLN","FA_ADJUSTED=Adjusted","Sort=A","Dates=H","DateFormat=P","Fill=—","Direction=H","UseDPDF=Y")</f>
        <v>-40.582900000000002</v>
      </c>
      <c r="H34" s="19">
        <f>_xll.BDH("ITCI US Equity","EARN_FOR_COMMON","FQ1 2020","FQ1 2020","Currency=USD","Period=FQ","BEST_FPERIOD_OVERRIDE=FQ","FILING_STATUS=MR","SCALING_FORMAT=MLN","FA_ADJUSTED=Adjusted","Sort=A","Dates=H","DateFormat=P","Fill=—","Direction=H","UseDPDF=Y")</f>
        <v>-47.410600000000002</v>
      </c>
      <c r="I34" s="19">
        <f>_xll.BDH("ITCI US Equity","EARN_FOR_COMMON","FQ2 2020","FQ2 2020","Currency=USD","Period=FQ","BEST_FPERIOD_OVERRIDE=FQ","FILING_STATUS=MR","SCALING_FORMAT=MLN","FA_ADJUSTED=Adjusted","Sort=A","Dates=H","DateFormat=P","Fill=—","Direction=H","UseDPDF=Y")</f>
        <v>-63.712299999999999</v>
      </c>
      <c r="J34" s="19">
        <f>_xll.BDH("ITCI US Equity","EARN_FOR_COMMON","FQ3 2020","FQ3 2020","Currency=USD","Period=FQ","BEST_FPERIOD_OVERRIDE=FQ","FILING_STATUS=MR","SCALING_FORMAT=MLN","FA_ADJUSTED=Adjusted","Sort=A","Dates=H","DateFormat=P","Fill=—","Direction=H","UseDPDF=Y")</f>
        <v>-55.183599999999998</v>
      </c>
      <c r="K34" s="19">
        <f>_xll.BDH("ITCI US Equity","EARN_FOR_COMMON","FQ4 2020","FQ4 2020","Currency=USD","Period=FQ","BEST_FPERIOD_OVERRIDE=FQ","FILING_STATUS=MR","SCALING_FORMAT=MLN","FA_ADJUSTED=Adjusted","Sort=A","Dates=H","DateFormat=P","Fill=—","Direction=H","UseDPDF=Y")</f>
        <v>-60.699199999999998</v>
      </c>
      <c r="L34" s="19">
        <f>_xll.BDH("ITCI US Equity","EARN_FOR_COMMON","FQ1 2021","FQ1 2021","Currency=USD","Period=FQ","BEST_FPERIOD_OVERRIDE=FQ","FILING_STATUS=MR","SCALING_FORMAT=MLN","FA_ADJUSTED=Adjusted","Sort=A","Dates=H","DateFormat=P","Fill=—","Direction=H","UseDPDF=Y")</f>
        <v>-52.739899999999999</v>
      </c>
      <c r="M34" s="19">
        <f>_xll.BDH("ITCI US Equity","EARN_FOR_COMMON","FQ2 2021","FQ2 2021","Currency=USD","Period=FQ","BEST_FPERIOD_OVERRIDE=FQ","FILING_STATUS=MR","SCALING_FORMAT=MLN","FA_ADJUSTED=Adjusted","Sort=A","Dates=H","DateFormat=P","Fill=—","Direction=H","UseDPDF=Y")</f>
        <v>-68.743799999999993</v>
      </c>
      <c r="N34" s="19">
        <f>_xll.BDH("ITCI US Equity","EARN_FOR_COMMON","FQ3 2021","FQ3 2021","Currency=USD","Period=FQ","BEST_FPERIOD_OVERRIDE=FQ","FILING_STATUS=MR","SCALING_FORMAT=MLN","FA_ADJUSTED=Adjusted","Sort=A","Dates=H","DateFormat=P","Fill=—","Direction=H","UseDPDF=Y")</f>
        <v>-76.908000000000001</v>
      </c>
      <c r="O34" s="19">
        <f>_xll.BDH("ITCI US Equity","EARN_FOR_COMMON","FQ4 2021","FQ4 2021","Currency=USD","Period=FQ","BEST_FPERIOD_OVERRIDE=FQ","FILING_STATUS=MR","SCALING_FORMAT=MLN","FA_ADJUSTED=Adjusted","Sort=A","Dates=H","DateFormat=P","Fill=—","Direction=H","UseDPDF=Y")</f>
        <v>-85.733900000000006</v>
      </c>
      <c r="P34" s="19">
        <f>_xll.BDH("ITCI US Equity","EARN_FOR_COMMON","FQ1 2022","FQ1 2022","Currency=USD","Period=FQ","BEST_FPERIOD_OVERRIDE=FQ","FILING_STATUS=MR","SCALING_FORMAT=MLN","FA_ADJUSTED=Adjusted","Sort=A","Dates=H","DateFormat=P","Fill=—","Direction=H","UseDPDF=Y")</f>
        <v>-72.119</v>
      </c>
      <c r="Q34" s="19">
        <f>_xll.BDH("ITCI US Equity","EARN_FOR_COMMON","FQ2 2022","FQ2 2022","Currency=USD","Period=FQ","BEST_FPERIOD_OVERRIDE=FQ","FILING_STATUS=MR","SCALING_FORMAT=MLN","FA_ADJUSTED=Adjusted","Sort=A","Dates=H","DateFormat=P","Fill=—","Direction=H","UseDPDF=Y")</f>
        <v>-86.602999999999994</v>
      </c>
      <c r="R34" s="19">
        <f>_xll.BDH("ITCI US Equity","EARN_FOR_COMMON","FQ3 2022","FQ3 2022","Currency=USD","Period=FQ","BEST_FPERIOD_OVERRIDE=FQ","FILING_STATUS=MR","SCALING_FORMAT=MLN","FA_ADJUSTED=Adjusted","Sort=A","Dates=H","DateFormat=P","Fill=—","Direction=H","UseDPDF=Y")</f>
        <v>-53.508000000000003</v>
      </c>
      <c r="S34" s="19">
        <f>_xll.BDH("ITCI US Equity","EARN_FOR_COMMON","FQ4 2022","FQ4 2022","Currency=USD","Period=FQ","BEST_FPERIOD_OVERRIDE=FQ","FILING_STATUS=MR","SCALING_FORMAT=MLN","FA_ADJUSTED=Adjusted","Sort=A","Dates=H","DateFormat=P","Fill=—","Direction=H","UseDPDF=Y")</f>
        <v>-44.026000000000003</v>
      </c>
      <c r="T34" s="19">
        <f>_xll.BDH("ITCI US Equity","EARN_FOR_COMMON","FQ1 2023","FQ1 2023","Currency=USD","Period=FQ","BEST_FPERIOD_OVERRIDE=FQ","FILING_STATUS=MR","SCALING_FORMAT=MLN","FA_ADJUSTED=Adjusted","Sort=A","Dates=H","DateFormat=P","Fill=—","Direction=H","UseDPDF=Y")</f>
        <v>-44.052999999999997</v>
      </c>
      <c r="U34" s="19">
        <f>_xll.BDH("ITCI US Equity","EARN_FOR_COMMON","FQ2 2023","FQ2 2023","Currency=USD","Period=FQ","BEST_FPERIOD_OVERRIDE=FQ","FILING_STATUS=MR","SCALING_FORMAT=MLN","FA_ADJUSTED=Adjusted","Sort=A","Dates=H","DateFormat=P","Fill=—","Direction=H","UseDPDF=Y")</f>
        <v>-42.783999999999999</v>
      </c>
      <c r="V34" s="19">
        <f>_xll.BDH("ITCI US Equity","EARN_FOR_COMMON","FQ3 2023","FQ3 2023","Currency=USD","Period=FQ","BEST_FPERIOD_OVERRIDE=FQ","FILING_STATUS=MR","SCALING_FORMAT=MLN","FA_ADJUSTED=Adjusted","Sort=A","Dates=H","DateFormat=P","Fill=—","Direction=H","UseDPDF=Y")</f>
        <v>-24.257999999999999</v>
      </c>
      <c r="W34" s="19">
        <f>_xll.BDH("ITCI US Equity","EARN_FOR_COMMON","FQ4 2023","FQ4 2023","Currency=USD","Period=FQ","BEST_FPERIOD_OVERRIDE=FQ","FILING_STATUS=MR","SCALING_FORMAT=MLN","FA_ADJUSTED=Adjusted","Sort=A","Dates=H","DateFormat=P","Fill=—","Direction=H","UseDPDF=Y")</f>
        <v>-28.579000000000001</v>
      </c>
      <c r="X34" s="19">
        <f>_xll.BDH("ITCI US Equity","EARN_FOR_COMMON","FQ1 2024","FQ1 2024","Currency=USD","Period=FQ","BEST_FPERIOD_OVERRIDE=FQ","FILING_STATUS=MR","SCALING_FORMAT=MLN","FA_ADJUSTED=Adjusted","Sort=A","Dates=H","DateFormat=P","Fill=—","Direction=H","UseDPDF=Y")</f>
        <v>-15.247</v>
      </c>
      <c r="Y34" s="19">
        <f>_xll.BDH("ITCI US Equity","EARN_FOR_COMMON","FQ2 2024","FQ2 2024","Currency=USD","Period=FQ","BEST_FPERIOD_OVERRIDE=FQ","FILING_STATUS=MR","SCALING_FORMAT=MLN","FA_ADJUSTED=Adjusted","Sort=A","Dates=H","DateFormat=P","Fill=—","Direction=H","UseDPDF=Y")</f>
        <v>-16.22</v>
      </c>
      <c r="Z34" s="19">
        <f>_xll.BDH("ITCI US Equity","EARN_FOR_COMMON","FQ3 2024","FQ3 2024","Currency=USD","Period=FQ","BEST_FPERIOD_OVERRIDE=FQ","FILING_STATUS=MR","SCALING_FORMAT=MLN","FA_ADJUSTED=Adjusted","Sort=A","Dates=H","DateFormat=P","Fill=—","Direction=H","UseDPDF=Y")</f>
        <v>-26.324000000000002</v>
      </c>
      <c r="AA34" s="19">
        <f>_xll.BDH("ITCI US Equity","EARN_FOR_COMMON","FQ4 2024","FQ4 2024","Currency=USD","Period=FQ","BEST_FPERIOD_OVERRIDE=FQ","FILING_STATUS=MR","SCALING_FORMAT=MLN","FA_ADJUSTED=Adjusted","Sort=A","Dates=H","DateFormat=P","Fill=—","Direction=H","UseDPDF=Y")</f>
        <v>-16.885000000000002</v>
      </c>
    </row>
    <row r="35" spans="1:27" x14ac:dyDescent="0.25">
      <c r="A35" s="6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 x14ac:dyDescent="0.25">
      <c r="A36" s="6" t="s">
        <v>509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x14ac:dyDescent="0.25">
      <c r="A37" s="6" t="s">
        <v>103</v>
      </c>
      <c r="B37" s="6" t="s">
        <v>104</v>
      </c>
      <c r="C37" s="20">
        <f>_xll.BDH("ITCI US Equity","IS_DILUTED_EPS","FQ4 2018","FQ4 2018","Currency=USD","Period=FQ","BEST_FPERIOD_OVERRIDE=FQ","FILING_STATUS=MR","FA_ADJUSTED=GAAP","Sort=A","Dates=H","DateFormat=P","Fill=—","Direction=H","UseDPDF=Y")</f>
        <v>-0.75</v>
      </c>
      <c r="D37" s="20">
        <f>_xll.BDH("ITCI US Equity","IS_DILUTED_EPS","FQ1 2019","FQ1 2019","Currency=USD","Period=FQ","BEST_FPERIOD_OVERRIDE=FQ","FILING_STATUS=MR","FA_ADJUSTED=GAAP","Sort=A","Dates=H","DateFormat=P","Fill=—","Direction=H","UseDPDF=Y")</f>
        <v>-0.63</v>
      </c>
      <c r="E37" s="20">
        <f>_xll.BDH("ITCI US Equity","IS_DILUTED_EPS","FQ2 2019","FQ2 2019","Currency=USD","Period=FQ","BEST_FPERIOD_OVERRIDE=FQ","FILING_STATUS=MR","FA_ADJUSTED=GAAP","Sort=A","Dates=H","DateFormat=P","Fill=—","Direction=H","UseDPDF=Y")</f>
        <v>-0.68</v>
      </c>
      <c r="F37" s="20">
        <f>_xll.BDH("ITCI US Equity","IS_DILUTED_EPS","FQ3 2019","FQ3 2019","Currency=USD","Period=FQ","BEST_FPERIOD_OVERRIDE=FQ","FILING_STATUS=MR","FA_ADJUSTED=GAAP","Sort=A","Dates=H","DateFormat=P","Fill=—","Direction=H","UseDPDF=Y")</f>
        <v>-0.63</v>
      </c>
      <c r="G37" s="20">
        <f>_xll.BDH("ITCI US Equity","IS_DILUTED_EPS","FQ4 2019","FQ4 2019","Currency=USD","Period=FQ","BEST_FPERIOD_OVERRIDE=FQ","FILING_STATUS=MR","FA_ADJUSTED=GAAP","Sort=A","Dates=H","DateFormat=P","Fill=—","Direction=H","UseDPDF=Y")</f>
        <v>-0.74</v>
      </c>
      <c r="H37" s="20">
        <f>_xll.BDH("ITCI US Equity","IS_DILUTED_EPS","FQ1 2020","FQ1 2020","Currency=USD","Period=FQ","BEST_FPERIOD_OVERRIDE=FQ","FILING_STATUS=MR","FA_ADJUSTED=GAAP","Sort=A","Dates=H","DateFormat=P","Fill=—","Direction=H","UseDPDF=Y")</f>
        <v>-0.73</v>
      </c>
      <c r="I37" s="20">
        <f>_xll.BDH("ITCI US Equity","IS_DILUTED_EPS","FQ2 2020","FQ2 2020","Currency=USD","Period=FQ","BEST_FPERIOD_OVERRIDE=FQ","FILING_STATUS=MR","FA_ADJUSTED=GAAP","Sort=A","Dates=H","DateFormat=P","Fill=—","Direction=H","UseDPDF=Y")</f>
        <v>-0.96</v>
      </c>
      <c r="J37" s="20">
        <f>_xll.BDH("ITCI US Equity","IS_DILUTED_EPS","FQ3 2020","FQ3 2020","Currency=USD","Period=FQ","BEST_FPERIOD_OVERRIDE=FQ","FILING_STATUS=MR","FA_ADJUSTED=GAAP","Sort=A","Dates=H","DateFormat=P","Fill=—","Direction=H","UseDPDF=Y")</f>
        <v>-0.79</v>
      </c>
      <c r="K37" s="20">
        <f>_xll.BDH("ITCI US Equity","IS_DILUTED_EPS","FQ4 2020","FQ4 2020","Currency=USD","Period=FQ","BEST_FPERIOD_OVERRIDE=FQ","FILING_STATUS=MR","FA_ADJUSTED=GAAP","Sort=A","Dates=H","DateFormat=P","Fill=—","Direction=H","UseDPDF=Y")</f>
        <v>-0.76</v>
      </c>
      <c r="L37" s="20">
        <f>_xll.BDH("ITCI US Equity","IS_DILUTED_EPS","FQ1 2021","FQ1 2021","Currency=USD","Period=FQ","BEST_FPERIOD_OVERRIDE=FQ","FILING_STATUS=MR","FA_ADJUSTED=GAAP","Sort=A","Dates=H","DateFormat=P","Fill=—","Direction=H","UseDPDF=Y")</f>
        <v>-0.65</v>
      </c>
      <c r="M37" s="20">
        <f>_xll.BDH("ITCI US Equity","IS_DILUTED_EPS","FQ2 2021","FQ2 2021","Currency=USD","Period=FQ","BEST_FPERIOD_OVERRIDE=FQ","FILING_STATUS=MR","FA_ADJUSTED=GAAP","Sort=A","Dates=H","DateFormat=P","Fill=—","Direction=H","UseDPDF=Y")</f>
        <v>-0.85</v>
      </c>
      <c r="N37" s="20">
        <f>_xll.BDH("ITCI US Equity","IS_DILUTED_EPS","FQ3 2021","FQ3 2021","Currency=USD","Period=FQ","BEST_FPERIOD_OVERRIDE=FQ","FILING_STATUS=MR","FA_ADJUSTED=GAAP","Sort=A","Dates=H","DateFormat=P","Fill=—","Direction=H","UseDPDF=Y")</f>
        <v>-0.95</v>
      </c>
      <c r="O37" s="20">
        <f>_xll.BDH("ITCI US Equity","IS_DILUTED_EPS","FQ4 2021","FQ4 2021","Currency=USD","Period=FQ","BEST_FPERIOD_OVERRIDE=FQ","FILING_STATUS=MR","FA_ADJUSTED=GAAP","Sort=A","Dates=H","DateFormat=P","Fill=—","Direction=H","UseDPDF=Y")</f>
        <v>-1.05</v>
      </c>
      <c r="P37" s="20">
        <f>_xll.BDH("ITCI US Equity","IS_DILUTED_EPS","FQ1 2022","FQ1 2022","Currency=USD","Period=FQ","BEST_FPERIOD_OVERRIDE=FQ","FILING_STATUS=MR","FA_ADJUSTED=GAAP","Sort=A","Dates=H","DateFormat=P","Fill=—","Direction=H","UseDPDF=Y")</f>
        <v>-0.78</v>
      </c>
      <c r="Q37" s="20">
        <f>_xll.BDH("ITCI US Equity","IS_DILUTED_EPS","FQ2 2022","FQ2 2022","Currency=USD","Period=FQ","BEST_FPERIOD_OVERRIDE=FQ","FILING_STATUS=MR","FA_ADJUSTED=GAAP","Sort=A","Dates=H","DateFormat=P","Fill=—","Direction=H","UseDPDF=Y")</f>
        <v>-0.92</v>
      </c>
      <c r="R37" s="20">
        <f>_xll.BDH("ITCI US Equity","IS_DILUTED_EPS","FQ3 2022","FQ3 2022","Currency=USD","Period=FQ","BEST_FPERIOD_OVERRIDE=FQ","FILING_STATUS=MR","FA_ADJUSTED=GAAP","Sort=A","Dates=H","DateFormat=P","Fill=—","Direction=H","UseDPDF=Y")</f>
        <v>-0.56999999999999995</v>
      </c>
      <c r="S37" s="20">
        <f>_xll.BDH("ITCI US Equity","IS_DILUTED_EPS","FQ4 2022","FQ4 2022","Currency=USD","Period=FQ","BEST_FPERIOD_OVERRIDE=FQ","FILING_STATUS=MR","FA_ADJUSTED=GAAP","Sort=A","Dates=H","DateFormat=P","Fill=—","Direction=H","UseDPDF=Y")</f>
        <v>-0.45</v>
      </c>
      <c r="T37" s="20">
        <f>_xll.BDH("ITCI US Equity","IS_DILUTED_EPS","FQ1 2023","FQ1 2023","Currency=USD","Period=FQ","BEST_FPERIOD_OVERRIDE=FQ","FILING_STATUS=MR","FA_ADJUSTED=GAAP","Sort=A","Dates=H","DateFormat=P","Fill=—","Direction=H","UseDPDF=Y")</f>
        <v>-0.46</v>
      </c>
      <c r="U37" s="20">
        <f>_xll.BDH("ITCI US Equity","IS_DILUTED_EPS","FQ2 2023","FQ2 2023","Currency=USD","Period=FQ","BEST_FPERIOD_OVERRIDE=FQ","FILING_STATUS=MR","FA_ADJUSTED=GAAP","Sort=A","Dates=H","DateFormat=P","Fill=—","Direction=H","UseDPDF=Y")</f>
        <v>-0.45</v>
      </c>
      <c r="V37" s="20">
        <f>_xll.BDH("ITCI US Equity","IS_DILUTED_EPS","FQ3 2023","FQ3 2023","Currency=USD","Period=FQ","BEST_FPERIOD_OVERRIDE=FQ","FILING_STATUS=MR","FA_ADJUSTED=GAAP","Sort=A","Dates=H","DateFormat=P","Fill=—","Direction=H","UseDPDF=Y")</f>
        <v>-0.25</v>
      </c>
      <c r="W37" s="20">
        <f>_xll.BDH("ITCI US Equity","IS_DILUTED_EPS","FQ4 2023","FQ4 2023","Currency=USD","Period=FQ","BEST_FPERIOD_OVERRIDE=FQ","FILING_STATUS=MR","FA_ADJUSTED=GAAP","Sort=A","Dates=H","DateFormat=P","Fill=—","Direction=H","UseDPDF=Y")</f>
        <v>-0.3</v>
      </c>
      <c r="X37" s="20">
        <f>_xll.BDH("ITCI US Equity","IS_DILUTED_EPS","FQ1 2024","FQ1 2024","Currency=USD","Period=FQ","BEST_FPERIOD_OVERRIDE=FQ","FILING_STATUS=MR","FA_ADJUSTED=GAAP","Sort=A","Dates=H","DateFormat=P","Fill=—","Direction=H","UseDPDF=Y")</f>
        <v>-0.16</v>
      </c>
      <c r="Y37" s="20">
        <f>_xll.BDH("ITCI US Equity","IS_DILUTED_EPS","FQ2 2024","FQ2 2024","Currency=USD","Period=FQ","BEST_FPERIOD_OVERRIDE=FQ","FILING_STATUS=MR","FA_ADJUSTED=GAAP","Sort=A","Dates=H","DateFormat=P","Fill=—","Direction=H","UseDPDF=Y")</f>
        <v>-0.16</v>
      </c>
      <c r="Z37" s="20">
        <f>_xll.BDH("ITCI US Equity","IS_DILUTED_EPS","FQ3 2024","FQ3 2024","Currency=USD","Period=FQ","BEST_FPERIOD_OVERRIDE=FQ","FILING_STATUS=MR","FA_ADJUSTED=GAAP","Sort=A","Dates=H","DateFormat=P","Fill=—","Direction=H","UseDPDF=Y")</f>
        <v>-0.25</v>
      </c>
      <c r="AA37" s="20">
        <f>_xll.BDH("ITCI US Equity","IS_DILUTED_EPS","FQ4 2024","FQ4 2024","Currency=USD","Period=FQ","BEST_FPERIOD_OVERRIDE=FQ","FILING_STATUS=MR","FA_ADJUSTED=GAAP","Sort=A","Dates=H","DateFormat=P","Fill=—","Direction=H","UseDPDF=Y")</f>
        <v>-0.16</v>
      </c>
    </row>
    <row r="38" spans="1:27" x14ac:dyDescent="0.25">
      <c r="A38" s="10" t="s">
        <v>505</v>
      </c>
      <c r="B38" s="10" t="s">
        <v>510</v>
      </c>
      <c r="C38" s="14" t="str">
        <f>_xll.BDH("ITCI US Equity","IS_DISC_OPS_DILUTED_SH","FQ4 2018","FQ4 2018","Currency=USD","Period=FQ","BEST_FPERIOD_OVERRIDE=FQ","FILING_STATUS=MR","Sort=A","Dates=H","DateFormat=P","Fill=—","Direction=H","UseDPDF=Y")</f>
        <v>—</v>
      </c>
      <c r="D38" s="14" t="str">
        <f>_xll.BDH("ITCI US Equity","IS_DISC_OPS_DILUTED_SH","FQ1 2019","FQ1 2019","Currency=USD","Period=FQ","BEST_FPERIOD_OVERRIDE=FQ","FILING_STATUS=MR","Sort=A","Dates=H","DateFormat=P","Fill=—","Direction=H","UseDPDF=Y")</f>
        <v>—</v>
      </c>
      <c r="E38" s="14" t="str">
        <f>_xll.BDH("ITCI US Equity","IS_DISC_OPS_DILUTED_SH","FQ2 2019","FQ2 2019","Currency=USD","Period=FQ","BEST_FPERIOD_OVERRIDE=FQ","FILING_STATUS=MR","Sort=A","Dates=H","DateFormat=P","Fill=—","Direction=H","UseDPDF=Y")</f>
        <v>—</v>
      </c>
      <c r="F38" s="14">
        <f>_xll.BDH("ITCI US Equity","IS_DISC_OPS_DILUTED_SH","FQ3 2019","FQ3 2019","Currency=USD","Period=FQ","BEST_FPERIOD_OVERRIDE=FQ","FILING_STATUS=MR","Sort=A","Dates=H","DateFormat=P","Fill=—","Direction=H","UseDPDF=Y")</f>
        <v>0</v>
      </c>
      <c r="G38" s="14">
        <f>_xll.BDH("ITCI US Equity","IS_DISC_OPS_DILUTED_SH","FQ4 2019","FQ4 2019","Currency=USD","Period=FQ","BEST_FPERIOD_OVERRIDE=FQ","FILING_STATUS=MR","Sort=A","Dates=H","DateFormat=P","Fill=—","Direction=H","UseDPDF=Y")</f>
        <v>0</v>
      </c>
      <c r="H38" s="14">
        <f>_xll.BDH("ITCI US Equity","IS_DISC_OPS_DILUTED_SH","FQ1 2020","FQ1 2020","Currency=USD","Period=FQ","BEST_FPERIOD_OVERRIDE=FQ","FILING_STATUS=MR","Sort=A","Dates=H","DateFormat=P","Fill=—","Direction=H","UseDPDF=Y")</f>
        <v>0</v>
      </c>
      <c r="I38" s="14" t="str">
        <f>_xll.BDH("ITCI US Equity","IS_DISC_OPS_DILUTED_SH","FQ2 2020","FQ2 2020","Currency=USD","Period=FQ","BEST_FPERIOD_OVERRIDE=FQ","FILING_STATUS=MR","Sort=A","Dates=H","DateFormat=P","Fill=—","Direction=H","UseDPDF=Y")</f>
        <v>—</v>
      </c>
      <c r="J38" s="14" t="str">
        <f>_xll.BDH("ITCI US Equity","IS_DISC_OPS_DILUTED_SH","FQ3 2020","FQ3 2020","Currency=USD","Period=FQ","BEST_FPERIOD_OVERRIDE=FQ","FILING_STATUS=MR","Sort=A","Dates=H","DateFormat=P","Fill=—","Direction=H","UseDPDF=Y")</f>
        <v>—</v>
      </c>
      <c r="K38" s="14">
        <f>_xll.BDH("ITCI US Equity","IS_DISC_OPS_DILUTED_SH","FQ4 2020","FQ4 2020","Currency=USD","Period=FQ","BEST_FPERIOD_OVERRIDE=FQ","FILING_STATUS=MR","Sort=A","Dates=H","DateFormat=P","Fill=—","Direction=H","UseDPDF=Y")</f>
        <v>0</v>
      </c>
      <c r="L38" s="14">
        <f>_xll.BDH("ITCI US Equity","IS_DISC_OPS_DILUTED_SH","FQ1 2021","FQ1 2021","Currency=USD","Period=FQ","BEST_FPERIOD_OVERRIDE=FQ","FILING_STATUS=MR","Sort=A","Dates=H","DateFormat=P","Fill=—","Direction=H","UseDPDF=Y")</f>
        <v>0</v>
      </c>
      <c r="M38" s="14" t="str">
        <f>_xll.BDH("ITCI US Equity","IS_DISC_OPS_DILUTED_SH","FQ2 2021","FQ2 2021","Currency=USD","Period=FQ","BEST_FPERIOD_OVERRIDE=FQ","FILING_STATUS=MR","Sort=A","Dates=H","DateFormat=P","Fill=—","Direction=H","UseDPDF=Y")</f>
        <v>—</v>
      </c>
      <c r="N38" s="14">
        <f>_xll.BDH("ITCI US Equity","IS_DISC_OPS_DILUTED_SH","FQ3 2021","FQ3 2021","Currency=USD","Period=FQ","BEST_FPERIOD_OVERRIDE=FQ","FILING_STATUS=MR","Sort=A","Dates=H","DateFormat=P","Fill=—","Direction=H","UseDPDF=Y")</f>
        <v>0</v>
      </c>
      <c r="O38" s="14">
        <f>_xll.BDH("ITCI US Equity","IS_DISC_OPS_DILUTED_SH","FQ4 2021","FQ4 2021","Currency=USD","Period=FQ","BEST_FPERIOD_OVERRIDE=FQ","FILING_STATUS=MR","Sort=A","Dates=H","DateFormat=P","Fill=—","Direction=H","UseDPDF=Y")</f>
        <v>0</v>
      </c>
      <c r="P38" s="14">
        <f>_xll.BDH("ITCI US Equity","IS_DISC_OPS_DILUTED_SH","FQ1 2022","FQ1 2022","Currency=USD","Period=FQ","BEST_FPERIOD_OVERRIDE=FQ","FILING_STATUS=MR","Sort=A","Dates=H","DateFormat=P","Fill=—","Direction=H","UseDPDF=Y")</f>
        <v>0</v>
      </c>
      <c r="Q38" s="14">
        <f>_xll.BDH("ITCI US Equity","IS_DISC_OPS_DILUTED_SH","FQ2 2022","FQ2 2022","Currency=USD","Period=FQ","BEST_FPERIOD_OVERRIDE=FQ","FILING_STATUS=MR","Sort=A","Dates=H","DateFormat=P","Fill=—","Direction=H","UseDPDF=Y")</f>
        <v>0</v>
      </c>
      <c r="R38" s="14" t="str">
        <f>_xll.BDH("ITCI US Equity","IS_DISC_OPS_DILUTED_SH","FQ3 2022","FQ3 2022","Currency=USD","Period=FQ","BEST_FPERIOD_OVERRIDE=FQ","FILING_STATUS=MR","Sort=A","Dates=H","DateFormat=P","Fill=—","Direction=H","UseDPDF=Y")</f>
        <v>—</v>
      </c>
      <c r="S38" s="14" t="str">
        <f>_xll.BDH("ITCI US Equity","IS_DISC_OPS_DILUTED_SH","FQ4 2022","FQ4 2022","Currency=USD","Period=FQ","BEST_FPERIOD_OVERRIDE=FQ","FILING_STATUS=MR","Sort=A","Dates=H","DateFormat=P","Fill=—","Direction=H","UseDPDF=Y")</f>
        <v>—</v>
      </c>
      <c r="T38" s="14">
        <f>_xll.BDH("ITCI US Equity","IS_DISC_OPS_DILUTED_SH","FQ1 2023","FQ1 2023","Currency=USD","Period=FQ","BEST_FPERIOD_OVERRIDE=FQ","FILING_STATUS=MR","Sort=A","Dates=H","DateFormat=P","Fill=—","Direction=H","UseDPDF=Y")</f>
        <v>0</v>
      </c>
      <c r="U38" s="14" t="str">
        <f>_xll.BDH("ITCI US Equity","IS_DISC_OPS_DILUTED_SH","FQ2 2023","FQ2 2023","Currency=USD","Period=FQ","BEST_FPERIOD_OVERRIDE=FQ","FILING_STATUS=MR","Sort=A","Dates=H","DateFormat=P","Fill=—","Direction=H","UseDPDF=Y")</f>
        <v>—</v>
      </c>
      <c r="V38" s="14" t="str">
        <f>_xll.BDH("ITCI US Equity","IS_DISC_OPS_DILUTED_SH","FQ3 2023","FQ3 2023","Currency=USD","Period=FQ","BEST_FPERIOD_OVERRIDE=FQ","FILING_STATUS=MR","Sort=A","Dates=H","DateFormat=P","Fill=—","Direction=H","UseDPDF=Y")</f>
        <v>—</v>
      </c>
      <c r="W38" s="14" t="str">
        <f>_xll.BDH("ITCI US Equity","IS_DISC_OPS_DILUTED_SH","FQ4 2023","FQ4 2023","Currency=USD","Period=FQ","BEST_FPERIOD_OVERRIDE=FQ","FILING_STATUS=MR","Sort=A","Dates=H","DateFormat=P","Fill=—","Direction=H","UseDPDF=Y")</f>
        <v>—</v>
      </c>
      <c r="X38" s="14">
        <f>_xll.BDH("ITCI US Equity","IS_DISC_OPS_DILUTED_SH","FQ1 2024","FQ1 2024","Currency=USD","Period=FQ","BEST_FPERIOD_OVERRIDE=FQ","FILING_STATUS=MR","Sort=A","Dates=H","DateFormat=P","Fill=—","Direction=H","UseDPDF=Y")</f>
        <v>0</v>
      </c>
      <c r="Y38" s="14">
        <f>_xll.BDH("ITCI US Equity","IS_DISC_OPS_DILUTED_SH","FQ2 2024","FQ2 2024","Currency=USD","Period=FQ","BEST_FPERIOD_OVERRIDE=FQ","FILING_STATUS=MR","Sort=A","Dates=H","DateFormat=P","Fill=—","Direction=H","UseDPDF=Y")</f>
        <v>0</v>
      </c>
      <c r="Z38" s="14" t="str">
        <f>_xll.BDH("ITCI US Equity","IS_DISC_OPS_DILUTED_SH","FQ3 2024","FQ3 2024","Currency=USD","Period=FQ","BEST_FPERIOD_OVERRIDE=FQ","FILING_STATUS=MR","Sort=A","Dates=H","DateFormat=P","Fill=—","Direction=H","UseDPDF=Y")</f>
        <v>—</v>
      </c>
      <c r="AA38" s="14" t="str">
        <f>_xll.BDH("ITCI US Equity","IS_DISC_OPS_DILUTED_SH","FQ4 2024","FQ4 2024","Currency=USD","Period=FQ","BEST_FPERIOD_OVERRIDE=FQ","FILING_STATUS=MR","Sort=A","Dates=H","DateFormat=P","Fill=—","Direction=H","UseDPDF=Y")</f>
        <v>—</v>
      </c>
    </row>
    <row r="39" spans="1:27" x14ac:dyDescent="0.25">
      <c r="A39" s="10" t="s">
        <v>506</v>
      </c>
      <c r="B39" s="10" t="s">
        <v>511</v>
      </c>
      <c r="C39" s="14">
        <f>_xll.BDH("ITCI US Equity","IS_XO_ITEMS_ACCT_CHG_DIL_SH","FQ4 2018","FQ4 2018","Currency=USD","Period=FQ","BEST_FPERIOD_OVERRIDE=FQ","FILING_STATUS=MR","Sort=A","Dates=H","DateFormat=P","Fill=—","Direction=H","UseDPDF=Y")</f>
        <v>0</v>
      </c>
      <c r="D39" s="14">
        <f>_xll.BDH("ITCI US Equity","IS_XO_ITEMS_ACCT_CHG_DIL_SH","FQ1 2019","FQ1 2019","Currency=USD","Period=FQ","BEST_FPERIOD_OVERRIDE=FQ","FILING_STATUS=MR","Sort=A","Dates=H","DateFormat=P","Fill=—","Direction=H","UseDPDF=Y")</f>
        <v>0</v>
      </c>
      <c r="E39" s="14">
        <f>_xll.BDH("ITCI US Equity","IS_XO_ITEMS_ACCT_CHG_DIL_SH","FQ2 2019","FQ2 2019","Currency=USD","Period=FQ","BEST_FPERIOD_OVERRIDE=FQ","FILING_STATUS=MR","Sort=A","Dates=H","DateFormat=P","Fill=—","Direction=H","UseDPDF=Y")</f>
        <v>0</v>
      </c>
      <c r="F39" s="14">
        <f>_xll.BDH("ITCI US Equity","IS_XO_ITEMS_ACCT_CHG_DIL_SH","FQ3 2019","FQ3 2019","Currency=USD","Period=FQ","BEST_FPERIOD_OVERRIDE=FQ","FILING_STATUS=MR","Sort=A","Dates=H","DateFormat=P","Fill=—","Direction=H","UseDPDF=Y")</f>
        <v>0</v>
      </c>
      <c r="G39" s="14">
        <f>_xll.BDH("ITCI US Equity","IS_XO_ITEMS_ACCT_CHG_DIL_SH","FQ4 2019","FQ4 2019","Currency=USD","Period=FQ","BEST_FPERIOD_OVERRIDE=FQ","FILING_STATUS=MR","Sort=A","Dates=H","DateFormat=P","Fill=—","Direction=H","UseDPDF=Y")</f>
        <v>0</v>
      </c>
      <c r="H39" s="14">
        <f>_xll.BDH("ITCI US Equity","IS_XO_ITEMS_ACCT_CHG_DIL_SH","FQ1 2020","FQ1 2020","Currency=USD","Period=FQ","BEST_FPERIOD_OVERRIDE=FQ","FILING_STATUS=MR","Sort=A","Dates=H","DateFormat=P","Fill=—","Direction=H","UseDPDF=Y")</f>
        <v>0</v>
      </c>
      <c r="I39" s="14">
        <f>_xll.BDH("ITCI US Equity","IS_XO_ITEMS_ACCT_CHG_DIL_SH","FQ2 2020","FQ2 2020","Currency=USD","Period=FQ","BEST_FPERIOD_OVERRIDE=FQ","FILING_STATUS=MR","Sort=A","Dates=H","DateFormat=P","Fill=—","Direction=H","UseDPDF=Y")</f>
        <v>0</v>
      </c>
      <c r="J39" s="14">
        <f>_xll.BDH("ITCI US Equity","IS_XO_ITEMS_ACCT_CHG_DIL_SH","FQ3 2020","FQ3 2020","Currency=USD","Period=FQ","BEST_FPERIOD_OVERRIDE=FQ","FILING_STATUS=MR","Sort=A","Dates=H","DateFormat=P","Fill=—","Direction=H","UseDPDF=Y")</f>
        <v>0</v>
      </c>
      <c r="K39" s="14">
        <f>_xll.BDH("ITCI US Equity","IS_XO_ITEMS_ACCT_CHG_DIL_SH","FQ4 2020","FQ4 2020","Currency=USD","Period=FQ","BEST_FPERIOD_OVERRIDE=FQ","FILING_STATUS=MR","Sort=A","Dates=H","DateFormat=P","Fill=—","Direction=H","UseDPDF=Y")</f>
        <v>0</v>
      </c>
      <c r="L39" s="14">
        <f>_xll.BDH("ITCI US Equity","IS_XO_ITEMS_ACCT_CHG_DIL_SH","FQ1 2021","FQ1 2021","Currency=USD","Period=FQ","BEST_FPERIOD_OVERRIDE=FQ","FILING_STATUS=MR","Sort=A","Dates=H","DateFormat=P","Fill=—","Direction=H","UseDPDF=Y")</f>
        <v>0</v>
      </c>
      <c r="M39" s="14">
        <f>_xll.BDH("ITCI US Equity","IS_XO_ITEMS_ACCT_CHG_DIL_SH","FQ2 2021","FQ2 2021","Currency=USD","Period=FQ","BEST_FPERIOD_OVERRIDE=FQ","FILING_STATUS=MR","Sort=A","Dates=H","DateFormat=P","Fill=—","Direction=H","UseDPDF=Y")</f>
        <v>0</v>
      </c>
      <c r="N39" s="14">
        <f>_xll.BDH("ITCI US Equity","IS_XO_ITEMS_ACCT_CHG_DIL_SH","FQ3 2021","FQ3 2021","Currency=USD","Period=FQ","BEST_FPERIOD_OVERRIDE=FQ","FILING_STATUS=MR","Sort=A","Dates=H","DateFormat=P","Fill=—","Direction=H","UseDPDF=Y")</f>
        <v>0</v>
      </c>
      <c r="O39" s="14">
        <f>_xll.BDH("ITCI US Equity","IS_XO_ITEMS_ACCT_CHG_DIL_SH","FQ4 2021","FQ4 2021","Currency=USD","Period=FQ","BEST_FPERIOD_OVERRIDE=FQ","FILING_STATUS=MR","Sort=A","Dates=H","DateFormat=P","Fill=—","Direction=H","UseDPDF=Y")</f>
        <v>0</v>
      </c>
      <c r="P39" s="14">
        <f>_xll.BDH("ITCI US Equity","IS_XO_ITEMS_ACCT_CHG_DIL_SH","FQ1 2022","FQ1 2022","Currency=USD","Period=FQ","BEST_FPERIOD_OVERRIDE=FQ","FILING_STATUS=MR","Sort=A","Dates=H","DateFormat=P","Fill=—","Direction=H","UseDPDF=Y")</f>
        <v>0</v>
      </c>
      <c r="Q39" s="14">
        <f>_xll.BDH("ITCI US Equity","IS_XO_ITEMS_ACCT_CHG_DIL_SH","FQ2 2022","FQ2 2022","Currency=USD","Period=FQ","BEST_FPERIOD_OVERRIDE=FQ","FILING_STATUS=MR","Sort=A","Dates=H","DateFormat=P","Fill=—","Direction=H","UseDPDF=Y")</f>
        <v>0</v>
      </c>
      <c r="R39" s="14">
        <f>_xll.BDH("ITCI US Equity","IS_XO_ITEMS_ACCT_CHG_DIL_SH","FQ3 2022","FQ3 2022","Currency=USD","Period=FQ","BEST_FPERIOD_OVERRIDE=FQ","FILING_STATUS=MR","Sort=A","Dates=H","DateFormat=P","Fill=—","Direction=H","UseDPDF=Y")</f>
        <v>0</v>
      </c>
      <c r="S39" s="14">
        <f>_xll.BDH("ITCI US Equity","IS_XO_ITEMS_ACCT_CHG_DIL_SH","FQ4 2022","FQ4 2022","Currency=USD","Period=FQ","BEST_FPERIOD_OVERRIDE=FQ","FILING_STATUS=MR","Sort=A","Dates=H","DateFormat=P","Fill=—","Direction=H","UseDPDF=Y")</f>
        <v>0</v>
      </c>
      <c r="T39" s="14">
        <f>_xll.BDH("ITCI US Equity","IS_XO_ITEMS_ACCT_CHG_DIL_SH","FQ1 2023","FQ1 2023","Currency=USD","Period=FQ","BEST_FPERIOD_OVERRIDE=FQ","FILING_STATUS=MR","Sort=A","Dates=H","DateFormat=P","Fill=—","Direction=H","UseDPDF=Y")</f>
        <v>0</v>
      </c>
      <c r="U39" s="14">
        <f>_xll.BDH("ITCI US Equity","IS_XO_ITEMS_ACCT_CHG_DIL_SH","FQ2 2023","FQ2 2023","Currency=USD","Period=FQ","BEST_FPERIOD_OVERRIDE=FQ","FILING_STATUS=MR","Sort=A","Dates=H","DateFormat=P","Fill=—","Direction=H","UseDPDF=Y")</f>
        <v>0</v>
      </c>
      <c r="V39" s="14">
        <f>_xll.BDH("ITCI US Equity","IS_XO_ITEMS_ACCT_CHG_DIL_SH","FQ3 2023","FQ3 2023","Currency=USD","Period=FQ","BEST_FPERIOD_OVERRIDE=FQ","FILING_STATUS=MR","Sort=A","Dates=H","DateFormat=P","Fill=—","Direction=H","UseDPDF=Y")</f>
        <v>0</v>
      </c>
      <c r="W39" s="14">
        <f>_xll.BDH("ITCI US Equity","IS_XO_ITEMS_ACCT_CHG_DIL_SH","FQ4 2023","FQ4 2023","Currency=USD","Period=FQ","BEST_FPERIOD_OVERRIDE=FQ","FILING_STATUS=MR","Sort=A","Dates=H","DateFormat=P","Fill=—","Direction=H","UseDPDF=Y")</f>
        <v>0</v>
      </c>
      <c r="X39" s="14">
        <f>_xll.BDH("ITCI US Equity","IS_XO_ITEMS_ACCT_CHG_DIL_SH","FQ1 2024","FQ1 2024","Currency=USD","Period=FQ","BEST_FPERIOD_OVERRIDE=FQ","FILING_STATUS=MR","Sort=A","Dates=H","DateFormat=P","Fill=—","Direction=H","UseDPDF=Y")</f>
        <v>0</v>
      </c>
      <c r="Y39" s="14">
        <f>_xll.BDH("ITCI US Equity","IS_XO_ITEMS_ACCT_CHG_DIL_SH","FQ2 2024","FQ2 2024","Currency=USD","Period=FQ","BEST_FPERIOD_OVERRIDE=FQ","FILING_STATUS=MR","Sort=A","Dates=H","DateFormat=P","Fill=—","Direction=H","UseDPDF=Y")</f>
        <v>0</v>
      </c>
      <c r="Z39" s="14">
        <f>_xll.BDH("ITCI US Equity","IS_XO_ITEMS_ACCT_CHG_DIL_SH","FQ3 2024","FQ3 2024","Currency=USD","Period=FQ","BEST_FPERIOD_OVERRIDE=FQ","FILING_STATUS=MR","Sort=A","Dates=H","DateFormat=P","Fill=—","Direction=H","UseDPDF=Y")</f>
        <v>0</v>
      </c>
      <c r="AA39" s="14">
        <f>_xll.BDH("ITCI US Equity","IS_XO_ITEMS_ACCT_CHG_DIL_SH","FQ4 2024","FQ4 2024","Currency=USD","Period=FQ","BEST_FPERIOD_OVERRIDE=FQ","FILING_STATUS=MR","Sort=A","Dates=H","DateFormat=P","Fill=—","Direction=H","UseDPDF=Y")</f>
        <v>0</v>
      </c>
    </row>
    <row r="40" spans="1:27" x14ac:dyDescent="0.25">
      <c r="A40" s="6" t="s">
        <v>348</v>
      </c>
      <c r="B40" s="6" t="s">
        <v>241</v>
      </c>
      <c r="C40" s="20">
        <f>_xll.BDH("ITCI US Equity","IS_DIL_EPS_BEF_XO","FQ4 2018","FQ4 2018","Currency=USD","Period=FQ","BEST_FPERIOD_OVERRIDE=FQ","FILING_STATUS=MR","Sort=A","Dates=H","DateFormat=P","Fill=—","Direction=H","UseDPDF=Y")</f>
        <v>-0.75</v>
      </c>
      <c r="D40" s="20">
        <f>_xll.BDH("ITCI US Equity","IS_DIL_EPS_BEF_XO","FQ1 2019","FQ1 2019","Currency=USD","Period=FQ","BEST_FPERIOD_OVERRIDE=FQ","FILING_STATUS=MR","Sort=A","Dates=H","DateFormat=P","Fill=—","Direction=H","UseDPDF=Y")</f>
        <v>-0.63</v>
      </c>
      <c r="E40" s="20">
        <f>_xll.BDH("ITCI US Equity","IS_DIL_EPS_BEF_XO","FQ2 2019","FQ2 2019","Currency=USD","Period=FQ","BEST_FPERIOD_OVERRIDE=FQ","FILING_STATUS=MR","Sort=A","Dates=H","DateFormat=P","Fill=—","Direction=H","UseDPDF=Y")</f>
        <v>-0.68</v>
      </c>
      <c r="F40" s="20">
        <f>_xll.BDH("ITCI US Equity","IS_DIL_EPS_BEF_XO","FQ3 2019","FQ3 2019","Currency=USD","Period=FQ","BEST_FPERIOD_OVERRIDE=FQ","FILING_STATUS=MR","Sort=A","Dates=H","DateFormat=P","Fill=—","Direction=H","UseDPDF=Y")</f>
        <v>-0.63</v>
      </c>
      <c r="G40" s="20">
        <f>_xll.BDH("ITCI US Equity","IS_DIL_EPS_BEF_XO","FQ4 2019","FQ4 2019","Currency=USD","Period=FQ","BEST_FPERIOD_OVERRIDE=FQ","FILING_STATUS=MR","Sort=A","Dates=H","DateFormat=P","Fill=—","Direction=H","UseDPDF=Y")</f>
        <v>-0.74</v>
      </c>
      <c r="H40" s="20">
        <f>_xll.BDH("ITCI US Equity","IS_DIL_EPS_BEF_XO","FQ1 2020","FQ1 2020","Currency=USD","Period=FQ","BEST_FPERIOD_OVERRIDE=FQ","FILING_STATUS=MR","Sort=A","Dates=H","DateFormat=P","Fill=—","Direction=H","UseDPDF=Y")</f>
        <v>-0.73</v>
      </c>
      <c r="I40" s="20">
        <f>_xll.BDH("ITCI US Equity","IS_DIL_EPS_BEF_XO","FQ2 2020","FQ2 2020","Currency=USD","Period=FQ","BEST_FPERIOD_OVERRIDE=FQ","FILING_STATUS=MR","Sort=A","Dates=H","DateFormat=P","Fill=—","Direction=H","UseDPDF=Y")</f>
        <v>-0.96</v>
      </c>
      <c r="J40" s="20">
        <f>_xll.BDH("ITCI US Equity","IS_DIL_EPS_BEF_XO","FQ3 2020","FQ3 2020","Currency=USD","Period=FQ","BEST_FPERIOD_OVERRIDE=FQ","FILING_STATUS=MR","Sort=A","Dates=H","DateFormat=P","Fill=—","Direction=H","UseDPDF=Y")</f>
        <v>-0.79</v>
      </c>
      <c r="K40" s="20">
        <f>_xll.BDH("ITCI US Equity","IS_DIL_EPS_BEF_XO","FQ4 2020","FQ4 2020","Currency=USD","Period=FQ","BEST_FPERIOD_OVERRIDE=FQ","FILING_STATUS=MR","Sort=A","Dates=H","DateFormat=P","Fill=—","Direction=H","UseDPDF=Y")</f>
        <v>-0.76</v>
      </c>
      <c r="L40" s="20">
        <f>_xll.BDH("ITCI US Equity","IS_DIL_EPS_BEF_XO","FQ1 2021","FQ1 2021","Currency=USD","Period=FQ","BEST_FPERIOD_OVERRIDE=FQ","FILING_STATUS=MR","Sort=A","Dates=H","DateFormat=P","Fill=—","Direction=H","UseDPDF=Y")</f>
        <v>-0.65</v>
      </c>
      <c r="M40" s="20">
        <f>_xll.BDH("ITCI US Equity","IS_DIL_EPS_BEF_XO","FQ2 2021","FQ2 2021","Currency=USD","Period=FQ","BEST_FPERIOD_OVERRIDE=FQ","FILING_STATUS=MR","Sort=A","Dates=H","DateFormat=P","Fill=—","Direction=H","UseDPDF=Y")</f>
        <v>-0.85</v>
      </c>
      <c r="N40" s="20">
        <f>_xll.BDH("ITCI US Equity","IS_DIL_EPS_BEF_XO","FQ3 2021","FQ3 2021","Currency=USD","Period=FQ","BEST_FPERIOD_OVERRIDE=FQ","FILING_STATUS=MR","Sort=A","Dates=H","DateFormat=P","Fill=—","Direction=H","UseDPDF=Y")</f>
        <v>-0.95</v>
      </c>
      <c r="O40" s="20">
        <f>_xll.BDH("ITCI US Equity","IS_DIL_EPS_BEF_XO","FQ4 2021","FQ4 2021","Currency=USD","Period=FQ","BEST_FPERIOD_OVERRIDE=FQ","FILING_STATUS=MR","Sort=A","Dates=H","DateFormat=P","Fill=—","Direction=H","UseDPDF=Y")</f>
        <v>-1.05</v>
      </c>
      <c r="P40" s="20">
        <f>_xll.BDH("ITCI US Equity","IS_DIL_EPS_BEF_XO","FQ1 2022","FQ1 2022","Currency=USD","Period=FQ","BEST_FPERIOD_OVERRIDE=FQ","FILING_STATUS=MR","Sort=A","Dates=H","DateFormat=P","Fill=—","Direction=H","UseDPDF=Y")</f>
        <v>-0.78</v>
      </c>
      <c r="Q40" s="20">
        <f>_xll.BDH("ITCI US Equity","IS_DIL_EPS_BEF_XO","FQ2 2022","FQ2 2022","Currency=USD","Period=FQ","BEST_FPERIOD_OVERRIDE=FQ","FILING_STATUS=MR","Sort=A","Dates=H","DateFormat=P","Fill=—","Direction=H","UseDPDF=Y")</f>
        <v>-0.92</v>
      </c>
      <c r="R40" s="20">
        <f>_xll.BDH("ITCI US Equity","IS_DIL_EPS_BEF_XO","FQ3 2022","FQ3 2022","Currency=USD","Period=FQ","BEST_FPERIOD_OVERRIDE=FQ","FILING_STATUS=MR","Sort=A","Dates=H","DateFormat=P","Fill=—","Direction=H","UseDPDF=Y")</f>
        <v>-0.56999999999999995</v>
      </c>
      <c r="S40" s="20">
        <f>_xll.BDH("ITCI US Equity","IS_DIL_EPS_BEF_XO","FQ4 2022","FQ4 2022","Currency=USD","Period=FQ","BEST_FPERIOD_OVERRIDE=FQ","FILING_STATUS=MR","Sort=A","Dates=H","DateFormat=P","Fill=—","Direction=H","UseDPDF=Y")</f>
        <v>-0.45</v>
      </c>
      <c r="T40" s="20">
        <f>_xll.BDH("ITCI US Equity","IS_DIL_EPS_BEF_XO","FQ1 2023","FQ1 2023","Currency=USD","Period=FQ","BEST_FPERIOD_OVERRIDE=FQ","FILING_STATUS=MR","Sort=A","Dates=H","DateFormat=P","Fill=—","Direction=H","UseDPDF=Y")</f>
        <v>-0.46</v>
      </c>
      <c r="U40" s="20">
        <f>_xll.BDH("ITCI US Equity","IS_DIL_EPS_BEF_XO","FQ2 2023","FQ2 2023","Currency=USD","Period=FQ","BEST_FPERIOD_OVERRIDE=FQ","FILING_STATUS=MR","Sort=A","Dates=H","DateFormat=P","Fill=—","Direction=H","UseDPDF=Y")</f>
        <v>-0.45</v>
      </c>
      <c r="V40" s="20">
        <f>_xll.BDH("ITCI US Equity","IS_DIL_EPS_BEF_XO","FQ3 2023","FQ3 2023","Currency=USD","Period=FQ","BEST_FPERIOD_OVERRIDE=FQ","FILING_STATUS=MR","Sort=A","Dates=H","DateFormat=P","Fill=—","Direction=H","UseDPDF=Y")</f>
        <v>-0.25</v>
      </c>
      <c r="W40" s="20">
        <f>_xll.BDH("ITCI US Equity","IS_DIL_EPS_BEF_XO","FQ4 2023","FQ4 2023","Currency=USD","Period=FQ","BEST_FPERIOD_OVERRIDE=FQ","FILING_STATUS=MR","Sort=A","Dates=H","DateFormat=P","Fill=—","Direction=H","UseDPDF=Y")</f>
        <v>-0.3</v>
      </c>
      <c r="X40" s="20">
        <f>_xll.BDH("ITCI US Equity","IS_DIL_EPS_BEF_XO","FQ1 2024","FQ1 2024","Currency=USD","Period=FQ","BEST_FPERIOD_OVERRIDE=FQ","FILING_STATUS=MR","Sort=A","Dates=H","DateFormat=P","Fill=—","Direction=H","UseDPDF=Y")</f>
        <v>-0.16</v>
      </c>
      <c r="Y40" s="20">
        <f>_xll.BDH("ITCI US Equity","IS_DIL_EPS_BEF_XO","FQ2 2024","FQ2 2024","Currency=USD","Period=FQ","BEST_FPERIOD_OVERRIDE=FQ","FILING_STATUS=MR","Sort=A","Dates=H","DateFormat=P","Fill=—","Direction=H","UseDPDF=Y")</f>
        <v>-0.16</v>
      </c>
      <c r="Z40" s="20">
        <f>_xll.BDH("ITCI US Equity","IS_DIL_EPS_BEF_XO","FQ3 2024","FQ3 2024","Currency=USD","Period=FQ","BEST_FPERIOD_OVERRIDE=FQ","FILING_STATUS=MR","Sort=A","Dates=H","DateFormat=P","Fill=—","Direction=H","UseDPDF=Y")</f>
        <v>-0.25</v>
      </c>
      <c r="AA40" s="20">
        <f>_xll.BDH("ITCI US Equity","IS_DIL_EPS_BEF_XO","FQ4 2024","FQ4 2024","Currency=USD","Period=FQ","BEST_FPERIOD_OVERRIDE=FQ","FILING_STATUS=MR","Sort=A","Dates=H","DateFormat=P","Fill=—","Direction=H","UseDPDF=Y")</f>
        <v>-0.16</v>
      </c>
    </row>
    <row r="41" spans="1:27" x14ac:dyDescent="0.25">
      <c r="A41" s="6" t="s">
        <v>512</v>
      </c>
      <c r="B41" s="6" t="s">
        <v>82</v>
      </c>
      <c r="C41" s="20">
        <f>_xll.BDH("ITCI US Equity","IS_DIL_EPS_CONT_OPS","FQ4 2018","FQ4 2018","Currency=USD","Period=FQ","BEST_FPERIOD_OVERRIDE=FQ","FILING_STATUS=MR","Sort=A","Dates=H","DateFormat=P","Fill=—","Direction=H","UseDPDF=Y")</f>
        <v>-0.75</v>
      </c>
      <c r="D41" s="20">
        <f>_xll.BDH("ITCI US Equity","IS_DIL_EPS_CONT_OPS","FQ1 2019","FQ1 2019","Currency=USD","Period=FQ","BEST_FPERIOD_OVERRIDE=FQ","FILING_STATUS=MR","Sort=A","Dates=H","DateFormat=P","Fill=—","Direction=H","UseDPDF=Y")</f>
        <v>-0.63</v>
      </c>
      <c r="E41" s="20">
        <f>_xll.BDH("ITCI US Equity","IS_DIL_EPS_CONT_OPS","FQ2 2019","FQ2 2019","Currency=USD","Period=FQ","BEST_FPERIOD_OVERRIDE=FQ","FILING_STATUS=MR","Sort=A","Dates=H","DateFormat=P","Fill=—","Direction=H","UseDPDF=Y")</f>
        <v>-0.68</v>
      </c>
      <c r="F41" s="20">
        <f>_xll.BDH("ITCI US Equity","IS_DIL_EPS_CONT_OPS","FQ3 2019","FQ3 2019","Currency=USD","Period=FQ","BEST_FPERIOD_OVERRIDE=FQ","FILING_STATUS=MR","Sort=A","Dates=H","DateFormat=P","Fill=—","Direction=H","UseDPDF=Y")</f>
        <v>-0.63</v>
      </c>
      <c r="G41" s="20">
        <f>_xll.BDH("ITCI US Equity","IS_DIL_EPS_CONT_OPS","FQ4 2019","FQ4 2019","Currency=USD","Period=FQ","BEST_FPERIOD_OVERRIDE=FQ","FILING_STATUS=MR","Sort=A","Dates=H","DateFormat=P","Fill=—","Direction=H","UseDPDF=Y")</f>
        <v>-0.74</v>
      </c>
      <c r="H41" s="20">
        <f>_xll.BDH("ITCI US Equity","IS_DIL_EPS_CONT_OPS","FQ1 2020","FQ1 2020","Currency=USD","Period=FQ","BEST_FPERIOD_OVERRIDE=FQ","FILING_STATUS=MR","Sort=A","Dates=H","DateFormat=P","Fill=—","Direction=H","UseDPDF=Y")</f>
        <v>-0.73</v>
      </c>
      <c r="I41" s="20">
        <f>_xll.BDH("ITCI US Equity","IS_DIL_EPS_CONT_OPS","FQ2 2020","FQ2 2020","Currency=USD","Period=FQ","BEST_FPERIOD_OVERRIDE=FQ","FILING_STATUS=MR","Sort=A","Dates=H","DateFormat=P","Fill=—","Direction=H","UseDPDF=Y")</f>
        <v>-0.96</v>
      </c>
      <c r="J41" s="20">
        <f>_xll.BDH("ITCI US Equity","IS_DIL_EPS_CONT_OPS","FQ3 2020","FQ3 2020","Currency=USD","Period=FQ","BEST_FPERIOD_OVERRIDE=FQ","FILING_STATUS=MR","Sort=A","Dates=H","DateFormat=P","Fill=—","Direction=H","UseDPDF=Y")</f>
        <v>-0.79</v>
      </c>
      <c r="K41" s="20">
        <f>_xll.BDH("ITCI US Equity","IS_DIL_EPS_CONT_OPS","FQ4 2020","FQ4 2020","Currency=USD","Period=FQ","BEST_FPERIOD_OVERRIDE=FQ","FILING_STATUS=MR","Sort=A","Dates=H","DateFormat=P","Fill=—","Direction=H","UseDPDF=Y")</f>
        <v>-0.76</v>
      </c>
      <c r="L41" s="20">
        <f>_xll.BDH("ITCI US Equity","IS_DIL_EPS_CONT_OPS","FQ1 2021","FQ1 2021","Currency=USD","Period=FQ","BEST_FPERIOD_OVERRIDE=FQ","FILING_STATUS=MR","Sort=A","Dates=H","DateFormat=P","Fill=—","Direction=H","UseDPDF=Y")</f>
        <v>-0.65</v>
      </c>
      <c r="M41" s="20">
        <f>_xll.BDH("ITCI US Equity","IS_DIL_EPS_CONT_OPS","FQ2 2021","FQ2 2021","Currency=USD","Period=FQ","BEST_FPERIOD_OVERRIDE=FQ","FILING_STATUS=MR","Sort=A","Dates=H","DateFormat=P","Fill=—","Direction=H","UseDPDF=Y")</f>
        <v>-0.85</v>
      </c>
      <c r="N41" s="20">
        <f>_xll.BDH("ITCI US Equity","IS_DIL_EPS_CONT_OPS","FQ3 2021","FQ3 2021","Currency=USD","Period=FQ","BEST_FPERIOD_OVERRIDE=FQ","FILING_STATUS=MR","Sort=A","Dates=H","DateFormat=P","Fill=—","Direction=H","UseDPDF=Y")</f>
        <v>-0.95</v>
      </c>
      <c r="O41" s="20">
        <f>_xll.BDH("ITCI US Equity","IS_DIL_EPS_CONT_OPS","FQ4 2021","FQ4 2021","Currency=USD","Period=FQ","BEST_FPERIOD_OVERRIDE=FQ","FILING_STATUS=MR","Sort=A","Dates=H","DateFormat=P","Fill=—","Direction=H","UseDPDF=Y")</f>
        <v>-1.05</v>
      </c>
      <c r="P41" s="20">
        <f>_xll.BDH("ITCI US Equity","IS_DIL_EPS_CONT_OPS","FQ1 2022","FQ1 2022","Currency=USD","Period=FQ","BEST_FPERIOD_OVERRIDE=FQ","FILING_STATUS=MR","Sort=A","Dates=H","DateFormat=P","Fill=—","Direction=H","UseDPDF=Y")</f>
        <v>-0.78</v>
      </c>
      <c r="Q41" s="20">
        <f>_xll.BDH("ITCI US Equity","IS_DIL_EPS_CONT_OPS","FQ2 2022","FQ2 2022","Currency=USD","Period=FQ","BEST_FPERIOD_OVERRIDE=FQ","FILING_STATUS=MR","Sort=A","Dates=H","DateFormat=P","Fill=—","Direction=H","UseDPDF=Y")</f>
        <v>-0.92</v>
      </c>
      <c r="R41" s="20">
        <f>_xll.BDH("ITCI US Equity","IS_DIL_EPS_CONT_OPS","FQ3 2022","FQ3 2022","Currency=USD","Period=FQ","BEST_FPERIOD_OVERRIDE=FQ","FILING_STATUS=MR","Sort=A","Dates=H","DateFormat=P","Fill=—","Direction=H","UseDPDF=Y")</f>
        <v>-0.56999999999999995</v>
      </c>
      <c r="S41" s="20">
        <f>_xll.BDH("ITCI US Equity","IS_DIL_EPS_CONT_OPS","FQ4 2022","FQ4 2022","Currency=USD","Period=FQ","BEST_FPERIOD_OVERRIDE=FQ","FILING_STATUS=MR","Sort=A","Dates=H","DateFormat=P","Fill=—","Direction=H","UseDPDF=Y")</f>
        <v>-0.45</v>
      </c>
      <c r="T41" s="20">
        <f>_xll.BDH("ITCI US Equity","IS_DIL_EPS_CONT_OPS","FQ1 2023","FQ1 2023","Currency=USD","Period=FQ","BEST_FPERIOD_OVERRIDE=FQ","FILING_STATUS=MR","Sort=A","Dates=H","DateFormat=P","Fill=—","Direction=H","UseDPDF=Y")</f>
        <v>-0.46</v>
      </c>
      <c r="U41" s="20">
        <f>_xll.BDH("ITCI US Equity","IS_DIL_EPS_CONT_OPS","FQ2 2023","FQ2 2023","Currency=USD","Period=FQ","BEST_FPERIOD_OVERRIDE=FQ","FILING_STATUS=MR","Sort=A","Dates=H","DateFormat=P","Fill=—","Direction=H","UseDPDF=Y")</f>
        <v>-0.45</v>
      </c>
      <c r="V41" s="20">
        <f>_xll.BDH("ITCI US Equity","IS_DIL_EPS_CONT_OPS","FQ3 2023","FQ3 2023","Currency=USD","Period=FQ","BEST_FPERIOD_OVERRIDE=FQ","FILING_STATUS=MR","Sort=A","Dates=H","DateFormat=P","Fill=—","Direction=H","UseDPDF=Y")</f>
        <v>-0.25</v>
      </c>
      <c r="W41" s="20">
        <f>_xll.BDH("ITCI US Equity","IS_DIL_EPS_CONT_OPS","FQ4 2023","FQ4 2023","Currency=USD","Period=FQ","BEST_FPERIOD_OVERRIDE=FQ","FILING_STATUS=MR","Sort=A","Dates=H","DateFormat=P","Fill=—","Direction=H","UseDPDF=Y")</f>
        <v>-0.3</v>
      </c>
      <c r="X41" s="20">
        <f>_xll.BDH("ITCI US Equity","IS_DIL_EPS_CONT_OPS","FQ1 2024","FQ1 2024","Currency=USD","Period=FQ","BEST_FPERIOD_OVERRIDE=FQ","FILING_STATUS=MR","Sort=A","Dates=H","DateFormat=P","Fill=—","Direction=H","UseDPDF=Y")</f>
        <v>-0.16</v>
      </c>
      <c r="Y41" s="20">
        <f>_xll.BDH("ITCI US Equity","IS_DIL_EPS_CONT_OPS","FQ2 2024","FQ2 2024","Currency=USD","Period=FQ","BEST_FPERIOD_OVERRIDE=FQ","FILING_STATUS=MR","Sort=A","Dates=H","DateFormat=P","Fill=—","Direction=H","UseDPDF=Y")</f>
        <v>-0.16</v>
      </c>
      <c r="Z41" s="20">
        <f>_xll.BDH("ITCI US Equity","IS_DIL_EPS_CONT_OPS","FQ3 2024","FQ3 2024","Currency=USD","Period=FQ","BEST_FPERIOD_OVERRIDE=FQ","FILING_STATUS=MR","Sort=A","Dates=H","DateFormat=P","Fill=—","Direction=H","UseDPDF=Y")</f>
        <v>-0.25</v>
      </c>
      <c r="AA41" s="20">
        <f>_xll.BDH("ITCI US Equity","IS_DIL_EPS_CONT_OPS","FQ4 2024","FQ4 2024","Currency=USD","Period=FQ","BEST_FPERIOD_OVERRIDE=FQ","FILING_STATUS=MR","Sort=A","Dates=H","DateFormat=P","Fill=—","Direction=H","UseDPDF=Y")</f>
        <v>-0.16</v>
      </c>
    </row>
    <row r="42" spans="1:27" x14ac:dyDescent="0.25">
      <c r="A42" s="7" t="s">
        <v>90</v>
      </c>
      <c r="B42" s="7"/>
      <c r="C42" s="7" t="s">
        <v>5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5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513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10" t="s">
        <v>509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25">
      <c r="A7" s="10" t="s">
        <v>514</v>
      </c>
      <c r="B7" s="10" t="s">
        <v>515</v>
      </c>
      <c r="C7" s="14">
        <f>_xll.BDH("ITCI US Equity","BASIC_EPS_EX_STK_BASED_COMP","FQ4 2018","FQ4 2018","Currency=USD","Period=FQ","BEST_FPERIOD_OVERRIDE=FQ","FILING_STATUS=MR","Sort=A","Dates=H","DateFormat=P","Fill=—","Direction=H","UseDPDF=Y")</f>
        <v>-0.68620000000000003</v>
      </c>
      <c r="D7" s="14">
        <f>_xll.BDH("ITCI US Equity","BASIC_EPS_EX_STK_BASED_COMP","FQ1 2019","FQ1 2019","Currency=USD","Period=FQ","BEST_FPERIOD_OVERRIDE=FQ","FILING_STATUS=MR","Sort=A","Dates=H","DateFormat=P","Fill=—","Direction=H","UseDPDF=Y")</f>
        <v>-0.5575</v>
      </c>
      <c r="E7" s="14">
        <f>_xll.BDH("ITCI US Equity","BASIC_EPS_EX_STK_BASED_COMP","FQ2 2019","FQ2 2019","Currency=USD","Period=FQ","BEST_FPERIOD_OVERRIDE=FQ","FILING_STATUS=MR","Sort=A","Dates=H","DateFormat=P","Fill=—","Direction=H","UseDPDF=Y")</f>
        <v>-0.60860000000000003</v>
      </c>
      <c r="F7" s="14">
        <f>_xll.BDH("ITCI US Equity","BASIC_EPS_EX_STK_BASED_COMP","FQ3 2019","FQ3 2019","Currency=USD","Period=FQ","BEST_FPERIOD_OVERRIDE=FQ","FILING_STATUS=MR","Sort=A","Dates=H","DateFormat=P","Fill=—","Direction=H","UseDPDF=Y")</f>
        <v>-0.56120000000000003</v>
      </c>
      <c r="G7" s="14">
        <f>_xll.BDH("ITCI US Equity","BASIC_EPS_EX_STK_BASED_COMP","FQ4 2019","FQ4 2019","Currency=USD","Period=FQ","BEST_FPERIOD_OVERRIDE=FQ","FILING_STATUS=MR","Sort=A","Dates=H","DateFormat=P","Fill=—","Direction=H","UseDPDF=Y")</f>
        <v>-0.65510000000000002</v>
      </c>
      <c r="H7" s="14">
        <f>_xll.BDH("ITCI US Equity","BASIC_EPS_EX_STK_BASED_COMP","FQ1 2020","FQ1 2020","Currency=USD","Period=FQ","BEST_FPERIOD_OVERRIDE=FQ","FILING_STATUS=MR","Sort=A","Dates=H","DateFormat=P","Fill=—","Direction=H","UseDPDF=Y")</f>
        <v>-0.66320000000000001</v>
      </c>
      <c r="I7" s="14">
        <f>_xll.BDH("ITCI US Equity","BASIC_EPS_EX_STK_BASED_COMP","FQ2 2020","FQ2 2020","Currency=USD","Period=FQ","BEST_FPERIOD_OVERRIDE=FQ","FILING_STATUS=MR","Sort=A","Dates=H","DateFormat=P","Fill=—","Direction=H","UseDPDF=Y")</f>
        <v>-0.87739999999999996</v>
      </c>
      <c r="J7" s="14">
        <f>_xll.BDH("ITCI US Equity","BASIC_EPS_EX_STK_BASED_COMP","FQ3 2020","FQ3 2020","Currency=USD","Period=FQ","BEST_FPERIOD_OVERRIDE=FQ","FILING_STATUS=MR","Sort=A","Dates=H","DateFormat=P","Fill=—","Direction=H","UseDPDF=Y")</f>
        <v>-0.71160000000000001</v>
      </c>
      <c r="K7" s="14">
        <f>_xll.BDH("ITCI US Equity","BASIC_EPS_EX_STK_BASED_COMP","FQ4 2020","FQ4 2020","Currency=USD","Period=FQ","BEST_FPERIOD_OVERRIDE=FQ","FILING_STATUS=MR","Sort=A","Dates=H","DateFormat=P","Fill=—","Direction=H","UseDPDF=Y")</f>
        <v>-0.52270000000000005</v>
      </c>
      <c r="L7" s="14">
        <f>_xll.BDH("ITCI US Equity","BASIC_EPS_EX_STK_BASED_COMP","FQ1 2021","FQ1 2021","Currency=USD","Period=FQ","BEST_FPERIOD_OVERRIDE=FQ","FILING_STATUS=MR","Sort=A","Dates=H","DateFormat=P","Fill=—","Direction=H","UseDPDF=Y")</f>
        <v>-0.58379999999999999</v>
      </c>
      <c r="M7" s="14">
        <f>_xll.BDH("ITCI US Equity","BASIC_EPS_EX_STK_BASED_COMP","FQ2 2021","FQ2 2021","Currency=USD","Period=FQ","BEST_FPERIOD_OVERRIDE=FQ","FILING_STATUS=MR","Sort=A","Dates=H","DateFormat=P","Fill=—","Direction=H","UseDPDF=Y")</f>
        <v>-0.76619999999999999</v>
      </c>
      <c r="N7" s="14">
        <f>_xll.BDH("ITCI US Equity","BASIC_EPS_EX_STK_BASED_COMP","FQ3 2021","FQ3 2021","Currency=USD","Period=FQ","BEST_FPERIOD_OVERRIDE=FQ","FILING_STATUS=MR","Sort=A","Dates=H","DateFormat=P","Fill=—","Direction=H","UseDPDF=Y")</f>
        <v>-0.85750000000000004</v>
      </c>
      <c r="O7" s="14">
        <f>_xll.BDH("ITCI US Equity","BASIC_EPS_EX_STK_BASED_COMP","FQ4 2021","FQ4 2021","Currency=USD","Period=FQ","BEST_FPERIOD_OVERRIDE=FQ","FILING_STATUS=MR","Sort=A","Dates=H","DateFormat=P","Fill=—","Direction=H","UseDPDF=Y")</f>
        <v>-0.71740000000000004</v>
      </c>
      <c r="P7" s="14">
        <f>_xll.BDH("ITCI US Equity","BASIC_EPS_EX_STK_BASED_COMP","FQ1 2022","FQ1 2022","Currency=USD","Period=FQ","BEST_FPERIOD_OVERRIDE=FQ","FILING_STATUS=MR","Sort=A","Dates=H","DateFormat=P","Fill=—","Direction=H","UseDPDF=Y")</f>
        <v>-8.9099999999999999E-2</v>
      </c>
      <c r="Q7" s="14">
        <f>_xll.BDH("ITCI US Equity","BASIC_EPS_EX_STK_BASED_COMP","FQ2 2022","FQ2 2022","Currency=USD","Period=FQ","BEST_FPERIOD_OVERRIDE=FQ","FILING_STATUS=MR","Sort=A","Dates=H","DateFormat=P","Fill=—","Direction=H","UseDPDF=Y")</f>
        <v>5.5999999999999999E-3</v>
      </c>
      <c r="R7" s="14">
        <f>_xll.BDH("ITCI US Equity","BASIC_EPS_EX_STK_BASED_COMP","FQ3 2022","FQ3 2022","Currency=USD","Period=FQ","BEST_FPERIOD_OVERRIDE=FQ","FILING_STATUS=MR","Sort=A","Dates=H","DateFormat=P","Fill=—","Direction=H","UseDPDF=Y")</f>
        <v>0.25669999999999998</v>
      </c>
      <c r="S7" s="14">
        <f>_xll.BDH("ITCI US Equity","BASIC_EPS_EX_STK_BASED_COMP","FQ4 2022","FQ4 2022","Currency=USD","Period=FQ","BEST_FPERIOD_OVERRIDE=FQ","FILING_STATUS=MR","Sort=A","Dates=H","DateFormat=P","Fill=—","Direction=H","UseDPDF=Y")</f>
        <v>-0.35699999999999998</v>
      </c>
      <c r="T7" s="14">
        <f>_xll.BDH("ITCI US Equity","BASIC_EPS_EX_STK_BASED_COMP","FQ1 2023","FQ1 2023","Currency=USD","Period=FQ","BEST_FPERIOD_OVERRIDE=FQ","FILING_STATUS=MR","Sort=A","Dates=H","DateFormat=P","Fill=—","Direction=H","UseDPDF=Y")</f>
        <v>0.44340000000000002</v>
      </c>
      <c r="U7" s="14">
        <f>_xll.BDH("ITCI US Equity","BASIC_EPS_EX_STK_BASED_COMP","FQ2 2023","FQ2 2023","Currency=USD","Period=FQ","BEST_FPERIOD_OVERRIDE=FQ","FILING_STATUS=MR","Sort=A","Dates=H","DateFormat=P","Fill=—","Direction=H","UseDPDF=Y")</f>
        <v>0.4743</v>
      </c>
      <c r="V7" s="14">
        <f>_xll.BDH("ITCI US Equity","BASIC_EPS_EX_STK_BASED_COMP","FQ3 2023","FQ3 2023","Currency=USD","Period=FQ","BEST_FPERIOD_OVERRIDE=FQ","FILING_STATUS=MR","Sort=A","Dates=H","DateFormat=P","Fill=—","Direction=H","UseDPDF=Y")</f>
        <v>0.72499999999999998</v>
      </c>
      <c r="W7" s="14">
        <f>_xll.BDH("ITCI US Equity","BASIC_EPS_EX_STK_BASED_COMP","FQ4 2023","FQ4 2023","Currency=USD","Period=FQ","BEST_FPERIOD_OVERRIDE=FQ","FILING_STATUS=MR","Sort=A","Dates=H","DateFormat=P","Fill=—","Direction=H","UseDPDF=Y")</f>
        <v>-0.17810000000000001</v>
      </c>
      <c r="X7" s="14">
        <f>_xll.BDH("ITCI US Equity","BASIC_EPS_EX_STK_BASED_COMP","FQ1 2024","FQ1 2024","Currency=USD","Period=FQ","BEST_FPERIOD_OVERRIDE=FQ","FILING_STATUS=MR","Sort=A","Dates=H","DateFormat=P","Fill=—","Direction=H","UseDPDF=Y")</f>
        <v>-4.7100000000000003E-2</v>
      </c>
      <c r="Y7" s="14">
        <f>_xll.BDH("ITCI US Equity","BASIC_EPS_EX_STK_BASED_COMP","FQ2 2024","FQ2 2024","Currency=USD","Period=FQ","BEST_FPERIOD_OVERRIDE=FQ","FILING_STATUS=MR","Sort=A","Dates=H","DateFormat=P","Fill=—","Direction=H","UseDPDF=Y")</f>
        <v>0.8911</v>
      </c>
      <c r="Z7" s="14">
        <f>_xll.BDH("ITCI US Equity","BASIC_EPS_EX_STK_BASED_COMP","FQ3 2024","FQ3 2024","Currency=USD","Period=FQ","BEST_FPERIOD_OVERRIDE=FQ","FILING_STATUS=MR","Sort=A","Dates=H","DateFormat=P","Fill=—","Direction=H","UseDPDF=Y")</f>
        <v>-0.11940000000000001</v>
      </c>
      <c r="AA7" s="14">
        <f>_xll.BDH("ITCI US Equity","BASIC_EPS_EX_STK_BASED_COMP","FQ4 2024","FQ4 2024","Currency=USD","Period=FQ","BEST_FPERIOD_OVERRIDE=FQ","FILING_STATUS=MR","Sort=A","Dates=H","DateFormat=P","Fill=—","Direction=H","UseDPDF=Y")</f>
        <v>-3.8399999999999997E-2</v>
      </c>
    </row>
    <row r="8" spans="1:27" x14ac:dyDescent="0.25">
      <c r="A8" s="10" t="s">
        <v>516</v>
      </c>
      <c r="B8" s="10" t="s">
        <v>517</v>
      </c>
      <c r="C8" s="14">
        <f>_xll.BDH("ITCI US Equity","DILUTED_EPS_EX_STK_BASED_COMP","FQ4 2018","FQ4 2018","Currency=USD","Period=FQ","BEST_FPERIOD_OVERRIDE=FQ","FILING_STATUS=MR","Sort=A","Dates=H","DateFormat=P","Fill=—","Direction=H","UseDPDF=Y")</f>
        <v>-0.68620000000000003</v>
      </c>
      <c r="D8" s="14">
        <f>_xll.BDH("ITCI US Equity","DILUTED_EPS_EX_STK_BASED_COMP","FQ1 2019","FQ1 2019","Currency=USD","Period=FQ","BEST_FPERIOD_OVERRIDE=FQ","FILING_STATUS=MR","Sort=A","Dates=H","DateFormat=P","Fill=—","Direction=H","UseDPDF=Y")</f>
        <v>-0.5575</v>
      </c>
      <c r="E8" s="14">
        <f>_xll.BDH("ITCI US Equity","DILUTED_EPS_EX_STK_BASED_COMP","FQ2 2019","FQ2 2019","Currency=USD","Period=FQ","BEST_FPERIOD_OVERRIDE=FQ","FILING_STATUS=MR","Sort=A","Dates=H","DateFormat=P","Fill=—","Direction=H","UseDPDF=Y")</f>
        <v>-0.60860000000000003</v>
      </c>
      <c r="F8" s="14">
        <f>_xll.BDH("ITCI US Equity","DILUTED_EPS_EX_STK_BASED_COMP","FQ3 2019","FQ3 2019","Currency=USD","Period=FQ","BEST_FPERIOD_OVERRIDE=FQ","FILING_STATUS=MR","Sort=A","Dates=H","DateFormat=P","Fill=—","Direction=H","UseDPDF=Y")</f>
        <v>-0.56120000000000003</v>
      </c>
      <c r="G8" s="14">
        <f>_xll.BDH("ITCI US Equity","DILUTED_EPS_EX_STK_BASED_COMP","FQ4 2019","FQ4 2019","Currency=USD","Period=FQ","BEST_FPERIOD_OVERRIDE=FQ","FILING_STATUS=MR","Sort=A","Dates=H","DateFormat=P","Fill=—","Direction=H","UseDPDF=Y")</f>
        <v>-0.65510000000000002</v>
      </c>
      <c r="H8" s="14">
        <f>_xll.BDH("ITCI US Equity","DILUTED_EPS_EX_STK_BASED_COMP","FQ1 2020","FQ1 2020","Currency=USD","Period=FQ","BEST_FPERIOD_OVERRIDE=FQ","FILING_STATUS=MR","Sort=A","Dates=H","DateFormat=P","Fill=—","Direction=H","UseDPDF=Y")</f>
        <v>-0.66320000000000001</v>
      </c>
      <c r="I8" s="14">
        <f>_xll.BDH("ITCI US Equity","DILUTED_EPS_EX_STK_BASED_COMP","FQ2 2020","FQ2 2020","Currency=USD","Period=FQ","BEST_FPERIOD_OVERRIDE=FQ","FILING_STATUS=MR","Sort=A","Dates=H","DateFormat=P","Fill=—","Direction=H","UseDPDF=Y")</f>
        <v>-0.87739999999999996</v>
      </c>
      <c r="J8" s="14">
        <f>_xll.BDH("ITCI US Equity","DILUTED_EPS_EX_STK_BASED_COMP","FQ3 2020","FQ3 2020","Currency=USD","Period=FQ","BEST_FPERIOD_OVERRIDE=FQ","FILING_STATUS=MR","Sort=A","Dates=H","DateFormat=P","Fill=—","Direction=H","UseDPDF=Y")</f>
        <v>-0.71160000000000001</v>
      </c>
      <c r="K8" s="14">
        <f>_xll.BDH("ITCI US Equity","DILUTED_EPS_EX_STK_BASED_COMP","FQ4 2020","FQ4 2020","Currency=USD","Period=FQ","BEST_FPERIOD_OVERRIDE=FQ","FILING_STATUS=MR","Sort=A","Dates=H","DateFormat=P","Fill=—","Direction=H","UseDPDF=Y")</f>
        <v>-0.52270000000000005</v>
      </c>
      <c r="L8" s="14">
        <f>_xll.BDH("ITCI US Equity","DILUTED_EPS_EX_STK_BASED_COMP","FQ1 2021","FQ1 2021","Currency=USD","Period=FQ","BEST_FPERIOD_OVERRIDE=FQ","FILING_STATUS=MR","Sort=A","Dates=H","DateFormat=P","Fill=—","Direction=H","UseDPDF=Y")</f>
        <v>-0.58379999999999999</v>
      </c>
      <c r="M8" s="14">
        <f>_xll.BDH("ITCI US Equity","DILUTED_EPS_EX_STK_BASED_COMP","FQ2 2021","FQ2 2021","Currency=USD","Period=FQ","BEST_FPERIOD_OVERRIDE=FQ","FILING_STATUS=MR","Sort=A","Dates=H","DateFormat=P","Fill=—","Direction=H","UseDPDF=Y")</f>
        <v>-0.76619999999999999</v>
      </c>
      <c r="N8" s="14">
        <f>_xll.BDH("ITCI US Equity","DILUTED_EPS_EX_STK_BASED_COMP","FQ3 2021","FQ3 2021","Currency=USD","Period=FQ","BEST_FPERIOD_OVERRIDE=FQ","FILING_STATUS=MR","Sort=A","Dates=H","DateFormat=P","Fill=—","Direction=H","UseDPDF=Y")</f>
        <v>-0.85750000000000004</v>
      </c>
      <c r="O8" s="14">
        <f>_xll.BDH("ITCI US Equity","DILUTED_EPS_EX_STK_BASED_COMP","FQ4 2021","FQ4 2021","Currency=USD","Period=FQ","BEST_FPERIOD_OVERRIDE=FQ","FILING_STATUS=MR","Sort=A","Dates=H","DateFormat=P","Fill=—","Direction=H","UseDPDF=Y")</f>
        <v>-0.71740000000000004</v>
      </c>
      <c r="P8" s="14">
        <f>_xll.BDH("ITCI US Equity","DILUTED_EPS_EX_STK_BASED_COMP","FQ1 2022","FQ1 2022","Currency=USD","Period=FQ","BEST_FPERIOD_OVERRIDE=FQ","FILING_STATUS=MR","Sort=A","Dates=H","DateFormat=P","Fill=—","Direction=H","UseDPDF=Y")</f>
        <v>-8.9099999999999999E-2</v>
      </c>
      <c r="Q8" s="14">
        <f>_xll.BDH("ITCI US Equity","DILUTED_EPS_EX_STK_BASED_COMP","FQ2 2022","FQ2 2022","Currency=USD","Period=FQ","BEST_FPERIOD_OVERRIDE=FQ","FILING_STATUS=MR","Sort=A","Dates=H","DateFormat=P","Fill=—","Direction=H","UseDPDF=Y")</f>
        <v>5.5999999999999999E-3</v>
      </c>
      <c r="R8" s="14">
        <f>_xll.BDH("ITCI US Equity","DILUTED_EPS_EX_STK_BASED_COMP","FQ3 2022","FQ3 2022","Currency=USD","Period=FQ","BEST_FPERIOD_OVERRIDE=FQ","FILING_STATUS=MR","Sort=A","Dates=H","DateFormat=P","Fill=—","Direction=H","UseDPDF=Y")</f>
        <v>0.25669999999999998</v>
      </c>
      <c r="S8" s="14">
        <f>_xll.BDH("ITCI US Equity","DILUTED_EPS_EX_STK_BASED_COMP","FQ4 2022","FQ4 2022","Currency=USD","Period=FQ","BEST_FPERIOD_OVERRIDE=FQ","FILING_STATUS=MR","Sort=A","Dates=H","DateFormat=P","Fill=—","Direction=H","UseDPDF=Y")</f>
        <v>-0.35699999999999998</v>
      </c>
      <c r="T8" s="14">
        <f>_xll.BDH("ITCI US Equity","DILUTED_EPS_EX_STK_BASED_COMP","FQ1 2023","FQ1 2023","Currency=USD","Period=FQ","BEST_FPERIOD_OVERRIDE=FQ","FILING_STATUS=MR","Sort=A","Dates=H","DateFormat=P","Fill=—","Direction=H","UseDPDF=Y")</f>
        <v>0.44340000000000002</v>
      </c>
      <c r="U8" s="14">
        <f>_xll.BDH("ITCI US Equity","DILUTED_EPS_EX_STK_BASED_COMP","FQ2 2023","FQ2 2023","Currency=USD","Period=FQ","BEST_FPERIOD_OVERRIDE=FQ","FILING_STATUS=MR","Sort=A","Dates=H","DateFormat=P","Fill=—","Direction=H","UseDPDF=Y")</f>
        <v>0.4743</v>
      </c>
      <c r="V8" s="14">
        <f>_xll.BDH("ITCI US Equity","DILUTED_EPS_EX_STK_BASED_COMP","FQ3 2023","FQ3 2023","Currency=USD","Period=FQ","BEST_FPERIOD_OVERRIDE=FQ","FILING_STATUS=MR","Sort=A","Dates=H","DateFormat=P","Fill=—","Direction=H","UseDPDF=Y")</f>
        <v>0.72499999999999998</v>
      </c>
      <c r="W8" s="14">
        <f>_xll.BDH("ITCI US Equity","DILUTED_EPS_EX_STK_BASED_COMP","FQ4 2023","FQ4 2023","Currency=USD","Period=FQ","BEST_FPERIOD_OVERRIDE=FQ","FILING_STATUS=MR","Sort=A","Dates=H","DateFormat=P","Fill=—","Direction=H","UseDPDF=Y")</f>
        <v>-0.17810000000000001</v>
      </c>
      <c r="X8" s="14">
        <f>_xll.BDH("ITCI US Equity","DILUTED_EPS_EX_STK_BASED_COMP","FQ1 2024","FQ1 2024","Currency=USD","Period=FQ","BEST_FPERIOD_OVERRIDE=FQ","FILING_STATUS=MR","Sort=A","Dates=H","DateFormat=P","Fill=—","Direction=H","UseDPDF=Y")</f>
        <v>-4.7100000000000003E-2</v>
      </c>
      <c r="Y8" s="14">
        <f>_xll.BDH("ITCI US Equity","DILUTED_EPS_EX_STK_BASED_COMP","FQ2 2024","FQ2 2024","Currency=USD","Period=FQ","BEST_FPERIOD_OVERRIDE=FQ","FILING_STATUS=MR","Sort=A","Dates=H","DateFormat=P","Fill=—","Direction=H","UseDPDF=Y")</f>
        <v>0.8911</v>
      </c>
      <c r="Z8" s="14">
        <f>_xll.BDH("ITCI US Equity","DILUTED_EPS_EX_STK_BASED_COMP","FQ3 2024","FQ3 2024","Currency=USD","Period=FQ","BEST_FPERIOD_OVERRIDE=FQ","FILING_STATUS=MR","Sort=A","Dates=H","DateFormat=P","Fill=—","Direction=H","UseDPDF=Y")</f>
        <v>-0.11940000000000001</v>
      </c>
      <c r="AA8" s="14">
        <f>_xll.BDH("ITCI US Equity","DILUTED_EPS_EX_STK_BASED_COMP","FQ4 2024","FQ4 2024","Currency=USD","Period=FQ","BEST_FPERIOD_OVERRIDE=FQ","FILING_STATUS=MR","Sort=A","Dates=H","DateFormat=P","Fill=—","Direction=H","UseDPDF=Y")</f>
        <v>-3.8399999999999997E-2</v>
      </c>
    </row>
    <row r="9" spans="1:27" x14ac:dyDescent="0.25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25">
      <c r="A10" s="10" t="s">
        <v>518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x14ac:dyDescent="0.25">
      <c r="A11" s="10" t="s">
        <v>519</v>
      </c>
      <c r="B11" s="10" t="s">
        <v>520</v>
      </c>
      <c r="C11" s="13">
        <f>_xll.BDH("ITCI US Equity","IS_EXPENSE_STOCK_BASED_COMP","FQ4 2018","FQ4 2018","Currency=USD","Period=FQ","BEST_FPERIOD_OVERRIDE=FQ","FILING_STATUS=MR","SCALING_FORMAT=MLN","Sort=A","Dates=H","DateFormat=P","Fill=—","Direction=H","UseDPDF=Y")</f>
        <v>4.4246999999999996</v>
      </c>
      <c r="D11" s="13">
        <f>_xll.BDH("ITCI US Equity","IS_EXPENSE_STOCK_BASED_COMP","FQ1 2019","FQ1 2019","Currency=USD","Period=FQ","BEST_FPERIOD_OVERRIDE=FQ","FILING_STATUS=MR","SCALING_FORMAT=MLN","Sort=A","Dates=H","DateFormat=P","Fill=—","Direction=H","UseDPDF=Y")</f>
        <v>5.0552000000000001</v>
      </c>
      <c r="E11" s="13">
        <f>_xll.BDH("ITCI US Equity","IS_EXPENSE_STOCK_BASED_COMP","FQ2 2019","FQ2 2019","Currency=USD","Period=FQ","BEST_FPERIOD_OVERRIDE=FQ","FILING_STATUS=MR","SCALING_FORMAT=MLN","Sort=A","Dates=H","DateFormat=P","Fill=—","Direction=H","UseDPDF=Y")</f>
        <v>4.9874000000000001</v>
      </c>
      <c r="F11" s="13">
        <f>_xll.BDH("ITCI US Equity","IS_EXPENSE_STOCK_BASED_COMP","FQ3 2019","FQ3 2019","Currency=USD","Period=FQ","BEST_FPERIOD_OVERRIDE=FQ","FILING_STATUS=MR","SCALING_FORMAT=MLN","Sort=A","Dates=H","DateFormat=P","Fill=—","Direction=H","UseDPDF=Y")</f>
        <v>4.8068</v>
      </c>
      <c r="G11" s="13">
        <f>_xll.BDH("ITCI US Equity","IS_EXPENSE_STOCK_BASED_COMP","FQ4 2019","FQ4 2019","Currency=USD","Period=FQ","BEST_FPERIOD_OVERRIDE=FQ","FILING_STATUS=MR","SCALING_FORMAT=MLN","Sort=A","Dates=H","DateFormat=P","Fill=—","Direction=H","UseDPDF=Y")</f>
        <v>5.9393000000000002</v>
      </c>
      <c r="H11" s="13">
        <f>_xll.BDH("ITCI US Equity","IS_EXPENSE_STOCK_BASED_COMP","FQ1 2020","FQ1 2020","Currency=USD","Period=FQ","BEST_FPERIOD_OVERRIDE=FQ","FILING_STATUS=MR","SCALING_FORMAT=MLN","Sort=A","Dates=H","DateFormat=P","Fill=—","Direction=H","UseDPDF=Y")</f>
        <v>5.5042999999999997</v>
      </c>
      <c r="I11" s="13">
        <f>_xll.BDH("ITCI US Equity","IS_EXPENSE_STOCK_BASED_COMP","FQ2 2020","FQ2 2020","Currency=USD","Period=FQ","BEST_FPERIOD_OVERRIDE=FQ","FILING_STATUS=MR","SCALING_FORMAT=MLN","Sort=A","Dates=H","DateFormat=P","Fill=—","Direction=H","UseDPDF=Y")</f>
        <v>6.9470999999999998</v>
      </c>
      <c r="J11" s="13">
        <f>_xll.BDH("ITCI US Equity","IS_EXPENSE_STOCK_BASED_COMP","FQ3 2020","FQ3 2020","Currency=USD","Period=FQ","BEST_FPERIOD_OVERRIDE=FQ","FILING_STATUS=MR","SCALING_FORMAT=MLN","Sort=A","Dates=H","DateFormat=P","Fill=—","Direction=H","UseDPDF=Y")</f>
        <v>6.9006999999999996</v>
      </c>
      <c r="K11" s="13">
        <f>_xll.BDH("ITCI US Equity","IS_EXPENSE_STOCK_BASED_COMP","FQ4 2020","FQ4 2020","Currency=USD","Period=FQ","BEST_FPERIOD_OVERRIDE=FQ","FILING_STATUS=MR","SCALING_FORMAT=MLN","Sort=A","Dates=H","DateFormat=P","Fill=—","Direction=H","UseDPDF=Y")</f>
        <v>24.115200000000002</v>
      </c>
      <c r="L11" s="13">
        <f>_xll.BDH("ITCI US Equity","IS_EXPENSE_STOCK_BASED_COMP","FQ1 2021","FQ1 2021","Currency=USD","Period=FQ","BEST_FPERIOD_OVERRIDE=FQ","FILING_STATUS=MR","SCALING_FORMAT=MLN","Sort=A","Dates=H","DateFormat=P","Fill=—","Direction=H","UseDPDF=Y")</f>
        <v>6.7784000000000004</v>
      </c>
      <c r="M11" s="13">
        <f>_xll.BDH("ITCI US Equity","IS_EXPENSE_STOCK_BASED_COMP","FQ2 2021","FQ2 2021","Currency=USD","Period=FQ","BEST_FPERIOD_OVERRIDE=FQ","FILING_STATUS=MR","SCALING_FORMAT=MLN","Sort=A","Dates=H","DateFormat=P","Fill=—","Direction=H","UseDPDF=Y")</f>
        <v>8.6166999999999998</v>
      </c>
      <c r="N11" s="13">
        <f>_xll.BDH("ITCI US Equity","IS_EXPENSE_STOCK_BASED_COMP","FQ3 2021","FQ3 2021","Currency=USD","Period=FQ","BEST_FPERIOD_OVERRIDE=FQ","FILING_STATUS=MR","SCALING_FORMAT=MLN","Sort=A","Dates=H","DateFormat=P","Fill=—","Direction=H","UseDPDF=Y")</f>
        <v>9.5303000000000004</v>
      </c>
      <c r="O11" s="13">
        <f>_xll.BDH("ITCI US Equity","IS_EXPENSE_STOCK_BASED_COMP","FQ4 2021","FQ4 2021","Currency=USD","Period=FQ","BEST_FPERIOD_OVERRIDE=FQ","FILING_STATUS=MR","SCALING_FORMAT=MLN","Sort=A","Dates=H","DateFormat=P","Fill=—","Direction=H","UseDPDF=Y")</f>
        <v>34.302999999999997</v>
      </c>
      <c r="P11" s="13">
        <f>_xll.BDH("ITCI US Equity","IS_EXPENSE_STOCK_BASED_COMP","FQ1 2022","FQ1 2022","Currency=USD","Period=FQ","BEST_FPERIOD_OVERRIDE=FQ","FILING_STATUS=MR","SCALING_FORMAT=MLN","Sort=A","Dates=H","DateFormat=P","Fill=—","Direction=H","UseDPDF=Y")</f>
        <v>80.986000000000004</v>
      </c>
      <c r="Q11" s="13">
        <f>_xll.BDH("ITCI US Equity","IS_EXPENSE_STOCK_BASED_COMP","FQ2 2022","FQ2 2022","Currency=USD","Period=FQ","BEST_FPERIOD_OVERRIDE=FQ","FILING_STATUS=MR","SCALING_FORMAT=MLN","Sort=A","Dates=H","DateFormat=P","Fill=—","Direction=H","UseDPDF=Y")</f>
        <v>110.473</v>
      </c>
      <c r="R11" s="13">
        <f>_xll.BDH("ITCI US Equity","IS_EXPENSE_STOCK_BASED_COMP","FQ3 2022","FQ3 2022","Currency=USD","Period=FQ","BEST_FPERIOD_OVERRIDE=FQ","FILING_STATUS=MR","SCALING_FORMAT=MLN","Sort=A","Dates=H","DateFormat=P","Fill=—","Direction=H","UseDPDF=Y")</f>
        <v>98.906999999999996</v>
      </c>
      <c r="S11" s="13">
        <f>_xll.BDH("ITCI US Equity","IS_EXPENSE_STOCK_BASED_COMP","FQ4 2022","FQ4 2022","Currency=USD","Period=FQ","BEST_FPERIOD_OVERRIDE=FQ","FILING_STATUS=MR","SCALING_FORMAT=MLN","Sort=A","Dates=H","DateFormat=P","Fill=—","Direction=H","UseDPDF=Y")</f>
        <v>11.159000000000001</v>
      </c>
      <c r="T11" s="13">
        <f>_xll.BDH("ITCI US Equity","IS_EXPENSE_STOCK_BASED_COMP","FQ1 2023","FQ1 2023","Currency=USD","Period=FQ","BEST_FPERIOD_OVERRIDE=FQ","FILING_STATUS=MR","SCALING_FORMAT=MLN","Sort=A","Dates=H","DateFormat=P","Fill=—","Direction=H","UseDPDF=Y")</f>
        <v>108.791</v>
      </c>
      <c r="U11" s="13">
        <f>_xll.BDH("ITCI US Equity","IS_EXPENSE_STOCK_BASED_COMP","FQ2 2023","FQ2 2023","Currency=USD","Period=FQ","BEST_FPERIOD_OVERRIDE=FQ","FILING_STATUS=MR","SCALING_FORMAT=MLN","Sort=A","Dates=H","DateFormat=P","Fill=—","Direction=H","UseDPDF=Y")</f>
        <v>112.258</v>
      </c>
      <c r="V11" s="13">
        <f>_xll.BDH("ITCI US Equity","IS_EXPENSE_STOCK_BASED_COMP","FQ3 2023","FQ3 2023","Currency=USD","Period=FQ","BEST_FPERIOD_OVERRIDE=FQ","FILING_STATUS=MR","SCALING_FORMAT=MLN","Sort=A","Dates=H","DateFormat=P","Fill=—","Direction=H","UseDPDF=Y")</f>
        <v>118.65900000000001</v>
      </c>
      <c r="W11" s="13">
        <f>_xll.BDH("ITCI US Equity","IS_EXPENSE_STOCK_BASED_COMP","FQ4 2023","FQ4 2023","Currency=USD","Period=FQ","BEST_FPERIOD_OVERRIDE=FQ","FILING_STATUS=MR","SCALING_FORMAT=MLN","Sort=A","Dates=H","DateFormat=P","Fill=—","Direction=H","UseDPDF=Y")</f>
        <v>14.856</v>
      </c>
      <c r="X11" s="13">
        <f>_xll.BDH("ITCI US Equity","IS_EXPENSE_STOCK_BASED_COMP","FQ1 2024","FQ1 2024","Currency=USD","Period=FQ","BEST_FPERIOD_OVERRIDE=FQ","FILING_STATUS=MR","SCALING_FORMAT=MLN","Sort=A","Dates=H","DateFormat=P","Fill=—","Direction=H","UseDPDF=Y")</f>
        <v>13.843</v>
      </c>
      <c r="Y11" s="13">
        <f>_xll.BDH("ITCI US Equity","IS_EXPENSE_STOCK_BASED_COMP","FQ2 2024","FQ2 2024","Currency=USD","Period=FQ","BEST_FPERIOD_OVERRIDE=FQ","FILING_STATUS=MR","SCALING_FORMAT=MLN","Sort=A","Dates=H","DateFormat=P","Fill=—","Direction=H","UseDPDF=Y")</f>
        <v>137.999</v>
      </c>
      <c r="Z11" s="13">
        <f>_xll.BDH("ITCI US Equity","IS_EXPENSE_STOCK_BASED_COMP","FQ3 2024","FQ3 2024","Currency=USD","Period=FQ","BEST_FPERIOD_OVERRIDE=FQ","FILING_STATUS=MR","SCALING_FORMAT=MLN","Sort=A","Dates=H","DateFormat=P","Fill=—","Direction=H","UseDPDF=Y")</f>
        <v>17.489000000000001</v>
      </c>
      <c r="AA11" s="13">
        <f>_xll.BDH("ITCI US Equity","IS_EXPENSE_STOCK_BASED_COMP","FQ4 2024","FQ4 2024","Currency=USD","Period=FQ","BEST_FPERIOD_OVERRIDE=FQ","FILING_STATUS=MR","SCALING_FORMAT=MLN","Sort=A","Dates=H","DateFormat=P","Fill=—","Direction=H","UseDPDF=Y")</f>
        <v>16.332999999999998</v>
      </c>
    </row>
    <row r="12" spans="1:27" x14ac:dyDescent="0.25">
      <c r="A12" s="10" t="s">
        <v>521</v>
      </c>
      <c r="B12" s="10" t="s">
        <v>522</v>
      </c>
      <c r="C12" s="13">
        <f>_xll.BDH("ITCI US Equity","IS_STK_BASED_COMP_AFT_TAX","FQ4 2018","FQ4 2018","Currency=USD","Period=FQ","BEST_FPERIOD_OVERRIDE=FQ","FILING_STATUS=MR","SCALING_FORMAT=MLN","Sort=A","Dates=H","DateFormat=P","Fill=—","Direction=H","UseDPDF=Y")</f>
        <v>3.4954999999999998</v>
      </c>
      <c r="D12" s="13">
        <f>_xll.BDH("ITCI US Equity","IS_STK_BASED_COMP_AFT_TAX","FQ1 2019","FQ1 2019","Currency=USD","Period=FQ","BEST_FPERIOD_OVERRIDE=FQ","FILING_STATUS=MR","SCALING_FORMAT=MLN","Sort=A","Dates=H","DateFormat=P","Fill=—","Direction=H","UseDPDF=Y")</f>
        <v>3.9935999999999998</v>
      </c>
      <c r="E12" s="13">
        <f>_xll.BDH("ITCI US Equity","IS_STK_BASED_COMP_AFT_TAX","FQ2 2019","FQ2 2019","Currency=USD","Period=FQ","BEST_FPERIOD_OVERRIDE=FQ","FILING_STATUS=MR","SCALING_FORMAT=MLN","Sort=A","Dates=H","DateFormat=P","Fill=—","Direction=H","UseDPDF=Y")</f>
        <v>3.9401000000000002</v>
      </c>
      <c r="F12" s="13">
        <f>_xll.BDH("ITCI US Equity","IS_STK_BASED_COMP_AFT_TAX","FQ3 2019","FQ3 2019","Currency=USD","Period=FQ","BEST_FPERIOD_OVERRIDE=FQ","FILING_STATUS=MR","SCALING_FORMAT=MLN","Sort=A","Dates=H","DateFormat=P","Fill=—","Direction=H","UseDPDF=Y")</f>
        <v>3.7972999999999999</v>
      </c>
      <c r="G12" s="13">
        <f>_xll.BDH("ITCI US Equity","IS_STK_BASED_COMP_AFT_TAX","FQ4 2019","FQ4 2019","Currency=USD","Period=FQ","BEST_FPERIOD_OVERRIDE=FQ","FILING_STATUS=MR","SCALING_FORMAT=MLN","Sort=A","Dates=H","DateFormat=P","Fill=—","Direction=H","UseDPDF=Y")</f>
        <v>4.6920000000000002</v>
      </c>
      <c r="H12" s="13">
        <f>_xll.BDH("ITCI US Equity","IS_STK_BASED_COMP_AFT_TAX","FQ1 2020","FQ1 2020","Currency=USD","Period=FQ","BEST_FPERIOD_OVERRIDE=FQ","FILING_STATUS=MR","SCALING_FORMAT=MLN","Sort=A","Dates=H","DateFormat=P","Fill=—","Direction=H","UseDPDF=Y")</f>
        <v>4.3483999999999998</v>
      </c>
      <c r="I12" s="13">
        <f>_xll.BDH("ITCI US Equity","IS_STK_BASED_COMP_AFT_TAX","FQ2 2020","FQ2 2020","Currency=USD","Period=FQ","BEST_FPERIOD_OVERRIDE=FQ","FILING_STATUS=MR","SCALING_FORMAT=MLN","Sort=A","Dates=H","DateFormat=P","Fill=—","Direction=H","UseDPDF=Y")</f>
        <v>5.4882</v>
      </c>
      <c r="J12" s="13">
        <f>_xll.BDH("ITCI US Equity","IS_STK_BASED_COMP_AFT_TAX","FQ3 2020","FQ3 2020","Currency=USD","Period=FQ","BEST_FPERIOD_OVERRIDE=FQ","FILING_STATUS=MR","SCALING_FORMAT=MLN","Sort=A","Dates=H","DateFormat=P","Fill=—","Direction=H","UseDPDF=Y")</f>
        <v>5.4516</v>
      </c>
      <c r="K12" s="13">
        <f>_xll.BDH("ITCI US Equity","IS_STK_BASED_COMP_AFT_TAX","FQ4 2020","FQ4 2020","Currency=USD","Period=FQ","BEST_FPERIOD_OVERRIDE=FQ","FILING_STATUS=MR","SCALING_FORMAT=MLN","Sort=A","Dates=H","DateFormat=P","Fill=—","Direction=H","UseDPDF=Y")</f>
        <v>19.050999999999998</v>
      </c>
      <c r="L12" s="13">
        <f>_xll.BDH("ITCI US Equity","IS_STK_BASED_COMP_AFT_TAX","FQ1 2021","FQ1 2021","Currency=USD","Period=FQ","BEST_FPERIOD_OVERRIDE=FQ","FILING_STATUS=MR","SCALING_FORMAT=MLN","Sort=A","Dates=H","DateFormat=P","Fill=—","Direction=H","UseDPDF=Y")</f>
        <v>5.3550000000000004</v>
      </c>
      <c r="M12" s="13">
        <f>_xll.BDH("ITCI US Equity","IS_STK_BASED_COMP_AFT_TAX","FQ2 2021","FQ2 2021","Currency=USD","Period=FQ","BEST_FPERIOD_OVERRIDE=FQ","FILING_STATUS=MR","SCALING_FORMAT=MLN","Sort=A","Dates=H","DateFormat=P","Fill=—","Direction=H","UseDPDF=Y")</f>
        <v>6.8071999999999999</v>
      </c>
      <c r="N12" s="13">
        <f>_xll.BDH("ITCI US Equity","IS_STK_BASED_COMP_AFT_TAX","FQ3 2021","FQ3 2021","Currency=USD","Period=FQ","BEST_FPERIOD_OVERRIDE=FQ","FILING_STATUS=MR","SCALING_FORMAT=MLN","Sort=A","Dates=H","DateFormat=P","Fill=—","Direction=H","UseDPDF=Y")</f>
        <v>7.5289000000000001</v>
      </c>
      <c r="O12" s="13">
        <f>_xll.BDH("ITCI US Equity","IS_STK_BASED_COMP_AFT_TAX","FQ4 2021","FQ4 2021","Currency=USD","Period=FQ","BEST_FPERIOD_OVERRIDE=FQ","FILING_STATUS=MR","SCALING_FORMAT=MLN","Sort=A","Dates=H","DateFormat=P","Fill=—","Direction=H","UseDPDF=Y")</f>
        <v>27.099399999999999</v>
      </c>
      <c r="P12" s="13">
        <f>_xll.BDH("ITCI US Equity","IS_STK_BASED_COMP_AFT_TAX","FQ1 2022","FQ1 2022","Currency=USD","Period=FQ","BEST_FPERIOD_OVERRIDE=FQ","FILING_STATUS=MR","SCALING_FORMAT=MLN","Sort=A","Dates=H","DateFormat=P","Fill=—","Direction=H","UseDPDF=Y")</f>
        <v>63.978900000000003</v>
      </c>
      <c r="Q12" s="13">
        <f>_xll.BDH("ITCI US Equity","IS_STK_BASED_COMP_AFT_TAX","FQ2 2022","FQ2 2022","Currency=USD","Period=FQ","BEST_FPERIOD_OVERRIDE=FQ","FILING_STATUS=MR","SCALING_FORMAT=MLN","Sort=A","Dates=H","DateFormat=P","Fill=—","Direction=H","UseDPDF=Y")</f>
        <v>87.273700000000005</v>
      </c>
      <c r="R12" s="13">
        <f>_xll.BDH("ITCI US Equity","IS_STK_BASED_COMP_AFT_TAX","FQ3 2022","FQ3 2022","Currency=USD","Period=FQ","BEST_FPERIOD_OVERRIDE=FQ","FILING_STATUS=MR","SCALING_FORMAT=MLN","Sort=A","Dates=H","DateFormat=P","Fill=—","Direction=H","UseDPDF=Y")</f>
        <v>78.136499999999998</v>
      </c>
      <c r="S12" s="13">
        <f>_xll.BDH("ITCI US Equity","IS_STK_BASED_COMP_AFT_TAX","FQ4 2022","FQ4 2022","Currency=USD","Period=FQ","BEST_FPERIOD_OVERRIDE=FQ","FILING_STATUS=MR","SCALING_FORMAT=MLN","Sort=A","Dates=H","DateFormat=P","Fill=—","Direction=H","UseDPDF=Y")</f>
        <v>8.8155999999999999</v>
      </c>
      <c r="T12" s="13">
        <f>_xll.BDH("ITCI US Equity","IS_STK_BASED_COMP_AFT_TAX","FQ1 2023","FQ1 2023","Currency=USD","Period=FQ","BEST_FPERIOD_OVERRIDE=FQ","FILING_STATUS=MR","SCALING_FORMAT=MLN","Sort=A","Dates=H","DateFormat=P","Fill=—","Direction=H","UseDPDF=Y")</f>
        <v>85.944900000000004</v>
      </c>
      <c r="U12" s="13">
        <f>_xll.BDH("ITCI US Equity","IS_STK_BASED_COMP_AFT_TAX","FQ2 2023","FQ2 2023","Currency=USD","Period=FQ","BEST_FPERIOD_OVERRIDE=FQ","FILING_STATUS=MR","SCALING_FORMAT=MLN","Sort=A","Dates=H","DateFormat=P","Fill=—","Direction=H","UseDPDF=Y")</f>
        <v>88.683800000000005</v>
      </c>
      <c r="V12" s="13">
        <f>_xll.BDH("ITCI US Equity","IS_STK_BASED_COMP_AFT_TAX","FQ3 2023","FQ3 2023","Currency=USD","Period=FQ","BEST_FPERIOD_OVERRIDE=FQ","FILING_STATUS=MR","SCALING_FORMAT=MLN","Sort=A","Dates=H","DateFormat=P","Fill=—","Direction=H","UseDPDF=Y")</f>
        <v>93.740600000000001</v>
      </c>
      <c r="W12" s="13">
        <f>_xll.BDH("ITCI US Equity","IS_STK_BASED_COMP_AFT_TAX","FQ4 2023","FQ4 2023","Currency=USD","Period=FQ","BEST_FPERIOD_OVERRIDE=FQ","FILING_STATUS=MR","SCALING_FORMAT=MLN","Sort=A","Dates=H","DateFormat=P","Fill=—","Direction=H","UseDPDF=Y")</f>
        <v>11.7362</v>
      </c>
      <c r="X12" s="13">
        <f>_xll.BDH("ITCI US Equity","IS_STK_BASED_COMP_AFT_TAX","FQ1 2024","FQ1 2024","Currency=USD","Period=FQ","BEST_FPERIOD_OVERRIDE=FQ","FILING_STATUS=MR","SCALING_FORMAT=MLN","Sort=A","Dates=H","DateFormat=P","Fill=—","Direction=H","UseDPDF=Y")</f>
        <v>10.936</v>
      </c>
      <c r="Y12" s="13">
        <f>_xll.BDH("ITCI US Equity","IS_STK_BASED_COMP_AFT_TAX","FQ2 2024","FQ2 2024","Currency=USD","Period=FQ","BEST_FPERIOD_OVERRIDE=FQ","FILING_STATUS=MR","SCALING_FORMAT=MLN","Sort=A","Dates=H","DateFormat=P","Fill=—","Direction=H","UseDPDF=Y")</f>
        <v>109.0192</v>
      </c>
      <c r="Z12" s="13">
        <f>_xll.BDH("ITCI US Equity","IS_STK_BASED_COMP_AFT_TAX","FQ3 2024","FQ3 2024","Currency=USD","Period=FQ","BEST_FPERIOD_OVERRIDE=FQ","FILING_STATUS=MR","SCALING_FORMAT=MLN","Sort=A","Dates=H","DateFormat=P","Fill=—","Direction=H","UseDPDF=Y")</f>
        <v>13.8163</v>
      </c>
      <c r="AA12" s="13">
        <f>_xll.BDH("ITCI US Equity","IS_STK_BASED_COMP_AFT_TAX","FQ4 2024","FQ4 2024","Currency=USD","Period=FQ","BEST_FPERIOD_OVERRIDE=FQ","FILING_STATUS=MR","SCALING_FORMAT=MLN","Sort=A","Dates=H","DateFormat=P","Fill=—","Direction=H","UseDPDF=Y")</f>
        <v>12.9031</v>
      </c>
    </row>
    <row r="13" spans="1:27" x14ac:dyDescent="0.25">
      <c r="A13" s="10" t="s">
        <v>523</v>
      </c>
      <c r="B13" s="10" t="s">
        <v>524</v>
      </c>
      <c r="C13" s="14">
        <f>_xll.BDH("ITCI US Equity","IS_STK_BASED_COMP_PER_BAS_SH","FQ4 2018","FQ4 2018","Currency=USD","Period=FQ","BEST_FPERIOD_OVERRIDE=FQ","FILING_STATUS=MR","Sort=A","Dates=H","DateFormat=P","Fill=—","Direction=H","UseDPDF=Y")</f>
        <v>6.3799999999999996E-2</v>
      </c>
      <c r="D13" s="14">
        <f>_xll.BDH("ITCI US Equity","IS_STK_BASED_COMP_PER_BAS_SH","FQ1 2019","FQ1 2019","Currency=USD","Period=FQ","BEST_FPERIOD_OVERRIDE=FQ","FILING_STATUS=MR","Sort=A","Dates=H","DateFormat=P","Fill=—","Direction=H","UseDPDF=Y")</f>
        <v>7.2499999999999995E-2</v>
      </c>
      <c r="E13" s="14">
        <f>_xll.BDH("ITCI US Equity","IS_STK_BASED_COMP_PER_BAS_SH","FQ2 2019","FQ2 2019","Currency=USD","Period=FQ","BEST_FPERIOD_OVERRIDE=FQ","FILING_STATUS=MR","Sort=A","Dates=H","DateFormat=P","Fill=—","Direction=H","UseDPDF=Y")</f>
        <v>7.1400000000000005E-2</v>
      </c>
      <c r="F13" s="14">
        <f>_xll.BDH("ITCI US Equity","IS_STK_BASED_COMP_PER_BAS_SH","FQ3 2019","FQ3 2019","Currency=USD","Period=FQ","BEST_FPERIOD_OVERRIDE=FQ","FILING_STATUS=MR","Sort=A","Dates=H","DateFormat=P","Fill=—","Direction=H","UseDPDF=Y")</f>
        <v>6.88E-2</v>
      </c>
      <c r="G13" s="14">
        <f>_xll.BDH("ITCI US Equity","IS_STK_BASED_COMP_PER_BAS_SH","FQ4 2019","FQ4 2019","Currency=USD","Period=FQ","BEST_FPERIOD_OVERRIDE=FQ","FILING_STATUS=MR","Sort=A","Dates=H","DateFormat=P","Fill=—","Direction=H","UseDPDF=Y")</f>
        <v>8.4900000000000003E-2</v>
      </c>
      <c r="H13" s="14">
        <f>_xll.BDH("ITCI US Equity","IS_STK_BASED_COMP_PER_BAS_SH","FQ1 2020","FQ1 2020","Currency=USD","Period=FQ","BEST_FPERIOD_OVERRIDE=FQ","FILING_STATUS=MR","Sort=A","Dates=H","DateFormat=P","Fill=—","Direction=H","UseDPDF=Y")</f>
        <v>6.6799999999999998E-2</v>
      </c>
      <c r="I13" s="14">
        <f>_xll.BDH("ITCI US Equity","IS_STK_BASED_COMP_PER_BAS_SH","FQ2 2020","FQ2 2020","Currency=USD","Period=FQ","BEST_FPERIOD_OVERRIDE=FQ","FILING_STATUS=MR","Sort=A","Dates=H","DateFormat=P","Fill=—","Direction=H","UseDPDF=Y")</f>
        <v>8.2600000000000007E-2</v>
      </c>
      <c r="J13" s="14">
        <f>_xll.BDH("ITCI US Equity","IS_STK_BASED_COMP_PER_BAS_SH","FQ3 2020","FQ3 2020","Currency=USD","Period=FQ","BEST_FPERIOD_OVERRIDE=FQ","FILING_STATUS=MR","Sort=A","Dates=H","DateFormat=P","Fill=—","Direction=H","UseDPDF=Y")</f>
        <v>7.8399999999999997E-2</v>
      </c>
      <c r="K13" s="14">
        <f>_xll.BDH("ITCI US Equity","IS_STK_BASED_COMP_PER_BAS_SH","FQ4 2020","FQ4 2020","Currency=USD","Period=FQ","BEST_FPERIOD_OVERRIDE=FQ","FILING_STATUS=MR","Sort=A","Dates=H","DateFormat=P","Fill=—","Direction=H","UseDPDF=Y")</f>
        <v>0.23730000000000001</v>
      </c>
      <c r="L13" s="14">
        <f>_xll.BDH("ITCI US Equity","IS_STK_BASED_COMP_PER_BAS_SH","FQ1 2021","FQ1 2021","Currency=USD","Period=FQ","BEST_FPERIOD_OVERRIDE=FQ","FILING_STATUS=MR","Sort=A","Dates=H","DateFormat=P","Fill=—","Direction=H","UseDPDF=Y")</f>
        <v>6.6199999999999995E-2</v>
      </c>
      <c r="M13" s="14">
        <f>_xll.BDH("ITCI US Equity","IS_STK_BASED_COMP_PER_BAS_SH","FQ2 2021","FQ2 2021","Currency=USD","Period=FQ","BEST_FPERIOD_OVERRIDE=FQ","FILING_STATUS=MR","Sort=A","Dates=H","DateFormat=P","Fill=—","Direction=H","UseDPDF=Y")</f>
        <v>8.3799999999999999E-2</v>
      </c>
      <c r="N13" s="14">
        <f>_xll.BDH("ITCI US Equity","IS_STK_BASED_COMP_PER_BAS_SH","FQ3 2021","FQ3 2021","Currency=USD","Period=FQ","BEST_FPERIOD_OVERRIDE=FQ","FILING_STATUS=MR","Sort=A","Dates=H","DateFormat=P","Fill=—","Direction=H","UseDPDF=Y")</f>
        <v>9.2499999999999999E-2</v>
      </c>
      <c r="O13" s="14">
        <f>_xll.BDH("ITCI US Equity","IS_STK_BASED_COMP_PER_BAS_SH","FQ4 2021","FQ4 2021","Currency=USD","Period=FQ","BEST_FPERIOD_OVERRIDE=FQ","FILING_STATUS=MR","Sort=A","Dates=H","DateFormat=P","Fill=—","Direction=H","UseDPDF=Y")</f>
        <v>0.33260000000000001</v>
      </c>
      <c r="P13" s="14">
        <f>_xll.BDH("ITCI US Equity","IS_STK_BASED_COMP_PER_BAS_SH","FQ1 2022","FQ1 2022","Currency=USD","Period=FQ","BEST_FPERIOD_OVERRIDE=FQ","FILING_STATUS=MR","Sort=A","Dates=H","DateFormat=P","Fill=—","Direction=H","UseDPDF=Y")</f>
        <v>0.69089999999999996</v>
      </c>
      <c r="Q13" s="14">
        <f>_xll.BDH("ITCI US Equity","IS_STK_BASED_COMP_PER_BAS_SH","FQ2 2022","FQ2 2022","Currency=USD","Period=FQ","BEST_FPERIOD_OVERRIDE=FQ","FILING_STATUS=MR","Sort=A","Dates=H","DateFormat=P","Fill=—","Direction=H","UseDPDF=Y")</f>
        <v>0.92559999999999998</v>
      </c>
      <c r="R13" s="14">
        <f>_xll.BDH("ITCI US Equity","IS_STK_BASED_COMP_PER_BAS_SH","FQ3 2022","FQ3 2022","Currency=USD","Period=FQ","BEST_FPERIOD_OVERRIDE=FQ","FILING_STATUS=MR","Sort=A","Dates=H","DateFormat=P","Fill=—","Direction=H","UseDPDF=Y")</f>
        <v>0.82669999999999999</v>
      </c>
      <c r="S13" s="14">
        <f>_xll.BDH("ITCI US Equity","IS_STK_BASED_COMP_PER_BAS_SH","FQ4 2022","FQ4 2022","Currency=USD","Period=FQ","BEST_FPERIOD_OVERRIDE=FQ","FILING_STATUS=MR","Sort=A","Dates=H","DateFormat=P","Fill=—","Direction=H","UseDPDF=Y")</f>
        <v>9.2999999999999999E-2</v>
      </c>
      <c r="T13" s="14">
        <f>_xll.BDH("ITCI US Equity","IS_STK_BASED_COMP_PER_BAS_SH","FQ1 2023","FQ1 2023","Currency=USD","Period=FQ","BEST_FPERIOD_OVERRIDE=FQ","FILING_STATUS=MR","Sort=A","Dates=H","DateFormat=P","Fill=—","Direction=H","UseDPDF=Y")</f>
        <v>0.90339999999999998</v>
      </c>
      <c r="U13" s="14">
        <f>_xll.BDH("ITCI US Equity","IS_STK_BASED_COMP_PER_BAS_SH","FQ2 2023","FQ2 2023","Currency=USD","Period=FQ","BEST_FPERIOD_OVERRIDE=FQ","FILING_STATUS=MR","Sort=A","Dates=H","DateFormat=P","Fill=—","Direction=H","UseDPDF=Y")</f>
        <v>0.92430000000000001</v>
      </c>
      <c r="V13" s="14">
        <f>_xll.BDH("ITCI US Equity","IS_STK_BASED_COMP_PER_BAS_SH","FQ3 2023","FQ3 2023","Currency=USD","Period=FQ","BEST_FPERIOD_OVERRIDE=FQ","FILING_STATUS=MR","Sort=A","Dates=H","DateFormat=P","Fill=—","Direction=H","UseDPDF=Y")</f>
        <v>0.97499999999999998</v>
      </c>
      <c r="W13" s="14">
        <f>_xll.BDH("ITCI US Equity","IS_STK_BASED_COMP_PER_BAS_SH","FQ4 2023","FQ4 2023","Currency=USD","Period=FQ","BEST_FPERIOD_OVERRIDE=FQ","FILING_STATUS=MR","Sort=A","Dates=H","DateFormat=P","Fill=—","Direction=H","UseDPDF=Y")</f>
        <v>0.12189999999999999</v>
      </c>
      <c r="X13" s="14">
        <f>_xll.BDH("ITCI US Equity","IS_STK_BASED_COMP_PER_BAS_SH","FQ1 2024","FQ1 2024","Currency=USD","Period=FQ","BEST_FPERIOD_OVERRIDE=FQ","FILING_STATUS=MR","Sort=A","Dates=H","DateFormat=P","Fill=—","Direction=H","UseDPDF=Y")</f>
        <v>0.1129</v>
      </c>
      <c r="Y13" s="14">
        <f>_xll.BDH("ITCI US Equity","IS_STK_BASED_COMP_PER_BAS_SH","FQ2 2024","FQ2 2024","Currency=USD","Period=FQ","BEST_FPERIOD_OVERRIDE=FQ","FILING_STATUS=MR","Sort=A","Dates=H","DateFormat=P","Fill=—","Direction=H","UseDPDF=Y")</f>
        <v>1.0510999999999999</v>
      </c>
      <c r="Z13" s="14">
        <f>_xll.BDH("ITCI US Equity","IS_STK_BASED_COMP_PER_BAS_SH","FQ3 2024","FQ3 2024","Currency=USD","Period=FQ","BEST_FPERIOD_OVERRIDE=FQ","FILING_STATUS=MR","Sort=A","Dates=H","DateFormat=P","Fill=—","Direction=H","UseDPDF=Y")</f>
        <v>0.13059999999999999</v>
      </c>
      <c r="AA13" s="14">
        <f>_xll.BDH("ITCI US Equity","IS_STK_BASED_COMP_PER_BAS_SH","FQ4 2024","FQ4 2024","Currency=USD","Period=FQ","BEST_FPERIOD_OVERRIDE=FQ","FILING_STATUS=MR","Sort=A","Dates=H","DateFormat=P","Fill=—","Direction=H","UseDPDF=Y")</f>
        <v>0.1216</v>
      </c>
    </row>
    <row r="14" spans="1:27" x14ac:dyDescent="0.25">
      <c r="A14" s="10" t="s">
        <v>525</v>
      </c>
      <c r="B14" s="10" t="s">
        <v>526</v>
      </c>
      <c r="C14" s="14">
        <f>_xll.BDH("ITCI US Equity","IS_STK_BASED_COMP_PER_DIL_SH","FQ4 2018","FQ4 2018","Currency=USD","Period=FQ","BEST_FPERIOD_OVERRIDE=FQ","FILING_STATUS=MR","Sort=A","Dates=H","DateFormat=P","Fill=—","Direction=H","UseDPDF=Y")</f>
        <v>6.3799999999999996E-2</v>
      </c>
      <c r="D14" s="14">
        <f>_xll.BDH("ITCI US Equity","IS_STK_BASED_COMP_PER_DIL_SH","FQ1 2019","FQ1 2019","Currency=USD","Period=FQ","BEST_FPERIOD_OVERRIDE=FQ","FILING_STATUS=MR","Sort=A","Dates=H","DateFormat=P","Fill=—","Direction=H","UseDPDF=Y")</f>
        <v>7.2499999999999995E-2</v>
      </c>
      <c r="E14" s="14">
        <f>_xll.BDH("ITCI US Equity","IS_STK_BASED_COMP_PER_DIL_SH","FQ2 2019","FQ2 2019","Currency=USD","Period=FQ","BEST_FPERIOD_OVERRIDE=FQ","FILING_STATUS=MR","Sort=A","Dates=H","DateFormat=P","Fill=—","Direction=H","UseDPDF=Y")</f>
        <v>7.1400000000000005E-2</v>
      </c>
      <c r="F14" s="14">
        <f>_xll.BDH("ITCI US Equity","IS_STK_BASED_COMP_PER_DIL_SH","FQ3 2019","FQ3 2019","Currency=USD","Period=FQ","BEST_FPERIOD_OVERRIDE=FQ","FILING_STATUS=MR","Sort=A","Dates=H","DateFormat=P","Fill=—","Direction=H","UseDPDF=Y")</f>
        <v>6.88E-2</v>
      </c>
      <c r="G14" s="14">
        <f>_xll.BDH("ITCI US Equity","IS_STK_BASED_COMP_PER_DIL_SH","FQ4 2019","FQ4 2019","Currency=USD","Period=FQ","BEST_FPERIOD_OVERRIDE=FQ","FILING_STATUS=MR","Sort=A","Dates=H","DateFormat=P","Fill=—","Direction=H","UseDPDF=Y")</f>
        <v>8.4900000000000003E-2</v>
      </c>
      <c r="H14" s="14">
        <f>_xll.BDH("ITCI US Equity","IS_STK_BASED_COMP_PER_DIL_SH","FQ1 2020","FQ1 2020","Currency=USD","Period=FQ","BEST_FPERIOD_OVERRIDE=FQ","FILING_STATUS=MR","Sort=A","Dates=H","DateFormat=P","Fill=—","Direction=H","UseDPDF=Y")</f>
        <v>6.6799999999999998E-2</v>
      </c>
      <c r="I14" s="14">
        <f>_xll.BDH("ITCI US Equity","IS_STK_BASED_COMP_PER_DIL_SH","FQ2 2020","FQ2 2020","Currency=USD","Period=FQ","BEST_FPERIOD_OVERRIDE=FQ","FILING_STATUS=MR","Sort=A","Dates=H","DateFormat=P","Fill=—","Direction=H","UseDPDF=Y")</f>
        <v>8.2600000000000007E-2</v>
      </c>
      <c r="J14" s="14">
        <f>_xll.BDH("ITCI US Equity","IS_STK_BASED_COMP_PER_DIL_SH","FQ3 2020","FQ3 2020","Currency=USD","Period=FQ","BEST_FPERIOD_OVERRIDE=FQ","FILING_STATUS=MR","Sort=A","Dates=H","DateFormat=P","Fill=—","Direction=H","UseDPDF=Y")</f>
        <v>7.8399999999999997E-2</v>
      </c>
      <c r="K14" s="14">
        <f>_xll.BDH("ITCI US Equity","IS_STK_BASED_COMP_PER_DIL_SH","FQ4 2020","FQ4 2020","Currency=USD","Period=FQ","BEST_FPERIOD_OVERRIDE=FQ","FILING_STATUS=MR","Sort=A","Dates=H","DateFormat=P","Fill=—","Direction=H","UseDPDF=Y")</f>
        <v>0.23730000000000001</v>
      </c>
      <c r="L14" s="14">
        <f>_xll.BDH("ITCI US Equity","IS_STK_BASED_COMP_PER_DIL_SH","FQ1 2021","FQ1 2021","Currency=USD","Period=FQ","BEST_FPERIOD_OVERRIDE=FQ","FILING_STATUS=MR","Sort=A","Dates=H","DateFormat=P","Fill=—","Direction=H","UseDPDF=Y")</f>
        <v>6.6199999999999995E-2</v>
      </c>
      <c r="M14" s="14">
        <f>_xll.BDH("ITCI US Equity","IS_STK_BASED_COMP_PER_DIL_SH","FQ2 2021","FQ2 2021","Currency=USD","Period=FQ","BEST_FPERIOD_OVERRIDE=FQ","FILING_STATUS=MR","Sort=A","Dates=H","DateFormat=P","Fill=—","Direction=H","UseDPDF=Y")</f>
        <v>8.3799999999999999E-2</v>
      </c>
      <c r="N14" s="14">
        <f>_xll.BDH("ITCI US Equity","IS_STK_BASED_COMP_PER_DIL_SH","FQ3 2021","FQ3 2021","Currency=USD","Period=FQ","BEST_FPERIOD_OVERRIDE=FQ","FILING_STATUS=MR","Sort=A","Dates=H","DateFormat=P","Fill=—","Direction=H","UseDPDF=Y")</f>
        <v>9.2499999999999999E-2</v>
      </c>
      <c r="O14" s="14">
        <f>_xll.BDH("ITCI US Equity","IS_STK_BASED_COMP_PER_DIL_SH","FQ4 2021","FQ4 2021","Currency=USD","Period=FQ","BEST_FPERIOD_OVERRIDE=FQ","FILING_STATUS=MR","Sort=A","Dates=H","DateFormat=P","Fill=—","Direction=H","UseDPDF=Y")</f>
        <v>0.33260000000000001</v>
      </c>
      <c r="P14" s="14">
        <f>_xll.BDH("ITCI US Equity","IS_STK_BASED_COMP_PER_DIL_SH","FQ1 2022","FQ1 2022","Currency=USD","Period=FQ","BEST_FPERIOD_OVERRIDE=FQ","FILING_STATUS=MR","Sort=A","Dates=H","DateFormat=P","Fill=—","Direction=H","UseDPDF=Y")</f>
        <v>0.69089999999999996</v>
      </c>
      <c r="Q14" s="14">
        <f>_xll.BDH("ITCI US Equity","IS_STK_BASED_COMP_PER_DIL_SH","FQ2 2022","FQ2 2022","Currency=USD","Period=FQ","BEST_FPERIOD_OVERRIDE=FQ","FILING_STATUS=MR","Sort=A","Dates=H","DateFormat=P","Fill=—","Direction=H","UseDPDF=Y")</f>
        <v>0.92559999999999998</v>
      </c>
      <c r="R14" s="14">
        <f>_xll.BDH("ITCI US Equity","IS_STK_BASED_COMP_PER_DIL_SH","FQ3 2022","FQ3 2022","Currency=USD","Period=FQ","BEST_FPERIOD_OVERRIDE=FQ","FILING_STATUS=MR","Sort=A","Dates=H","DateFormat=P","Fill=—","Direction=H","UseDPDF=Y")</f>
        <v>0.82669999999999999</v>
      </c>
      <c r="S14" s="14">
        <f>_xll.BDH("ITCI US Equity","IS_STK_BASED_COMP_PER_DIL_SH","FQ4 2022","FQ4 2022","Currency=USD","Period=FQ","BEST_FPERIOD_OVERRIDE=FQ","FILING_STATUS=MR","Sort=A","Dates=H","DateFormat=P","Fill=—","Direction=H","UseDPDF=Y")</f>
        <v>9.2999999999999999E-2</v>
      </c>
      <c r="T14" s="14">
        <f>_xll.BDH("ITCI US Equity","IS_STK_BASED_COMP_PER_DIL_SH","FQ1 2023","FQ1 2023","Currency=USD","Period=FQ","BEST_FPERIOD_OVERRIDE=FQ","FILING_STATUS=MR","Sort=A","Dates=H","DateFormat=P","Fill=—","Direction=H","UseDPDF=Y")</f>
        <v>0.90339999999999998</v>
      </c>
      <c r="U14" s="14">
        <f>_xll.BDH("ITCI US Equity","IS_STK_BASED_COMP_PER_DIL_SH","FQ2 2023","FQ2 2023","Currency=USD","Period=FQ","BEST_FPERIOD_OVERRIDE=FQ","FILING_STATUS=MR","Sort=A","Dates=H","DateFormat=P","Fill=—","Direction=H","UseDPDF=Y")</f>
        <v>0.92430000000000001</v>
      </c>
      <c r="V14" s="14">
        <f>_xll.BDH("ITCI US Equity","IS_STK_BASED_COMP_PER_DIL_SH","FQ3 2023","FQ3 2023","Currency=USD","Period=FQ","BEST_FPERIOD_OVERRIDE=FQ","FILING_STATUS=MR","Sort=A","Dates=H","DateFormat=P","Fill=—","Direction=H","UseDPDF=Y")</f>
        <v>0.97499999999999998</v>
      </c>
      <c r="W14" s="14">
        <f>_xll.BDH("ITCI US Equity","IS_STK_BASED_COMP_PER_DIL_SH","FQ4 2023","FQ4 2023","Currency=USD","Period=FQ","BEST_FPERIOD_OVERRIDE=FQ","FILING_STATUS=MR","Sort=A","Dates=H","DateFormat=P","Fill=—","Direction=H","UseDPDF=Y")</f>
        <v>0.12189999999999999</v>
      </c>
      <c r="X14" s="14">
        <f>_xll.BDH("ITCI US Equity","IS_STK_BASED_COMP_PER_DIL_SH","FQ1 2024","FQ1 2024","Currency=USD","Period=FQ","BEST_FPERIOD_OVERRIDE=FQ","FILING_STATUS=MR","Sort=A","Dates=H","DateFormat=P","Fill=—","Direction=H","UseDPDF=Y")</f>
        <v>0.1129</v>
      </c>
      <c r="Y14" s="14">
        <f>_xll.BDH("ITCI US Equity","IS_STK_BASED_COMP_PER_DIL_SH","FQ2 2024","FQ2 2024","Currency=USD","Period=FQ","BEST_FPERIOD_OVERRIDE=FQ","FILING_STATUS=MR","Sort=A","Dates=H","DateFormat=P","Fill=—","Direction=H","UseDPDF=Y")</f>
        <v>1.0510999999999999</v>
      </c>
      <c r="Z14" s="14">
        <f>_xll.BDH("ITCI US Equity","IS_STK_BASED_COMP_PER_DIL_SH","FQ3 2024","FQ3 2024","Currency=USD","Period=FQ","BEST_FPERIOD_OVERRIDE=FQ","FILING_STATUS=MR","Sort=A","Dates=H","DateFormat=P","Fill=—","Direction=H","UseDPDF=Y")</f>
        <v>0.13059999999999999</v>
      </c>
      <c r="AA14" s="14">
        <f>_xll.BDH("ITCI US Equity","IS_STK_BASED_COMP_PER_DIL_SH","FQ4 2024","FQ4 2024","Currency=USD","Period=FQ","BEST_FPERIOD_OVERRIDE=FQ","FILING_STATUS=MR","Sort=A","Dates=H","DateFormat=P","Fill=—","Direction=H","UseDPDF=Y")</f>
        <v>0.1216</v>
      </c>
    </row>
    <row r="15" spans="1:27" x14ac:dyDescent="0.25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5">
      <c r="A16" s="10" t="s">
        <v>527</v>
      </c>
      <c r="B16" s="10" t="s">
        <v>528</v>
      </c>
      <c r="C16" s="13" t="str">
        <f>_xll.BDH("ITCI US Equity","IS_SBC_ATTRIB_TO_COGS_PRETX","FQ4 2018","FQ4 2018","Currency=USD","Period=FQ","BEST_FPERIOD_OVERRIDE=FQ","FILING_STATUS=MR","SCALING_FORMAT=MLN","Sort=A","Dates=H","DateFormat=P","Fill=—","Direction=H","UseDPDF=Y")</f>
        <v>—</v>
      </c>
      <c r="D16" s="13" t="str">
        <f>_xll.BDH("ITCI US Equity","IS_SBC_ATTRIB_TO_COGS_PRETX","FQ1 2019","FQ1 2019","Currency=USD","Period=FQ","BEST_FPERIOD_OVERRIDE=FQ","FILING_STATUS=MR","SCALING_FORMAT=MLN","Sort=A","Dates=H","DateFormat=P","Fill=—","Direction=H","UseDPDF=Y")</f>
        <v>—</v>
      </c>
      <c r="E16" s="13" t="str">
        <f>_xll.BDH("ITCI US Equity","IS_SBC_ATTRIB_TO_COGS_PRETX","FQ2 2019","FQ2 2019","Currency=USD","Period=FQ","BEST_FPERIOD_OVERRIDE=FQ","FILING_STATUS=MR","SCALING_FORMAT=MLN","Sort=A","Dates=H","DateFormat=P","Fill=—","Direction=H","UseDPDF=Y")</f>
        <v>—</v>
      </c>
      <c r="F16" s="13" t="str">
        <f>_xll.BDH("ITCI US Equity","IS_SBC_ATTRIB_TO_COGS_PRETX","FQ3 2019","FQ3 2019","Currency=USD","Period=FQ","BEST_FPERIOD_OVERRIDE=FQ","FILING_STATUS=MR","SCALING_FORMAT=MLN","Sort=A","Dates=H","DateFormat=P","Fill=—","Direction=H","UseDPDF=Y")</f>
        <v>—</v>
      </c>
      <c r="G16" s="13" t="str">
        <f>_xll.BDH("ITCI US Equity","IS_SBC_ATTRIB_TO_COGS_PRETX","FQ4 2019","FQ4 2019","Currency=USD","Period=FQ","BEST_FPERIOD_OVERRIDE=FQ","FILING_STATUS=MR","SCALING_FORMAT=MLN","Sort=A","Dates=H","DateFormat=P","Fill=—","Direction=H","UseDPDF=Y")</f>
        <v>—</v>
      </c>
      <c r="H16" s="13">
        <f>_xll.BDH("ITCI US Equity","IS_SBC_ATTRIB_TO_COGS_PRETX","FQ1 2020","FQ1 2020","Currency=USD","Period=FQ","BEST_FPERIOD_OVERRIDE=FQ","FILING_STATUS=MR","SCALING_FORMAT=MLN","Sort=A","Dates=H","DateFormat=P","Fill=—","Direction=H","UseDPDF=Y")</f>
        <v>0.29339999999999999</v>
      </c>
      <c r="I16" s="13">
        <f>_xll.BDH("ITCI US Equity","IS_SBC_ATTRIB_TO_COGS_PRETX","FQ2 2020","FQ2 2020","Currency=USD","Period=FQ","BEST_FPERIOD_OVERRIDE=FQ","FILING_STATUS=MR","SCALING_FORMAT=MLN","Sort=A","Dates=H","DateFormat=P","Fill=—","Direction=H","UseDPDF=Y")</f>
        <v>0.35799999999999998</v>
      </c>
      <c r="J16" s="13">
        <f>_xll.BDH("ITCI US Equity","IS_SBC_ATTRIB_TO_COGS_PRETX","FQ3 2020","FQ3 2020","Currency=USD","Period=FQ","BEST_FPERIOD_OVERRIDE=FQ","FILING_STATUS=MR","SCALING_FORMAT=MLN","Sort=A","Dates=H","DateFormat=P","Fill=—","Direction=H","UseDPDF=Y")</f>
        <v>0.34549999999999997</v>
      </c>
      <c r="K16" s="13">
        <f>_xll.BDH("ITCI US Equity","IS_SBC_ATTRIB_TO_COGS_PRETX","FQ4 2020","FQ4 2020","Currency=USD","Period=FQ","BEST_FPERIOD_OVERRIDE=FQ","FILING_STATUS=MR","SCALING_FORMAT=MLN","Sort=A","Dates=H","DateFormat=P","Fill=—","Direction=H","UseDPDF=Y")</f>
        <v>0.34549999999999997</v>
      </c>
      <c r="L16" s="13">
        <f>_xll.BDH("ITCI US Equity","IS_SBC_ATTRIB_TO_COGS_PRETX","FQ1 2021","FQ1 2021","Currency=USD","Period=FQ","BEST_FPERIOD_OVERRIDE=FQ","FILING_STATUS=MR","SCALING_FORMAT=MLN","Sort=A","Dates=H","DateFormat=P","Fill=—","Direction=H","UseDPDF=Y")</f>
        <v>0.36170000000000002</v>
      </c>
      <c r="M16" s="13">
        <f>_xll.BDH("ITCI US Equity","IS_SBC_ATTRIB_TO_COGS_PRETX","FQ2 2021","FQ2 2021","Currency=USD","Period=FQ","BEST_FPERIOD_OVERRIDE=FQ","FILING_STATUS=MR","SCALING_FORMAT=MLN","Sort=A","Dates=H","DateFormat=P","Fill=—","Direction=H","UseDPDF=Y")</f>
        <v>0.43809999999999999</v>
      </c>
      <c r="N16" s="13">
        <f>_xll.BDH("ITCI US Equity","IS_SBC_ATTRIB_TO_COGS_PRETX","FQ3 2021","FQ3 2021","Currency=USD","Period=FQ","BEST_FPERIOD_OVERRIDE=FQ","FILING_STATUS=MR","SCALING_FORMAT=MLN","Sort=A","Dates=H","DateFormat=P","Fill=—","Direction=H","UseDPDF=Y")</f>
        <v>0.41310000000000002</v>
      </c>
      <c r="O16" s="13">
        <f>_xll.BDH("ITCI US Equity","IS_SBC_ATTRIB_TO_COGS_PRETX","FQ4 2021","FQ4 2021","Currency=USD","Period=FQ","BEST_FPERIOD_OVERRIDE=FQ","FILING_STATUS=MR","SCALING_FORMAT=MLN","Sort=A","Dates=H","DateFormat=P","Fill=—","Direction=H","UseDPDF=Y")</f>
        <v>0.41120000000000001</v>
      </c>
      <c r="P16" s="13">
        <f>_xll.BDH("ITCI US Equity","IS_SBC_ATTRIB_TO_COGS_PRETX","FQ1 2022","FQ1 2022","Currency=USD","Period=FQ","BEST_FPERIOD_OVERRIDE=FQ","FILING_STATUS=MR","SCALING_FORMAT=MLN","Sort=A","Dates=H","DateFormat=P","Fill=—","Direction=H","UseDPDF=Y")</f>
        <v>3.1549999999999998</v>
      </c>
      <c r="Q16" s="13">
        <f>_xll.BDH("ITCI US Equity","IS_SBC_ATTRIB_TO_COGS_PRETX","FQ2 2022","FQ2 2022","Currency=USD","Period=FQ","BEST_FPERIOD_OVERRIDE=FQ","FILING_STATUS=MR","SCALING_FORMAT=MLN","Sort=A","Dates=H","DateFormat=P","Fill=—","Direction=H","UseDPDF=Y")</f>
        <v>4.6500000000000004</v>
      </c>
      <c r="R16" s="13">
        <f>_xll.BDH("ITCI US Equity","IS_SBC_ATTRIB_TO_COGS_PRETX","FQ3 2022","FQ3 2022","Currency=USD","Period=FQ","BEST_FPERIOD_OVERRIDE=FQ","FILING_STATUS=MR","SCALING_FORMAT=MLN","Sort=A","Dates=H","DateFormat=P","Fill=—","Direction=H","UseDPDF=Y")</f>
        <v>5.85</v>
      </c>
      <c r="S16" s="13" t="str">
        <f>_xll.BDH("ITCI US Equity","IS_SBC_ATTRIB_TO_COGS_PRETX","FQ4 2022","FQ4 2022","Currency=USD","Period=FQ","BEST_FPERIOD_OVERRIDE=FQ","FILING_STATUS=MR","SCALING_FORMAT=MLN","Sort=A","Dates=H","DateFormat=P","Fill=—","Direction=H","UseDPDF=Y")</f>
        <v>—</v>
      </c>
      <c r="T16" s="13">
        <f>_xll.BDH("ITCI US Equity","IS_SBC_ATTRIB_TO_COGS_PRETX","FQ1 2023","FQ1 2023","Currency=USD","Period=FQ","BEST_FPERIOD_OVERRIDE=FQ","FILING_STATUS=MR","SCALING_FORMAT=MLN","Sort=A","Dates=H","DateFormat=P","Fill=—","Direction=H","UseDPDF=Y")</f>
        <v>6.7510000000000003</v>
      </c>
      <c r="U16" s="13">
        <f>_xll.BDH("ITCI US Equity","IS_SBC_ATTRIB_TO_COGS_PRETX","FQ2 2023","FQ2 2023","Currency=USD","Period=FQ","BEST_FPERIOD_OVERRIDE=FQ","FILING_STATUS=MR","SCALING_FORMAT=MLN","Sort=A","Dates=H","DateFormat=P","Fill=—","Direction=H","UseDPDF=Y")</f>
        <v>7.1630000000000003</v>
      </c>
      <c r="V16" s="13">
        <f>_xll.BDH("ITCI US Equity","IS_SBC_ATTRIB_TO_COGS_PRETX","FQ3 2023","FQ3 2023","Currency=USD","Period=FQ","BEST_FPERIOD_OVERRIDE=FQ","FILING_STATUS=MR","SCALING_FORMAT=MLN","Sort=A","Dates=H","DateFormat=P","Fill=—","Direction=H","UseDPDF=Y")</f>
        <v>9.1289999999999996</v>
      </c>
      <c r="W16" s="13" t="str">
        <f>_xll.BDH("ITCI US Equity","IS_SBC_ATTRIB_TO_COGS_PRETX","FQ4 2023","FQ4 2023","Currency=USD","Period=FQ","BEST_FPERIOD_OVERRIDE=FQ","FILING_STATUS=MR","SCALING_FORMAT=MLN","Sort=A","Dates=H","DateFormat=P","Fill=—","Direction=H","UseDPDF=Y")</f>
        <v>—</v>
      </c>
      <c r="X16" s="13">
        <f>_xll.BDH("ITCI US Equity","IS_SBC_ATTRIB_TO_COGS_PRETX","FQ1 2024","FQ1 2024","Currency=USD","Period=FQ","BEST_FPERIOD_OVERRIDE=FQ","FILING_STATUS=MR","SCALING_FORMAT=MLN","Sort=A","Dates=H","DateFormat=P","Fill=—","Direction=H","UseDPDF=Y")</f>
        <v>0.41699999999999998</v>
      </c>
      <c r="Y16" s="13">
        <f>_xll.BDH("ITCI US Equity","IS_SBC_ATTRIB_TO_COGS_PRETX","FQ2 2024","FQ2 2024","Currency=USD","Period=FQ","BEST_FPERIOD_OVERRIDE=FQ","FILING_STATUS=MR","SCALING_FORMAT=MLN","Sort=A","Dates=H","DateFormat=P","Fill=—","Direction=H","UseDPDF=Y")</f>
        <v>11.353999999999999</v>
      </c>
      <c r="Z16" s="13">
        <f>_xll.BDH("ITCI US Equity","IS_SBC_ATTRIB_TO_COGS_PRETX","FQ3 2024","FQ3 2024","Currency=USD","Period=FQ","BEST_FPERIOD_OVERRIDE=FQ","FILING_STATUS=MR","SCALING_FORMAT=MLN","Sort=A","Dates=H","DateFormat=P","Fill=—","Direction=H","UseDPDF=Y")</f>
        <v>0.497</v>
      </c>
      <c r="AA16" s="13" t="str">
        <f>_xll.BDH("ITCI US Equity","IS_SBC_ATTRIB_TO_COGS_PRETX","FQ4 2024","FQ4 2024","Currency=USD","Period=FQ","BEST_FPERIOD_OVERRIDE=FQ","FILING_STATUS=MR","SCALING_FORMAT=MLN","Sort=A","Dates=H","DateFormat=P","Fill=—","Direction=H","UseDPDF=Y")</f>
        <v>—</v>
      </c>
    </row>
    <row r="17" spans="1:27" x14ac:dyDescent="0.25">
      <c r="A17" s="10" t="s">
        <v>529</v>
      </c>
      <c r="B17" s="10" t="s">
        <v>530</v>
      </c>
      <c r="C17" s="13">
        <f>_xll.BDH("ITCI US Equity","IS_SBC_INCL_SELLING","FQ4 2018","FQ4 2018","Currency=USD","Period=FQ","BEST_FPERIOD_OVERRIDE=FQ","FILING_STATUS=MR","SCALING_FORMAT=MLN","Sort=A","Dates=H","DateFormat=P","Fill=—","Direction=H","UseDPDF=Y")</f>
        <v>2.6585000000000001</v>
      </c>
      <c r="D17" s="13">
        <f>_xll.BDH("ITCI US Equity","IS_SBC_INCL_SELLING","FQ1 2019","FQ1 2019","Currency=USD","Period=FQ","BEST_FPERIOD_OVERRIDE=FQ","FILING_STATUS=MR","SCALING_FORMAT=MLN","Sort=A","Dates=H","DateFormat=P","Fill=—","Direction=H","UseDPDF=Y")</f>
        <v>2.6476000000000002</v>
      </c>
      <c r="E17" s="13">
        <f>_xll.BDH("ITCI US Equity","IS_SBC_INCL_SELLING","FQ2 2019","FQ2 2019","Currency=USD","Period=FQ","BEST_FPERIOD_OVERRIDE=FQ","FILING_STATUS=MR","SCALING_FORMAT=MLN","Sort=A","Dates=H","DateFormat=P","Fill=—","Direction=H","UseDPDF=Y")</f>
        <v>2.6335000000000002</v>
      </c>
      <c r="F17" s="13">
        <f>_xll.BDH("ITCI US Equity","IS_SBC_INCL_SELLING","FQ3 2019","FQ3 2019","Currency=USD","Period=FQ","BEST_FPERIOD_OVERRIDE=FQ","FILING_STATUS=MR","SCALING_FORMAT=MLN","Sort=A","Dates=H","DateFormat=P","Fill=—","Direction=H","UseDPDF=Y")</f>
        <v>2.7831000000000001</v>
      </c>
      <c r="G17" s="13">
        <f>_xll.BDH("ITCI US Equity","IS_SBC_INCL_SELLING","FQ4 2019","FQ4 2019","Currency=USD","Period=FQ","BEST_FPERIOD_OVERRIDE=FQ","FILING_STATUS=MR","SCALING_FORMAT=MLN","Sort=A","Dates=H","DateFormat=P","Fill=—","Direction=H","UseDPDF=Y")</f>
        <v>3.3134999999999999</v>
      </c>
      <c r="H17" s="13">
        <f>_xll.BDH("ITCI US Equity","IS_SBC_INCL_SELLING","FQ1 2020","FQ1 2020","Currency=USD","Period=FQ","BEST_FPERIOD_OVERRIDE=FQ","FILING_STATUS=MR","SCALING_FORMAT=MLN","Sort=A","Dates=H","DateFormat=P","Fill=—","Direction=H","UseDPDF=Y")</f>
        <v>3.2040999999999999</v>
      </c>
      <c r="I17" s="13">
        <f>_xll.BDH("ITCI US Equity","IS_SBC_INCL_SELLING","FQ2 2020","FQ2 2020","Currency=USD","Period=FQ","BEST_FPERIOD_OVERRIDE=FQ","FILING_STATUS=MR","SCALING_FORMAT=MLN","Sort=A","Dates=H","DateFormat=P","Fill=—","Direction=H","UseDPDF=Y")</f>
        <v>4.2064000000000004</v>
      </c>
      <c r="J17" s="13">
        <f>_xll.BDH("ITCI US Equity","IS_SBC_INCL_SELLING","FQ3 2020","FQ3 2020","Currency=USD","Period=FQ","BEST_FPERIOD_OVERRIDE=FQ","FILING_STATUS=MR","SCALING_FORMAT=MLN","Sort=A","Dates=H","DateFormat=P","Fill=—","Direction=H","UseDPDF=Y")</f>
        <v>4.1524000000000001</v>
      </c>
      <c r="K17" s="13">
        <f>_xll.BDH("ITCI US Equity","IS_SBC_INCL_SELLING","FQ4 2020","FQ4 2020","Currency=USD","Period=FQ","BEST_FPERIOD_OVERRIDE=FQ","FILING_STATUS=MR","SCALING_FORMAT=MLN","Sort=A","Dates=H","DateFormat=P","Fill=—","Direction=H","UseDPDF=Y")</f>
        <v>4.1375000000000002</v>
      </c>
      <c r="L17" s="13">
        <f>_xll.BDH("ITCI US Equity","IS_SBC_INCL_SELLING","FQ1 2021","FQ1 2021","Currency=USD","Period=FQ","BEST_FPERIOD_OVERRIDE=FQ","FILING_STATUS=MR","SCALING_FORMAT=MLN","Sort=A","Dates=H","DateFormat=P","Fill=—","Direction=H","UseDPDF=Y")</f>
        <v>4.4561000000000002</v>
      </c>
      <c r="M17" s="13">
        <f>_xll.BDH("ITCI US Equity","IS_SBC_INCL_SELLING","FQ2 2021","FQ2 2021","Currency=USD","Period=FQ","BEST_FPERIOD_OVERRIDE=FQ","FILING_STATUS=MR","SCALING_FORMAT=MLN","Sort=A","Dates=H","DateFormat=P","Fill=—","Direction=H","UseDPDF=Y")</f>
        <v>5.7549000000000001</v>
      </c>
      <c r="N17" s="13">
        <f>_xll.BDH("ITCI US Equity","IS_SBC_INCL_SELLING","FQ3 2021","FQ3 2021","Currency=USD","Period=FQ","BEST_FPERIOD_OVERRIDE=FQ","FILING_STATUS=MR","SCALING_FORMAT=MLN","Sort=A","Dates=H","DateFormat=P","Fill=—","Direction=H","UseDPDF=Y")</f>
        <v>6.3475999999999999</v>
      </c>
      <c r="O17" s="13">
        <f>_xll.BDH("ITCI US Equity","IS_SBC_INCL_SELLING","FQ4 2021","FQ4 2021","Currency=USD","Period=FQ","BEST_FPERIOD_OVERRIDE=FQ","FILING_STATUS=MR","SCALING_FORMAT=MLN","Sort=A","Dates=H","DateFormat=P","Fill=—","Direction=H","UseDPDF=Y")</f>
        <v>6.2881999999999998</v>
      </c>
      <c r="P17" s="13" t="str">
        <f>_xll.BDH("ITCI US Equity","IS_SBC_INCL_SELLING","FQ1 2022","FQ1 2022","Currency=USD","Period=FQ","BEST_FPERIOD_OVERRIDE=FQ","FILING_STATUS=MR","SCALING_FORMAT=MLN","Sort=A","Dates=H","DateFormat=P","Fill=—","Direction=H","UseDPDF=Y")</f>
        <v>—</v>
      </c>
      <c r="Q17" s="13" t="str">
        <f>_xll.BDH("ITCI US Equity","IS_SBC_INCL_SELLING","FQ2 2022","FQ2 2022","Currency=USD","Period=FQ","BEST_FPERIOD_OVERRIDE=FQ","FILING_STATUS=MR","SCALING_FORMAT=MLN","Sort=A","Dates=H","DateFormat=P","Fill=—","Direction=H","UseDPDF=Y")</f>
        <v>—</v>
      </c>
      <c r="R17" s="13" t="str">
        <f>_xll.BDH("ITCI US Equity","IS_SBC_INCL_SELLING","FQ3 2022","FQ3 2022","Currency=USD","Period=FQ","BEST_FPERIOD_OVERRIDE=FQ","FILING_STATUS=MR","SCALING_FORMAT=MLN","Sort=A","Dates=H","DateFormat=P","Fill=—","Direction=H","UseDPDF=Y")</f>
        <v>—</v>
      </c>
      <c r="S17" s="13" t="str">
        <f>_xll.BDH("ITCI US Equity","IS_SBC_INCL_SELLING","FQ4 2022","FQ4 2022","Currency=USD","Period=FQ","BEST_FPERIOD_OVERRIDE=FQ","FILING_STATUS=MR","SCALING_FORMAT=MLN","Sort=A","Dates=H","DateFormat=P","Fill=—","Direction=H","UseDPDF=Y")</f>
        <v>—</v>
      </c>
      <c r="T17" s="13" t="str">
        <f>_xll.BDH("ITCI US Equity","IS_SBC_INCL_SELLING","FQ1 2023","FQ1 2023","Currency=USD","Period=FQ","BEST_FPERIOD_OVERRIDE=FQ","FILING_STATUS=MR","SCALING_FORMAT=MLN","Sort=A","Dates=H","DateFormat=P","Fill=—","Direction=H","UseDPDF=Y")</f>
        <v>—</v>
      </c>
      <c r="U17" s="13" t="str">
        <f>_xll.BDH("ITCI US Equity","IS_SBC_INCL_SELLING","FQ2 2023","FQ2 2023","Currency=USD","Period=FQ","BEST_FPERIOD_OVERRIDE=FQ","FILING_STATUS=MR","SCALING_FORMAT=MLN","Sort=A","Dates=H","DateFormat=P","Fill=—","Direction=H","UseDPDF=Y")</f>
        <v>—</v>
      </c>
      <c r="V17" s="13" t="str">
        <f>_xll.BDH("ITCI US Equity","IS_SBC_INCL_SELLING","FQ3 2023","FQ3 2023","Currency=USD","Period=FQ","BEST_FPERIOD_OVERRIDE=FQ","FILING_STATUS=MR","SCALING_FORMAT=MLN","Sort=A","Dates=H","DateFormat=P","Fill=—","Direction=H","UseDPDF=Y")</f>
        <v>—</v>
      </c>
      <c r="W17" s="13" t="str">
        <f>_xll.BDH("ITCI US Equity","IS_SBC_INCL_SELLING","FQ4 2023","FQ4 2023","Currency=USD","Period=FQ","BEST_FPERIOD_OVERRIDE=FQ","FILING_STATUS=MR","SCALING_FORMAT=MLN","Sort=A","Dates=H","DateFormat=P","Fill=—","Direction=H","UseDPDF=Y")</f>
        <v>—</v>
      </c>
      <c r="X17" s="13">
        <f>_xll.BDH("ITCI US Equity","IS_SBC_INCL_SELLING","FQ1 2024","FQ1 2024","Currency=USD","Period=FQ","BEST_FPERIOD_OVERRIDE=FQ","FILING_STATUS=MR","SCALING_FORMAT=MLN","Sort=A","Dates=H","DateFormat=P","Fill=—","Direction=H","UseDPDF=Y")</f>
        <v>9.2170000000000005</v>
      </c>
      <c r="Y17" s="13" t="str">
        <f>_xll.BDH("ITCI US Equity","IS_SBC_INCL_SELLING","FQ2 2024","FQ2 2024","Currency=USD","Period=FQ","BEST_FPERIOD_OVERRIDE=FQ","FILING_STATUS=MR","SCALING_FORMAT=MLN","Sort=A","Dates=H","DateFormat=P","Fill=—","Direction=H","UseDPDF=Y")</f>
        <v>—</v>
      </c>
      <c r="Z17" s="13" t="str">
        <f>_xll.BDH("ITCI US Equity","IS_SBC_INCL_SELLING","FQ3 2024","FQ3 2024","Currency=USD","Period=FQ","BEST_FPERIOD_OVERRIDE=FQ","FILING_STATUS=MR","SCALING_FORMAT=MLN","Sort=A","Dates=H","DateFormat=P","Fill=—","Direction=H","UseDPDF=Y")</f>
        <v>—</v>
      </c>
      <c r="AA17" s="13" t="str">
        <f>_xll.BDH("ITCI US Equity","IS_SBC_INCL_SELLING","FQ4 2024","FQ4 2024","Currency=USD","Period=FQ","BEST_FPERIOD_OVERRIDE=FQ","FILING_STATUS=MR","SCALING_FORMAT=MLN","Sort=A","Dates=H","DateFormat=P","Fill=—","Direction=H","UseDPDF=Y")</f>
        <v>—</v>
      </c>
    </row>
    <row r="18" spans="1:27" x14ac:dyDescent="0.25">
      <c r="A18" s="10" t="s">
        <v>531</v>
      </c>
      <c r="B18" s="10" t="s">
        <v>532</v>
      </c>
      <c r="C18" s="13">
        <f>_xll.BDH("ITCI US Equity","IS_SBC_INCL_GEN_ADMIN","FQ4 2018","FQ4 2018","Currency=USD","Period=FQ","BEST_FPERIOD_OVERRIDE=FQ","FILING_STATUS=MR","SCALING_FORMAT=MLN","Sort=A","Dates=H","DateFormat=P","Fill=—","Direction=H","UseDPDF=Y")</f>
        <v>2.6585000000000001</v>
      </c>
      <c r="D18" s="13">
        <f>_xll.BDH("ITCI US Equity","IS_SBC_INCL_GEN_ADMIN","FQ1 2019","FQ1 2019","Currency=USD","Period=FQ","BEST_FPERIOD_OVERRIDE=FQ","FILING_STATUS=MR","SCALING_FORMAT=MLN","Sort=A","Dates=H","DateFormat=P","Fill=—","Direction=H","UseDPDF=Y")</f>
        <v>2.6476000000000002</v>
      </c>
      <c r="E18" s="13">
        <f>_xll.BDH("ITCI US Equity","IS_SBC_INCL_GEN_ADMIN","FQ2 2019","FQ2 2019","Currency=USD","Period=FQ","BEST_FPERIOD_OVERRIDE=FQ","FILING_STATUS=MR","SCALING_FORMAT=MLN","Sort=A","Dates=H","DateFormat=P","Fill=—","Direction=H","UseDPDF=Y")</f>
        <v>2.6335000000000002</v>
      </c>
      <c r="F18" s="13">
        <f>_xll.BDH("ITCI US Equity","IS_SBC_INCL_GEN_ADMIN","FQ3 2019","FQ3 2019","Currency=USD","Period=FQ","BEST_FPERIOD_OVERRIDE=FQ","FILING_STATUS=MR","SCALING_FORMAT=MLN","Sort=A","Dates=H","DateFormat=P","Fill=—","Direction=H","UseDPDF=Y")</f>
        <v>2.7831000000000001</v>
      </c>
      <c r="G18" s="13">
        <f>_xll.BDH("ITCI US Equity","IS_SBC_INCL_GEN_ADMIN","FQ4 2019","FQ4 2019","Currency=USD","Period=FQ","BEST_FPERIOD_OVERRIDE=FQ","FILING_STATUS=MR","SCALING_FORMAT=MLN","Sort=A","Dates=H","DateFormat=P","Fill=—","Direction=H","UseDPDF=Y")</f>
        <v>3.3134999999999999</v>
      </c>
      <c r="H18" s="13" t="str">
        <f>_xll.BDH("ITCI US Equity","IS_SBC_INCL_GEN_ADMIN","FQ1 2020","FQ1 2020","Currency=USD","Period=FQ","BEST_FPERIOD_OVERRIDE=FQ","FILING_STATUS=MR","SCALING_FORMAT=MLN","Sort=A","Dates=H","DateFormat=P","Fill=—","Direction=H","UseDPDF=Y")</f>
        <v>—</v>
      </c>
      <c r="I18" s="13">
        <f>_xll.BDH("ITCI US Equity","IS_SBC_INCL_GEN_ADMIN","FQ2 2020","FQ2 2020","Currency=USD","Period=FQ","BEST_FPERIOD_OVERRIDE=FQ","FILING_STATUS=MR","SCALING_FORMAT=MLN","Sort=A","Dates=H","DateFormat=P","Fill=—","Direction=H","UseDPDF=Y")</f>
        <v>4.2064000000000004</v>
      </c>
      <c r="J18" s="13">
        <f>_xll.BDH("ITCI US Equity","IS_SBC_INCL_GEN_ADMIN","FQ3 2020","FQ3 2020","Currency=USD","Period=FQ","BEST_FPERIOD_OVERRIDE=FQ","FILING_STATUS=MR","SCALING_FORMAT=MLN","Sort=A","Dates=H","DateFormat=P","Fill=—","Direction=H","UseDPDF=Y")</f>
        <v>4.1524000000000001</v>
      </c>
      <c r="K18" s="13">
        <f>_xll.BDH("ITCI US Equity","IS_SBC_INCL_GEN_ADMIN","FQ4 2020","FQ4 2020","Currency=USD","Period=FQ","BEST_FPERIOD_OVERRIDE=FQ","FILING_STATUS=MR","SCALING_FORMAT=MLN","Sort=A","Dates=H","DateFormat=P","Fill=—","Direction=H","UseDPDF=Y")</f>
        <v>4.1375000000000002</v>
      </c>
      <c r="L18" s="13">
        <f>_xll.BDH("ITCI US Equity","IS_SBC_INCL_GEN_ADMIN","FQ1 2021","FQ1 2021","Currency=USD","Period=FQ","BEST_FPERIOD_OVERRIDE=FQ","FILING_STATUS=MR","SCALING_FORMAT=MLN","Sort=A","Dates=H","DateFormat=P","Fill=—","Direction=H","UseDPDF=Y")</f>
        <v>4.4561000000000002</v>
      </c>
      <c r="M18" s="13">
        <f>_xll.BDH("ITCI US Equity","IS_SBC_INCL_GEN_ADMIN","FQ2 2021","FQ2 2021","Currency=USD","Period=FQ","BEST_FPERIOD_OVERRIDE=FQ","FILING_STATUS=MR","SCALING_FORMAT=MLN","Sort=A","Dates=H","DateFormat=P","Fill=—","Direction=H","UseDPDF=Y")</f>
        <v>5.7549000000000001</v>
      </c>
      <c r="N18" s="13">
        <f>_xll.BDH("ITCI US Equity","IS_SBC_INCL_GEN_ADMIN","FQ3 2021","FQ3 2021","Currency=USD","Period=FQ","BEST_FPERIOD_OVERRIDE=FQ","FILING_STATUS=MR","SCALING_FORMAT=MLN","Sort=A","Dates=H","DateFormat=P","Fill=—","Direction=H","UseDPDF=Y")</f>
        <v>6.3475999999999999</v>
      </c>
      <c r="O18" s="13">
        <f>_xll.BDH("ITCI US Equity","IS_SBC_INCL_GEN_ADMIN","FQ4 2021","FQ4 2021","Currency=USD","Period=FQ","BEST_FPERIOD_OVERRIDE=FQ","FILING_STATUS=MR","SCALING_FORMAT=MLN","Sort=A","Dates=H","DateFormat=P","Fill=—","Direction=H","UseDPDF=Y")</f>
        <v>15.693</v>
      </c>
      <c r="P18" s="13">
        <f>_xll.BDH("ITCI US Equity","IS_SBC_INCL_GEN_ADMIN","FQ1 2022","FQ1 2022","Currency=USD","Period=FQ","BEST_FPERIOD_OVERRIDE=FQ","FILING_STATUS=MR","SCALING_FORMAT=MLN","Sort=A","Dates=H","DateFormat=P","Fill=—","Direction=H","UseDPDF=Y")</f>
        <v>75.459999999999994</v>
      </c>
      <c r="Q18" s="13">
        <f>_xll.BDH("ITCI US Equity","IS_SBC_INCL_GEN_ADMIN","FQ2 2022","FQ2 2022","Currency=USD","Period=FQ","BEST_FPERIOD_OVERRIDE=FQ","FILING_STATUS=MR","SCALING_FORMAT=MLN","Sort=A","Dates=H","DateFormat=P","Fill=—","Direction=H","UseDPDF=Y")</f>
        <v>100.316</v>
      </c>
      <c r="R18" s="13">
        <f>_xll.BDH("ITCI US Equity","IS_SBC_INCL_GEN_ADMIN","FQ3 2022","FQ3 2022","Currency=USD","Period=FQ","BEST_FPERIOD_OVERRIDE=FQ","FILING_STATUS=MR","SCALING_FORMAT=MLN","Sort=A","Dates=H","DateFormat=P","Fill=—","Direction=H","UseDPDF=Y")</f>
        <v>88.375</v>
      </c>
      <c r="S18" s="13" t="str">
        <f>_xll.BDH("ITCI US Equity","IS_SBC_INCL_GEN_ADMIN","FQ4 2022","FQ4 2022","Currency=USD","Period=FQ","BEST_FPERIOD_OVERRIDE=FQ","FILING_STATUS=MR","SCALING_FORMAT=MLN","Sort=A","Dates=H","DateFormat=P","Fill=—","Direction=H","UseDPDF=Y")</f>
        <v>—</v>
      </c>
      <c r="T18" s="13">
        <f>_xll.BDH("ITCI US Equity","IS_SBC_INCL_GEN_ADMIN","FQ1 2023","FQ1 2023","Currency=USD","Period=FQ","BEST_FPERIOD_OVERRIDE=FQ","FILING_STATUS=MR","SCALING_FORMAT=MLN","Sort=A","Dates=H","DateFormat=P","Fill=—","Direction=H","UseDPDF=Y")</f>
        <v>98.923000000000002</v>
      </c>
      <c r="U18" s="13">
        <f>_xll.BDH("ITCI US Equity","IS_SBC_INCL_GEN_ADMIN","FQ2 2023","FQ2 2023","Currency=USD","Period=FQ","BEST_FPERIOD_OVERRIDE=FQ","FILING_STATUS=MR","SCALING_FORMAT=MLN","Sort=A","Dates=H","DateFormat=P","Fill=—","Direction=H","UseDPDF=Y")</f>
        <v>101.014</v>
      </c>
      <c r="V18" s="13">
        <f>_xll.BDH("ITCI US Equity","IS_SBC_INCL_GEN_ADMIN","FQ3 2023","FQ3 2023","Currency=USD","Period=FQ","BEST_FPERIOD_OVERRIDE=FQ","FILING_STATUS=MR","SCALING_FORMAT=MLN","Sort=A","Dates=H","DateFormat=P","Fill=—","Direction=H","UseDPDF=Y")</f>
        <v>105.20699999999999</v>
      </c>
      <c r="W18" s="13" t="str">
        <f>_xll.BDH("ITCI US Equity","IS_SBC_INCL_GEN_ADMIN","FQ4 2023","FQ4 2023","Currency=USD","Period=FQ","BEST_FPERIOD_OVERRIDE=FQ","FILING_STATUS=MR","SCALING_FORMAT=MLN","Sort=A","Dates=H","DateFormat=P","Fill=—","Direction=H","UseDPDF=Y")</f>
        <v>—</v>
      </c>
      <c r="X18" s="13" t="str">
        <f>_xll.BDH("ITCI US Equity","IS_SBC_INCL_GEN_ADMIN","FQ1 2024","FQ1 2024","Currency=USD","Period=FQ","BEST_FPERIOD_OVERRIDE=FQ","FILING_STATUS=MR","SCALING_FORMAT=MLN","Sort=A","Dates=H","DateFormat=P","Fill=—","Direction=H","UseDPDF=Y")</f>
        <v>—</v>
      </c>
      <c r="Y18" s="13">
        <f>_xll.BDH("ITCI US Equity","IS_SBC_INCL_GEN_ADMIN","FQ2 2024","FQ2 2024","Currency=USD","Period=FQ","BEST_FPERIOD_OVERRIDE=FQ","FILING_STATUS=MR","SCALING_FORMAT=MLN","Sort=A","Dates=H","DateFormat=P","Fill=—","Direction=H","UseDPDF=Y")</f>
        <v>121.574</v>
      </c>
      <c r="Z18" s="13">
        <f>_xll.BDH("ITCI US Equity","IS_SBC_INCL_GEN_ADMIN","FQ3 2024","FQ3 2024","Currency=USD","Period=FQ","BEST_FPERIOD_OVERRIDE=FQ","FILING_STATUS=MR","SCALING_FORMAT=MLN","Sort=A","Dates=H","DateFormat=P","Fill=—","Direction=H","UseDPDF=Y")</f>
        <v>11.898</v>
      </c>
      <c r="AA18" s="13" t="str">
        <f>_xll.BDH("ITCI US Equity","IS_SBC_INCL_GEN_ADMIN","FQ4 2024","FQ4 2024","Currency=USD","Period=FQ","BEST_FPERIOD_OVERRIDE=FQ","FILING_STATUS=MR","SCALING_FORMAT=MLN","Sort=A","Dates=H","DateFormat=P","Fill=—","Direction=H","UseDPDF=Y")</f>
        <v>—</v>
      </c>
    </row>
    <row r="19" spans="1:27" x14ac:dyDescent="0.25">
      <c r="A19" s="10" t="s">
        <v>533</v>
      </c>
      <c r="B19" s="10" t="s">
        <v>534</v>
      </c>
      <c r="C19" s="13">
        <f>_xll.BDH("ITCI US Equity","IS_SBC_INCL_RD","FQ4 2018","FQ4 2018","Currency=USD","Period=FQ","BEST_FPERIOD_OVERRIDE=FQ","FILING_STATUS=MR","SCALING_FORMAT=MLN","Sort=A","Dates=H","DateFormat=P","Fill=—","Direction=H","UseDPDF=Y")</f>
        <v>1.7662</v>
      </c>
      <c r="D19" s="13">
        <f>_xll.BDH("ITCI US Equity","IS_SBC_INCL_RD","FQ1 2019","FQ1 2019","Currency=USD","Period=FQ","BEST_FPERIOD_OVERRIDE=FQ","FILING_STATUS=MR","SCALING_FORMAT=MLN","Sort=A","Dates=H","DateFormat=P","Fill=—","Direction=H","UseDPDF=Y")</f>
        <v>2.4076</v>
      </c>
      <c r="E19" s="13">
        <f>_xll.BDH("ITCI US Equity","IS_SBC_INCL_RD","FQ2 2019","FQ2 2019","Currency=USD","Period=FQ","BEST_FPERIOD_OVERRIDE=FQ","FILING_STATUS=MR","SCALING_FORMAT=MLN","Sort=A","Dates=H","DateFormat=P","Fill=—","Direction=H","UseDPDF=Y")</f>
        <v>2.3538999999999999</v>
      </c>
      <c r="F19" s="13">
        <f>_xll.BDH("ITCI US Equity","IS_SBC_INCL_RD","FQ3 2019","FQ3 2019","Currency=USD","Period=FQ","BEST_FPERIOD_OVERRIDE=FQ","FILING_STATUS=MR","SCALING_FORMAT=MLN","Sort=A","Dates=H","DateFormat=P","Fill=—","Direction=H","UseDPDF=Y")</f>
        <v>2.0236999999999998</v>
      </c>
      <c r="G19" s="13">
        <f>_xll.BDH("ITCI US Equity","IS_SBC_INCL_RD","FQ4 2019","FQ4 2019","Currency=USD","Period=FQ","BEST_FPERIOD_OVERRIDE=FQ","FILING_STATUS=MR","SCALING_FORMAT=MLN","Sort=A","Dates=H","DateFormat=P","Fill=—","Direction=H","UseDPDF=Y")</f>
        <v>2.6257999999999999</v>
      </c>
      <c r="H19" s="13">
        <f>_xll.BDH("ITCI US Equity","IS_SBC_INCL_RD","FQ1 2020","FQ1 2020","Currency=USD","Period=FQ","BEST_FPERIOD_OVERRIDE=FQ","FILING_STATUS=MR","SCALING_FORMAT=MLN","Sort=A","Dates=H","DateFormat=P","Fill=—","Direction=H","UseDPDF=Y")</f>
        <v>2.0068999999999999</v>
      </c>
      <c r="I19" s="13">
        <f>_xll.BDH("ITCI US Equity","IS_SBC_INCL_RD","FQ2 2020","FQ2 2020","Currency=USD","Period=FQ","BEST_FPERIOD_OVERRIDE=FQ","FILING_STATUS=MR","SCALING_FORMAT=MLN","Sort=A","Dates=H","DateFormat=P","Fill=—","Direction=H","UseDPDF=Y")</f>
        <v>2.3828</v>
      </c>
      <c r="J19" s="13">
        <f>_xll.BDH("ITCI US Equity","IS_SBC_INCL_RD","FQ3 2020","FQ3 2020","Currency=USD","Period=FQ","BEST_FPERIOD_OVERRIDE=FQ","FILING_STATUS=MR","SCALING_FORMAT=MLN","Sort=A","Dates=H","DateFormat=P","Fill=—","Direction=H","UseDPDF=Y")</f>
        <v>2.4028999999999998</v>
      </c>
      <c r="K19" s="13">
        <f>_xll.BDH("ITCI US Equity","IS_SBC_INCL_RD","FQ4 2020","FQ4 2020","Currency=USD","Period=FQ","BEST_FPERIOD_OVERRIDE=FQ","FILING_STATUS=MR","SCALING_FORMAT=MLN","Sort=A","Dates=H","DateFormat=P","Fill=—","Direction=H","UseDPDF=Y")</f>
        <v>0.28000000000000003</v>
      </c>
      <c r="L19" s="13">
        <f>_xll.BDH("ITCI US Equity","IS_SBC_INCL_RD","FQ1 2021","FQ1 2021","Currency=USD","Period=FQ","BEST_FPERIOD_OVERRIDE=FQ","FILING_STATUS=MR","SCALING_FORMAT=MLN","Sort=A","Dates=H","DateFormat=P","Fill=—","Direction=H","UseDPDF=Y")</f>
        <v>1.9605999999999999</v>
      </c>
      <c r="M19" s="13">
        <f>_xll.BDH("ITCI US Equity","IS_SBC_INCL_RD","FQ2 2021","FQ2 2021","Currency=USD","Period=FQ","BEST_FPERIOD_OVERRIDE=FQ","FILING_STATUS=MR","SCALING_FORMAT=MLN","Sort=A","Dates=H","DateFormat=P","Fill=—","Direction=H","UseDPDF=Y")</f>
        <v>2.4237000000000002</v>
      </c>
      <c r="N19" s="13">
        <f>_xll.BDH("ITCI US Equity","IS_SBC_INCL_RD","FQ3 2021","FQ3 2021","Currency=USD","Period=FQ","BEST_FPERIOD_OVERRIDE=FQ","FILING_STATUS=MR","SCALING_FORMAT=MLN","Sort=A","Dates=H","DateFormat=P","Fill=—","Direction=H","UseDPDF=Y")</f>
        <v>2.7696000000000001</v>
      </c>
      <c r="O19" s="13">
        <f>_xll.BDH("ITCI US Equity","IS_SBC_INCL_RD","FQ4 2021","FQ4 2021","Currency=USD","Period=FQ","BEST_FPERIOD_OVERRIDE=FQ","FILING_STATUS=MR","SCALING_FORMAT=MLN","Sort=A","Dates=H","DateFormat=P","Fill=—","Direction=H","UseDPDF=Y")</f>
        <v>2.6783000000000001</v>
      </c>
      <c r="P19" s="13">
        <f>_xll.BDH("ITCI US Equity","IS_SBC_INCL_RD","FQ1 2022","FQ1 2022","Currency=USD","Period=FQ","BEST_FPERIOD_OVERRIDE=FQ","FILING_STATUS=MR","SCALING_FORMAT=MLN","Sort=A","Dates=H","DateFormat=P","Fill=—","Direction=H","UseDPDF=Y")</f>
        <v>2.371</v>
      </c>
      <c r="Q19" s="13">
        <f>_xll.BDH("ITCI US Equity","IS_SBC_INCL_RD","FQ2 2022","FQ2 2022","Currency=USD","Period=FQ","BEST_FPERIOD_OVERRIDE=FQ","FILING_STATUS=MR","SCALING_FORMAT=MLN","Sort=A","Dates=H","DateFormat=P","Fill=—","Direction=H","UseDPDF=Y")</f>
        <v>5.5069999999999997</v>
      </c>
      <c r="R19" s="13">
        <f>_xll.BDH("ITCI US Equity","IS_SBC_INCL_RD","FQ3 2022","FQ3 2022","Currency=USD","Period=FQ","BEST_FPERIOD_OVERRIDE=FQ","FILING_STATUS=MR","SCALING_FORMAT=MLN","Sort=A","Dates=H","DateFormat=P","Fill=—","Direction=H","UseDPDF=Y")</f>
        <v>4.6820000000000004</v>
      </c>
      <c r="S19" s="13">
        <f>_xll.BDH("ITCI US Equity","IS_SBC_INCL_RD","FQ4 2022","FQ4 2022","Currency=USD","Period=FQ","BEST_FPERIOD_OVERRIDE=FQ","FILING_STATUS=MR","SCALING_FORMAT=MLN","Sort=A","Dates=H","DateFormat=P","Fill=—","Direction=H","UseDPDF=Y")</f>
        <v>10.705</v>
      </c>
      <c r="T19" s="13">
        <f>_xll.BDH("ITCI US Equity","IS_SBC_INCL_RD","FQ1 2023","FQ1 2023","Currency=USD","Period=FQ","BEST_FPERIOD_OVERRIDE=FQ","FILING_STATUS=MR","SCALING_FORMAT=MLN","Sort=A","Dates=H","DateFormat=P","Fill=—","Direction=H","UseDPDF=Y")</f>
        <v>3.117</v>
      </c>
      <c r="U19" s="13">
        <f>_xll.BDH("ITCI US Equity","IS_SBC_INCL_RD","FQ2 2023","FQ2 2023","Currency=USD","Period=FQ","BEST_FPERIOD_OVERRIDE=FQ","FILING_STATUS=MR","SCALING_FORMAT=MLN","Sort=A","Dates=H","DateFormat=P","Fill=—","Direction=H","UseDPDF=Y")</f>
        <v>4.0810000000000004</v>
      </c>
      <c r="V19" s="13">
        <f>_xll.BDH("ITCI US Equity","IS_SBC_INCL_RD","FQ3 2023","FQ3 2023","Currency=USD","Period=FQ","BEST_FPERIOD_OVERRIDE=FQ","FILING_STATUS=MR","SCALING_FORMAT=MLN","Sort=A","Dates=H","DateFormat=P","Fill=—","Direction=H","UseDPDF=Y")</f>
        <v>4.3230000000000004</v>
      </c>
      <c r="W19" s="13">
        <f>_xll.BDH("ITCI US Equity","IS_SBC_INCL_RD","FQ4 2023","FQ4 2023","Currency=USD","Period=FQ","BEST_FPERIOD_OVERRIDE=FQ","FILING_STATUS=MR","SCALING_FORMAT=MLN","Sort=A","Dates=H","DateFormat=P","Fill=—","Direction=H","UseDPDF=Y")</f>
        <v>4.26</v>
      </c>
      <c r="X19" s="13">
        <f>_xll.BDH("ITCI US Equity","IS_SBC_INCL_RD","FQ1 2024","FQ1 2024","Currency=USD","Period=FQ","BEST_FPERIOD_OVERRIDE=FQ","FILING_STATUS=MR","SCALING_FORMAT=MLN","Sort=A","Dates=H","DateFormat=P","Fill=—","Direction=H","UseDPDF=Y")</f>
        <v>4.2089999999999996</v>
      </c>
      <c r="Y19" s="13">
        <f>_xll.BDH("ITCI US Equity","IS_SBC_INCL_RD","FQ2 2024","FQ2 2024","Currency=USD","Period=FQ","BEST_FPERIOD_OVERRIDE=FQ","FILING_STATUS=MR","SCALING_FORMAT=MLN","Sort=A","Dates=H","DateFormat=P","Fill=—","Direction=H","UseDPDF=Y")</f>
        <v>5.0709999999999997</v>
      </c>
      <c r="Z19" s="13">
        <f>_xll.BDH("ITCI US Equity","IS_SBC_INCL_RD","FQ3 2024","FQ3 2024","Currency=USD","Period=FQ","BEST_FPERIOD_OVERRIDE=FQ","FILING_STATUS=MR","SCALING_FORMAT=MLN","Sort=A","Dates=H","DateFormat=P","Fill=—","Direction=H","UseDPDF=Y")</f>
        <v>5.0940000000000003</v>
      </c>
      <c r="AA19" s="13">
        <f>_xll.BDH("ITCI US Equity","IS_SBC_INCL_RD","FQ4 2024","FQ4 2024","Currency=USD","Period=FQ","BEST_FPERIOD_OVERRIDE=FQ","FILING_STATUS=MR","SCALING_FORMAT=MLN","Sort=A","Dates=H","DateFormat=P","Fill=—","Direction=H","UseDPDF=Y")</f>
        <v>5.1260000000000003</v>
      </c>
    </row>
    <row r="20" spans="1:27" x14ac:dyDescent="0.25">
      <c r="A20" s="1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25">
      <c r="A21" s="10" t="s">
        <v>535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5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5">
      <c r="A24" s="10" t="s">
        <v>536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5">
      <c r="A25" s="7" t="s">
        <v>90</v>
      </c>
      <c r="B25" s="7"/>
      <c r="C25" s="7" t="s">
        <v>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0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537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31</v>
      </c>
      <c r="AA4" s="4" t="s">
        <v>32</v>
      </c>
    </row>
    <row r="5" spans="1:27" x14ac:dyDescent="0.25">
      <c r="A5" s="9" t="s">
        <v>33</v>
      </c>
      <c r="B5" s="9"/>
      <c r="C5" s="5" t="s">
        <v>34</v>
      </c>
      <c r="D5" s="5" t="s">
        <v>35</v>
      </c>
      <c r="E5" s="5" t="s">
        <v>36</v>
      </c>
      <c r="F5" s="5" t="s">
        <v>37</v>
      </c>
      <c r="G5" s="5" t="s">
        <v>38</v>
      </c>
      <c r="H5" s="5" t="s">
        <v>39</v>
      </c>
      <c r="I5" s="5" t="s">
        <v>40</v>
      </c>
      <c r="J5" s="5" t="s">
        <v>41</v>
      </c>
      <c r="K5" s="5" t="s">
        <v>42</v>
      </c>
      <c r="L5" s="5" t="s">
        <v>43</v>
      </c>
      <c r="M5" s="5" t="s">
        <v>44</v>
      </c>
      <c r="N5" s="5" t="s">
        <v>45</v>
      </c>
      <c r="O5" s="5" t="s">
        <v>46</v>
      </c>
      <c r="P5" s="5" t="s">
        <v>47</v>
      </c>
      <c r="Q5" s="5" t="s">
        <v>48</v>
      </c>
      <c r="R5" s="5" t="s">
        <v>49</v>
      </c>
      <c r="S5" s="5" t="s">
        <v>50</v>
      </c>
      <c r="T5" s="5" t="s">
        <v>51</v>
      </c>
      <c r="U5" s="5" t="s">
        <v>52</v>
      </c>
      <c r="V5" s="5" t="s">
        <v>53</v>
      </c>
      <c r="W5" s="5" t="s">
        <v>54</v>
      </c>
      <c r="X5" s="5" t="s">
        <v>55</v>
      </c>
      <c r="Y5" s="5" t="s">
        <v>56</v>
      </c>
      <c r="Z5" s="5" t="s">
        <v>57</v>
      </c>
      <c r="AA5" s="5" t="s">
        <v>58</v>
      </c>
    </row>
    <row r="6" spans="1:27" x14ac:dyDescent="0.25">
      <c r="A6" s="6" t="s">
        <v>0</v>
      </c>
      <c r="B6" s="6" t="s">
        <v>70</v>
      </c>
      <c r="C6" s="19">
        <f>_xll.BDH("ITCI US Equity","SALES_REV_TURN","FQ2 2019","FQ2 2019","Currency=USD","Period=FQ","BEST_FPERIOD_OVERRIDE=FQ","FILING_STATUS=MR","SCALING_FORMAT=MLN","FA_ADJUSTED=Adjusted","Sort=A","Dates=H","DateFormat=P","Fill=—","Direction=H","UseDPDF=Y")</f>
        <v>0</v>
      </c>
      <c r="D6" s="19">
        <f>_xll.BDH("ITCI US Equity","SALES_REV_TURN","FQ3 2019","FQ3 2019","Currency=USD","Period=FQ","BEST_FPERIOD_OVERRIDE=FQ","FILING_STATUS=MR","SCALING_FORMAT=MLN","FA_ADJUSTED=Adjusted","Sort=A","Dates=H","DateFormat=P","Fill=—","Direction=H","UseDPDF=Y")</f>
        <v>0</v>
      </c>
      <c r="E6" s="19">
        <f>_xll.BDH("ITCI US Equity","SALES_REV_TURN","FQ4 2019","FQ4 2019","Currency=USD","Period=FQ","BEST_FPERIOD_OVERRIDE=FQ","FILING_STATUS=MR","SCALING_FORMAT=MLN","FA_ADJUSTED=Adjusted","Sort=A","Dates=H","DateFormat=P","Fill=—","Direction=H","UseDPDF=Y")</f>
        <v>6.0600000000000001E-2</v>
      </c>
      <c r="F6" s="19">
        <f>_xll.BDH("ITCI US Equity","SALES_REV_TURN","FQ1 2020","FQ1 2020","Currency=USD","Period=FQ","BEST_FPERIOD_OVERRIDE=FQ","FILING_STATUS=MR","SCALING_FORMAT=MLN","FA_ADJUSTED=Adjusted","Sort=A","Dates=H","DateFormat=P","Fill=—","Direction=H","UseDPDF=Y")</f>
        <v>1.0834999999999999</v>
      </c>
      <c r="G6" s="19">
        <f>_xll.BDH("ITCI US Equity","SALES_REV_TURN","FQ2 2020","FQ2 2020","Currency=USD","Period=FQ","BEST_FPERIOD_OVERRIDE=FQ","FILING_STATUS=MR","SCALING_FORMAT=MLN","FA_ADJUSTED=Adjusted","Sort=A","Dates=H","DateFormat=P","Fill=—","Direction=H","UseDPDF=Y")</f>
        <v>1.9066000000000001</v>
      </c>
      <c r="H6" s="19">
        <f>_xll.BDH("ITCI US Equity","SALES_REV_TURN","FQ3 2020","FQ3 2020","Currency=USD","Period=FQ","BEST_FPERIOD_OVERRIDE=FQ","FILING_STATUS=MR","SCALING_FORMAT=MLN","FA_ADJUSTED=Adjusted","Sort=A","Dates=H","DateFormat=P","Fill=—","Direction=H","UseDPDF=Y")</f>
        <v>7.3685999999999998</v>
      </c>
      <c r="I6" s="19">
        <f>_xll.BDH("ITCI US Equity","SALES_REV_TURN","FQ4 2020","FQ4 2020","Currency=USD","Period=FQ","BEST_FPERIOD_OVERRIDE=FQ","FILING_STATUS=MR","SCALING_FORMAT=MLN","FA_ADJUSTED=Adjusted","Sort=A","Dates=H","DateFormat=P","Fill=—","Direction=H","UseDPDF=Y")</f>
        <v>12.4543</v>
      </c>
      <c r="J6" s="19">
        <f>_xll.BDH("ITCI US Equity","SALES_REV_TURN","FQ1 2021","FQ1 2021","Currency=USD","Period=FQ","BEST_FPERIOD_OVERRIDE=FQ","FILING_STATUS=MR","SCALING_FORMAT=MLN","FA_ADJUSTED=Adjusted","Sort=A","Dates=H","DateFormat=P","Fill=—","Direction=H","UseDPDF=Y")</f>
        <v>15.878299999999999</v>
      </c>
      <c r="K6" s="19">
        <f>_xll.BDH("ITCI US Equity","SALES_REV_TURN","FQ2 2021","FQ2 2021","Currency=USD","Period=FQ","BEST_FPERIOD_OVERRIDE=FQ","FILING_STATUS=MR","SCALING_FORMAT=MLN","FA_ADJUSTED=Adjusted","Sort=A","Dates=H","DateFormat=P","Fill=—","Direction=H","UseDPDF=Y")</f>
        <v>20.046600000000002</v>
      </c>
      <c r="L6" s="19">
        <f>_xll.BDH("ITCI US Equity","SALES_REV_TURN","FQ3 2021","FQ3 2021","Currency=USD","Period=FQ","BEST_FPERIOD_OVERRIDE=FQ","FILING_STATUS=MR","SCALING_FORMAT=MLN","FA_ADJUSTED=Adjusted","Sort=A","Dates=H","DateFormat=P","Fill=—","Direction=H","UseDPDF=Y")</f>
        <v>22.2072</v>
      </c>
      <c r="M6" s="19">
        <f>_xll.BDH("ITCI US Equity","SALES_REV_TURN","FQ4 2021","FQ4 2021","Currency=USD","Period=FQ","BEST_FPERIOD_OVERRIDE=FQ","FILING_STATUS=MR","SCALING_FORMAT=MLN","FA_ADJUSTED=Adjusted","Sort=A","Dates=H","DateFormat=P","Fill=—","Direction=H","UseDPDF=Y")</f>
        <v>25.6709</v>
      </c>
      <c r="N6" s="19">
        <f>_xll.BDH("ITCI US Equity","SALES_REV_TURN","FQ1 2022","FQ1 2022","Currency=USD","Period=FQ","BEST_FPERIOD_OVERRIDE=FQ","FILING_STATUS=MR","SCALING_FORMAT=MLN","FA_ADJUSTED=Adjusted","Sort=A","Dates=H","DateFormat=P","Fill=—","Direction=H","UseDPDF=Y")</f>
        <v>34.996000000000002</v>
      </c>
      <c r="O6" s="19">
        <f>_xll.BDH("ITCI US Equity","SALES_REV_TURN","FQ2 2022","FQ2 2022","Currency=USD","Period=FQ","BEST_FPERIOD_OVERRIDE=FQ","FILING_STATUS=MR","SCALING_FORMAT=MLN","FA_ADJUSTED=Adjusted","Sort=A","Dates=H","DateFormat=P","Fill=—","Direction=H","UseDPDF=Y")</f>
        <v>55.579000000000001</v>
      </c>
      <c r="P6" s="19">
        <f>_xll.BDH("ITCI US Equity","SALES_REV_TURN","FQ3 2022","FQ3 2022","Currency=USD","Period=FQ","BEST_FPERIOD_OVERRIDE=FQ","FILING_STATUS=MR","SCALING_FORMAT=MLN","FA_ADJUSTED=Adjusted","Sort=A","Dates=H","DateFormat=P","Fill=—","Direction=H","UseDPDF=Y")</f>
        <v>71.87</v>
      </c>
      <c r="Q6" s="19">
        <f>_xll.BDH("ITCI US Equity","SALES_REV_TURN","FQ4 2022","FQ4 2022","Currency=USD","Period=FQ","BEST_FPERIOD_OVERRIDE=FQ","FILING_STATUS=MR","SCALING_FORMAT=MLN","FA_ADJUSTED=Adjusted","Sort=A","Dates=H","DateFormat=P","Fill=—","Direction=H","UseDPDF=Y")</f>
        <v>87.869</v>
      </c>
      <c r="R6" s="19">
        <f>_xll.BDH("ITCI US Equity","SALES_REV_TURN","FQ1 2023","FQ1 2023","Currency=USD","Period=FQ","BEST_FPERIOD_OVERRIDE=FQ","FILING_STATUS=MR","SCALING_FORMAT=MLN","FA_ADJUSTED=Adjusted","Sort=A","Dates=H","DateFormat=P","Fill=—","Direction=H","UseDPDF=Y")</f>
        <v>95.305999999999997</v>
      </c>
      <c r="S6" s="19">
        <f>_xll.BDH("ITCI US Equity","SALES_REV_TURN","FQ2 2023","FQ2 2023","Currency=USD","Period=FQ","BEST_FPERIOD_OVERRIDE=FQ","FILING_STATUS=MR","SCALING_FORMAT=MLN","FA_ADJUSTED=Adjusted","Sort=A","Dates=H","DateFormat=P","Fill=—","Direction=H","UseDPDF=Y")</f>
        <v>110.792</v>
      </c>
      <c r="T6" s="19">
        <f>_xll.BDH("ITCI US Equity","SALES_REV_TURN","FQ3 2023","FQ3 2023","Currency=USD","Period=FQ","BEST_FPERIOD_OVERRIDE=FQ","FILING_STATUS=MR","SCALING_FORMAT=MLN","FA_ADJUSTED=Adjusted","Sort=A","Dates=H","DateFormat=P","Fill=—","Direction=H","UseDPDF=Y")</f>
        <v>126.173</v>
      </c>
      <c r="U6" s="19">
        <f>_xll.BDH("ITCI US Equity","SALES_REV_TURN","FQ4 2023","FQ4 2023","Currency=USD","Period=FQ","BEST_FPERIOD_OVERRIDE=FQ","FILING_STATUS=MR","SCALING_FORMAT=MLN","FA_ADJUSTED=Adjusted","Sort=A","Dates=H","DateFormat=P","Fill=—","Direction=H","UseDPDF=Y")</f>
        <v>132.09899999999999</v>
      </c>
      <c r="V6" s="19">
        <f>_xll.BDH("ITCI US Equity","SALES_REV_TURN","FQ1 2024","FQ1 2024","Currency=USD","Period=FQ","BEST_FPERIOD_OVERRIDE=FQ","FILING_STATUS=MR","SCALING_FORMAT=MLN","FA_ADJUSTED=Adjusted","Sort=A","Dates=H","DateFormat=P","Fill=—","Direction=H","UseDPDF=Y")</f>
        <v>144.86600000000001</v>
      </c>
      <c r="W6" s="19">
        <f>_xll.BDH("ITCI US Equity","SALES_REV_TURN","FQ2 2024","FQ2 2024","Currency=USD","Period=FQ","BEST_FPERIOD_OVERRIDE=FQ","FILING_STATUS=MR","SCALING_FORMAT=MLN","FA_ADJUSTED=Adjusted","Sort=A","Dates=H","DateFormat=P","Fill=—","Direction=H","UseDPDF=Y")</f>
        <v>161.38800000000001</v>
      </c>
      <c r="X6" s="19">
        <f>_xll.BDH("ITCI US Equity","SALES_REV_TURN","FQ3 2024","FQ3 2024","Currency=USD","Period=FQ","BEST_FPERIOD_OVERRIDE=FQ","FILING_STATUS=MR","SCALING_FORMAT=MLN","FA_ADJUSTED=Adjusted","Sort=A","Dates=H","DateFormat=P","Fill=—","Direction=H","UseDPDF=Y")</f>
        <v>175.375</v>
      </c>
      <c r="Y6" s="19">
        <f>_xll.BDH("ITCI US Equity","SALES_REV_TURN","FQ4 2024","FQ4 2024","Currency=USD","Period=FQ","BEST_FPERIOD_OVERRIDE=FQ","FILING_STATUS=MR","SCALING_FORMAT=MLN","FA_ADJUSTED=Adjusted","Sort=A","Dates=H","DateFormat=P","Fill=—","Direction=H","UseDPDF=Y")</f>
        <v>199.22300000000001</v>
      </c>
      <c r="Z6" s="19">
        <v>203.875</v>
      </c>
      <c r="AA6" s="19">
        <v>219</v>
      </c>
    </row>
    <row r="7" spans="1:27" x14ac:dyDescent="0.25">
      <c r="A7" s="10" t="s">
        <v>280</v>
      </c>
      <c r="B7" s="10" t="s">
        <v>281</v>
      </c>
      <c r="C7" s="13" t="s">
        <v>76</v>
      </c>
      <c r="D7" s="13" t="s">
        <v>76</v>
      </c>
      <c r="E7" s="13">
        <v>100</v>
      </c>
      <c r="F7" s="13">
        <v>81.452063214884603</v>
      </c>
      <c r="G7" s="13">
        <v>98.387369167476095</v>
      </c>
      <c r="H7" s="13">
        <v>100</v>
      </c>
      <c r="I7" s="13">
        <v>99.594388109459601</v>
      </c>
      <c r="J7" s="13">
        <v>98.114260008090298</v>
      </c>
      <c r="K7" s="13">
        <v>94.813170199117906</v>
      </c>
      <c r="L7" s="13">
        <v>97.293499527473102</v>
      </c>
      <c r="M7" s="13">
        <v>99.396593640603399</v>
      </c>
      <c r="N7" s="13">
        <v>99.311349868556405</v>
      </c>
      <c r="O7" s="13">
        <v>99.091383436189901</v>
      </c>
      <c r="P7" s="13">
        <v>100</v>
      </c>
      <c r="Q7" s="13">
        <v>99.503806803309502</v>
      </c>
      <c r="R7" s="13">
        <v>99.396680167040898</v>
      </c>
      <c r="S7" s="13">
        <v>99.400678749368197</v>
      </c>
      <c r="T7" s="13">
        <v>99.712299778875007</v>
      </c>
      <c r="U7" s="13">
        <v>99.551094255066303</v>
      </c>
      <c r="V7" s="13">
        <v>99.984123258735707</v>
      </c>
      <c r="W7" s="13">
        <v>99.930602027412206</v>
      </c>
      <c r="X7" s="13">
        <v>99.876835352815405</v>
      </c>
      <c r="Y7" s="13">
        <v>100</v>
      </c>
      <c r="Z7" s="13"/>
      <c r="AA7" s="13"/>
    </row>
    <row r="8" spans="1:27" x14ac:dyDescent="0.25">
      <c r="A8" s="10" t="s">
        <v>282</v>
      </c>
      <c r="B8" s="10" t="s">
        <v>283</v>
      </c>
      <c r="C8" s="13" t="s">
        <v>76</v>
      </c>
      <c r="D8" s="13" t="s">
        <v>76</v>
      </c>
      <c r="E8" s="13" t="s">
        <v>76</v>
      </c>
      <c r="F8" s="13">
        <v>18.5479367851154</v>
      </c>
      <c r="G8" s="13">
        <v>1.6126308325238801</v>
      </c>
      <c r="H8" s="13" t="s">
        <v>76</v>
      </c>
      <c r="I8" s="13">
        <v>0.40561189054035302</v>
      </c>
      <c r="J8" s="13">
        <v>1.88573999190973</v>
      </c>
      <c r="K8" s="13">
        <v>5.1868298008820597</v>
      </c>
      <c r="L8" s="13">
        <v>2.7065004725269102</v>
      </c>
      <c r="M8" s="13">
        <v>0.60340635939661902</v>
      </c>
      <c r="N8" s="13">
        <v>0.68865013144359299</v>
      </c>
      <c r="O8" s="13">
        <v>0.90861656381007205</v>
      </c>
      <c r="P8" s="13" t="s">
        <v>76</v>
      </c>
      <c r="Q8" s="13">
        <v>0.49619319669052803</v>
      </c>
      <c r="R8" s="13">
        <v>0.60331983295909997</v>
      </c>
      <c r="S8" s="13">
        <v>0.59932125063181496</v>
      </c>
      <c r="T8" s="13">
        <v>0.28770022112496302</v>
      </c>
      <c r="U8" s="13">
        <v>0.44890574493372398</v>
      </c>
      <c r="V8" s="13">
        <v>1.5876741264340799E-2</v>
      </c>
      <c r="W8" s="13">
        <v>6.9397972587800796E-2</v>
      </c>
      <c r="X8" s="13">
        <v>0.123164647184604</v>
      </c>
      <c r="Y8" s="13" t="s">
        <v>76</v>
      </c>
      <c r="Z8" s="13"/>
      <c r="AA8" s="13"/>
    </row>
    <row r="9" spans="1:27" x14ac:dyDescent="0.25">
      <c r="A9" s="10" t="s">
        <v>284</v>
      </c>
      <c r="B9" s="10" t="s">
        <v>285</v>
      </c>
      <c r="C9" s="13" t="s">
        <v>76</v>
      </c>
      <c r="D9" s="13" t="s">
        <v>76</v>
      </c>
      <c r="E9" s="13" t="s">
        <v>76</v>
      </c>
      <c r="F9" s="13">
        <v>6.3970783005485101</v>
      </c>
      <c r="G9" s="13">
        <v>6.7416643764200401</v>
      </c>
      <c r="H9" s="13">
        <v>7.5469892899513802</v>
      </c>
      <c r="I9" s="13">
        <v>9.1620946069099194</v>
      </c>
      <c r="J9" s="13">
        <v>9.1647867984093292</v>
      </c>
      <c r="K9" s="13">
        <v>10.176463683721099</v>
      </c>
      <c r="L9" s="13">
        <v>9.0120092126873601</v>
      </c>
      <c r="M9" s="13">
        <v>9.8867800873252492</v>
      </c>
      <c r="N9" s="13">
        <v>9.0153160361184099</v>
      </c>
      <c r="O9" s="13">
        <v>8.3664693499343308</v>
      </c>
      <c r="P9" s="13">
        <v>8.1396966745512707</v>
      </c>
      <c r="Q9" s="13">
        <v>7.7251362824204204</v>
      </c>
      <c r="R9" s="13">
        <v>7.0834994648815401</v>
      </c>
      <c r="S9" s="13">
        <v>6.4652682504151899</v>
      </c>
      <c r="T9" s="13">
        <v>7.2353039081261397</v>
      </c>
      <c r="U9" s="13">
        <v>8.1014996328511195</v>
      </c>
      <c r="V9" s="13">
        <v>6.8339016746510604</v>
      </c>
      <c r="W9" s="13">
        <v>7.0352194710883103</v>
      </c>
      <c r="X9" s="13">
        <v>8.72644333570919</v>
      </c>
      <c r="Y9" s="13">
        <v>10.2422913017071</v>
      </c>
      <c r="Z9" s="13"/>
      <c r="AA9" s="13"/>
    </row>
    <row r="10" spans="1:27" x14ac:dyDescent="0.25">
      <c r="A10" s="10" t="s">
        <v>286</v>
      </c>
      <c r="B10" s="10" t="s">
        <v>287</v>
      </c>
      <c r="C10" s="13" t="s">
        <v>76</v>
      </c>
      <c r="D10" s="13" t="s">
        <v>76</v>
      </c>
      <c r="E10" s="13" t="s">
        <v>76</v>
      </c>
      <c r="F10" s="13">
        <v>6.3970783005485101</v>
      </c>
      <c r="G10" s="13">
        <v>6.7416643764200401</v>
      </c>
      <c r="H10" s="13">
        <v>7.5469892899513802</v>
      </c>
      <c r="I10" s="13">
        <v>9.1620946069099194</v>
      </c>
      <c r="J10" s="13">
        <v>9.1647867984093292</v>
      </c>
      <c r="K10" s="13">
        <v>10.176463683721099</v>
      </c>
      <c r="L10" s="13">
        <v>9.0120092126873601</v>
      </c>
      <c r="M10" s="13">
        <v>9.8867800873252492</v>
      </c>
      <c r="N10" s="13">
        <v>9.0153160361184099</v>
      </c>
      <c r="O10" s="13">
        <v>8.3664693499343308</v>
      </c>
      <c r="P10" s="13">
        <v>8.1396966745512707</v>
      </c>
      <c r="Q10" s="13">
        <v>7.7251362824204204</v>
      </c>
      <c r="R10" s="13">
        <v>7.0834994648815401</v>
      </c>
      <c r="S10" s="13">
        <v>6.4652682504151899</v>
      </c>
      <c r="T10" s="13">
        <v>7.2353039081261397</v>
      </c>
      <c r="U10" s="13">
        <v>8.1014996328511195</v>
      </c>
      <c r="V10" s="13">
        <v>6.8339016746510604</v>
      </c>
      <c r="W10" s="13">
        <v>7.0352194710883103</v>
      </c>
      <c r="X10" s="13">
        <v>8.72644333570919</v>
      </c>
      <c r="Y10" s="13">
        <v>10.2422913017071</v>
      </c>
      <c r="Z10" s="13"/>
      <c r="AA10" s="13"/>
    </row>
    <row r="11" spans="1:27" x14ac:dyDescent="0.25">
      <c r="A11" s="6" t="s">
        <v>2</v>
      </c>
      <c r="B11" s="6" t="s">
        <v>74</v>
      </c>
      <c r="C11" s="19" t="s">
        <v>76</v>
      </c>
      <c r="D11" s="19" t="s">
        <v>76</v>
      </c>
      <c r="E11" s="19" t="s">
        <v>76</v>
      </c>
      <c r="F11" s="19">
        <v>93.6029216994515</v>
      </c>
      <c r="G11" s="19">
        <v>93.258335623579995</v>
      </c>
      <c r="H11" s="19">
        <v>92.453010710048602</v>
      </c>
      <c r="I11" s="19">
        <v>90.837905393090097</v>
      </c>
      <c r="J11" s="19">
        <v>90.835213201590705</v>
      </c>
      <c r="K11" s="19">
        <v>89.823536316278904</v>
      </c>
      <c r="L11" s="19">
        <v>90.987990787312597</v>
      </c>
      <c r="M11" s="19">
        <v>90.113219912674793</v>
      </c>
      <c r="N11" s="19">
        <v>90.984683963881594</v>
      </c>
      <c r="O11" s="19">
        <v>91.633530650065694</v>
      </c>
      <c r="P11" s="19">
        <v>91.860303325448697</v>
      </c>
      <c r="Q11" s="19">
        <v>92.274863717579606</v>
      </c>
      <c r="R11" s="19">
        <v>92.916500535118502</v>
      </c>
      <c r="S11" s="19">
        <v>93.534731749584793</v>
      </c>
      <c r="T11" s="19">
        <v>92.764696091873901</v>
      </c>
      <c r="U11" s="19">
        <v>91.898500367148898</v>
      </c>
      <c r="V11" s="19">
        <v>93.166098325348898</v>
      </c>
      <c r="W11" s="19">
        <v>92.964780528911703</v>
      </c>
      <c r="X11" s="19">
        <v>91.273556664290794</v>
      </c>
      <c r="Y11" s="19">
        <v>89.757708698292902</v>
      </c>
      <c r="Z11" s="19">
        <v>92.5</v>
      </c>
      <c r="AA11" s="19">
        <v>92.45</v>
      </c>
    </row>
    <row r="12" spans="1:27" x14ac:dyDescent="0.25">
      <c r="A12" s="10" t="s">
        <v>288</v>
      </c>
      <c r="B12" s="10" t="s">
        <v>289</v>
      </c>
      <c r="C12" s="13" t="s">
        <v>76</v>
      </c>
      <c r="D12" s="13" t="s">
        <v>76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/>
      <c r="AA12" s="13"/>
    </row>
    <row r="13" spans="1:27" x14ac:dyDescent="0.25">
      <c r="A13" s="10" t="s">
        <v>290</v>
      </c>
      <c r="B13" s="10" t="s">
        <v>291</v>
      </c>
      <c r="C13" s="13" t="s">
        <v>76</v>
      </c>
      <c r="D13" s="13" t="s">
        <v>76</v>
      </c>
      <c r="E13" s="13">
        <v>69010.397109530997</v>
      </c>
      <c r="F13" s="13">
        <v>4623.9652083704405</v>
      </c>
      <c r="G13" s="13">
        <v>3495.7073085790898</v>
      </c>
      <c r="H13" s="13">
        <v>851.57278308453397</v>
      </c>
      <c r="I13" s="13">
        <v>583.30623954675798</v>
      </c>
      <c r="J13" s="13">
        <v>426.00079013352098</v>
      </c>
      <c r="K13" s="13">
        <v>434.72585646984498</v>
      </c>
      <c r="L13" s="13">
        <v>439.180561296311</v>
      </c>
      <c r="M13" s="13">
        <v>425.14030074333903</v>
      </c>
      <c r="N13" s="13">
        <v>298.61412732883798</v>
      </c>
      <c r="O13" s="13">
        <v>249.82817251119999</v>
      </c>
      <c r="P13" s="13">
        <v>169.26255739529699</v>
      </c>
      <c r="Q13" s="13">
        <v>146.232459684303</v>
      </c>
      <c r="R13" s="13">
        <v>143.69189767695599</v>
      </c>
      <c r="S13" s="13">
        <v>136.11813127301599</v>
      </c>
      <c r="T13" s="13">
        <v>116.314108406711</v>
      </c>
      <c r="U13" s="13">
        <v>117.710202196837</v>
      </c>
      <c r="V13" s="13">
        <v>107.629119324065</v>
      </c>
      <c r="W13" s="13">
        <v>110.142637618658</v>
      </c>
      <c r="X13" s="13">
        <v>113.42551674982199</v>
      </c>
      <c r="Y13" s="13">
        <v>104.41314506859101</v>
      </c>
      <c r="Z13" s="13"/>
      <c r="AA13" s="13"/>
    </row>
    <row r="14" spans="1:27" x14ac:dyDescent="0.25">
      <c r="A14" s="10" t="s">
        <v>292</v>
      </c>
      <c r="B14" s="10" t="s">
        <v>293</v>
      </c>
      <c r="C14" s="13" t="s">
        <v>76</v>
      </c>
      <c r="D14" s="13" t="s">
        <v>76</v>
      </c>
      <c r="E14" s="13">
        <v>37555.552439245701</v>
      </c>
      <c r="F14" s="13">
        <v>3146.9337199890401</v>
      </c>
      <c r="G14" s="13">
        <v>2173.7529869361501</v>
      </c>
      <c r="H14" s="13">
        <v>712.12463327467901</v>
      </c>
      <c r="I14" s="13">
        <v>468.49753538344697</v>
      </c>
      <c r="J14" s="13">
        <v>331.166075473055</v>
      </c>
      <c r="K14" s="13">
        <v>348.44462349427403</v>
      </c>
      <c r="L14" s="13">
        <v>317.45506784038201</v>
      </c>
      <c r="M14" s="13">
        <v>310.383630103565</v>
      </c>
      <c r="N14" s="13">
        <v>215.62464281632199</v>
      </c>
      <c r="O14" s="13">
        <v>180.49263210925</v>
      </c>
      <c r="P14" s="13">
        <v>122.965075831362</v>
      </c>
      <c r="Q14" s="13">
        <v>107.695546779865</v>
      </c>
      <c r="R14" s="13">
        <v>103.795144062284</v>
      </c>
      <c r="S14" s="13">
        <v>91.174453029099595</v>
      </c>
      <c r="T14" s="13">
        <v>83.383132682903593</v>
      </c>
      <c r="U14" s="13">
        <v>79.273877924889703</v>
      </c>
      <c r="V14" s="13">
        <v>78.061795038173202</v>
      </c>
      <c r="W14" s="13">
        <v>75.330259994547305</v>
      </c>
      <c r="X14" s="13">
        <v>75.324875267284398</v>
      </c>
      <c r="Y14" s="13">
        <v>69.133082023661899</v>
      </c>
      <c r="Z14" s="13"/>
      <c r="AA14" s="13"/>
    </row>
    <row r="15" spans="1:27" x14ac:dyDescent="0.25">
      <c r="A15" s="11" t="s">
        <v>294</v>
      </c>
      <c r="B15" s="11" t="s">
        <v>295</v>
      </c>
      <c r="C15" s="25" t="s">
        <v>76</v>
      </c>
      <c r="D15" s="25" t="s">
        <v>76</v>
      </c>
      <c r="E15" s="25">
        <v>21717.365911603101</v>
      </c>
      <c r="F15" s="25">
        <v>1919.4064674996</v>
      </c>
      <c r="G15" s="25">
        <v>1486.67899903285</v>
      </c>
      <c r="H15" s="25">
        <v>519.41487073381995</v>
      </c>
      <c r="I15" s="25">
        <v>360.90391488220502</v>
      </c>
      <c r="J15" s="25">
        <v>241.10622093798401</v>
      </c>
      <c r="K15" s="25">
        <v>260.15017737955202</v>
      </c>
      <c r="L15" s="25">
        <v>236.85058283572101</v>
      </c>
      <c r="M15" s="25">
        <v>235.980392760277</v>
      </c>
      <c r="N15" s="25">
        <v>160.18973596982499</v>
      </c>
      <c r="O15" s="25">
        <v>146.307058421346</v>
      </c>
      <c r="P15" s="25">
        <v>94.719632670098804</v>
      </c>
      <c r="Q15" s="25">
        <v>82.316858050051806</v>
      </c>
      <c r="R15" s="25">
        <v>80.291901873963894</v>
      </c>
      <c r="S15" s="25">
        <v>68.699906130406504</v>
      </c>
      <c r="T15" s="25">
        <v>64.123861681976294</v>
      </c>
      <c r="U15" s="25">
        <v>68.827167503160496</v>
      </c>
      <c r="V15" s="25">
        <v>60.528350337553299</v>
      </c>
      <c r="W15" s="25">
        <v>57.547029518923303</v>
      </c>
      <c r="X15" s="25">
        <v>56.279971489665002</v>
      </c>
      <c r="Y15" s="25">
        <v>52.970289574998901</v>
      </c>
      <c r="Z15" s="25"/>
      <c r="AA15" s="25"/>
    </row>
    <row r="16" spans="1:27" x14ac:dyDescent="0.25">
      <c r="A16" s="11" t="s">
        <v>296</v>
      </c>
      <c r="B16" s="11" t="s">
        <v>297</v>
      </c>
      <c r="C16" s="25" t="s">
        <v>76</v>
      </c>
      <c r="D16" s="25" t="s">
        <v>76</v>
      </c>
      <c r="E16" s="25">
        <v>15838.1865276426</v>
      </c>
      <c r="F16" s="25">
        <v>1227.5272524894301</v>
      </c>
      <c r="G16" s="25">
        <v>687.07398790330205</v>
      </c>
      <c r="H16" s="25">
        <v>192.709762540859</v>
      </c>
      <c r="I16" s="25">
        <v>107.593620501242</v>
      </c>
      <c r="J16" s="25">
        <v>90.059854535070997</v>
      </c>
      <c r="K16" s="25">
        <v>88.294446114722604</v>
      </c>
      <c r="L16" s="25">
        <v>80.604485004661299</v>
      </c>
      <c r="M16" s="25">
        <v>74.403237343288694</v>
      </c>
      <c r="N16" s="25">
        <v>55.434906846496702</v>
      </c>
      <c r="O16" s="25">
        <v>34.185573687903698</v>
      </c>
      <c r="P16" s="25">
        <v>28.245443161263399</v>
      </c>
      <c r="Q16" s="25">
        <v>25.3786887298137</v>
      </c>
      <c r="R16" s="25">
        <v>23.5032421883197</v>
      </c>
      <c r="S16" s="25">
        <v>22.474546898692999</v>
      </c>
      <c r="T16" s="25">
        <v>19.259271000927299</v>
      </c>
      <c r="U16" s="25">
        <v>10.4467104217292</v>
      </c>
      <c r="V16" s="25">
        <v>17.533444700619899</v>
      </c>
      <c r="W16" s="25">
        <v>17.783230475623999</v>
      </c>
      <c r="X16" s="25">
        <v>19.0449037776194</v>
      </c>
      <c r="Y16" s="25">
        <v>16.162792448663101</v>
      </c>
      <c r="Z16" s="25"/>
      <c r="AA16" s="25"/>
    </row>
    <row r="17" spans="1:27" x14ac:dyDescent="0.25">
      <c r="A17" s="10" t="s">
        <v>298</v>
      </c>
      <c r="B17" s="10" t="s">
        <v>299</v>
      </c>
      <c r="C17" s="13" t="s">
        <v>76</v>
      </c>
      <c r="D17" s="13" t="s">
        <v>76</v>
      </c>
      <c r="E17" s="13">
        <v>31454.8446702853</v>
      </c>
      <c r="F17" s="13">
        <v>1477.0314883814101</v>
      </c>
      <c r="G17" s="13">
        <v>1321.9543216429399</v>
      </c>
      <c r="H17" s="13">
        <v>139.44814980985501</v>
      </c>
      <c r="I17" s="13">
        <v>114.80870416331101</v>
      </c>
      <c r="J17" s="13">
        <v>94.834714660465806</v>
      </c>
      <c r="K17" s="13">
        <v>86.2812329755712</v>
      </c>
      <c r="L17" s="13">
        <v>121.725493455929</v>
      </c>
      <c r="M17" s="13">
        <v>114.756670639774</v>
      </c>
      <c r="N17" s="13">
        <v>82.989484512515702</v>
      </c>
      <c r="O17" s="13">
        <v>69.335540401950396</v>
      </c>
      <c r="P17" s="13">
        <v>46.297481563934902</v>
      </c>
      <c r="Q17" s="13">
        <v>38.536912904437301</v>
      </c>
      <c r="R17" s="13">
        <v>39.896753614672697</v>
      </c>
      <c r="S17" s="13">
        <v>44.943678243916501</v>
      </c>
      <c r="T17" s="13">
        <v>32.930975723807798</v>
      </c>
      <c r="U17" s="13">
        <v>38.436324271947598</v>
      </c>
      <c r="V17" s="13">
        <v>29.5673242858918</v>
      </c>
      <c r="W17" s="13">
        <v>34.812377624110802</v>
      </c>
      <c r="X17" s="13">
        <v>38.100641482537398</v>
      </c>
      <c r="Y17" s="13">
        <v>35.280063044929499</v>
      </c>
      <c r="Z17" s="13"/>
      <c r="AA17" s="13"/>
    </row>
    <row r="18" spans="1:27" x14ac:dyDescent="0.25">
      <c r="A18" s="10" t="s">
        <v>300</v>
      </c>
      <c r="B18" s="10" t="s">
        <v>301</v>
      </c>
      <c r="C18" s="13" t="s">
        <v>76</v>
      </c>
      <c r="D18" s="13" t="s">
        <v>76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/>
      <c r="AA18" s="13"/>
    </row>
    <row r="19" spans="1:27" x14ac:dyDescent="0.25">
      <c r="A19" s="6" t="s">
        <v>302</v>
      </c>
      <c r="B19" s="6" t="s">
        <v>99</v>
      </c>
      <c r="C19" s="19" t="s">
        <v>76</v>
      </c>
      <c r="D19" s="19" t="s">
        <v>76</v>
      </c>
      <c r="E19" s="19">
        <v>-68910.397109530997</v>
      </c>
      <c r="F19" s="19">
        <v>-4530.3622866709902</v>
      </c>
      <c r="G19" s="19">
        <v>-3402.4489729555098</v>
      </c>
      <c r="H19" s="19">
        <v>-759.11977237448605</v>
      </c>
      <c r="I19" s="19">
        <v>-492.46833415366802</v>
      </c>
      <c r="J19" s="19">
        <v>-335.16557693192999</v>
      </c>
      <c r="K19" s="19">
        <v>-344.902320153566</v>
      </c>
      <c r="L19" s="19">
        <v>-348.19257050899802</v>
      </c>
      <c r="M19" s="19">
        <v>-335.02708083066398</v>
      </c>
      <c r="N19" s="19">
        <v>-207.62944336495599</v>
      </c>
      <c r="O19" s="19">
        <v>-158.19464186113501</v>
      </c>
      <c r="P19" s="19">
        <v>-77.402254069848297</v>
      </c>
      <c r="Q19" s="19">
        <v>-53.957595966723197</v>
      </c>
      <c r="R19" s="19">
        <v>-50.7753971418379</v>
      </c>
      <c r="S19" s="19">
        <v>-42.583399523431297</v>
      </c>
      <c r="T19" s="19">
        <v>-23.5494123148376</v>
      </c>
      <c r="U19" s="19">
        <v>-25.8117018296883</v>
      </c>
      <c r="V19" s="19">
        <v>-14.4630209987161</v>
      </c>
      <c r="W19" s="19">
        <v>-17.1778570897464</v>
      </c>
      <c r="X19" s="19">
        <v>-22.151960085531002</v>
      </c>
      <c r="Y19" s="19">
        <v>-14.655436370298601</v>
      </c>
      <c r="Z19" s="19">
        <v>-9.5450643776823991</v>
      </c>
      <c r="AA19" s="19">
        <v>-6.6684931506849301</v>
      </c>
    </row>
    <row r="20" spans="1:27" x14ac:dyDescent="0.25">
      <c r="A20" s="10" t="s">
        <v>303</v>
      </c>
      <c r="B20" s="10" t="s">
        <v>304</v>
      </c>
      <c r="C20" s="13" t="s">
        <v>76</v>
      </c>
      <c r="D20" s="13" t="s">
        <v>76</v>
      </c>
      <c r="E20" s="13">
        <v>-1956.35919687196</v>
      </c>
      <c r="F20" s="13">
        <v>-154.89021937665601</v>
      </c>
      <c r="G20" s="13">
        <v>-60.843233842222602</v>
      </c>
      <c r="H20" s="13">
        <v>-10.2167251988643</v>
      </c>
      <c r="I20" s="13">
        <v>-5.1740487399100896</v>
      </c>
      <c r="J20" s="13">
        <v>-3.0466052189748698</v>
      </c>
      <c r="K20" s="13">
        <v>-2.10025051179601</v>
      </c>
      <c r="L20" s="13">
        <v>-1.7683228066427601</v>
      </c>
      <c r="M20" s="13">
        <v>-1.05417700943082</v>
      </c>
      <c r="N20" s="13">
        <v>-1.56589324494228</v>
      </c>
      <c r="O20" s="13">
        <v>-2.3749977509490998</v>
      </c>
      <c r="P20" s="13">
        <v>-2.9525532210936398</v>
      </c>
      <c r="Q20" s="13">
        <v>-3.85346367888561</v>
      </c>
      <c r="R20" s="13">
        <v>-4.5631964409376096</v>
      </c>
      <c r="S20" s="13">
        <v>-4.08874286952127</v>
      </c>
      <c r="T20" s="13">
        <v>-4.3575091342838803</v>
      </c>
      <c r="U20" s="13">
        <v>-4.5163097373939198</v>
      </c>
      <c r="V20" s="13">
        <v>-4.1859373489983804</v>
      </c>
      <c r="W20" s="13">
        <v>-7.16286217066944</v>
      </c>
      <c r="X20" s="13">
        <v>-7.3550962223806096</v>
      </c>
      <c r="Y20" s="13">
        <v>-6.0208911621650101</v>
      </c>
      <c r="Z20" s="13"/>
      <c r="AA20" s="13"/>
    </row>
    <row r="21" spans="1:27" x14ac:dyDescent="0.25">
      <c r="A21" s="10" t="s">
        <v>305</v>
      </c>
      <c r="B21" s="10" t="s">
        <v>306</v>
      </c>
      <c r="C21" s="13" t="s">
        <v>76</v>
      </c>
      <c r="D21" s="13" t="s">
        <v>76</v>
      </c>
      <c r="E21" s="13">
        <v>-1956.35919687196</v>
      </c>
      <c r="F21" s="13" t="s">
        <v>76</v>
      </c>
      <c r="G21" s="13">
        <v>-60.843233842222602</v>
      </c>
      <c r="H21" s="13">
        <v>-10.2167251988643</v>
      </c>
      <c r="I21" s="13">
        <v>-5.1740487399100896</v>
      </c>
      <c r="J21" s="13" t="s">
        <v>76</v>
      </c>
      <c r="K21" s="13" t="s">
        <v>76</v>
      </c>
      <c r="L21" s="13" t="s">
        <v>76</v>
      </c>
      <c r="M21" s="13">
        <v>-1.05417700943082</v>
      </c>
      <c r="N21" s="13" t="s">
        <v>76</v>
      </c>
      <c r="O21" s="13">
        <v>-2.3749977509490998</v>
      </c>
      <c r="P21" s="13" t="s">
        <v>76</v>
      </c>
      <c r="Q21" s="13">
        <v>-3.85346367888561</v>
      </c>
      <c r="R21" s="13" t="s">
        <v>76</v>
      </c>
      <c r="S21" s="13" t="s">
        <v>76</v>
      </c>
      <c r="T21" s="13" t="s">
        <v>76</v>
      </c>
      <c r="U21" s="13">
        <v>-4.5163097373939198</v>
      </c>
      <c r="V21" s="13" t="s">
        <v>76</v>
      </c>
      <c r="W21" s="13" t="s">
        <v>76</v>
      </c>
      <c r="X21" s="13" t="s">
        <v>76</v>
      </c>
      <c r="Y21" s="13">
        <v>-6.0208911621650101</v>
      </c>
      <c r="Z21" s="13"/>
      <c r="AA21" s="13"/>
    </row>
    <row r="22" spans="1:27" x14ac:dyDescent="0.25">
      <c r="A22" s="11" t="s">
        <v>307</v>
      </c>
      <c r="B22" s="11" t="s">
        <v>308</v>
      </c>
      <c r="C22" s="25" t="s">
        <v>76</v>
      </c>
      <c r="D22" s="25" t="s">
        <v>76</v>
      </c>
      <c r="E22" s="25">
        <v>0</v>
      </c>
      <c r="F22" s="25" t="s">
        <v>76</v>
      </c>
      <c r="G22" s="25">
        <v>0</v>
      </c>
      <c r="H22" s="25">
        <v>0</v>
      </c>
      <c r="I22" s="25">
        <v>0</v>
      </c>
      <c r="J22" s="25" t="s">
        <v>76</v>
      </c>
      <c r="K22" s="25" t="s">
        <v>76</v>
      </c>
      <c r="L22" s="25" t="s">
        <v>76</v>
      </c>
      <c r="M22" s="25">
        <v>0</v>
      </c>
      <c r="N22" s="25" t="s">
        <v>76</v>
      </c>
      <c r="O22" s="25">
        <v>0</v>
      </c>
      <c r="P22" s="25" t="s">
        <v>76</v>
      </c>
      <c r="Q22" s="25">
        <v>0</v>
      </c>
      <c r="R22" s="25" t="s">
        <v>76</v>
      </c>
      <c r="S22" s="25" t="s">
        <v>76</v>
      </c>
      <c r="T22" s="25" t="s">
        <v>76</v>
      </c>
      <c r="U22" s="25">
        <v>0</v>
      </c>
      <c r="V22" s="25" t="s">
        <v>76</v>
      </c>
      <c r="W22" s="25" t="s">
        <v>76</v>
      </c>
      <c r="X22" s="25" t="s">
        <v>76</v>
      </c>
      <c r="Y22" s="25">
        <v>0</v>
      </c>
      <c r="Z22" s="25"/>
      <c r="AA22" s="25"/>
    </row>
    <row r="23" spans="1:27" x14ac:dyDescent="0.25">
      <c r="A23" s="11" t="s">
        <v>309</v>
      </c>
      <c r="B23" s="11" t="s">
        <v>310</v>
      </c>
      <c r="C23" s="25" t="s">
        <v>76</v>
      </c>
      <c r="D23" s="25" t="s">
        <v>76</v>
      </c>
      <c r="E23" s="25">
        <v>1956.35919687196</v>
      </c>
      <c r="F23" s="25">
        <v>154.89021937665601</v>
      </c>
      <c r="G23" s="25">
        <v>60.843233842222602</v>
      </c>
      <c r="H23" s="25">
        <v>10.2167251988643</v>
      </c>
      <c r="I23" s="25">
        <v>5.1740487399100896</v>
      </c>
      <c r="J23" s="25">
        <v>3.0466052189748698</v>
      </c>
      <c r="K23" s="25">
        <v>2.10025051179601</v>
      </c>
      <c r="L23" s="25">
        <v>1.7683228066427601</v>
      </c>
      <c r="M23" s="25">
        <v>1.05417700943082</v>
      </c>
      <c r="N23" s="25">
        <v>1.56589324494228</v>
      </c>
      <c r="O23" s="25">
        <v>2.3749977509490998</v>
      </c>
      <c r="P23" s="25">
        <v>2.9525532210936398</v>
      </c>
      <c r="Q23" s="25">
        <v>3.85346367888561</v>
      </c>
      <c r="R23" s="25">
        <v>4.5631964409376096</v>
      </c>
      <c r="S23" s="25">
        <v>4.08874286952127</v>
      </c>
      <c r="T23" s="25">
        <v>4.3575091342838803</v>
      </c>
      <c r="U23" s="25">
        <v>4.5163097373939198</v>
      </c>
      <c r="V23" s="25">
        <v>4.1859373489983804</v>
      </c>
      <c r="W23" s="25">
        <v>7.16286217066944</v>
      </c>
      <c r="X23" s="25">
        <v>7.3550962223806096</v>
      </c>
      <c r="Y23" s="25">
        <v>6.0208911621650101</v>
      </c>
      <c r="Z23" s="25"/>
      <c r="AA23" s="25"/>
    </row>
    <row r="24" spans="1:27" x14ac:dyDescent="0.25">
      <c r="A24" s="10" t="s">
        <v>311</v>
      </c>
      <c r="B24" s="10" t="s">
        <v>312</v>
      </c>
      <c r="C24" s="13" t="s">
        <v>76</v>
      </c>
      <c r="D24" s="13" t="s">
        <v>76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/>
      <c r="AA24" s="13"/>
    </row>
    <row r="25" spans="1:27" x14ac:dyDescent="0.25">
      <c r="A25" s="6" t="s">
        <v>313</v>
      </c>
      <c r="B25" s="6" t="s">
        <v>157</v>
      </c>
      <c r="C25" s="19" t="s">
        <v>76</v>
      </c>
      <c r="D25" s="19" t="s">
        <v>76</v>
      </c>
      <c r="E25" s="19">
        <v>-66954.037912658998</v>
      </c>
      <c r="F25" s="19">
        <v>-4375.4720672943404</v>
      </c>
      <c r="G25" s="19">
        <v>-3341.6057391132899</v>
      </c>
      <c r="H25" s="19">
        <v>-748.90304717562105</v>
      </c>
      <c r="I25" s="19">
        <v>-487.29428541375802</v>
      </c>
      <c r="J25" s="19">
        <v>-332.11897171295499</v>
      </c>
      <c r="K25" s="19">
        <v>-342.80206964177103</v>
      </c>
      <c r="L25" s="19">
        <v>-346.42424770235601</v>
      </c>
      <c r="M25" s="19">
        <v>-333.97290382123299</v>
      </c>
      <c r="N25" s="19">
        <v>-206.06355012001401</v>
      </c>
      <c r="O25" s="19">
        <v>-155.81964411018501</v>
      </c>
      <c r="P25" s="19">
        <v>-74.449700848754702</v>
      </c>
      <c r="Q25" s="19">
        <v>-50.104132287837601</v>
      </c>
      <c r="R25" s="19">
        <v>-46.212200700900297</v>
      </c>
      <c r="S25" s="19">
        <v>-38.494656653909999</v>
      </c>
      <c r="T25" s="19">
        <v>-19.191903180553702</v>
      </c>
      <c r="U25" s="19">
        <v>-21.295392092294399</v>
      </c>
      <c r="V25" s="19">
        <v>-10.277083649717699</v>
      </c>
      <c r="W25" s="19">
        <v>-10.014994919076999</v>
      </c>
      <c r="X25" s="19">
        <v>-14.796863863150399</v>
      </c>
      <c r="Y25" s="19">
        <v>-8.6345452081336003</v>
      </c>
      <c r="Z25" s="19">
        <v>-7.0974862047823404</v>
      </c>
      <c r="AA25" s="19">
        <v>-2.22237442922374</v>
      </c>
    </row>
    <row r="26" spans="1:27" x14ac:dyDescent="0.25">
      <c r="A26" s="10" t="s">
        <v>314</v>
      </c>
      <c r="B26" s="10" t="s">
        <v>315</v>
      </c>
      <c r="C26" s="13" t="s">
        <v>76</v>
      </c>
      <c r="D26" s="13" t="s">
        <v>76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/>
      <c r="AA26" s="13"/>
    </row>
    <row r="27" spans="1:27" x14ac:dyDescent="0.25">
      <c r="A27" s="6" t="s">
        <v>316</v>
      </c>
      <c r="B27" s="6" t="s">
        <v>157</v>
      </c>
      <c r="C27" s="19" t="s">
        <v>76</v>
      </c>
      <c r="D27" s="19" t="s">
        <v>76</v>
      </c>
      <c r="E27" s="19">
        <v>-66954.037912658998</v>
      </c>
      <c r="F27" s="19">
        <v>-4375.4720672943404</v>
      </c>
      <c r="G27" s="19">
        <v>-3341.6057391132899</v>
      </c>
      <c r="H27" s="19">
        <v>-748.90304717562105</v>
      </c>
      <c r="I27" s="19">
        <v>-487.29428541375802</v>
      </c>
      <c r="J27" s="19">
        <v>-332.11897171295499</v>
      </c>
      <c r="K27" s="19">
        <v>-342.80206964177103</v>
      </c>
      <c r="L27" s="19">
        <v>-346.42424770235601</v>
      </c>
      <c r="M27" s="19">
        <v>-333.97290382123299</v>
      </c>
      <c r="N27" s="19">
        <v>-206.06355012001401</v>
      </c>
      <c r="O27" s="19">
        <v>-155.81964411018501</v>
      </c>
      <c r="P27" s="19">
        <v>-74.449700848754702</v>
      </c>
      <c r="Q27" s="19">
        <v>-50.104132287837601</v>
      </c>
      <c r="R27" s="19">
        <v>-46.212200700900297</v>
      </c>
      <c r="S27" s="19">
        <v>-38.494656653909999</v>
      </c>
      <c r="T27" s="19">
        <v>-19.191903180553702</v>
      </c>
      <c r="U27" s="19">
        <v>-21.295392092294399</v>
      </c>
      <c r="V27" s="19">
        <v>-10.277083649717699</v>
      </c>
      <c r="W27" s="19">
        <v>-10.014994919076999</v>
      </c>
      <c r="X27" s="19">
        <v>-14.796863863150399</v>
      </c>
      <c r="Y27" s="19">
        <v>-8.6345452081336003</v>
      </c>
      <c r="Z27" s="19">
        <v>-7.0974862047823404</v>
      </c>
      <c r="AA27" s="19">
        <v>-2.22237442922374</v>
      </c>
    </row>
    <row r="28" spans="1:27" x14ac:dyDescent="0.25">
      <c r="A28" s="10" t="s">
        <v>317</v>
      </c>
      <c r="B28" s="10" t="s">
        <v>318</v>
      </c>
      <c r="C28" s="13" t="s">
        <v>76</v>
      </c>
      <c r="D28" s="13" t="s">
        <v>76</v>
      </c>
      <c r="E28" s="13">
        <v>0</v>
      </c>
      <c r="F28" s="13">
        <v>0.30282082070810801</v>
      </c>
      <c r="G28" s="13">
        <v>0</v>
      </c>
      <c r="H28" s="13">
        <v>0</v>
      </c>
      <c r="I28" s="13">
        <v>8.2156561564828798E-2</v>
      </c>
      <c r="J28" s="13">
        <v>3.1489459627647202E-2</v>
      </c>
      <c r="K28" s="13">
        <v>0.118504116491602</v>
      </c>
      <c r="L28" s="13">
        <v>-0.104132889147083</v>
      </c>
      <c r="M28" s="13">
        <v>0</v>
      </c>
      <c r="N28" s="13">
        <v>1.42873471253858E-2</v>
      </c>
      <c r="O28" s="13">
        <v>0</v>
      </c>
      <c r="P28" s="13">
        <v>1.39140114094894E-3</v>
      </c>
      <c r="Q28" s="13">
        <v>0</v>
      </c>
      <c r="R28" s="13">
        <v>1.0492518834071299E-2</v>
      </c>
      <c r="S28" s="13">
        <v>0.12184995306520301</v>
      </c>
      <c r="T28" s="13">
        <v>3.4080191483122399E-2</v>
      </c>
      <c r="U28" s="13">
        <v>0.33913958470541</v>
      </c>
      <c r="V28" s="13">
        <v>0.247815222343407</v>
      </c>
      <c r="W28" s="13">
        <v>3.5318611049148602E-2</v>
      </c>
      <c r="X28" s="13">
        <v>0.21325730577334301</v>
      </c>
      <c r="Y28" s="13">
        <v>-0.159118174106403</v>
      </c>
      <c r="Z28" s="13"/>
      <c r="AA28" s="13"/>
    </row>
    <row r="29" spans="1:27" x14ac:dyDescent="0.25">
      <c r="A29" s="10" t="s">
        <v>319</v>
      </c>
      <c r="B29" s="10" t="s">
        <v>320</v>
      </c>
      <c r="C29" s="13" t="s">
        <v>76</v>
      </c>
      <c r="D29" s="13" t="s">
        <v>76</v>
      </c>
      <c r="E29" s="13">
        <v>0</v>
      </c>
      <c r="F29" s="13" t="s">
        <v>76</v>
      </c>
      <c r="G29" s="13" t="s">
        <v>76</v>
      </c>
      <c r="H29" s="13" t="s">
        <v>76</v>
      </c>
      <c r="I29" s="13" t="s">
        <v>76</v>
      </c>
      <c r="J29" s="13" t="s">
        <v>76</v>
      </c>
      <c r="K29" s="13" t="s">
        <v>76</v>
      </c>
      <c r="L29" s="13" t="s">
        <v>76</v>
      </c>
      <c r="M29" s="13">
        <v>0</v>
      </c>
      <c r="N29" s="13" t="s">
        <v>76</v>
      </c>
      <c r="O29" s="13" t="s">
        <v>76</v>
      </c>
      <c r="P29" s="13" t="s">
        <v>76</v>
      </c>
      <c r="Q29" s="13" t="s">
        <v>76</v>
      </c>
      <c r="R29" s="13" t="s">
        <v>76</v>
      </c>
      <c r="S29" s="13" t="s">
        <v>76</v>
      </c>
      <c r="T29" s="13" t="s">
        <v>76</v>
      </c>
      <c r="U29" s="13" t="s">
        <v>76</v>
      </c>
      <c r="V29" s="13" t="s">
        <v>76</v>
      </c>
      <c r="W29" s="13" t="s">
        <v>76</v>
      </c>
      <c r="X29" s="13" t="s">
        <v>76</v>
      </c>
      <c r="Y29" s="13" t="s">
        <v>76</v>
      </c>
      <c r="Z29" s="13"/>
      <c r="AA29" s="13"/>
    </row>
    <row r="30" spans="1:27" x14ac:dyDescent="0.25">
      <c r="A30" s="10" t="s">
        <v>321</v>
      </c>
      <c r="B30" s="10" t="s">
        <v>322</v>
      </c>
      <c r="C30" s="13" t="s">
        <v>76</v>
      </c>
      <c r="D30" s="13" t="s">
        <v>76</v>
      </c>
      <c r="E30" s="13">
        <v>0</v>
      </c>
      <c r="F30" s="13" t="s">
        <v>76</v>
      </c>
      <c r="G30" s="13" t="s">
        <v>76</v>
      </c>
      <c r="H30" s="13" t="s">
        <v>76</v>
      </c>
      <c r="I30" s="13" t="s">
        <v>76</v>
      </c>
      <c r="J30" s="13" t="s">
        <v>76</v>
      </c>
      <c r="K30" s="13" t="s">
        <v>76</v>
      </c>
      <c r="L30" s="13" t="s">
        <v>76</v>
      </c>
      <c r="M30" s="13">
        <v>0</v>
      </c>
      <c r="N30" s="13" t="s">
        <v>76</v>
      </c>
      <c r="O30" s="13" t="s">
        <v>76</v>
      </c>
      <c r="P30" s="13" t="s">
        <v>76</v>
      </c>
      <c r="Q30" s="13" t="s">
        <v>76</v>
      </c>
      <c r="R30" s="13" t="s">
        <v>76</v>
      </c>
      <c r="S30" s="13" t="s">
        <v>76</v>
      </c>
      <c r="T30" s="13" t="s">
        <v>76</v>
      </c>
      <c r="U30" s="13" t="s">
        <v>76</v>
      </c>
      <c r="V30" s="13" t="s">
        <v>76</v>
      </c>
      <c r="W30" s="13" t="s">
        <v>76</v>
      </c>
      <c r="X30" s="13" t="s">
        <v>76</v>
      </c>
      <c r="Y30" s="13" t="s">
        <v>76</v>
      </c>
      <c r="Z30" s="13"/>
      <c r="AA30" s="13"/>
    </row>
    <row r="31" spans="1:27" x14ac:dyDescent="0.25">
      <c r="A31" s="6" t="s">
        <v>323</v>
      </c>
      <c r="B31" s="6" t="s">
        <v>324</v>
      </c>
      <c r="C31" s="19" t="s">
        <v>76</v>
      </c>
      <c r="D31" s="19" t="s">
        <v>76</v>
      </c>
      <c r="E31" s="19">
        <v>-66954.037912658998</v>
      </c>
      <c r="F31" s="19">
        <v>-4375.7748881150401</v>
      </c>
      <c r="G31" s="19">
        <v>-3341.6057391132899</v>
      </c>
      <c r="H31" s="19">
        <v>-748.90304717562105</v>
      </c>
      <c r="I31" s="19">
        <v>-487.37644197532302</v>
      </c>
      <c r="J31" s="19">
        <v>-332.15046117258299</v>
      </c>
      <c r="K31" s="19">
        <v>-342.92057375826198</v>
      </c>
      <c r="L31" s="19">
        <v>-346.32011481320899</v>
      </c>
      <c r="M31" s="19">
        <v>-333.97290382123299</v>
      </c>
      <c r="N31" s="19">
        <v>-206.07783746713901</v>
      </c>
      <c r="O31" s="19">
        <v>-155.81964411018501</v>
      </c>
      <c r="P31" s="19">
        <v>-74.451092249895694</v>
      </c>
      <c r="Q31" s="19">
        <v>-50.104132287837601</v>
      </c>
      <c r="R31" s="19">
        <v>-46.222693219734303</v>
      </c>
      <c r="S31" s="19">
        <v>-38.6165066069752</v>
      </c>
      <c r="T31" s="19">
        <v>-19.225983372036801</v>
      </c>
      <c r="U31" s="19">
        <v>-21.634531676999799</v>
      </c>
      <c r="V31" s="19">
        <v>-10.524898872061099</v>
      </c>
      <c r="W31" s="19">
        <v>-10.0503135301262</v>
      </c>
      <c r="X31" s="19">
        <v>-15.0101211689237</v>
      </c>
      <c r="Y31" s="19">
        <v>-8.4754270340272004</v>
      </c>
      <c r="Z31" s="19">
        <v>-5.60392397302269</v>
      </c>
      <c r="AA31" s="19">
        <v>-1.4689497716894999</v>
      </c>
    </row>
    <row r="32" spans="1:27" x14ac:dyDescent="0.25">
      <c r="A32" s="10" t="s">
        <v>325</v>
      </c>
      <c r="B32" s="10" t="s">
        <v>326</v>
      </c>
      <c r="C32" s="13" t="s">
        <v>76</v>
      </c>
      <c r="D32" s="13" t="s">
        <v>76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/>
      <c r="AA32" s="13"/>
    </row>
    <row r="33" spans="1:27" x14ac:dyDescent="0.25">
      <c r="A33" s="10" t="s">
        <v>327</v>
      </c>
      <c r="B33" s="10" t="s">
        <v>328</v>
      </c>
      <c r="C33" s="13" t="s">
        <v>76</v>
      </c>
      <c r="D33" s="13" t="s">
        <v>76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/>
      <c r="AA33" s="13"/>
    </row>
    <row r="34" spans="1:27" x14ac:dyDescent="0.25">
      <c r="A34" s="10" t="s">
        <v>329</v>
      </c>
      <c r="B34" s="10" t="s">
        <v>330</v>
      </c>
      <c r="C34" s="13" t="s">
        <v>76</v>
      </c>
      <c r="D34" s="13" t="s">
        <v>76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/>
      <c r="AA34" s="13"/>
    </row>
    <row r="35" spans="1:27" x14ac:dyDescent="0.25">
      <c r="A35" s="6" t="s">
        <v>331</v>
      </c>
      <c r="B35" s="6" t="s">
        <v>332</v>
      </c>
      <c r="C35" s="19" t="s">
        <v>76</v>
      </c>
      <c r="D35" s="19" t="s">
        <v>76</v>
      </c>
      <c r="E35" s="19">
        <v>-66954.037912658998</v>
      </c>
      <c r="F35" s="19">
        <v>-4375.7748881150401</v>
      </c>
      <c r="G35" s="19">
        <v>-3341.6057391132899</v>
      </c>
      <c r="H35" s="19">
        <v>-748.90304717562105</v>
      </c>
      <c r="I35" s="19">
        <v>-487.37644197532302</v>
      </c>
      <c r="J35" s="19">
        <v>-332.15046117258299</v>
      </c>
      <c r="K35" s="19">
        <v>-342.92057375826198</v>
      </c>
      <c r="L35" s="19">
        <v>-346.32011481320899</v>
      </c>
      <c r="M35" s="19">
        <v>-333.97290382123299</v>
      </c>
      <c r="N35" s="19">
        <v>-206.07783746713901</v>
      </c>
      <c r="O35" s="19">
        <v>-155.81964411018501</v>
      </c>
      <c r="P35" s="19">
        <v>-74.451092249895694</v>
      </c>
      <c r="Q35" s="19">
        <v>-50.104132287837601</v>
      </c>
      <c r="R35" s="19">
        <v>-46.222693219734303</v>
      </c>
      <c r="S35" s="19">
        <v>-38.6165066069752</v>
      </c>
      <c r="T35" s="19">
        <v>-19.225983372036801</v>
      </c>
      <c r="U35" s="19">
        <v>-21.634531676999799</v>
      </c>
      <c r="V35" s="19">
        <v>-10.524898872061099</v>
      </c>
      <c r="W35" s="19">
        <v>-10.0503135301262</v>
      </c>
      <c r="X35" s="19">
        <v>-15.0101211689237</v>
      </c>
      <c r="Y35" s="19">
        <v>-8.4754270340272004</v>
      </c>
      <c r="Z35" s="19"/>
      <c r="AA35" s="19"/>
    </row>
    <row r="36" spans="1:27" x14ac:dyDescent="0.25">
      <c r="A36" s="10" t="s">
        <v>333</v>
      </c>
      <c r="B36" s="10" t="s">
        <v>334</v>
      </c>
      <c r="C36" s="13" t="s">
        <v>76</v>
      </c>
      <c r="D36" s="13" t="s">
        <v>76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/>
      <c r="AA36" s="13"/>
    </row>
    <row r="37" spans="1:27" x14ac:dyDescent="0.25">
      <c r="A37" s="6" t="s">
        <v>335</v>
      </c>
      <c r="B37" s="6" t="s">
        <v>336</v>
      </c>
      <c r="C37" s="19" t="s">
        <v>76</v>
      </c>
      <c r="D37" s="19" t="s">
        <v>76</v>
      </c>
      <c r="E37" s="19">
        <v>-66954.037912658998</v>
      </c>
      <c r="F37" s="19">
        <v>-4375.7748881150401</v>
      </c>
      <c r="G37" s="19">
        <v>-3341.6057391132899</v>
      </c>
      <c r="H37" s="19">
        <v>-748.90304717562105</v>
      </c>
      <c r="I37" s="19">
        <v>-487.37644197532302</v>
      </c>
      <c r="J37" s="19">
        <v>-332.15046117258299</v>
      </c>
      <c r="K37" s="19">
        <v>-342.92057375826198</v>
      </c>
      <c r="L37" s="19">
        <v>-346.32011481320899</v>
      </c>
      <c r="M37" s="19">
        <v>-333.97290382123299</v>
      </c>
      <c r="N37" s="19">
        <v>-206.07783746713901</v>
      </c>
      <c r="O37" s="19">
        <v>-155.81964411018501</v>
      </c>
      <c r="P37" s="19">
        <v>-74.451092249895694</v>
      </c>
      <c r="Q37" s="19">
        <v>-50.104132287837601</v>
      </c>
      <c r="R37" s="19">
        <v>-46.222693219734303</v>
      </c>
      <c r="S37" s="19">
        <v>-38.6165066069752</v>
      </c>
      <c r="T37" s="19">
        <v>-19.225983372036801</v>
      </c>
      <c r="U37" s="19">
        <v>-21.634531676999799</v>
      </c>
      <c r="V37" s="19">
        <v>-10.524898872061099</v>
      </c>
      <c r="W37" s="19">
        <v>-10.0503135301262</v>
      </c>
      <c r="X37" s="19">
        <v>-15.0101211689237</v>
      </c>
      <c r="Y37" s="19">
        <v>-8.4754270340272004</v>
      </c>
      <c r="Z37" s="19">
        <v>-5.60392397302269</v>
      </c>
      <c r="AA37" s="19">
        <v>-1.4689497716894999</v>
      </c>
    </row>
    <row r="38" spans="1:27" x14ac:dyDescent="0.25">
      <c r="A38" s="10" t="s">
        <v>337</v>
      </c>
      <c r="B38" s="10" t="s">
        <v>338</v>
      </c>
      <c r="C38" s="13" t="s">
        <v>76</v>
      </c>
      <c r="D38" s="13" t="s">
        <v>76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/>
      <c r="AA38" s="13"/>
    </row>
    <row r="39" spans="1:27" x14ac:dyDescent="0.25">
      <c r="A39" s="10" t="s">
        <v>339</v>
      </c>
      <c r="B39" s="10" t="s">
        <v>340</v>
      </c>
      <c r="C39" s="13" t="s">
        <v>76</v>
      </c>
      <c r="D39" s="13" t="s">
        <v>76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/>
      <c r="AA39" s="13"/>
    </row>
    <row r="40" spans="1:27" x14ac:dyDescent="0.25">
      <c r="A40" s="6" t="s">
        <v>341</v>
      </c>
      <c r="B40" s="6" t="s">
        <v>80</v>
      </c>
      <c r="C40" s="19" t="s">
        <v>76</v>
      </c>
      <c r="D40" s="19" t="s">
        <v>76</v>
      </c>
      <c r="E40" s="19">
        <v>-66954.037912658998</v>
      </c>
      <c r="F40" s="19">
        <v>-4375.7748881150401</v>
      </c>
      <c r="G40" s="19">
        <v>-3341.6057391132899</v>
      </c>
      <c r="H40" s="19">
        <v>-748.90304717562105</v>
      </c>
      <c r="I40" s="19">
        <v>-487.37644197532302</v>
      </c>
      <c r="J40" s="19">
        <v>-332.15046117258299</v>
      </c>
      <c r="K40" s="19">
        <v>-342.92057375826198</v>
      </c>
      <c r="L40" s="19">
        <v>-346.32011481320899</v>
      </c>
      <c r="M40" s="19">
        <v>-333.97290382123299</v>
      </c>
      <c r="N40" s="19">
        <v>-206.07783746713901</v>
      </c>
      <c r="O40" s="19">
        <v>-155.81964411018501</v>
      </c>
      <c r="P40" s="19">
        <v>-74.451092249895694</v>
      </c>
      <c r="Q40" s="19">
        <v>-50.104132287837601</v>
      </c>
      <c r="R40" s="19">
        <v>-46.222693219734303</v>
      </c>
      <c r="S40" s="19">
        <v>-38.6165066069752</v>
      </c>
      <c r="T40" s="19">
        <v>-19.225983372036801</v>
      </c>
      <c r="U40" s="19">
        <v>-21.634531676999799</v>
      </c>
      <c r="V40" s="19">
        <v>-10.524898872061099</v>
      </c>
      <c r="W40" s="19">
        <v>-10.0503135301262</v>
      </c>
      <c r="X40" s="19">
        <v>-15.0101211689237</v>
      </c>
      <c r="Y40" s="19">
        <v>-8.4754270340272004</v>
      </c>
      <c r="Z40" s="19">
        <v>-5.60392397302269</v>
      </c>
      <c r="AA40" s="19">
        <v>-1.4689497716894999</v>
      </c>
    </row>
    <row r="41" spans="1:27" x14ac:dyDescent="0.25">
      <c r="A41" s="6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x14ac:dyDescent="0.25">
      <c r="A42" s="10" t="s">
        <v>343</v>
      </c>
      <c r="B42" s="10" t="s">
        <v>344</v>
      </c>
      <c r="C42" s="13" t="s">
        <v>76</v>
      </c>
      <c r="D42" s="13" t="s">
        <v>76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/>
      <c r="AA42" s="13"/>
    </row>
    <row r="43" spans="1:27" x14ac:dyDescent="0.25">
      <c r="A43" s="10" t="s">
        <v>345</v>
      </c>
      <c r="B43" s="10" t="s">
        <v>326</v>
      </c>
      <c r="C43" s="13" t="s">
        <v>76</v>
      </c>
      <c r="D43" s="13" t="s">
        <v>76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/>
      <c r="AA43" s="13"/>
    </row>
    <row r="44" spans="1:27" x14ac:dyDescent="0.25">
      <c r="A44" s="6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 x14ac:dyDescent="0.25">
      <c r="A45" s="10" t="s">
        <v>229</v>
      </c>
      <c r="B45" s="10" t="s">
        <v>106</v>
      </c>
      <c r="C45" s="13" t="s">
        <v>76</v>
      </c>
      <c r="D45" s="13" t="s">
        <v>76</v>
      </c>
      <c r="E45" s="13">
        <v>91195.372279874005</v>
      </c>
      <c r="F45" s="13">
        <v>6008.9861455552</v>
      </c>
      <c r="G45" s="13">
        <v>3484.11395777694</v>
      </c>
      <c r="H45" s="13">
        <v>943.59981022159695</v>
      </c>
      <c r="I45" s="13">
        <v>644.708601949372</v>
      </c>
      <c r="J45" s="13">
        <v>509.79199385527301</v>
      </c>
      <c r="K45" s="13">
        <v>405.20560110035802</v>
      </c>
      <c r="L45" s="13">
        <v>366.34388998415398</v>
      </c>
      <c r="M45" s="13">
        <v>317.38507601946299</v>
      </c>
      <c r="N45" s="13">
        <v>264.613927305978</v>
      </c>
      <c r="O45" s="13">
        <v>169.641621835585</v>
      </c>
      <c r="P45" s="13">
        <v>131.51077501043599</v>
      </c>
      <c r="Q45" s="13">
        <v>107.83275444127101</v>
      </c>
      <c r="R45" s="13">
        <v>99.820256856861107</v>
      </c>
      <c r="S45" s="13">
        <v>86.601977579608601</v>
      </c>
      <c r="T45" s="13">
        <v>76.199411125993706</v>
      </c>
      <c r="U45" s="13">
        <v>72.888937842073005</v>
      </c>
      <c r="V45" s="13">
        <v>66.872333742907202</v>
      </c>
      <c r="W45" s="13">
        <v>64.269342825984594</v>
      </c>
      <c r="X45" s="13">
        <v>60.309842337847499</v>
      </c>
      <c r="Y45" s="13">
        <v>53.254812948304199</v>
      </c>
      <c r="Z45" s="13"/>
      <c r="AA45" s="13"/>
    </row>
    <row r="46" spans="1:27" x14ac:dyDescent="0.25">
      <c r="A46" s="6" t="s">
        <v>101</v>
      </c>
      <c r="B46" s="6" t="s">
        <v>102</v>
      </c>
      <c r="C46" s="19" t="s">
        <v>76</v>
      </c>
      <c r="D46" s="19" t="s">
        <v>76</v>
      </c>
      <c r="E46" s="19">
        <v>-1220.8602115057799</v>
      </c>
      <c r="F46" s="19">
        <v>-67.375555963705807</v>
      </c>
      <c r="G46" s="19">
        <v>-50.350460182226698</v>
      </c>
      <c r="H46" s="19">
        <v>-10.721176930090101</v>
      </c>
      <c r="I46" s="19">
        <v>-6.1023247448465501</v>
      </c>
      <c r="J46" s="19">
        <v>-4.0936297515941398</v>
      </c>
      <c r="K46" s="19">
        <v>-4.2401287682211404</v>
      </c>
      <c r="L46" s="19">
        <v>-4.2778916622585603</v>
      </c>
      <c r="M46" s="19">
        <v>-4.0902303251546099</v>
      </c>
      <c r="N46" s="19">
        <v>-2.2288261515601802</v>
      </c>
      <c r="O46" s="19">
        <v>-1.6553014627827101</v>
      </c>
      <c r="P46" s="19">
        <v>-0.793098650340893</v>
      </c>
      <c r="Q46" s="19">
        <v>-0.51212600575857203</v>
      </c>
      <c r="R46" s="19">
        <v>-0.48265586636727997</v>
      </c>
      <c r="S46" s="19">
        <v>-0.40616651021734401</v>
      </c>
      <c r="T46" s="19">
        <v>-0.198140648157688</v>
      </c>
      <c r="U46" s="19">
        <v>-0.22710240047237301</v>
      </c>
      <c r="V46" s="19">
        <v>-0.110446895751936</v>
      </c>
      <c r="W46" s="19">
        <v>-9.9139960839715505E-2</v>
      </c>
      <c r="X46" s="19">
        <v>-0.14255167498218099</v>
      </c>
      <c r="Y46" s="19">
        <v>-8.0312012167269797E-2</v>
      </c>
      <c r="Z46" s="19">
        <v>-4.9540159411404099E-2</v>
      </c>
      <c r="AA46" s="19">
        <v>-9.1324200913242004E-3</v>
      </c>
    </row>
    <row r="47" spans="1:27" x14ac:dyDescent="0.25">
      <c r="A47" s="6" t="s">
        <v>346</v>
      </c>
      <c r="B47" s="6" t="s">
        <v>236</v>
      </c>
      <c r="C47" s="19" t="s">
        <v>76</v>
      </c>
      <c r="D47" s="19" t="s">
        <v>76</v>
      </c>
      <c r="E47" s="19">
        <v>-1220.8602115057799</v>
      </c>
      <c r="F47" s="19">
        <v>-67.375555963705807</v>
      </c>
      <c r="G47" s="19">
        <v>-50.350460182226698</v>
      </c>
      <c r="H47" s="19">
        <v>-10.721176930090101</v>
      </c>
      <c r="I47" s="19">
        <v>-6.1023247448465501</v>
      </c>
      <c r="J47" s="19">
        <v>-4.0936297515941398</v>
      </c>
      <c r="K47" s="19">
        <v>-4.2401287682211404</v>
      </c>
      <c r="L47" s="19">
        <v>-4.2778916622585603</v>
      </c>
      <c r="M47" s="19">
        <v>-4.0902303251546099</v>
      </c>
      <c r="N47" s="19">
        <v>-2.2288261515601802</v>
      </c>
      <c r="O47" s="19">
        <v>-1.6553014627827101</v>
      </c>
      <c r="P47" s="19">
        <v>-0.793098650340893</v>
      </c>
      <c r="Q47" s="19">
        <v>-0.51212600575857203</v>
      </c>
      <c r="R47" s="19">
        <v>-0.48265586636727997</v>
      </c>
      <c r="S47" s="19">
        <v>-0.40616651021734401</v>
      </c>
      <c r="T47" s="19">
        <v>-0.198140648157688</v>
      </c>
      <c r="U47" s="19">
        <v>-0.22710240047237301</v>
      </c>
      <c r="V47" s="19">
        <v>-0.110446895751936</v>
      </c>
      <c r="W47" s="19">
        <v>-9.9139960839715505E-2</v>
      </c>
      <c r="X47" s="19">
        <v>-0.14255167498218099</v>
      </c>
      <c r="Y47" s="19">
        <v>-8.0312012167269797E-2</v>
      </c>
      <c r="Z47" s="19">
        <v>-4.9540159411404099E-2</v>
      </c>
      <c r="AA47" s="19">
        <v>-9.1324200913242004E-3</v>
      </c>
    </row>
    <row r="48" spans="1:27" x14ac:dyDescent="0.25">
      <c r="A48" s="6" t="s">
        <v>347</v>
      </c>
      <c r="B48" s="6" t="s">
        <v>238</v>
      </c>
      <c r="C48" s="19" t="s">
        <v>76</v>
      </c>
      <c r="D48" s="19" t="s">
        <v>76</v>
      </c>
      <c r="E48" s="19">
        <v>-1220.8602115057799</v>
      </c>
      <c r="F48" s="19">
        <v>-67.375555963705807</v>
      </c>
      <c r="G48" s="19">
        <v>-50.350460182226698</v>
      </c>
      <c r="H48" s="19">
        <v>-10.721176930090101</v>
      </c>
      <c r="I48" s="19">
        <v>-6.1023247448465501</v>
      </c>
      <c r="J48" s="19">
        <v>-4.0936297515941398</v>
      </c>
      <c r="K48" s="19">
        <v>-4.2401287682211404</v>
      </c>
      <c r="L48" s="19">
        <v>-4.2778916622585603</v>
      </c>
      <c r="M48" s="19">
        <v>-4.0902303251546099</v>
      </c>
      <c r="N48" s="19">
        <v>-2.2288261515601802</v>
      </c>
      <c r="O48" s="19">
        <v>-1.6553014627827101</v>
      </c>
      <c r="P48" s="19">
        <v>-0.793098650340893</v>
      </c>
      <c r="Q48" s="19">
        <v>-0.51212600575857203</v>
      </c>
      <c r="R48" s="19">
        <v>-0.48265586636727997</v>
      </c>
      <c r="S48" s="19">
        <v>-0.40616651021734401</v>
      </c>
      <c r="T48" s="19">
        <v>-0.198140648157688</v>
      </c>
      <c r="U48" s="19">
        <v>-0.22710240047237301</v>
      </c>
      <c r="V48" s="19">
        <v>-0.110446895751936</v>
      </c>
      <c r="W48" s="19">
        <v>-9.9139960839715505E-2</v>
      </c>
      <c r="X48" s="19">
        <v>-0.14255167498218099</v>
      </c>
      <c r="Y48" s="19">
        <v>-8.0312012167269797E-2</v>
      </c>
      <c r="Z48" s="19">
        <v>-4.9540159411404099E-2</v>
      </c>
      <c r="AA48" s="19">
        <v>-9.1324200913242004E-3</v>
      </c>
    </row>
    <row r="49" spans="1:27" x14ac:dyDescent="0.25">
      <c r="A49" s="6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 x14ac:dyDescent="0.25">
      <c r="A50" s="10" t="s">
        <v>228</v>
      </c>
      <c r="B50" s="10" t="s">
        <v>108</v>
      </c>
      <c r="C50" s="13" t="s">
        <v>76</v>
      </c>
      <c r="D50" s="13" t="s">
        <v>76</v>
      </c>
      <c r="E50" s="13">
        <v>91195.372279874005</v>
      </c>
      <c r="F50" s="13">
        <v>6008.9861455552</v>
      </c>
      <c r="G50" s="13">
        <v>3484.11395777694</v>
      </c>
      <c r="H50" s="13">
        <v>943.59981022159695</v>
      </c>
      <c r="I50" s="13">
        <v>644.708601949372</v>
      </c>
      <c r="J50" s="13">
        <v>509.79199385527301</v>
      </c>
      <c r="K50" s="13">
        <v>405.20560110035802</v>
      </c>
      <c r="L50" s="13">
        <v>366.34388998415398</v>
      </c>
      <c r="M50" s="13">
        <v>317.38507601946299</v>
      </c>
      <c r="N50" s="13">
        <v>264.613927305978</v>
      </c>
      <c r="O50" s="13">
        <v>169.641621835585</v>
      </c>
      <c r="P50" s="13">
        <v>131.51077501043599</v>
      </c>
      <c r="Q50" s="13">
        <v>107.83275444127101</v>
      </c>
      <c r="R50" s="13">
        <v>99.820256856861107</v>
      </c>
      <c r="S50" s="13">
        <v>86.601977579608601</v>
      </c>
      <c r="T50" s="13">
        <v>76.199411125993706</v>
      </c>
      <c r="U50" s="13">
        <v>72.888937842073005</v>
      </c>
      <c r="V50" s="13">
        <v>66.872333742907202</v>
      </c>
      <c r="W50" s="13">
        <v>64.269342825984594</v>
      </c>
      <c r="X50" s="13">
        <v>60.309842337847499</v>
      </c>
      <c r="Y50" s="13">
        <v>53.254812948304199</v>
      </c>
      <c r="Z50" s="13"/>
      <c r="AA50" s="13"/>
    </row>
    <row r="51" spans="1:27" x14ac:dyDescent="0.25">
      <c r="A51" s="6" t="s">
        <v>103</v>
      </c>
      <c r="B51" s="6" t="s">
        <v>104</v>
      </c>
      <c r="C51" s="19" t="s">
        <v>76</v>
      </c>
      <c r="D51" s="19" t="s">
        <v>76</v>
      </c>
      <c r="E51" s="19">
        <v>-1220.8602115057799</v>
      </c>
      <c r="F51" s="19">
        <v>-67.375555963705807</v>
      </c>
      <c r="G51" s="19">
        <v>-50.350460182226698</v>
      </c>
      <c r="H51" s="19">
        <v>-10.721176930090101</v>
      </c>
      <c r="I51" s="19">
        <v>-6.1023247448465501</v>
      </c>
      <c r="J51" s="19">
        <v>-4.0936297515941398</v>
      </c>
      <c r="K51" s="19">
        <v>-4.2401287682211404</v>
      </c>
      <c r="L51" s="19">
        <v>-4.2778916622585603</v>
      </c>
      <c r="M51" s="19">
        <v>-4.0902303251546099</v>
      </c>
      <c r="N51" s="19">
        <v>-2.2288261515601802</v>
      </c>
      <c r="O51" s="19">
        <v>-1.6553014627827101</v>
      </c>
      <c r="P51" s="19">
        <v>-0.793098650340893</v>
      </c>
      <c r="Q51" s="19">
        <v>-0.51212600575857203</v>
      </c>
      <c r="R51" s="19">
        <v>-0.48265586636727997</v>
      </c>
      <c r="S51" s="19">
        <v>-0.40616651021734401</v>
      </c>
      <c r="T51" s="19">
        <v>-0.198140648157688</v>
      </c>
      <c r="U51" s="19">
        <v>-0.22710240047237301</v>
      </c>
      <c r="V51" s="19">
        <v>-0.110446895751936</v>
      </c>
      <c r="W51" s="19">
        <v>-9.9139960839715505E-2</v>
      </c>
      <c r="X51" s="19">
        <v>-0.14255167498218099</v>
      </c>
      <c r="Y51" s="19">
        <v>-8.0312012167269797E-2</v>
      </c>
      <c r="Z51" s="19">
        <v>-4.9540159411404099E-2</v>
      </c>
      <c r="AA51" s="19">
        <v>-9.1324200913242004E-3</v>
      </c>
    </row>
    <row r="52" spans="1:27" x14ac:dyDescent="0.25">
      <c r="A52" s="6" t="s">
        <v>348</v>
      </c>
      <c r="B52" s="6" t="s">
        <v>241</v>
      </c>
      <c r="C52" s="19" t="s">
        <v>76</v>
      </c>
      <c r="D52" s="19" t="s">
        <v>76</v>
      </c>
      <c r="E52" s="19">
        <v>-1220.8602115057799</v>
      </c>
      <c r="F52" s="19">
        <v>-67.375555963705807</v>
      </c>
      <c r="G52" s="19">
        <v>-50.350460182226698</v>
      </c>
      <c r="H52" s="19">
        <v>-10.721176930090101</v>
      </c>
      <c r="I52" s="19">
        <v>-6.1023247448465501</v>
      </c>
      <c r="J52" s="19">
        <v>-4.0936297515941398</v>
      </c>
      <c r="K52" s="19">
        <v>-4.2401287682211404</v>
      </c>
      <c r="L52" s="19">
        <v>-4.2778916622585603</v>
      </c>
      <c r="M52" s="19">
        <v>-4.0902303251546099</v>
      </c>
      <c r="N52" s="19">
        <v>-2.2288261515601802</v>
      </c>
      <c r="O52" s="19">
        <v>-1.6553014627827101</v>
      </c>
      <c r="P52" s="19">
        <v>-0.793098650340893</v>
      </c>
      <c r="Q52" s="19">
        <v>-0.51212600575857203</v>
      </c>
      <c r="R52" s="19">
        <v>-0.48265586636727997</v>
      </c>
      <c r="S52" s="19">
        <v>-0.40616651021734401</v>
      </c>
      <c r="T52" s="19">
        <v>-0.198140648157688</v>
      </c>
      <c r="U52" s="19">
        <v>-0.22710240047237301</v>
      </c>
      <c r="V52" s="19">
        <v>-0.110446895751936</v>
      </c>
      <c r="W52" s="19">
        <v>-9.9139960839715505E-2</v>
      </c>
      <c r="X52" s="19">
        <v>-0.14255167498218099</v>
      </c>
      <c r="Y52" s="19">
        <v>-8.0312012167269797E-2</v>
      </c>
      <c r="Z52" s="19">
        <v>-4.9540159411404099E-2</v>
      </c>
      <c r="AA52" s="19">
        <v>-9.1324200913242004E-3</v>
      </c>
    </row>
    <row r="53" spans="1:27" x14ac:dyDescent="0.25">
      <c r="A53" s="6" t="s">
        <v>349</v>
      </c>
      <c r="B53" s="6" t="s">
        <v>82</v>
      </c>
      <c r="C53" s="19" t="s">
        <v>76</v>
      </c>
      <c r="D53" s="19" t="s">
        <v>76</v>
      </c>
      <c r="E53" s="19">
        <v>-1220.8602115057799</v>
      </c>
      <c r="F53" s="19">
        <v>-67.375555963705807</v>
      </c>
      <c r="G53" s="19">
        <v>-50.350460182226698</v>
      </c>
      <c r="H53" s="19">
        <v>-10.721176930090101</v>
      </c>
      <c r="I53" s="19">
        <v>-6.1023247448465501</v>
      </c>
      <c r="J53" s="19">
        <v>-4.0936297515941398</v>
      </c>
      <c r="K53" s="19">
        <v>-4.2401287682211404</v>
      </c>
      <c r="L53" s="19">
        <v>-4.2778916622585603</v>
      </c>
      <c r="M53" s="19">
        <v>-4.0902303251546099</v>
      </c>
      <c r="N53" s="19">
        <v>-2.2288261515601802</v>
      </c>
      <c r="O53" s="19">
        <v>-1.6553014627827101</v>
      </c>
      <c r="P53" s="19">
        <v>-0.793098650340893</v>
      </c>
      <c r="Q53" s="19">
        <v>-0.51212600575857203</v>
      </c>
      <c r="R53" s="19">
        <v>-0.48265586636727997</v>
      </c>
      <c r="S53" s="19">
        <v>-0.40616651021734401</v>
      </c>
      <c r="T53" s="19">
        <v>-0.198140648157688</v>
      </c>
      <c r="U53" s="19">
        <v>-0.22710240047237301</v>
      </c>
      <c r="V53" s="19">
        <v>-0.110446895751936</v>
      </c>
      <c r="W53" s="19">
        <v>-9.9139960839715505E-2</v>
      </c>
      <c r="X53" s="19">
        <v>-0.14255167498218099</v>
      </c>
      <c r="Y53" s="19">
        <v>-8.0312012167269797E-2</v>
      </c>
      <c r="Z53" s="19">
        <v>-4.9540159411404099E-2</v>
      </c>
      <c r="AA53" s="19">
        <v>-9.1324200913242004E-3</v>
      </c>
    </row>
    <row r="54" spans="1:27" x14ac:dyDescent="0.25">
      <c r="A54" s="6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x14ac:dyDescent="0.25">
      <c r="A55" s="6" t="s">
        <v>4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 x14ac:dyDescent="0.25">
      <c r="A56" s="10" t="s">
        <v>350</v>
      </c>
      <c r="B56" s="10" t="s">
        <v>351</v>
      </c>
      <c r="C56" s="12" t="s">
        <v>352</v>
      </c>
      <c r="D56" s="12" t="s">
        <v>352</v>
      </c>
      <c r="E56" s="12" t="s">
        <v>352</v>
      </c>
      <c r="F56" s="12" t="s">
        <v>352</v>
      </c>
      <c r="G56" s="12" t="s">
        <v>352</v>
      </c>
      <c r="H56" s="12" t="s">
        <v>352</v>
      </c>
      <c r="I56" s="12" t="s">
        <v>352</v>
      </c>
      <c r="J56" s="12" t="s">
        <v>352</v>
      </c>
      <c r="K56" s="12" t="s">
        <v>352</v>
      </c>
      <c r="L56" s="12" t="s">
        <v>352</v>
      </c>
      <c r="M56" s="12" t="s">
        <v>352</v>
      </c>
      <c r="N56" s="12" t="s">
        <v>352</v>
      </c>
      <c r="O56" s="12" t="s">
        <v>352</v>
      </c>
      <c r="P56" s="12" t="s">
        <v>352</v>
      </c>
      <c r="Q56" s="12" t="s">
        <v>352</v>
      </c>
      <c r="R56" s="12" t="s">
        <v>352</v>
      </c>
      <c r="S56" s="12" t="s">
        <v>352</v>
      </c>
      <c r="T56" s="12" t="s">
        <v>352</v>
      </c>
      <c r="U56" s="12" t="s">
        <v>352</v>
      </c>
      <c r="V56" s="12" t="s">
        <v>352</v>
      </c>
      <c r="W56" s="12" t="s">
        <v>352</v>
      </c>
      <c r="X56" s="12" t="s">
        <v>352</v>
      </c>
      <c r="Y56" s="12" t="s">
        <v>352</v>
      </c>
      <c r="Z56" s="12"/>
      <c r="AA56" s="12"/>
    </row>
    <row r="57" spans="1:27" x14ac:dyDescent="0.25">
      <c r="A57" s="10" t="s">
        <v>78</v>
      </c>
      <c r="B57" s="10" t="s">
        <v>78</v>
      </c>
      <c r="C57" s="13" t="s">
        <v>76</v>
      </c>
      <c r="D57" s="13" t="s">
        <v>76</v>
      </c>
      <c r="E57" s="13">
        <v>-67356.835992278895</v>
      </c>
      <c r="F57" s="13">
        <v>-4441.1310233054801</v>
      </c>
      <c r="G57" s="13">
        <v>-3353.5513333431199</v>
      </c>
      <c r="H57" s="13">
        <v>-746.62018290056403</v>
      </c>
      <c r="I57" s="13">
        <v>-488.38102915706799</v>
      </c>
      <c r="J57" s="13">
        <v>-329.32738073382899</v>
      </c>
      <c r="K57" s="13">
        <v>-340.28516412366201</v>
      </c>
      <c r="L57" s="13">
        <v>-343.98697521583199</v>
      </c>
      <c r="M57" s="13">
        <v>-330.75879304081201</v>
      </c>
      <c r="N57" s="13">
        <v>-207.140816093268</v>
      </c>
      <c r="O57" s="13">
        <v>-157.88517245722301</v>
      </c>
      <c r="P57" s="13">
        <v>-77.165715875887003</v>
      </c>
      <c r="Q57" s="13">
        <v>-45.596285379371601</v>
      </c>
      <c r="R57" s="13">
        <v>-49.4963590959646</v>
      </c>
      <c r="S57" s="13">
        <v>-42.472380677305203</v>
      </c>
      <c r="T57" s="13">
        <v>-22.714843904797402</v>
      </c>
      <c r="U57" s="13">
        <v>-19.891142249373601</v>
      </c>
      <c r="V57" s="13">
        <v>-13.7223365040796</v>
      </c>
      <c r="W57" s="13">
        <v>-16.457853124147999</v>
      </c>
      <c r="X57" s="13">
        <v>-21.472843905915902</v>
      </c>
      <c r="Y57" s="13">
        <v>-13.543616951858001</v>
      </c>
      <c r="Z57" s="13">
        <v>-6.2440220723482502</v>
      </c>
      <c r="AA57" s="13">
        <v>-2.04566210045662</v>
      </c>
    </row>
    <row r="58" spans="1:27" x14ac:dyDescent="0.25">
      <c r="A58" s="10" t="s">
        <v>353</v>
      </c>
      <c r="B58" s="10" t="s">
        <v>354</v>
      </c>
      <c r="C58" s="13" t="s">
        <v>76</v>
      </c>
      <c r="D58" s="13" t="s">
        <v>76</v>
      </c>
      <c r="E58" s="13">
        <v>-408637323.67478901</v>
      </c>
      <c r="F58" s="13">
        <v>-1310785.80249363</v>
      </c>
      <c r="G58" s="13">
        <v>-323752.74378538999</v>
      </c>
      <c r="H58" s="13">
        <v>-27079.0110569262</v>
      </c>
      <c r="I58" s="13">
        <v>-8021.2319871016098</v>
      </c>
      <c r="J58" s="13">
        <v>-3886.3201096286598</v>
      </c>
      <c r="K58" s="13">
        <v>-2114.8646693066198</v>
      </c>
      <c r="L58" s="13">
        <v>-1644.1284563507099</v>
      </c>
      <c r="M58" s="13">
        <v>-1309.9323413576899</v>
      </c>
      <c r="N58" s="13">
        <v>-838.48119785118297</v>
      </c>
      <c r="O58" s="13">
        <v>-417.852003454542</v>
      </c>
      <c r="P58" s="13">
        <v>-222.34634200639999</v>
      </c>
      <c r="Q58" s="13">
        <v>-116.28454176103099</v>
      </c>
      <c r="R58" s="13">
        <v>-77.842664680083104</v>
      </c>
      <c r="S58" s="13">
        <v>-46.815818831684602</v>
      </c>
      <c r="T58" s="13">
        <v>-30.740049772930799</v>
      </c>
      <c r="U58" s="13">
        <v>-24.3166223816986</v>
      </c>
      <c r="V58" s="13">
        <v>-16.369293692101699</v>
      </c>
      <c r="W58" s="13">
        <v>-11.1270478598161</v>
      </c>
      <c r="X58" s="13">
        <v>-10.254704490377801</v>
      </c>
      <c r="Y58" s="13">
        <v>-8.1892417040201195</v>
      </c>
      <c r="Z58" s="13">
        <v>-0.67806678619341598</v>
      </c>
      <c r="AA58" s="13"/>
    </row>
    <row r="59" spans="1:27" x14ac:dyDescent="0.25">
      <c r="A59" s="10" t="s">
        <v>355</v>
      </c>
      <c r="B59" s="10" t="s">
        <v>355</v>
      </c>
      <c r="C59" s="13" t="s">
        <v>76</v>
      </c>
      <c r="D59" s="13" t="s">
        <v>76</v>
      </c>
      <c r="E59" s="13">
        <v>-67590.548232227404</v>
      </c>
      <c r="F59" s="13">
        <v>-4454.86474587878</v>
      </c>
      <c r="G59" s="13">
        <v>-3360.49025613699</v>
      </c>
      <c r="H59" s="13">
        <v>-748.26288434401499</v>
      </c>
      <c r="I59" s="13">
        <v>-489.39250554227601</v>
      </c>
      <c r="J59" s="13">
        <v>-330.12726339150697</v>
      </c>
      <c r="K59" s="13">
        <v>-340.91161072465201</v>
      </c>
      <c r="L59" s="13">
        <v>-344.59013542499099</v>
      </c>
      <c r="M59" s="13">
        <v>-331.33074747673697</v>
      </c>
      <c r="N59" s="13">
        <v>-207.62944336495599</v>
      </c>
      <c r="O59" s="13">
        <v>-158.19464186113501</v>
      </c>
      <c r="P59" s="13">
        <v>-77.402254069848297</v>
      </c>
      <c r="Q59" s="13">
        <v>-45.7590276434237</v>
      </c>
      <c r="R59" s="13">
        <v>-49.636958848341102</v>
      </c>
      <c r="S59" s="13">
        <v>-42.583399523431297</v>
      </c>
      <c r="T59" s="13">
        <v>-22.821839854802501</v>
      </c>
      <c r="U59" s="13">
        <v>-19.994095337587702</v>
      </c>
      <c r="V59" s="13">
        <v>-13.813455193075001</v>
      </c>
      <c r="W59" s="13">
        <v>-16.537784717575001</v>
      </c>
      <c r="X59" s="13">
        <v>-21.5515324305061</v>
      </c>
      <c r="Y59" s="13">
        <v>-13.5983295101469</v>
      </c>
      <c r="Z59" s="13"/>
      <c r="AA59" s="13"/>
    </row>
    <row r="60" spans="1:27" x14ac:dyDescent="0.25">
      <c r="A60" s="10" t="s">
        <v>141</v>
      </c>
      <c r="B60" s="10" t="s">
        <v>141</v>
      </c>
      <c r="C60" s="13" t="s">
        <v>76</v>
      </c>
      <c r="D60" s="13" t="s">
        <v>76</v>
      </c>
      <c r="E60" s="13">
        <v>-68910.397109530997</v>
      </c>
      <c r="F60" s="13">
        <v>-4530.3622866709902</v>
      </c>
      <c r="G60" s="13">
        <v>-3402.4489729555098</v>
      </c>
      <c r="H60" s="13">
        <v>-759.11977237448605</v>
      </c>
      <c r="I60" s="13">
        <v>-492.46833415366802</v>
      </c>
      <c r="J60" s="13">
        <v>-335.16557693192999</v>
      </c>
      <c r="K60" s="13">
        <v>-344.902320153566</v>
      </c>
      <c r="L60" s="13">
        <v>-348.19257050899802</v>
      </c>
      <c r="M60" s="13">
        <v>-335.02708083066398</v>
      </c>
      <c r="N60" s="13">
        <v>-207.62944336495599</v>
      </c>
      <c r="O60" s="13">
        <v>-158.19464186113501</v>
      </c>
      <c r="P60" s="13">
        <v>-77.402254069848297</v>
      </c>
      <c r="Q60" s="13">
        <v>-53.957595966723197</v>
      </c>
      <c r="R60" s="13">
        <v>-50.7753971418379</v>
      </c>
      <c r="S60" s="13">
        <v>-42.583399523431297</v>
      </c>
      <c r="T60" s="13">
        <v>-23.5494123148376</v>
      </c>
      <c r="U60" s="13">
        <v>-25.8117018296883</v>
      </c>
      <c r="V60" s="13">
        <v>-14.4630209987161</v>
      </c>
      <c r="W60" s="13">
        <v>-17.1778570897464</v>
      </c>
      <c r="X60" s="13">
        <v>-22.151960085531002</v>
      </c>
      <c r="Y60" s="13">
        <v>-14.655436370298601</v>
      </c>
      <c r="Z60" s="13">
        <v>-9.5450643776823991</v>
      </c>
      <c r="AA60" s="13">
        <v>-6.6684931506849301</v>
      </c>
    </row>
    <row r="61" spans="1:27" x14ac:dyDescent="0.25">
      <c r="A61" s="10" t="s">
        <v>356</v>
      </c>
      <c r="B61" s="10" t="s">
        <v>152</v>
      </c>
      <c r="C61" s="13" t="s">
        <v>76</v>
      </c>
      <c r="D61" s="13" t="s">
        <v>76</v>
      </c>
      <c r="E61" s="13" t="s">
        <v>76</v>
      </c>
      <c r="F61" s="13">
        <v>8639.1080953114906</v>
      </c>
      <c r="G61" s="13">
        <v>4891.25013898825</v>
      </c>
      <c r="H61" s="13">
        <v>1254.6899856336199</v>
      </c>
      <c r="I61" s="13">
        <v>729.37157296252599</v>
      </c>
      <c r="J61" s="13">
        <v>572.07035450644696</v>
      </c>
      <c r="K61" s="13">
        <v>448.07454006699697</v>
      </c>
      <c r="L61" s="13">
        <v>409.72291375216503</v>
      </c>
      <c r="M61" s="13">
        <v>351.03221442031298</v>
      </c>
      <c r="N61" s="13">
        <v>259.98595268030601</v>
      </c>
      <c r="O61" s="13">
        <v>164.8707803307</v>
      </c>
      <c r="P61" s="13">
        <v>127.814530402115</v>
      </c>
      <c r="Q61" s="13">
        <v>105.01412784941201</v>
      </c>
      <c r="R61" s="13">
        <v>97.492813673850506</v>
      </c>
      <c r="S61" s="13">
        <v>84.423723734565698</v>
      </c>
      <c r="T61" s="13">
        <v>73.521827966363603</v>
      </c>
      <c r="U61" s="13">
        <v>69.567899832701201</v>
      </c>
      <c r="V61" s="13">
        <v>64.311914458879201</v>
      </c>
      <c r="W61" s="13">
        <v>57.603279673829498</v>
      </c>
      <c r="X61" s="13">
        <v>52.044793727726301</v>
      </c>
      <c r="Y61" s="13">
        <v>45.053888858214201</v>
      </c>
      <c r="Z61" s="13">
        <v>45.370938074800698</v>
      </c>
      <c r="AA61" s="13">
        <v>42.214611872146101</v>
      </c>
    </row>
    <row r="62" spans="1:27" x14ac:dyDescent="0.25">
      <c r="A62" s="10" t="s">
        <v>357</v>
      </c>
      <c r="B62" s="10" t="s">
        <v>358</v>
      </c>
      <c r="C62" s="13" t="s">
        <v>76</v>
      </c>
      <c r="D62" s="13" t="s">
        <v>76</v>
      </c>
      <c r="E62" s="13">
        <v>-113689137.82521901</v>
      </c>
      <c r="F62" s="13">
        <v>-418131.06548442598</v>
      </c>
      <c r="G62" s="13">
        <v>-178452.991184474</v>
      </c>
      <c r="H62" s="13">
        <v>-10302.0979579008</v>
      </c>
      <c r="I62" s="13">
        <v>-3954.21276397573</v>
      </c>
      <c r="J62" s="13">
        <v>-2110.8365811037202</v>
      </c>
      <c r="K62" s="13">
        <v>-1720.5061755979</v>
      </c>
      <c r="L62" s="13">
        <v>-1567.92641720134</v>
      </c>
      <c r="M62" s="13">
        <v>-1305.0837394802199</v>
      </c>
      <c r="N62" s="13">
        <v>-593.29478511829905</v>
      </c>
      <c r="O62" s="13">
        <v>-284.63024163802902</v>
      </c>
      <c r="P62" s="13">
        <v>-107.697584527619</v>
      </c>
      <c r="Q62" s="13">
        <v>-61.406862488477202</v>
      </c>
      <c r="R62" s="13">
        <v>-53.276180932994798</v>
      </c>
      <c r="S62" s="13">
        <v>-38.435446602642799</v>
      </c>
      <c r="T62" s="13">
        <v>-18.664383029649802</v>
      </c>
      <c r="U62" s="13">
        <v>-19.539664948258501</v>
      </c>
      <c r="V62" s="13">
        <v>-9.9837235790316594</v>
      </c>
      <c r="W62" s="13">
        <v>-10.643825439314</v>
      </c>
      <c r="X62" s="13">
        <v>-12.631196008553101</v>
      </c>
      <c r="Y62" s="13">
        <v>-7.3562972146790298</v>
      </c>
      <c r="Z62" s="13">
        <v>-4.6818218897277299</v>
      </c>
      <c r="AA62" s="13">
        <v>-3.0449740414086399</v>
      </c>
    </row>
    <row r="63" spans="1:27" x14ac:dyDescent="0.25">
      <c r="A63" s="10" t="s">
        <v>359</v>
      </c>
      <c r="B63" s="10" t="s">
        <v>360</v>
      </c>
      <c r="C63" s="13" t="s">
        <v>76</v>
      </c>
      <c r="D63" s="13" t="s">
        <v>76</v>
      </c>
      <c r="E63" s="13">
        <v>-110461514.713015</v>
      </c>
      <c r="F63" s="13">
        <v>-403863.37787811301</v>
      </c>
      <c r="G63" s="13">
        <v>-175261.86115231199</v>
      </c>
      <c r="H63" s="13">
        <v>-10163.445658696901</v>
      </c>
      <c r="I63" s="13">
        <v>-3913.3280553577201</v>
      </c>
      <c r="J63" s="13">
        <v>-2091.8477063927799</v>
      </c>
      <c r="K63" s="13">
        <v>-1710.6204600380099</v>
      </c>
      <c r="L63" s="13">
        <v>-1559.49466571676</v>
      </c>
      <c r="M63" s="13">
        <v>-1300.9772378292901</v>
      </c>
      <c r="N63" s="13">
        <v>-588.86111841353295</v>
      </c>
      <c r="O63" s="13">
        <v>-280.35704852552198</v>
      </c>
      <c r="P63" s="13">
        <v>-103.59133435369399</v>
      </c>
      <c r="Q63" s="13">
        <v>-57.021397762578403</v>
      </c>
      <c r="R63" s="13">
        <v>-48.499247686399599</v>
      </c>
      <c r="S63" s="13">
        <v>-34.854959744385901</v>
      </c>
      <c r="T63" s="13">
        <v>-15.237794932354801</v>
      </c>
      <c r="U63" s="13">
        <v>-16.377513834321199</v>
      </c>
      <c r="V63" s="13">
        <v>-7.2652651415791096</v>
      </c>
      <c r="W63" s="13">
        <v>-6.2274233524177802</v>
      </c>
      <c r="X63" s="13">
        <v>-8.5588715609408403</v>
      </c>
      <c r="Y63" s="13">
        <v>-4.25424122716755</v>
      </c>
      <c r="Z63" s="13">
        <v>-2.7487058114151699</v>
      </c>
      <c r="AA63" s="13">
        <v>-0.67075332040616298</v>
      </c>
    </row>
    <row r="64" spans="1:27" x14ac:dyDescent="0.25">
      <c r="A64" s="10" t="s">
        <v>361</v>
      </c>
      <c r="B64" s="10" t="s">
        <v>362</v>
      </c>
      <c r="C64" s="13" t="s">
        <v>76</v>
      </c>
      <c r="D64" s="13" t="s">
        <v>76</v>
      </c>
      <c r="E64" s="13">
        <v>333333.33278339601</v>
      </c>
      <c r="F64" s="13" t="s">
        <v>76</v>
      </c>
      <c r="G64" s="13" t="s">
        <v>76</v>
      </c>
      <c r="H64" s="13" t="s">
        <v>76</v>
      </c>
      <c r="I64" s="13">
        <v>261096.60574244801</v>
      </c>
      <c r="J64" s="13" t="s">
        <v>76</v>
      </c>
      <c r="K64" s="13" t="s">
        <v>76</v>
      </c>
      <c r="L64" s="13" t="s">
        <v>76</v>
      </c>
      <c r="M64" s="13">
        <v>195312.50000097399</v>
      </c>
      <c r="N64" s="13" t="s">
        <v>76</v>
      </c>
      <c r="O64" s="13" t="s">
        <v>76</v>
      </c>
      <c r="P64" s="13" t="s">
        <v>76</v>
      </c>
      <c r="Q64" s="13">
        <v>178253.11943006099</v>
      </c>
      <c r="R64" s="13" t="s">
        <v>76</v>
      </c>
      <c r="S64" s="13" t="s">
        <v>76</v>
      </c>
      <c r="T64" s="13" t="s">
        <v>76</v>
      </c>
      <c r="U64" s="13" t="s">
        <v>76</v>
      </c>
      <c r="V64" s="13" t="s">
        <v>76</v>
      </c>
      <c r="W64" s="13" t="s">
        <v>76</v>
      </c>
      <c r="X64" s="13" t="s">
        <v>76</v>
      </c>
      <c r="Y64" s="13">
        <v>116279.069767547</v>
      </c>
      <c r="Z64" s="13"/>
      <c r="AA64" s="13"/>
    </row>
    <row r="65" spans="1:27" x14ac:dyDescent="0.25">
      <c r="A65" s="10" t="s">
        <v>363</v>
      </c>
      <c r="B65" s="10" t="s">
        <v>244</v>
      </c>
      <c r="C65" s="13" t="s">
        <v>76</v>
      </c>
      <c r="D65" s="13" t="s">
        <v>76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/>
      <c r="AA65" s="13"/>
    </row>
    <row r="66" spans="1:27" x14ac:dyDescent="0.25">
      <c r="A66" s="10" t="s">
        <v>364</v>
      </c>
      <c r="B66" s="10" t="s">
        <v>365</v>
      </c>
      <c r="C66" s="13" t="s">
        <v>76</v>
      </c>
      <c r="D66" s="13" t="s">
        <v>76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/>
      <c r="AA66" s="13"/>
    </row>
    <row r="67" spans="1:27" x14ac:dyDescent="0.25">
      <c r="A67" s="10" t="s">
        <v>366</v>
      </c>
      <c r="B67" s="10" t="s">
        <v>367</v>
      </c>
      <c r="C67" s="13" t="s">
        <v>76</v>
      </c>
      <c r="D67" s="13" t="s">
        <v>76</v>
      </c>
      <c r="E67" s="13" t="s">
        <v>76</v>
      </c>
      <c r="F67" s="13" t="s">
        <v>76</v>
      </c>
      <c r="G67" s="13" t="s">
        <v>76</v>
      </c>
      <c r="H67" s="13">
        <v>0</v>
      </c>
      <c r="I67" s="13">
        <v>0</v>
      </c>
      <c r="J67" s="13" t="s">
        <v>76</v>
      </c>
      <c r="K67" s="13" t="s">
        <v>76</v>
      </c>
      <c r="L67" s="13" t="s">
        <v>76</v>
      </c>
      <c r="M67" s="13">
        <v>0</v>
      </c>
      <c r="N67" s="13" t="s">
        <v>76</v>
      </c>
      <c r="O67" s="13" t="s">
        <v>76</v>
      </c>
      <c r="P67" s="13" t="s">
        <v>76</v>
      </c>
      <c r="Q67" s="13">
        <v>0</v>
      </c>
      <c r="R67" s="13" t="s">
        <v>76</v>
      </c>
      <c r="S67" s="13" t="s">
        <v>76</v>
      </c>
      <c r="T67" s="13" t="s">
        <v>76</v>
      </c>
      <c r="U67" s="13">
        <v>0</v>
      </c>
      <c r="V67" s="13" t="s">
        <v>76</v>
      </c>
      <c r="W67" s="13" t="s">
        <v>76</v>
      </c>
      <c r="X67" s="13" t="s">
        <v>76</v>
      </c>
      <c r="Y67" s="13">
        <v>0</v>
      </c>
      <c r="Z67" s="13"/>
      <c r="AA67" s="13"/>
    </row>
    <row r="68" spans="1:27" x14ac:dyDescent="0.25">
      <c r="A68" s="10" t="s">
        <v>368</v>
      </c>
      <c r="B68" s="10" t="s">
        <v>369</v>
      </c>
      <c r="C68" s="13" t="s">
        <v>76</v>
      </c>
      <c r="D68" s="13" t="s">
        <v>76</v>
      </c>
      <c r="E68" s="13">
        <v>233.71223994852599</v>
      </c>
      <c r="F68" s="13">
        <v>13.733722573303201</v>
      </c>
      <c r="G68" s="13">
        <v>6.9389227938631199</v>
      </c>
      <c r="H68" s="13">
        <v>1.6427014434504099</v>
      </c>
      <c r="I68" s="13">
        <v>1.01147638520764</v>
      </c>
      <c r="J68" s="13">
        <v>0.79988265767764399</v>
      </c>
      <c r="K68" s="13">
        <v>0.62644660099056404</v>
      </c>
      <c r="L68" s="13">
        <v>0.603160209159182</v>
      </c>
      <c r="M68" s="13">
        <v>0.57195443592490602</v>
      </c>
      <c r="N68" s="13">
        <v>0.48862727168819298</v>
      </c>
      <c r="O68" s="13">
        <v>0.30946940391154898</v>
      </c>
      <c r="P68" s="13">
        <v>0.236538193961319</v>
      </c>
      <c r="Q68" s="13">
        <v>0.16274226405216899</v>
      </c>
      <c r="R68" s="13">
        <v>0.140599752376556</v>
      </c>
      <c r="S68" s="13">
        <v>0.111018846126074</v>
      </c>
      <c r="T68" s="13">
        <v>0.106995950005152</v>
      </c>
      <c r="U68" s="13">
        <v>0.10295308821414199</v>
      </c>
      <c r="V68" s="13">
        <v>9.1118688995347405E-2</v>
      </c>
      <c r="W68" s="13">
        <v>7.9931593427020595E-2</v>
      </c>
      <c r="X68" s="13">
        <v>7.86885245901639E-2</v>
      </c>
      <c r="Y68" s="13">
        <v>5.4712558288952599E-2</v>
      </c>
      <c r="Z68" s="13"/>
      <c r="AA68" s="13"/>
    </row>
    <row r="69" spans="1:27" x14ac:dyDescent="0.25">
      <c r="A69" s="10" t="s">
        <v>370</v>
      </c>
      <c r="B69" s="10" t="s">
        <v>371</v>
      </c>
      <c r="C69" s="13" t="s">
        <v>76</v>
      </c>
      <c r="D69" s="13" t="s">
        <v>76</v>
      </c>
      <c r="E69" s="13">
        <v>1319.8488773035499</v>
      </c>
      <c r="F69" s="13">
        <v>75.497540792207303</v>
      </c>
      <c r="G69" s="13">
        <v>41.958716818522298</v>
      </c>
      <c r="H69" s="13">
        <v>10.8568880304709</v>
      </c>
      <c r="I69" s="13">
        <v>3.0758286113919202</v>
      </c>
      <c r="J69" s="13">
        <v>5.03831354042355</v>
      </c>
      <c r="K69" s="13">
        <v>3.9907094289140201</v>
      </c>
      <c r="L69" s="13">
        <v>3.6024350840072099</v>
      </c>
      <c r="M69" s="13">
        <v>3.69633335392732</v>
      </c>
      <c r="N69" s="13" t="s">
        <v>76</v>
      </c>
      <c r="O69" s="13" t="s">
        <v>76</v>
      </c>
      <c r="P69" s="13" t="s">
        <v>76</v>
      </c>
      <c r="Q69" s="13">
        <v>8.1985683232994599</v>
      </c>
      <c r="R69" s="13">
        <v>2.2674333200428101</v>
      </c>
      <c r="S69" s="13" t="s">
        <v>76</v>
      </c>
      <c r="T69" s="13">
        <v>1.9671403549095301</v>
      </c>
      <c r="U69" s="13">
        <v>5.8176064921006203</v>
      </c>
      <c r="V69" s="13">
        <v>1.30327336987285</v>
      </c>
      <c r="W69" s="13">
        <v>1.3297147247626799</v>
      </c>
      <c r="X69" s="13">
        <v>1.1980042765502501</v>
      </c>
      <c r="Y69" s="13">
        <v>1.05710686015169</v>
      </c>
      <c r="Z69" s="13"/>
      <c r="AA69" s="13"/>
    </row>
    <row r="70" spans="1:27" x14ac:dyDescent="0.25">
      <c r="A70" s="7" t="s">
        <v>90</v>
      </c>
      <c r="B70" s="7"/>
      <c r="C70" s="7" t="s">
        <v>5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8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538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539</v>
      </c>
      <c r="Z4" s="4" t="s">
        <v>31</v>
      </c>
      <c r="AA4" s="4" t="s">
        <v>32</v>
      </c>
    </row>
    <row r="5" spans="1:27" x14ac:dyDescent="0.25">
      <c r="A5" s="9" t="s">
        <v>33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56</v>
      </c>
      <c r="Z5" s="5" t="s">
        <v>57</v>
      </c>
      <c r="AA5" s="5" t="s">
        <v>58</v>
      </c>
    </row>
    <row r="6" spans="1:27" x14ac:dyDescent="0.25">
      <c r="A6" s="6" t="s">
        <v>0</v>
      </c>
      <c r="B6" s="6" t="s">
        <v>70</v>
      </c>
      <c r="C6" s="19">
        <f>_xll.BDH("ITCI US Equity","SALES_REV_TURN","FQ3 2019","FQ3 2019","Currency=USD","Period=FQ","BEST_FPERIOD_OVERRIDE=FQ","FILING_STATUS=MR","SCALING_FORMAT=MLN","FA_ADJUSTED=GAAP","Sort=A","Dates=H","DateFormat=P","Fill=—","Direction=H","UseDPDF=Y")</f>
        <v>0</v>
      </c>
      <c r="D6" s="19">
        <f>_xll.BDH("ITCI US Equity","SALES_REV_TURN","FQ4 2019","FQ4 2019","Currency=USD","Period=FQ","BEST_FPERIOD_OVERRIDE=FQ","FILING_STATUS=MR","SCALING_FORMAT=MLN","FA_ADJUSTED=GAAP","Sort=A","Dates=H","DateFormat=P","Fill=—","Direction=H","UseDPDF=Y")</f>
        <v>6.0600000000000001E-2</v>
      </c>
      <c r="E6" s="19">
        <f>_xll.BDH("ITCI US Equity","SALES_REV_TURN","FQ1 2020","FQ1 2020","Currency=USD","Period=FQ","BEST_FPERIOD_OVERRIDE=FQ","FILING_STATUS=MR","SCALING_FORMAT=MLN","FA_ADJUSTED=GAAP","Sort=A","Dates=H","DateFormat=P","Fill=—","Direction=H","UseDPDF=Y")</f>
        <v>1.0834999999999999</v>
      </c>
      <c r="F6" s="19">
        <f>_xll.BDH("ITCI US Equity","SALES_REV_TURN","FQ2 2020","FQ2 2020","Currency=USD","Period=FQ","BEST_FPERIOD_OVERRIDE=FQ","FILING_STATUS=MR","SCALING_FORMAT=MLN","FA_ADJUSTED=GAAP","Sort=A","Dates=H","DateFormat=P","Fill=—","Direction=H","UseDPDF=Y")</f>
        <v>1.9066000000000001</v>
      </c>
      <c r="G6" s="19">
        <f>_xll.BDH("ITCI US Equity","SALES_REV_TURN","FQ3 2020","FQ3 2020","Currency=USD","Period=FQ","BEST_FPERIOD_OVERRIDE=FQ","FILING_STATUS=MR","SCALING_FORMAT=MLN","FA_ADJUSTED=GAAP","Sort=A","Dates=H","DateFormat=P","Fill=—","Direction=H","UseDPDF=Y")</f>
        <v>7.3685999999999998</v>
      </c>
      <c r="H6" s="19">
        <f>_xll.BDH("ITCI US Equity","SALES_REV_TURN","FQ4 2020","FQ4 2020","Currency=USD","Period=FQ","BEST_FPERIOD_OVERRIDE=FQ","FILING_STATUS=MR","SCALING_FORMAT=MLN","FA_ADJUSTED=GAAP","Sort=A","Dates=H","DateFormat=P","Fill=—","Direction=H","UseDPDF=Y")</f>
        <v>12.4543</v>
      </c>
      <c r="I6" s="19">
        <f>_xll.BDH("ITCI US Equity","SALES_REV_TURN","FQ1 2021","FQ1 2021","Currency=USD","Period=FQ","BEST_FPERIOD_OVERRIDE=FQ","FILING_STATUS=MR","SCALING_FORMAT=MLN","FA_ADJUSTED=GAAP","Sort=A","Dates=H","DateFormat=P","Fill=—","Direction=H","UseDPDF=Y")</f>
        <v>15.878299999999999</v>
      </c>
      <c r="J6" s="19">
        <f>_xll.BDH("ITCI US Equity","SALES_REV_TURN","FQ2 2021","FQ2 2021","Currency=USD","Period=FQ","BEST_FPERIOD_OVERRIDE=FQ","FILING_STATUS=MR","SCALING_FORMAT=MLN","FA_ADJUSTED=GAAP","Sort=A","Dates=H","DateFormat=P","Fill=—","Direction=H","UseDPDF=Y")</f>
        <v>20.046600000000002</v>
      </c>
      <c r="K6" s="19">
        <f>_xll.BDH("ITCI US Equity","SALES_REV_TURN","FQ3 2021","FQ3 2021","Currency=USD","Period=FQ","BEST_FPERIOD_OVERRIDE=FQ","FILING_STATUS=MR","SCALING_FORMAT=MLN","FA_ADJUSTED=GAAP","Sort=A","Dates=H","DateFormat=P","Fill=—","Direction=H","UseDPDF=Y")</f>
        <v>22.2072</v>
      </c>
      <c r="L6" s="19">
        <f>_xll.BDH("ITCI US Equity","SALES_REV_TURN","FQ4 2021","FQ4 2021","Currency=USD","Period=FQ","BEST_FPERIOD_OVERRIDE=FQ","FILING_STATUS=MR","SCALING_FORMAT=MLN","FA_ADJUSTED=GAAP","Sort=A","Dates=H","DateFormat=P","Fill=—","Direction=H","UseDPDF=Y")</f>
        <v>25.6709</v>
      </c>
      <c r="M6" s="19">
        <f>_xll.BDH("ITCI US Equity","SALES_REV_TURN","FQ1 2022","FQ1 2022","Currency=USD","Period=FQ","BEST_FPERIOD_OVERRIDE=FQ","FILING_STATUS=MR","SCALING_FORMAT=MLN","FA_ADJUSTED=GAAP","Sort=A","Dates=H","DateFormat=P","Fill=—","Direction=H","UseDPDF=Y")</f>
        <v>34.996000000000002</v>
      </c>
      <c r="N6" s="19">
        <f>_xll.BDH("ITCI US Equity","SALES_REV_TURN","FQ2 2022","FQ2 2022","Currency=USD","Period=FQ","BEST_FPERIOD_OVERRIDE=FQ","FILING_STATUS=MR","SCALING_FORMAT=MLN","FA_ADJUSTED=GAAP","Sort=A","Dates=H","DateFormat=P","Fill=—","Direction=H","UseDPDF=Y")</f>
        <v>55.579000000000001</v>
      </c>
      <c r="O6" s="19">
        <f>_xll.BDH("ITCI US Equity","SALES_REV_TURN","FQ3 2022","FQ3 2022","Currency=USD","Period=FQ","BEST_FPERIOD_OVERRIDE=FQ","FILING_STATUS=MR","SCALING_FORMAT=MLN","FA_ADJUSTED=GAAP","Sort=A","Dates=H","DateFormat=P","Fill=—","Direction=H","UseDPDF=Y")</f>
        <v>71.87</v>
      </c>
      <c r="P6" s="19">
        <f>_xll.BDH("ITCI US Equity","SALES_REV_TURN","FQ4 2022","FQ4 2022","Currency=USD","Period=FQ","BEST_FPERIOD_OVERRIDE=FQ","FILING_STATUS=MR","SCALING_FORMAT=MLN","FA_ADJUSTED=GAAP","Sort=A","Dates=H","DateFormat=P","Fill=—","Direction=H","UseDPDF=Y")</f>
        <v>87.869</v>
      </c>
      <c r="Q6" s="19">
        <f>_xll.BDH("ITCI US Equity","SALES_REV_TURN","FQ1 2023","FQ1 2023","Currency=USD","Period=FQ","BEST_FPERIOD_OVERRIDE=FQ","FILING_STATUS=MR","SCALING_FORMAT=MLN","FA_ADJUSTED=GAAP","Sort=A","Dates=H","DateFormat=P","Fill=—","Direction=H","UseDPDF=Y")</f>
        <v>95.305999999999997</v>
      </c>
      <c r="R6" s="19">
        <f>_xll.BDH("ITCI US Equity","SALES_REV_TURN","FQ2 2023","FQ2 2023","Currency=USD","Period=FQ","BEST_FPERIOD_OVERRIDE=FQ","FILING_STATUS=MR","SCALING_FORMAT=MLN","FA_ADJUSTED=GAAP","Sort=A","Dates=H","DateFormat=P","Fill=—","Direction=H","UseDPDF=Y")</f>
        <v>110.792</v>
      </c>
      <c r="S6" s="19">
        <f>_xll.BDH("ITCI US Equity","SALES_REV_TURN","FQ3 2023","FQ3 2023","Currency=USD","Period=FQ","BEST_FPERIOD_OVERRIDE=FQ","FILING_STATUS=MR","SCALING_FORMAT=MLN","FA_ADJUSTED=GAAP","Sort=A","Dates=H","DateFormat=P","Fill=—","Direction=H","UseDPDF=Y")</f>
        <v>126.173</v>
      </c>
      <c r="T6" s="19">
        <f>_xll.BDH("ITCI US Equity","SALES_REV_TURN","FQ4 2023","FQ4 2023","Currency=USD","Period=FQ","BEST_FPERIOD_OVERRIDE=FQ","FILING_STATUS=MR","SCALING_FORMAT=MLN","FA_ADJUSTED=GAAP","Sort=A","Dates=H","DateFormat=P","Fill=—","Direction=H","UseDPDF=Y")</f>
        <v>132.09899999999999</v>
      </c>
      <c r="U6" s="19">
        <f>_xll.BDH("ITCI US Equity","SALES_REV_TURN","FQ1 2024","FQ1 2024","Currency=USD","Period=FQ","BEST_FPERIOD_OVERRIDE=FQ","FILING_STATUS=MR","SCALING_FORMAT=MLN","FA_ADJUSTED=GAAP","Sort=A","Dates=H","DateFormat=P","Fill=—","Direction=H","UseDPDF=Y")</f>
        <v>144.86600000000001</v>
      </c>
      <c r="V6" s="19">
        <f>_xll.BDH("ITCI US Equity","SALES_REV_TURN","FQ2 2024","FQ2 2024","Currency=USD","Period=FQ","BEST_FPERIOD_OVERRIDE=FQ","FILING_STATUS=MR","SCALING_FORMAT=MLN","FA_ADJUSTED=GAAP","Sort=A","Dates=H","DateFormat=P","Fill=—","Direction=H","UseDPDF=Y")</f>
        <v>161.38800000000001</v>
      </c>
      <c r="W6" s="19">
        <f>_xll.BDH("ITCI US Equity","SALES_REV_TURN","FQ3 2024","FQ3 2024","Currency=USD","Period=FQ","BEST_FPERIOD_OVERRIDE=FQ","FILING_STATUS=MR","SCALING_FORMAT=MLN","FA_ADJUSTED=GAAP","Sort=A","Dates=H","DateFormat=P","Fill=—","Direction=H","UseDPDF=Y")</f>
        <v>175.375</v>
      </c>
      <c r="X6" s="19">
        <f>_xll.BDH("ITCI US Equity","SALES_REV_TURN","FQ4 2024","FQ4 2024","Currency=USD","Period=FQ","BEST_FPERIOD_OVERRIDE=FQ","FILING_STATUS=MR","SCALING_FORMAT=MLN","FA_ADJUSTED=GAAP","Sort=A","Dates=H","DateFormat=P","Fill=—","Direction=H","UseDPDF=Y")</f>
        <v>199.22300000000001</v>
      </c>
      <c r="Y6" s="22">
        <v>680.85199999999998</v>
      </c>
      <c r="Z6" s="19">
        <v>203.875</v>
      </c>
      <c r="AA6" s="19">
        <v>219</v>
      </c>
    </row>
    <row r="7" spans="1:27" x14ac:dyDescent="0.25">
      <c r="A7" s="10" t="s">
        <v>280</v>
      </c>
      <c r="B7" s="10" t="s">
        <v>281</v>
      </c>
      <c r="C7" s="13" t="s">
        <v>76</v>
      </c>
      <c r="D7" s="13">
        <v>100</v>
      </c>
      <c r="E7" s="13">
        <v>81.452063214884603</v>
      </c>
      <c r="F7" s="13">
        <v>98.387369167476095</v>
      </c>
      <c r="G7" s="13">
        <v>100</v>
      </c>
      <c r="H7" s="13">
        <v>99.594388109459601</v>
      </c>
      <c r="I7" s="13">
        <v>98.114260008090298</v>
      </c>
      <c r="J7" s="13">
        <v>94.813170199117906</v>
      </c>
      <c r="K7" s="13">
        <v>97.293499527473102</v>
      </c>
      <c r="L7" s="13">
        <v>99.396593640603399</v>
      </c>
      <c r="M7" s="13">
        <v>99.311349868556405</v>
      </c>
      <c r="N7" s="13">
        <v>99.091383436189901</v>
      </c>
      <c r="O7" s="13">
        <v>100</v>
      </c>
      <c r="P7" s="13">
        <v>99.503806803309502</v>
      </c>
      <c r="Q7" s="13">
        <v>99.396680167040898</v>
      </c>
      <c r="R7" s="13">
        <v>99.400678749368197</v>
      </c>
      <c r="S7" s="13">
        <v>99.712299778875007</v>
      </c>
      <c r="T7" s="13">
        <v>99.551094255066303</v>
      </c>
      <c r="U7" s="13">
        <v>99.984123258735707</v>
      </c>
      <c r="V7" s="13">
        <v>99.930602027412206</v>
      </c>
      <c r="W7" s="13">
        <v>99.876835352815405</v>
      </c>
      <c r="X7" s="13">
        <v>100</v>
      </c>
      <c r="Y7" s="16">
        <v>99.948446945885493</v>
      </c>
      <c r="Z7" s="13"/>
      <c r="AA7" s="13"/>
    </row>
    <row r="8" spans="1:27" x14ac:dyDescent="0.25">
      <c r="A8" s="10" t="s">
        <v>282</v>
      </c>
      <c r="B8" s="10" t="s">
        <v>283</v>
      </c>
      <c r="C8" s="13" t="s">
        <v>76</v>
      </c>
      <c r="D8" s="13" t="s">
        <v>76</v>
      </c>
      <c r="E8" s="13">
        <v>18.5479367851154</v>
      </c>
      <c r="F8" s="13">
        <v>1.6126308325238801</v>
      </c>
      <c r="G8" s="13" t="s">
        <v>76</v>
      </c>
      <c r="H8" s="13">
        <v>0.40561189054035302</v>
      </c>
      <c r="I8" s="13">
        <v>1.88573999190973</v>
      </c>
      <c r="J8" s="13">
        <v>5.1868298008820597</v>
      </c>
      <c r="K8" s="13">
        <v>2.7065004725269102</v>
      </c>
      <c r="L8" s="13">
        <v>0.60340635939661902</v>
      </c>
      <c r="M8" s="13">
        <v>0.68865013144359299</v>
      </c>
      <c r="N8" s="13">
        <v>0.90861656381007205</v>
      </c>
      <c r="O8" s="13" t="s">
        <v>76</v>
      </c>
      <c r="P8" s="13">
        <v>0.49619319669052803</v>
      </c>
      <c r="Q8" s="13">
        <v>0.60331983295909997</v>
      </c>
      <c r="R8" s="13">
        <v>0.59932125063181496</v>
      </c>
      <c r="S8" s="13">
        <v>0.28770022112496302</v>
      </c>
      <c r="T8" s="13">
        <v>0.44890574493372398</v>
      </c>
      <c r="U8" s="13">
        <v>1.5876741264340799E-2</v>
      </c>
      <c r="V8" s="13">
        <v>6.9397972587800796E-2</v>
      </c>
      <c r="W8" s="13">
        <v>0.123164647184604</v>
      </c>
      <c r="X8" s="13" t="s">
        <v>76</v>
      </c>
      <c r="Y8" s="16"/>
      <c r="Z8" s="13"/>
      <c r="AA8" s="13"/>
    </row>
    <row r="9" spans="1:27" x14ac:dyDescent="0.25">
      <c r="A9" s="10" t="s">
        <v>284</v>
      </c>
      <c r="B9" s="10" t="s">
        <v>285</v>
      </c>
      <c r="C9" s="13" t="s">
        <v>76</v>
      </c>
      <c r="D9" s="13" t="s">
        <v>76</v>
      </c>
      <c r="E9" s="13">
        <v>6.3970783005485101</v>
      </c>
      <c r="F9" s="13">
        <v>6.7416643764200401</v>
      </c>
      <c r="G9" s="13">
        <v>7.5469892899513802</v>
      </c>
      <c r="H9" s="13">
        <v>9.1620946069099194</v>
      </c>
      <c r="I9" s="13">
        <v>9.1647867984093292</v>
      </c>
      <c r="J9" s="13">
        <v>10.176463683721099</v>
      </c>
      <c r="K9" s="13">
        <v>9.0120092126873601</v>
      </c>
      <c r="L9" s="13">
        <v>9.8867800873252492</v>
      </c>
      <c r="M9" s="13">
        <v>9.0153160361184099</v>
      </c>
      <c r="N9" s="13">
        <v>8.3664693499343308</v>
      </c>
      <c r="O9" s="13">
        <v>8.1396966745512707</v>
      </c>
      <c r="P9" s="13">
        <v>7.7251362824204204</v>
      </c>
      <c r="Q9" s="13">
        <v>7.0834994648815401</v>
      </c>
      <c r="R9" s="13">
        <v>6.4652682504151899</v>
      </c>
      <c r="S9" s="13">
        <v>7.2353039081261397</v>
      </c>
      <c r="T9" s="13">
        <v>8.1014996328511195</v>
      </c>
      <c r="U9" s="13">
        <v>6.8339016746510604</v>
      </c>
      <c r="V9" s="13">
        <v>7.0352194710883103</v>
      </c>
      <c r="W9" s="13">
        <v>8.72644333570919</v>
      </c>
      <c r="X9" s="13">
        <v>10.2422913017071</v>
      </c>
      <c r="Y9" s="16">
        <v>8.3664291211599604</v>
      </c>
      <c r="Z9" s="13"/>
      <c r="AA9" s="13"/>
    </row>
    <row r="10" spans="1:27" x14ac:dyDescent="0.25">
      <c r="A10" s="10" t="s">
        <v>286</v>
      </c>
      <c r="B10" s="10" t="s">
        <v>287</v>
      </c>
      <c r="C10" s="13" t="s">
        <v>76</v>
      </c>
      <c r="D10" s="13" t="s">
        <v>76</v>
      </c>
      <c r="E10" s="13">
        <v>6.3970783005485101</v>
      </c>
      <c r="F10" s="13">
        <v>6.7416643764200401</v>
      </c>
      <c r="G10" s="13">
        <v>7.5469892899513802</v>
      </c>
      <c r="H10" s="13">
        <v>9.1620946069099194</v>
      </c>
      <c r="I10" s="13">
        <v>9.1647867984093292</v>
      </c>
      <c r="J10" s="13">
        <v>10.176463683721099</v>
      </c>
      <c r="K10" s="13">
        <v>9.0120092126873601</v>
      </c>
      <c r="L10" s="13">
        <v>9.8867800873252492</v>
      </c>
      <c r="M10" s="13">
        <v>9.0153160361184099</v>
      </c>
      <c r="N10" s="13">
        <v>8.3664693499343308</v>
      </c>
      <c r="O10" s="13">
        <v>8.1396966745512707</v>
      </c>
      <c r="P10" s="13">
        <v>7.7251362824204204</v>
      </c>
      <c r="Q10" s="13">
        <v>7.0834994648815401</v>
      </c>
      <c r="R10" s="13">
        <v>6.4652682504151899</v>
      </c>
      <c r="S10" s="13">
        <v>7.2353039081261397</v>
      </c>
      <c r="T10" s="13">
        <v>8.1014996328511195</v>
      </c>
      <c r="U10" s="13">
        <v>6.8339016746510604</v>
      </c>
      <c r="V10" s="13">
        <v>7.0352194710883103</v>
      </c>
      <c r="W10" s="13">
        <v>8.72644333570919</v>
      </c>
      <c r="X10" s="13">
        <v>10.2422913017071</v>
      </c>
      <c r="Y10" s="16">
        <v>8.3664291211599604</v>
      </c>
      <c r="Z10" s="13"/>
      <c r="AA10" s="13"/>
    </row>
    <row r="11" spans="1:27" x14ac:dyDescent="0.25">
      <c r="A11" s="6" t="s">
        <v>2</v>
      </c>
      <c r="B11" s="6" t="s">
        <v>74</v>
      </c>
      <c r="C11" s="19" t="s">
        <v>76</v>
      </c>
      <c r="D11" s="19" t="s">
        <v>76</v>
      </c>
      <c r="E11" s="19">
        <v>93.6029216994515</v>
      </c>
      <c r="F11" s="19">
        <v>93.258335623579995</v>
      </c>
      <c r="G11" s="19">
        <v>92.453010710048602</v>
      </c>
      <c r="H11" s="19">
        <v>90.837905393090097</v>
      </c>
      <c r="I11" s="19">
        <v>90.835213201590705</v>
      </c>
      <c r="J11" s="19">
        <v>89.823536316278904</v>
      </c>
      <c r="K11" s="19">
        <v>90.987990787312597</v>
      </c>
      <c r="L11" s="19">
        <v>90.113219912674793</v>
      </c>
      <c r="M11" s="19">
        <v>90.984683963881594</v>
      </c>
      <c r="N11" s="19">
        <v>91.633530650065694</v>
      </c>
      <c r="O11" s="19">
        <v>91.860303325448697</v>
      </c>
      <c r="P11" s="19">
        <v>92.274863717579606</v>
      </c>
      <c r="Q11" s="19">
        <v>92.916500535118502</v>
      </c>
      <c r="R11" s="19">
        <v>93.534731749584793</v>
      </c>
      <c r="S11" s="19">
        <v>92.764696091873901</v>
      </c>
      <c r="T11" s="19">
        <v>91.898500367148898</v>
      </c>
      <c r="U11" s="19">
        <v>93.166098325348898</v>
      </c>
      <c r="V11" s="19">
        <v>92.964780528911703</v>
      </c>
      <c r="W11" s="19">
        <v>91.273556664290794</v>
      </c>
      <c r="X11" s="19">
        <v>89.757708698292902</v>
      </c>
      <c r="Y11" s="22">
        <v>91.633570753336699</v>
      </c>
      <c r="Z11" s="19">
        <v>92.5</v>
      </c>
      <c r="AA11" s="19">
        <v>92.45</v>
      </c>
    </row>
    <row r="12" spans="1:27" x14ac:dyDescent="0.25">
      <c r="A12" s="10" t="s">
        <v>288</v>
      </c>
      <c r="B12" s="10" t="s">
        <v>289</v>
      </c>
      <c r="C12" s="13" t="s">
        <v>76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6">
        <v>0</v>
      </c>
      <c r="Z12" s="13"/>
      <c r="AA12" s="13"/>
    </row>
    <row r="13" spans="1:27" x14ac:dyDescent="0.25">
      <c r="A13" s="10" t="s">
        <v>290</v>
      </c>
      <c r="B13" s="10" t="s">
        <v>291</v>
      </c>
      <c r="C13" s="13" t="s">
        <v>76</v>
      </c>
      <c r="D13" s="13">
        <v>69010.397109530997</v>
      </c>
      <c r="E13" s="13">
        <v>4623.9652083704405</v>
      </c>
      <c r="F13" s="13">
        <v>3495.7073085790898</v>
      </c>
      <c r="G13" s="13">
        <v>851.57278308453397</v>
      </c>
      <c r="H13" s="13">
        <v>583.30623954675798</v>
      </c>
      <c r="I13" s="13">
        <v>426.00079013352098</v>
      </c>
      <c r="J13" s="13">
        <v>434.72585646984498</v>
      </c>
      <c r="K13" s="13">
        <v>439.180561296311</v>
      </c>
      <c r="L13" s="13">
        <v>425.14030074333903</v>
      </c>
      <c r="M13" s="13">
        <v>298.61412732883798</v>
      </c>
      <c r="N13" s="13">
        <v>249.82817251119999</v>
      </c>
      <c r="O13" s="13">
        <v>169.26255739529699</v>
      </c>
      <c r="P13" s="13">
        <v>146.232459684303</v>
      </c>
      <c r="Q13" s="13">
        <v>143.69189767695599</v>
      </c>
      <c r="R13" s="13">
        <v>136.11813127301599</v>
      </c>
      <c r="S13" s="13">
        <v>116.314108406711</v>
      </c>
      <c r="T13" s="13">
        <v>117.710202196837</v>
      </c>
      <c r="U13" s="13">
        <v>107.629119324065</v>
      </c>
      <c r="V13" s="13">
        <v>110.142637618658</v>
      </c>
      <c r="W13" s="13">
        <v>113.42551674982199</v>
      </c>
      <c r="X13" s="13">
        <v>104.41314506859101</v>
      </c>
      <c r="Y13" s="16">
        <v>108.77694418170201</v>
      </c>
      <c r="Z13" s="13"/>
      <c r="AA13" s="13"/>
    </row>
    <row r="14" spans="1:27" x14ac:dyDescent="0.25">
      <c r="A14" s="10" t="s">
        <v>292</v>
      </c>
      <c r="B14" s="10" t="s">
        <v>293</v>
      </c>
      <c r="C14" s="13" t="s">
        <v>76</v>
      </c>
      <c r="D14" s="13">
        <v>37555.552439245701</v>
      </c>
      <c r="E14" s="13">
        <v>3146.9337199890401</v>
      </c>
      <c r="F14" s="13">
        <v>2173.7529869361501</v>
      </c>
      <c r="G14" s="13">
        <v>712.12463327467901</v>
      </c>
      <c r="H14" s="13">
        <v>468.49753538344697</v>
      </c>
      <c r="I14" s="13">
        <v>331.166075473055</v>
      </c>
      <c r="J14" s="13">
        <v>348.44462349427403</v>
      </c>
      <c r="K14" s="13">
        <v>317.45506784038201</v>
      </c>
      <c r="L14" s="13">
        <v>310.383630103565</v>
      </c>
      <c r="M14" s="13">
        <v>215.62464281632199</v>
      </c>
      <c r="N14" s="13">
        <v>180.49263210925</v>
      </c>
      <c r="O14" s="13">
        <v>122.965075831362</v>
      </c>
      <c r="P14" s="13">
        <v>107.695546779865</v>
      </c>
      <c r="Q14" s="13">
        <v>103.795144062284</v>
      </c>
      <c r="R14" s="13">
        <v>91.174453029099595</v>
      </c>
      <c r="S14" s="13">
        <v>83.383132682903593</v>
      </c>
      <c r="T14" s="13">
        <v>79.273877924889703</v>
      </c>
      <c r="U14" s="13">
        <v>78.061795038173202</v>
      </c>
      <c r="V14" s="13">
        <v>75.330259994547305</v>
      </c>
      <c r="W14" s="13">
        <v>75.324875267284398</v>
      </c>
      <c r="X14" s="13">
        <v>69.133082023661899</v>
      </c>
      <c r="Y14" s="16">
        <v>74.096719992009994</v>
      </c>
      <c r="Z14" s="13"/>
      <c r="AA14" s="13"/>
    </row>
    <row r="15" spans="1:27" x14ac:dyDescent="0.25">
      <c r="A15" s="11" t="s">
        <v>294</v>
      </c>
      <c r="B15" s="11" t="s">
        <v>295</v>
      </c>
      <c r="C15" s="25" t="s">
        <v>76</v>
      </c>
      <c r="D15" s="25">
        <v>21717.365911603101</v>
      </c>
      <c r="E15" s="25">
        <v>1919.4064674996</v>
      </c>
      <c r="F15" s="25">
        <v>1486.67899903285</v>
      </c>
      <c r="G15" s="25">
        <v>519.41487073381995</v>
      </c>
      <c r="H15" s="25">
        <v>360.90391488220502</v>
      </c>
      <c r="I15" s="25">
        <v>241.10622093798401</v>
      </c>
      <c r="J15" s="25">
        <v>260.15017737955202</v>
      </c>
      <c r="K15" s="25">
        <v>236.85058283572101</v>
      </c>
      <c r="L15" s="25">
        <v>235.980392760277</v>
      </c>
      <c r="M15" s="25">
        <v>160.18973596982499</v>
      </c>
      <c r="N15" s="25">
        <v>146.307058421346</v>
      </c>
      <c r="O15" s="25">
        <v>94.719632670098804</v>
      </c>
      <c r="P15" s="25">
        <v>82.316858050051806</v>
      </c>
      <c r="Q15" s="25">
        <v>80.291901873963894</v>
      </c>
      <c r="R15" s="25">
        <v>68.699906130406504</v>
      </c>
      <c r="S15" s="25">
        <v>64.123861681976294</v>
      </c>
      <c r="T15" s="25">
        <v>68.827167503160496</v>
      </c>
      <c r="U15" s="25">
        <v>60.528350337553299</v>
      </c>
      <c r="V15" s="25">
        <v>57.547029518923303</v>
      </c>
      <c r="W15" s="25">
        <v>56.279971489665002</v>
      </c>
      <c r="X15" s="25">
        <v>52.970289574998901</v>
      </c>
      <c r="Y15" s="28">
        <v>56.515806665765801</v>
      </c>
      <c r="Z15" s="25"/>
      <c r="AA15" s="25"/>
    </row>
    <row r="16" spans="1:27" x14ac:dyDescent="0.25">
      <c r="A16" s="11" t="s">
        <v>296</v>
      </c>
      <c r="B16" s="11" t="s">
        <v>297</v>
      </c>
      <c r="C16" s="25" t="s">
        <v>76</v>
      </c>
      <c r="D16" s="25">
        <v>15838.1865276426</v>
      </c>
      <c r="E16" s="25">
        <v>1227.5272524894301</v>
      </c>
      <c r="F16" s="25">
        <v>687.07398790330205</v>
      </c>
      <c r="G16" s="25">
        <v>192.709762540859</v>
      </c>
      <c r="H16" s="25">
        <v>107.593620501242</v>
      </c>
      <c r="I16" s="25">
        <v>90.059854535070997</v>
      </c>
      <c r="J16" s="25">
        <v>88.294446114722604</v>
      </c>
      <c r="K16" s="25">
        <v>80.604485004661299</v>
      </c>
      <c r="L16" s="25">
        <v>74.403237343288694</v>
      </c>
      <c r="M16" s="25">
        <v>55.434906846496702</v>
      </c>
      <c r="N16" s="25">
        <v>34.185573687903698</v>
      </c>
      <c r="O16" s="25">
        <v>28.245443161263399</v>
      </c>
      <c r="P16" s="25">
        <v>25.3786887298137</v>
      </c>
      <c r="Q16" s="25">
        <v>23.5032421883197</v>
      </c>
      <c r="R16" s="25">
        <v>22.474546898692999</v>
      </c>
      <c r="S16" s="25">
        <v>19.259271000927299</v>
      </c>
      <c r="T16" s="25">
        <v>10.4467104217292</v>
      </c>
      <c r="U16" s="25">
        <v>17.533444700619899</v>
      </c>
      <c r="V16" s="25">
        <v>17.783230475623999</v>
      </c>
      <c r="W16" s="25">
        <v>19.0449037776194</v>
      </c>
      <c r="X16" s="25">
        <v>16.162792448663101</v>
      </c>
      <c r="Y16" s="28">
        <v>17.5809133262442</v>
      </c>
      <c r="Z16" s="25"/>
      <c r="AA16" s="25"/>
    </row>
    <row r="17" spans="1:27" x14ac:dyDescent="0.25">
      <c r="A17" s="10" t="s">
        <v>298</v>
      </c>
      <c r="B17" s="10" t="s">
        <v>373</v>
      </c>
      <c r="C17" s="13" t="s">
        <v>76</v>
      </c>
      <c r="D17" s="13">
        <v>31454.8446702853</v>
      </c>
      <c r="E17" s="13">
        <v>1477.0314883814101</v>
      </c>
      <c r="F17" s="13">
        <v>1321.9543216429399</v>
      </c>
      <c r="G17" s="13">
        <v>139.44814980985501</v>
      </c>
      <c r="H17" s="13">
        <v>114.80870416331101</v>
      </c>
      <c r="I17" s="13">
        <v>94.834714660465806</v>
      </c>
      <c r="J17" s="13">
        <v>86.2812329755712</v>
      </c>
      <c r="K17" s="13">
        <v>121.725493455929</v>
      </c>
      <c r="L17" s="13">
        <v>114.756670639774</v>
      </c>
      <c r="M17" s="13">
        <v>82.989484512515702</v>
      </c>
      <c r="N17" s="13">
        <v>69.335540401950396</v>
      </c>
      <c r="O17" s="13">
        <v>46.297481563934902</v>
      </c>
      <c r="P17" s="13">
        <v>38.536912904437301</v>
      </c>
      <c r="Q17" s="13">
        <v>39.896753614672697</v>
      </c>
      <c r="R17" s="13">
        <v>44.943678243916501</v>
      </c>
      <c r="S17" s="13">
        <v>32.930975723807798</v>
      </c>
      <c r="T17" s="13">
        <v>38.436324271947598</v>
      </c>
      <c r="U17" s="13">
        <v>29.5673242858918</v>
      </c>
      <c r="V17" s="13">
        <v>34.812377624110802</v>
      </c>
      <c r="W17" s="13">
        <v>38.100641482537398</v>
      </c>
      <c r="X17" s="13">
        <v>35.280063044929499</v>
      </c>
      <c r="Y17" s="16">
        <v>34.6802241896917</v>
      </c>
      <c r="Z17" s="13"/>
      <c r="AA17" s="13"/>
    </row>
    <row r="18" spans="1:27" x14ac:dyDescent="0.25">
      <c r="A18" s="10" t="s">
        <v>300</v>
      </c>
      <c r="B18" s="10" t="s">
        <v>374</v>
      </c>
      <c r="C18" s="13" t="s">
        <v>76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6">
        <v>0</v>
      </c>
      <c r="Z18" s="13"/>
      <c r="AA18" s="13"/>
    </row>
    <row r="19" spans="1:27" x14ac:dyDescent="0.25">
      <c r="A19" s="6" t="s">
        <v>302</v>
      </c>
      <c r="B19" s="6" t="s">
        <v>99</v>
      </c>
      <c r="C19" s="19" t="s">
        <v>76</v>
      </c>
      <c r="D19" s="19">
        <v>-68910.397109530997</v>
      </c>
      <c r="E19" s="19">
        <v>-4530.3622866709902</v>
      </c>
      <c r="F19" s="19">
        <v>-3402.4489729555098</v>
      </c>
      <c r="G19" s="19">
        <v>-759.11977237448605</v>
      </c>
      <c r="H19" s="19">
        <v>-492.46833415366802</v>
      </c>
      <c r="I19" s="19">
        <v>-335.16557693192999</v>
      </c>
      <c r="J19" s="19">
        <v>-344.902320153566</v>
      </c>
      <c r="K19" s="19">
        <v>-348.19257050899802</v>
      </c>
      <c r="L19" s="19">
        <v>-335.02708083066398</v>
      </c>
      <c r="M19" s="19">
        <v>-207.62944336495599</v>
      </c>
      <c r="N19" s="19">
        <v>-158.19464186113501</v>
      </c>
      <c r="O19" s="19">
        <v>-77.402254069848297</v>
      </c>
      <c r="P19" s="19">
        <v>-53.957595966723197</v>
      </c>
      <c r="Q19" s="19">
        <v>-50.7753971418379</v>
      </c>
      <c r="R19" s="19">
        <v>-42.583399523431297</v>
      </c>
      <c r="S19" s="19">
        <v>-23.5494123148376</v>
      </c>
      <c r="T19" s="19">
        <v>-25.8117018296883</v>
      </c>
      <c r="U19" s="19">
        <v>-14.4630209987161</v>
      </c>
      <c r="V19" s="19">
        <v>-17.1778570897464</v>
      </c>
      <c r="W19" s="19">
        <v>-22.151960085531002</v>
      </c>
      <c r="X19" s="19">
        <v>-14.655436370298601</v>
      </c>
      <c r="Y19" s="22">
        <v>-17.143373302861701</v>
      </c>
      <c r="Z19" s="19">
        <v>-9.5450643776823991</v>
      </c>
      <c r="AA19" s="19">
        <v>-6.6684931506849301</v>
      </c>
    </row>
    <row r="20" spans="1:27" x14ac:dyDescent="0.25">
      <c r="A20" s="10" t="s">
        <v>303</v>
      </c>
      <c r="B20" s="10" t="s">
        <v>375</v>
      </c>
      <c r="C20" s="13" t="s">
        <v>76</v>
      </c>
      <c r="D20" s="13">
        <v>-1956.35919687196</v>
      </c>
      <c r="E20" s="13">
        <v>-154.89021937665601</v>
      </c>
      <c r="F20" s="13">
        <v>-60.843233842222602</v>
      </c>
      <c r="G20" s="13">
        <v>-10.2167251988643</v>
      </c>
      <c r="H20" s="13">
        <v>-5.1740487399100896</v>
      </c>
      <c r="I20" s="13">
        <v>-3.0466052189748698</v>
      </c>
      <c r="J20" s="13">
        <v>-2.10025051179601</v>
      </c>
      <c r="K20" s="13">
        <v>-1.7683228066427601</v>
      </c>
      <c r="L20" s="13">
        <v>-1.05417700943082</v>
      </c>
      <c r="M20" s="13">
        <v>-1.56589324494228</v>
      </c>
      <c r="N20" s="13">
        <v>-2.3749977509490998</v>
      </c>
      <c r="O20" s="13">
        <v>-2.9525532210936398</v>
      </c>
      <c r="P20" s="13">
        <v>-3.85346367888561</v>
      </c>
      <c r="Q20" s="13">
        <v>-4.5631964409376096</v>
      </c>
      <c r="R20" s="13">
        <v>-4.08874286952127</v>
      </c>
      <c r="S20" s="13">
        <v>-4.3575091342838803</v>
      </c>
      <c r="T20" s="13">
        <v>-4.5163097373939198</v>
      </c>
      <c r="U20" s="13">
        <v>-4.1859373489983804</v>
      </c>
      <c r="V20" s="13">
        <v>-7.16286217066944</v>
      </c>
      <c r="W20" s="13">
        <v>-7.3550962223806096</v>
      </c>
      <c r="X20" s="13">
        <v>-6.0208911621650101</v>
      </c>
      <c r="Y20" s="16">
        <v>-6.24482266336884</v>
      </c>
      <c r="Z20" s="13"/>
      <c r="AA20" s="13"/>
    </row>
    <row r="21" spans="1:27" x14ac:dyDescent="0.25">
      <c r="A21" s="10" t="s">
        <v>305</v>
      </c>
      <c r="B21" s="10" t="s">
        <v>306</v>
      </c>
      <c r="C21" s="13" t="s">
        <v>76</v>
      </c>
      <c r="D21" s="13">
        <v>-1956.35919687196</v>
      </c>
      <c r="E21" s="13" t="s">
        <v>76</v>
      </c>
      <c r="F21" s="13">
        <v>-60.843233842222602</v>
      </c>
      <c r="G21" s="13">
        <v>-10.2167251988643</v>
      </c>
      <c r="H21" s="13">
        <v>-5.1740487399100896</v>
      </c>
      <c r="I21" s="13" t="s">
        <v>76</v>
      </c>
      <c r="J21" s="13" t="s">
        <v>76</v>
      </c>
      <c r="K21" s="13" t="s">
        <v>76</v>
      </c>
      <c r="L21" s="13">
        <v>-1.05417700943082</v>
      </c>
      <c r="M21" s="13" t="s">
        <v>76</v>
      </c>
      <c r="N21" s="13">
        <v>-2.3749977509490998</v>
      </c>
      <c r="O21" s="13" t="s">
        <v>76</v>
      </c>
      <c r="P21" s="13">
        <v>-3.85346367888561</v>
      </c>
      <c r="Q21" s="13" t="s">
        <v>76</v>
      </c>
      <c r="R21" s="13" t="s">
        <v>76</v>
      </c>
      <c r="S21" s="13" t="s">
        <v>76</v>
      </c>
      <c r="T21" s="13">
        <v>-4.5163097373939198</v>
      </c>
      <c r="U21" s="13" t="s">
        <v>76</v>
      </c>
      <c r="V21" s="13" t="s">
        <v>76</v>
      </c>
      <c r="W21" s="13" t="s">
        <v>76</v>
      </c>
      <c r="X21" s="13">
        <v>-6.0208911621650101</v>
      </c>
      <c r="Y21" s="16">
        <v>-1.7617632025756</v>
      </c>
      <c r="Z21" s="13"/>
      <c r="AA21" s="13"/>
    </row>
    <row r="22" spans="1:27" x14ac:dyDescent="0.25">
      <c r="A22" s="11" t="s">
        <v>307</v>
      </c>
      <c r="B22" s="11" t="s">
        <v>308</v>
      </c>
      <c r="C22" s="25" t="s">
        <v>76</v>
      </c>
      <c r="D22" s="25">
        <v>0</v>
      </c>
      <c r="E22" s="25" t="s">
        <v>76</v>
      </c>
      <c r="F22" s="25">
        <v>0</v>
      </c>
      <c r="G22" s="25">
        <v>0</v>
      </c>
      <c r="H22" s="25">
        <v>0</v>
      </c>
      <c r="I22" s="25" t="s">
        <v>76</v>
      </c>
      <c r="J22" s="25" t="s">
        <v>76</v>
      </c>
      <c r="K22" s="25" t="s">
        <v>76</v>
      </c>
      <c r="L22" s="25">
        <v>0</v>
      </c>
      <c r="M22" s="25" t="s">
        <v>76</v>
      </c>
      <c r="N22" s="25">
        <v>0</v>
      </c>
      <c r="O22" s="25" t="s">
        <v>76</v>
      </c>
      <c r="P22" s="25">
        <v>0</v>
      </c>
      <c r="Q22" s="25" t="s">
        <v>76</v>
      </c>
      <c r="R22" s="25" t="s">
        <v>76</v>
      </c>
      <c r="S22" s="25" t="s">
        <v>76</v>
      </c>
      <c r="T22" s="25">
        <v>0</v>
      </c>
      <c r="U22" s="25" t="s">
        <v>76</v>
      </c>
      <c r="V22" s="25" t="s">
        <v>76</v>
      </c>
      <c r="W22" s="25" t="s">
        <v>76</v>
      </c>
      <c r="X22" s="25">
        <v>0</v>
      </c>
      <c r="Y22" s="28"/>
      <c r="Z22" s="25"/>
      <c r="AA22" s="25"/>
    </row>
    <row r="23" spans="1:27" x14ac:dyDescent="0.25">
      <c r="A23" s="11" t="s">
        <v>309</v>
      </c>
      <c r="B23" s="11" t="s">
        <v>310</v>
      </c>
      <c r="C23" s="25" t="s">
        <v>76</v>
      </c>
      <c r="D23" s="25">
        <v>1956.35919687196</v>
      </c>
      <c r="E23" s="25">
        <v>154.89021937665601</v>
      </c>
      <c r="F23" s="25">
        <v>60.843233842222602</v>
      </c>
      <c r="G23" s="25">
        <v>10.2167251988643</v>
      </c>
      <c r="H23" s="25">
        <v>5.1740487399100896</v>
      </c>
      <c r="I23" s="25">
        <v>3.0466052189748698</v>
      </c>
      <c r="J23" s="25">
        <v>2.10025051179601</v>
      </c>
      <c r="K23" s="25">
        <v>1.7683228066427601</v>
      </c>
      <c r="L23" s="25">
        <v>1.05417700943082</v>
      </c>
      <c r="M23" s="25">
        <v>1.56589324494228</v>
      </c>
      <c r="N23" s="25">
        <v>2.3749977509490998</v>
      </c>
      <c r="O23" s="25">
        <v>2.9525532210936398</v>
      </c>
      <c r="P23" s="25">
        <v>3.85346367888561</v>
      </c>
      <c r="Q23" s="25">
        <v>4.5631964409376096</v>
      </c>
      <c r="R23" s="25">
        <v>4.08874286952127</v>
      </c>
      <c r="S23" s="25">
        <v>4.3575091342838803</v>
      </c>
      <c r="T23" s="25">
        <v>4.5163097373939198</v>
      </c>
      <c r="U23" s="25">
        <v>4.1859373489983804</v>
      </c>
      <c r="V23" s="25">
        <v>7.16286217066944</v>
      </c>
      <c r="W23" s="25">
        <v>7.3550962223806096</v>
      </c>
      <c r="X23" s="25">
        <v>6.0208911621650101</v>
      </c>
      <c r="Y23" s="28">
        <v>6.24482266336884</v>
      </c>
      <c r="Z23" s="25"/>
      <c r="AA23" s="25"/>
    </row>
    <row r="24" spans="1:27" x14ac:dyDescent="0.25">
      <c r="A24" s="10" t="s">
        <v>311</v>
      </c>
      <c r="B24" s="10" t="s">
        <v>376</v>
      </c>
      <c r="C24" s="13" t="s">
        <v>76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6">
        <v>0</v>
      </c>
      <c r="Z24" s="13"/>
      <c r="AA24" s="13"/>
    </row>
    <row r="25" spans="1:27" x14ac:dyDescent="0.25">
      <c r="A25" s="6" t="s">
        <v>377</v>
      </c>
      <c r="B25" s="6" t="s">
        <v>157</v>
      </c>
      <c r="C25" s="19" t="s">
        <v>76</v>
      </c>
      <c r="D25" s="19">
        <v>-66954.037912658998</v>
      </c>
      <c r="E25" s="19">
        <v>-4375.4720672943404</v>
      </c>
      <c r="F25" s="19">
        <v>-3341.6057391132899</v>
      </c>
      <c r="G25" s="19">
        <v>-748.90304717562105</v>
      </c>
      <c r="H25" s="19">
        <v>-487.29428541375802</v>
      </c>
      <c r="I25" s="19">
        <v>-332.11897171295499</v>
      </c>
      <c r="J25" s="19">
        <v>-342.80206964177103</v>
      </c>
      <c r="K25" s="19">
        <v>-346.42424770235601</v>
      </c>
      <c r="L25" s="19">
        <v>-333.97290382123299</v>
      </c>
      <c r="M25" s="19">
        <v>-206.06355012001401</v>
      </c>
      <c r="N25" s="19">
        <v>-155.81964411018501</v>
      </c>
      <c r="O25" s="19">
        <v>-74.449700848754702</v>
      </c>
      <c r="P25" s="19">
        <v>-50.104132287837601</v>
      </c>
      <c r="Q25" s="19">
        <v>-46.212200700900297</v>
      </c>
      <c r="R25" s="19">
        <v>-38.494656653909999</v>
      </c>
      <c r="S25" s="19">
        <v>-19.191903180553702</v>
      </c>
      <c r="T25" s="19">
        <v>-21.295392092294399</v>
      </c>
      <c r="U25" s="19">
        <v>-10.277083649717699</v>
      </c>
      <c r="V25" s="19">
        <v>-10.014994919076999</v>
      </c>
      <c r="W25" s="19">
        <v>-14.796863863150399</v>
      </c>
      <c r="X25" s="19">
        <v>-8.6345452081336003</v>
      </c>
      <c r="Y25" s="22">
        <v>-10.8985506988829</v>
      </c>
      <c r="Z25" s="19">
        <v>-7.0974862047823404</v>
      </c>
      <c r="AA25" s="19">
        <v>-2.22237442922374</v>
      </c>
    </row>
    <row r="26" spans="1:27" x14ac:dyDescent="0.25">
      <c r="A26" s="10" t="s">
        <v>317</v>
      </c>
      <c r="B26" s="10" t="s">
        <v>318</v>
      </c>
      <c r="C26" s="13" t="s">
        <v>76</v>
      </c>
      <c r="D26" s="13">
        <v>0</v>
      </c>
      <c r="E26" s="13">
        <v>0.30282082070810801</v>
      </c>
      <c r="F26" s="13">
        <v>0</v>
      </c>
      <c r="G26" s="13">
        <v>0</v>
      </c>
      <c r="H26" s="13">
        <v>8.2156561564828798E-2</v>
      </c>
      <c r="I26" s="13">
        <v>3.1489459627647202E-2</v>
      </c>
      <c r="J26" s="13">
        <v>0.118504116491602</v>
      </c>
      <c r="K26" s="13">
        <v>-0.104132889147083</v>
      </c>
      <c r="L26" s="13">
        <v>0</v>
      </c>
      <c r="M26" s="13">
        <v>1.42873471253858E-2</v>
      </c>
      <c r="N26" s="13">
        <v>0</v>
      </c>
      <c r="O26" s="13">
        <v>1.39140114094894E-3</v>
      </c>
      <c r="P26" s="13">
        <v>0</v>
      </c>
      <c r="Q26" s="13">
        <v>1.0492518834071299E-2</v>
      </c>
      <c r="R26" s="13">
        <v>0.12184995306520301</v>
      </c>
      <c r="S26" s="13">
        <v>3.4080191483122399E-2</v>
      </c>
      <c r="T26" s="13">
        <v>0.33913958470541</v>
      </c>
      <c r="U26" s="13">
        <v>0.247815222343407</v>
      </c>
      <c r="V26" s="13">
        <v>3.5318611049148602E-2</v>
      </c>
      <c r="W26" s="13">
        <v>0.21325730577334301</v>
      </c>
      <c r="X26" s="13">
        <v>-0.159118174106403</v>
      </c>
      <c r="Y26" s="16">
        <v>6.9471779476303203E-2</v>
      </c>
      <c r="Z26" s="13"/>
      <c r="AA26" s="13"/>
    </row>
    <row r="27" spans="1:27" x14ac:dyDescent="0.25">
      <c r="A27" s="10" t="s">
        <v>319</v>
      </c>
      <c r="B27" s="10" t="s">
        <v>320</v>
      </c>
      <c r="C27" s="13" t="s">
        <v>76</v>
      </c>
      <c r="D27" s="13">
        <v>0</v>
      </c>
      <c r="E27" s="13" t="s">
        <v>76</v>
      </c>
      <c r="F27" s="13" t="s">
        <v>76</v>
      </c>
      <c r="G27" s="13" t="s">
        <v>76</v>
      </c>
      <c r="H27" s="13" t="s">
        <v>76</v>
      </c>
      <c r="I27" s="13" t="s">
        <v>76</v>
      </c>
      <c r="J27" s="13" t="s">
        <v>76</v>
      </c>
      <c r="K27" s="13" t="s">
        <v>76</v>
      </c>
      <c r="L27" s="13">
        <v>0</v>
      </c>
      <c r="M27" s="13" t="s">
        <v>76</v>
      </c>
      <c r="N27" s="13" t="s">
        <v>76</v>
      </c>
      <c r="O27" s="13" t="s">
        <v>76</v>
      </c>
      <c r="P27" s="13" t="s">
        <v>76</v>
      </c>
      <c r="Q27" s="13" t="s">
        <v>76</v>
      </c>
      <c r="R27" s="13" t="s">
        <v>76</v>
      </c>
      <c r="S27" s="13" t="s">
        <v>76</v>
      </c>
      <c r="T27" s="13" t="s">
        <v>76</v>
      </c>
      <c r="U27" s="13" t="s">
        <v>76</v>
      </c>
      <c r="V27" s="13" t="s">
        <v>76</v>
      </c>
      <c r="W27" s="13" t="s">
        <v>76</v>
      </c>
      <c r="X27" s="13" t="s">
        <v>76</v>
      </c>
      <c r="Y27" s="16"/>
      <c r="Z27" s="13"/>
      <c r="AA27" s="13"/>
    </row>
    <row r="28" spans="1:27" x14ac:dyDescent="0.25">
      <c r="A28" s="10" t="s">
        <v>321</v>
      </c>
      <c r="B28" s="10" t="s">
        <v>322</v>
      </c>
      <c r="C28" s="13" t="s">
        <v>76</v>
      </c>
      <c r="D28" s="13">
        <v>0</v>
      </c>
      <c r="E28" s="13" t="s">
        <v>76</v>
      </c>
      <c r="F28" s="13" t="s">
        <v>76</v>
      </c>
      <c r="G28" s="13" t="s">
        <v>76</v>
      </c>
      <c r="H28" s="13" t="s">
        <v>76</v>
      </c>
      <c r="I28" s="13" t="s">
        <v>76</v>
      </c>
      <c r="J28" s="13" t="s">
        <v>76</v>
      </c>
      <c r="K28" s="13" t="s">
        <v>76</v>
      </c>
      <c r="L28" s="13">
        <v>0</v>
      </c>
      <c r="M28" s="13" t="s">
        <v>76</v>
      </c>
      <c r="N28" s="13" t="s">
        <v>76</v>
      </c>
      <c r="O28" s="13" t="s">
        <v>76</v>
      </c>
      <c r="P28" s="13" t="s">
        <v>76</v>
      </c>
      <c r="Q28" s="13" t="s">
        <v>76</v>
      </c>
      <c r="R28" s="13" t="s">
        <v>76</v>
      </c>
      <c r="S28" s="13" t="s">
        <v>76</v>
      </c>
      <c r="T28" s="13" t="s">
        <v>76</v>
      </c>
      <c r="U28" s="13" t="s">
        <v>76</v>
      </c>
      <c r="V28" s="13" t="s">
        <v>76</v>
      </c>
      <c r="W28" s="13" t="s">
        <v>76</v>
      </c>
      <c r="X28" s="13" t="s">
        <v>76</v>
      </c>
      <c r="Y28" s="16"/>
      <c r="Z28" s="13"/>
      <c r="AA28" s="13"/>
    </row>
    <row r="29" spans="1:27" x14ac:dyDescent="0.25">
      <c r="A29" s="6" t="s">
        <v>323</v>
      </c>
      <c r="B29" s="6" t="s">
        <v>324</v>
      </c>
      <c r="C29" s="19" t="s">
        <v>76</v>
      </c>
      <c r="D29" s="19">
        <v>-66954.037912658998</v>
      </c>
      <c r="E29" s="19">
        <v>-4375.7748881150401</v>
      </c>
      <c r="F29" s="19">
        <v>-3341.6057391132899</v>
      </c>
      <c r="G29" s="19">
        <v>-748.90304717562105</v>
      </c>
      <c r="H29" s="19">
        <v>-487.37644197532302</v>
      </c>
      <c r="I29" s="19">
        <v>-332.15046117258299</v>
      </c>
      <c r="J29" s="19">
        <v>-342.92057375826198</v>
      </c>
      <c r="K29" s="19">
        <v>-346.32011481320899</v>
      </c>
      <c r="L29" s="19">
        <v>-333.97290382123299</v>
      </c>
      <c r="M29" s="19">
        <v>-206.07783746713901</v>
      </c>
      <c r="N29" s="19">
        <v>-155.81964411018501</v>
      </c>
      <c r="O29" s="19">
        <v>-74.451092249895694</v>
      </c>
      <c r="P29" s="19">
        <v>-50.104132287837601</v>
      </c>
      <c r="Q29" s="19">
        <v>-46.222693219734303</v>
      </c>
      <c r="R29" s="19">
        <v>-38.6165066069752</v>
      </c>
      <c r="S29" s="19">
        <v>-19.225983372036801</v>
      </c>
      <c r="T29" s="19">
        <v>-21.634531676999799</v>
      </c>
      <c r="U29" s="19">
        <v>-10.524898872061099</v>
      </c>
      <c r="V29" s="19">
        <v>-10.0503135301262</v>
      </c>
      <c r="W29" s="19">
        <v>-15.0101211689237</v>
      </c>
      <c r="X29" s="19">
        <v>-8.4754270340272004</v>
      </c>
      <c r="Y29" s="22">
        <v>-10.9680224189692</v>
      </c>
      <c r="Z29" s="19">
        <v>-5.60392397302269</v>
      </c>
      <c r="AA29" s="19">
        <v>-1.4689497716894999</v>
      </c>
    </row>
    <row r="30" spans="1:27" x14ac:dyDescent="0.25">
      <c r="A30" s="10" t="s">
        <v>325</v>
      </c>
      <c r="B30" s="10" t="s">
        <v>326</v>
      </c>
      <c r="C30" s="13" t="s">
        <v>76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6">
        <v>0</v>
      </c>
      <c r="Z30" s="13"/>
      <c r="AA30" s="13"/>
    </row>
    <row r="31" spans="1:27" x14ac:dyDescent="0.25">
      <c r="A31" s="10" t="s">
        <v>327</v>
      </c>
      <c r="B31" s="10" t="s">
        <v>328</v>
      </c>
      <c r="C31" s="13" t="s">
        <v>76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6">
        <v>0</v>
      </c>
      <c r="Z31" s="13"/>
      <c r="AA31" s="13"/>
    </row>
    <row r="32" spans="1:27" x14ac:dyDescent="0.25">
      <c r="A32" s="10" t="s">
        <v>329</v>
      </c>
      <c r="B32" s="10" t="s">
        <v>330</v>
      </c>
      <c r="C32" s="13" t="s">
        <v>76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6">
        <v>0</v>
      </c>
      <c r="Z32" s="13"/>
      <c r="AA32" s="13"/>
    </row>
    <row r="33" spans="1:27" x14ac:dyDescent="0.25">
      <c r="A33" s="6" t="s">
        <v>331</v>
      </c>
      <c r="B33" s="6" t="s">
        <v>332</v>
      </c>
      <c r="C33" s="19" t="s">
        <v>76</v>
      </c>
      <c r="D33" s="19">
        <v>-66954.037912658998</v>
      </c>
      <c r="E33" s="19">
        <v>-4375.7748881150401</v>
      </c>
      <c r="F33" s="19">
        <v>-3341.6057391132899</v>
      </c>
      <c r="G33" s="19">
        <v>-748.90304717562105</v>
      </c>
      <c r="H33" s="19">
        <v>-487.37644197532302</v>
      </c>
      <c r="I33" s="19">
        <v>-332.15046117258299</v>
      </c>
      <c r="J33" s="19">
        <v>-342.92057375826198</v>
      </c>
      <c r="K33" s="19">
        <v>-346.32011481320899</v>
      </c>
      <c r="L33" s="19">
        <v>-333.97290382123299</v>
      </c>
      <c r="M33" s="19">
        <v>-206.07783746713901</v>
      </c>
      <c r="N33" s="19">
        <v>-155.81964411018501</v>
      </c>
      <c r="O33" s="19">
        <v>-74.451092249895694</v>
      </c>
      <c r="P33" s="19">
        <v>-50.104132287837601</v>
      </c>
      <c r="Q33" s="19">
        <v>-46.222693219734303</v>
      </c>
      <c r="R33" s="19">
        <v>-38.6165066069752</v>
      </c>
      <c r="S33" s="19">
        <v>-19.225983372036801</v>
      </c>
      <c r="T33" s="19">
        <v>-21.634531676999799</v>
      </c>
      <c r="U33" s="19">
        <v>-10.524898872061099</v>
      </c>
      <c r="V33" s="19">
        <v>-10.0503135301262</v>
      </c>
      <c r="W33" s="19">
        <v>-15.0101211689237</v>
      </c>
      <c r="X33" s="19">
        <v>-8.4754270340272004</v>
      </c>
      <c r="Y33" s="22">
        <v>-10.9680224189692</v>
      </c>
      <c r="Z33" s="19"/>
      <c r="AA33" s="19"/>
    </row>
    <row r="34" spans="1:27" x14ac:dyDescent="0.25">
      <c r="A34" s="10" t="s">
        <v>333</v>
      </c>
      <c r="B34" s="10" t="s">
        <v>334</v>
      </c>
      <c r="C34" s="13" t="s">
        <v>76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6">
        <v>0</v>
      </c>
      <c r="Z34" s="13"/>
      <c r="AA34" s="13"/>
    </row>
    <row r="35" spans="1:27" x14ac:dyDescent="0.25">
      <c r="A35" s="6" t="s">
        <v>335</v>
      </c>
      <c r="B35" s="6" t="s">
        <v>336</v>
      </c>
      <c r="C35" s="19" t="s">
        <v>76</v>
      </c>
      <c r="D35" s="19">
        <v>-66954.037912658998</v>
      </c>
      <c r="E35" s="19">
        <v>-4375.7748881150401</v>
      </c>
      <c r="F35" s="19">
        <v>-3341.6057391132899</v>
      </c>
      <c r="G35" s="19">
        <v>-748.90304717562105</v>
      </c>
      <c r="H35" s="19">
        <v>-487.37644197532302</v>
      </c>
      <c r="I35" s="19">
        <v>-332.15046117258299</v>
      </c>
      <c r="J35" s="19">
        <v>-342.92057375826198</v>
      </c>
      <c r="K35" s="19">
        <v>-346.32011481320899</v>
      </c>
      <c r="L35" s="19">
        <v>-333.97290382123299</v>
      </c>
      <c r="M35" s="19">
        <v>-206.07783746713901</v>
      </c>
      <c r="N35" s="19">
        <v>-155.81964411018501</v>
      </c>
      <c r="O35" s="19">
        <v>-74.451092249895694</v>
      </c>
      <c r="P35" s="19">
        <v>-50.104132287837601</v>
      </c>
      <c r="Q35" s="19">
        <v>-46.222693219734303</v>
      </c>
      <c r="R35" s="19">
        <v>-38.6165066069752</v>
      </c>
      <c r="S35" s="19">
        <v>-19.225983372036801</v>
      </c>
      <c r="T35" s="19">
        <v>-21.634531676999799</v>
      </c>
      <c r="U35" s="19">
        <v>-10.524898872061099</v>
      </c>
      <c r="V35" s="19">
        <v>-10.0503135301262</v>
      </c>
      <c r="W35" s="19">
        <v>-15.0101211689237</v>
      </c>
      <c r="X35" s="19">
        <v>-8.4754270340272004</v>
      </c>
      <c r="Y35" s="22">
        <v>-10.9680224189692</v>
      </c>
      <c r="Z35" s="19">
        <v>-5.60392397302269</v>
      </c>
      <c r="AA35" s="19">
        <v>-1.4689497716894999</v>
      </c>
    </row>
    <row r="36" spans="1:27" x14ac:dyDescent="0.25">
      <c r="A36" s="10" t="s">
        <v>337</v>
      </c>
      <c r="B36" s="10" t="s">
        <v>338</v>
      </c>
      <c r="C36" s="13" t="s">
        <v>76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6">
        <v>0</v>
      </c>
      <c r="Z36" s="13"/>
      <c r="AA36" s="13"/>
    </row>
    <row r="37" spans="1:27" x14ac:dyDescent="0.25">
      <c r="A37" s="10" t="s">
        <v>339</v>
      </c>
      <c r="B37" s="10" t="s">
        <v>340</v>
      </c>
      <c r="C37" s="13" t="s">
        <v>76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6">
        <v>0</v>
      </c>
      <c r="Z37" s="13"/>
      <c r="AA37" s="13"/>
    </row>
    <row r="38" spans="1:27" x14ac:dyDescent="0.25">
      <c r="A38" s="6" t="s">
        <v>341</v>
      </c>
      <c r="B38" s="6" t="s">
        <v>80</v>
      </c>
      <c r="C38" s="19" t="s">
        <v>76</v>
      </c>
      <c r="D38" s="19">
        <v>-66954.037912658998</v>
      </c>
      <c r="E38" s="19">
        <v>-4375.7748881150401</v>
      </c>
      <c r="F38" s="19">
        <v>-3341.6057391132899</v>
      </c>
      <c r="G38" s="19">
        <v>-748.90304717562105</v>
      </c>
      <c r="H38" s="19">
        <v>-487.37644197532302</v>
      </c>
      <c r="I38" s="19">
        <v>-332.15046117258299</v>
      </c>
      <c r="J38" s="19">
        <v>-342.92057375826198</v>
      </c>
      <c r="K38" s="19">
        <v>-346.32011481320899</v>
      </c>
      <c r="L38" s="19">
        <v>-333.97290382123299</v>
      </c>
      <c r="M38" s="19">
        <v>-206.07783746713901</v>
      </c>
      <c r="N38" s="19">
        <v>-155.81964411018501</v>
      </c>
      <c r="O38" s="19">
        <v>-74.451092249895694</v>
      </c>
      <c r="P38" s="19">
        <v>-50.104132287837601</v>
      </c>
      <c r="Q38" s="19">
        <v>-46.222693219734303</v>
      </c>
      <c r="R38" s="19">
        <v>-38.6165066069752</v>
      </c>
      <c r="S38" s="19">
        <v>-19.225983372036801</v>
      </c>
      <c r="T38" s="19">
        <v>-21.634531676999799</v>
      </c>
      <c r="U38" s="19">
        <v>-10.524898872061099</v>
      </c>
      <c r="V38" s="19">
        <v>-10.0503135301262</v>
      </c>
      <c r="W38" s="19">
        <v>-15.0101211689237</v>
      </c>
      <c r="X38" s="19">
        <v>-8.4754270340272004</v>
      </c>
      <c r="Y38" s="22">
        <v>-10.9680221926149</v>
      </c>
      <c r="Z38" s="19">
        <v>-5.60392397302269</v>
      </c>
      <c r="AA38" s="19">
        <v>-1.4689497716894999</v>
      </c>
    </row>
    <row r="39" spans="1:27" x14ac:dyDescent="0.25">
      <c r="A39" s="6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21"/>
      <c r="Z39" s="18"/>
      <c r="AA39" s="18"/>
    </row>
    <row r="40" spans="1:27" x14ac:dyDescent="0.25">
      <c r="A40" s="10" t="s">
        <v>343</v>
      </c>
      <c r="B40" s="10" t="s">
        <v>344</v>
      </c>
      <c r="C40" s="13" t="s">
        <v>76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6">
        <v>0</v>
      </c>
      <c r="Z40" s="13"/>
      <c r="AA40" s="13"/>
    </row>
    <row r="41" spans="1:27" x14ac:dyDescent="0.25">
      <c r="A41" s="10" t="s">
        <v>345</v>
      </c>
      <c r="B41" s="10" t="s">
        <v>326</v>
      </c>
      <c r="C41" s="13" t="s">
        <v>76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6">
        <v>0</v>
      </c>
      <c r="Z41" s="13"/>
      <c r="AA41" s="13"/>
    </row>
    <row r="42" spans="1:27" x14ac:dyDescent="0.25">
      <c r="A42" s="6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21"/>
      <c r="Z42" s="18"/>
      <c r="AA42" s="18"/>
    </row>
    <row r="43" spans="1:27" x14ac:dyDescent="0.25">
      <c r="A43" s="10" t="s">
        <v>229</v>
      </c>
      <c r="B43" s="10" t="s">
        <v>106</v>
      </c>
      <c r="C43" s="13" t="s">
        <v>76</v>
      </c>
      <c r="D43" s="13">
        <v>91195.372279874005</v>
      </c>
      <c r="E43" s="13">
        <v>6008.9861455552</v>
      </c>
      <c r="F43" s="13">
        <v>3484.11395777694</v>
      </c>
      <c r="G43" s="13">
        <v>943.59981022159695</v>
      </c>
      <c r="H43" s="13">
        <v>644.708601949372</v>
      </c>
      <c r="I43" s="13">
        <v>509.79199385527301</v>
      </c>
      <c r="J43" s="13">
        <v>405.20560110035802</v>
      </c>
      <c r="K43" s="13">
        <v>366.34388998415398</v>
      </c>
      <c r="L43" s="13">
        <v>317.38507601946299</v>
      </c>
      <c r="M43" s="13">
        <v>264.613927305978</v>
      </c>
      <c r="N43" s="13">
        <v>169.641621835585</v>
      </c>
      <c r="O43" s="13">
        <v>131.51077501043599</v>
      </c>
      <c r="P43" s="13">
        <v>107.83275444127101</v>
      </c>
      <c r="Q43" s="13">
        <v>99.820256856861107</v>
      </c>
      <c r="R43" s="13">
        <v>86.601977579608601</v>
      </c>
      <c r="S43" s="13">
        <v>76.199411125993706</v>
      </c>
      <c r="T43" s="13">
        <v>72.888937842073005</v>
      </c>
      <c r="U43" s="13">
        <v>66.872333742907202</v>
      </c>
      <c r="V43" s="13">
        <v>64.269342825984594</v>
      </c>
      <c r="W43" s="13">
        <v>60.309842337847499</v>
      </c>
      <c r="X43" s="13">
        <v>53.254812948304199</v>
      </c>
      <c r="Y43" s="16">
        <v>15.5828044861438</v>
      </c>
      <c r="Z43" s="13"/>
      <c r="AA43" s="13"/>
    </row>
    <row r="44" spans="1:27" x14ac:dyDescent="0.25">
      <c r="A44" s="6" t="s">
        <v>101</v>
      </c>
      <c r="B44" s="6" t="s">
        <v>102</v>
      </c>
      <c r="C44" s="19" t="s">
        <v>76</v>
      </c>
      <c r="D44" s="19">
        <v>-1220.8602115057799</v>
      </c>
      <c r="E44" s="19">
        <v>-67.375555963705807</v>
      </c>
      <c r="F44" s="19">
        <v>-50.350460182226698</v>
      </c>
      <c r="G44" s="19">
        <v>-10.721176930090101</v>
      </c>
      <c r="H44" s="19">
        <v>-6.1023247448465501</v>
      </c>
      <c r="I44" s="19">
        <v>-4.0936297515941398</v>
      </c>
      <c r="J44" s="19">
        <v>-4.2401287682211404</v>
      </c>
      <c r="K44" s="19">
        <v>-4.2778916622585603</v>
      </c>
      <c r="L44" s="19">
        <v>-4.0902303251546099</v>
      </c>
      <c r="M44" s="19">
        <v>-2.2288261515601802</v>
      </c>
      <c r="N44" s="19">
        <v>-1.6553014627827101</v>
      </c>
      <c r="O44" s="19">
        <v>-0.793098650340893</v>
      </c>
      <c r="P44" s="19">
        <v>-0.51212600575857203</v>
      </c>
      <c r="Q44" s="19">
        <v>-0.48265586636727997</v>
      </c>
      <c r="R44" s="19">
        <v>-0.40616651021734401</v>
      </c>
      <c r="S44" s="19">
        <v>-0.198140648157688</v>
      </c>
      <c r="T44" s="19">
        <v>-0.22710240047237301</v>
      </c>
      <c r="U44" s="19">
        <v>-0.110446895751936</v>
      </c>
      <c r="V44" s="19">
        <v>-9.9139960839715505E-2</v>
      </c>
      <c r="W44" s="19">
        <v>-0.14255167498218099</v>
      </c>
      <c r="X44" s="19">
        <v>-8.0312012167269797E-2</v>
      </c>
      <c r="Y44" s="22">
        <v>-0.10721860257442099</v>
      </c>
      <c r="Z44" s="19">
        <v>-4.9540159411404099E-2</v>
      </c>
      <c r="AA44" s="19">
        <v>-9.1324200913242004E-3</v>
      </c>
    </row>
    <row r="45" spans="1:27" x14ac:dyDescent="0.25">
      <c r="A45" s="6" t="s">
        <v>346</v>
      </c>
      <c r="B45" s="6" t="s">
        <v>236</v>
      </c>
      <c r="C45" s="19" t="s">
        <v>76</v>
      </c>
      <c r="D45" s="19">
        <v>-1220.8602115057799</v>
      </c>
      <c r="E45" s="19">
        <v>-67.375555963705807</v>
      </c>
      <c r="F45" s="19">
        <v>-50.350460182226698</v>
      </c>
      <c r="G45" s="19">
        <v>-10.721176930090101</v>
      </c>
      <c r="H45" s="19">
        <v>-6.1023247448465501</v>
      </c>
      <c r="I45" s="19">
        <v>-4.0936297515941398</v>
      </c>
      <c r="J45" s="19">
        <v>-4.2401287682211404</v>
      </c>
      <c r="K45" s="19">
        <v>-4.2778916622585603</v>
      </c>
      <c r="L45" s="19">
        <v>-4.0902303251546099</v>
      </c>
      <c r="M45" s="19">
        <v>-2.2288261515601802</v>
      </c>
      <c r="N45" s="19">
        <v>-1.6553014627827101</v>
      </c>
      <c r="O45" s="19">
        <v>-0.793098650340893</v>
      </c>
      <c r="P45" s="19">
        <v>-0.51212600575857203</v>
      </c>
      <c r="Q45" s="19">
        <v>-0.48265586636727997</v>
      </c>
      <c r="R45" s="19">
        <v>-0.40616651021734401</v>
      </c>
      <c r="S45" s="19">
        <v>-0.198140648157688</v>
      </c>
      <c r="T45" s="19">
        <v>-0.22710240047237301</v>
      </c>
      <c r="U45" s="19">
        <v>-0.110446895751936</v>
      </c>
      <c r="V45" s="19">
        <v>-9.9139960839715505E-2</v>
      </c>
      <c r="W45" s="19">
        <v>-0.14255167498218099</v>
      </c>
      <c r="X45" s="19">
        <v>-8.0312012167269797E-2</v>
      </c>
      <c r="Y45" s="22">
        <v>-0.10721860257442099</v>
      </c>
      <c r="Z45" s="19">
        <v>-4.9540159411404099E-2</v>
      </c>
      <c r="AA45" s="19">
        <v>-9.1324200913242004E-3</v>
      </c>
    </row>
    <row r="46" spans="1:27" x14ac:dyDescent="0.25">
      <c r="A46" s="6" t="s">
        <v>347</v>
      </c>
      <c r="B46" s="6" t="s">
        <v>238</v>
      </c>
      <c r="C46" s="19" t="s">
        <v>76</v>
      </c>
      <c r="D46" s="19">
        <v>-1220.8602115057799</v>
      </c>
      <c r="E46" s="19">
        <v>-67.375555963705807</v>
      </c>
      <c r="F46" s="19">
        <v>-50.350460182226698</v>
      </c>
      <c r="G46" s="19">
        <v>-10.721176930090101</v>
      </c>
      <c r="H46" s="19">
        <v>-6.1023247448465501</v>
      </c>
      <c r="I46" s="19">
        <v>-4.0936297515941398</v>
      </c>
      <c r="J46" s="19">
        <v>-4.2401287682211404</v>
      </c>
      <c r="K46" s="19">
        <v>-4.2778916622585603</v>
      </c>
      <c r="L46" s="19">
        <v>-4.0902303251546099</v>
      </c>
      <c r="M46" s="19">
        <v>-2.2288261515601802</v>
      </c>
      <c r="N46" s="19">
        <v>-1.6553014627827101</v>
      </c>
      <c r="O46" s="19">
        <v>-0.793098650340893</v>
      </c>
      <c r="P46" s="19">
        <v>-0.51212600575857203</v>
      </c>
      <c r="Q46" s="19">
        <v>-0.48265586636727997</v>
      </c>
      <c r="R46" s="19">
        <v>-0.40616651021734401</v>
      </c>
      <c r="S46" s="19">
        <v>-0.198140648157688</v>
      </c>
      <c r="T46" s="19">
        <v>-0.22710240047237301</v>
      </c>
      <c r="U46" s="19">
        <v>-0.110446895751936</v>
      </c>
      <c r="V46" s="19">
        <v>-9.9139960839715505E-2</v>
      </c>
      <c r="W46" s="19">
        <v>-0.14255167498218099</v>
      </c>
      <c r="X46" s="19">
        <v>-8.0312012167269797E-2</v>
      </c>
      <c r="Y46" s="22">
        <v>-0.10721860257442099</v>
      </c>
      <c r="Z46" s="19">
        <v>-4.9540159411404099E-2</v>
      </c>
      <c r="AA46" s="19">
        <v>-9.1324200913242004E-3</v>
      </c>
    </row>
    <row r="47" spans="1:27" x14ac:dyDescent="0.25">
      <c r="A47" s="6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21"/>
      <c r="Z47" s="18"/>
      <c r="AA47" s="18"/>
    </row>
    <row r="48" spans="1:27" x14ac:dyDescent="0.25">
      <c r="A48" s="10" t="s">
        <v>228</v>
      </c>
      <c r="B48" s="10" t="s">
        <v>108</v>
      </c>
      <c r="C48" s="13" t="s">
        <v>76</v>
      </c>
      <c r="D48" s="13">
        <v>91195.372279874005</v>
      </c>
      <c r="E48" s="13">
        <v>6008.9861455552</v>
      </c>
      <c r="F48" s="13">
        <v>3484.11395777694</v>
      </c>
      <c r="G48" s="13">
        <v>943.59981022159695</v>
      </c>
      <c r="H48" s="13">
        <v>644.708601949372</v>
      </c>
      <c r="I48" s="13">
        <v>509.79199385527301</v>
      </c>
      <c r="J48" s="13">
        <v>405.20560110035802</v>
      </c>
      <c r="K48" s="13">
        <v>366.34388998415398</v>
      </c>
      <c r="L48" s="13">
        <v>317.38507601946299</v>
      </c>
      <c r="M48" s="13">
        <v>264.613927305978</v>
      </c>
      <c r="N48" s="13">
        <v>169.641621835585</v>
      </c>
      <c r="O48" s="13">
        <v>131.51077501043599</v>
      </c>
      <c r="P48" s="13">
        <v>107.83275444127101</v>
      </c>
      <c r="Q48" s="13">
        <v>99.820256856861107</v>
      </c>
      <c r="R48" s="13">
        <v>86.601977579608601</v>
      </c>
      <c r="S48" s="13">
        <v>76.199411125993706</v>
      </c>
      <c r="T48" s="13">
        <v>72.888937842073005</v>
      </c>
      <c r="U48" s="13">
        <v>66.872333742907202</v>
      </c>
      <c r="V48" s="13">
        <v>64.269342825984594</v>
      </c>
      <c r="W48" s="13">
        <v>60.309842337847499</v>
      </c>
      <c r="X48" s="13">
        <v>53.254812948304199</v>
      </c>
      <c r="Y48" s="16">
        <v>15.5828044861438</v>
      </c>
      <c r="Z48" s="13"/>
      <c r="AA48" s="13"/>
    </row>
    <row r="49" spans="1:27" x14ac:dyDescent="0.25">
      <c r="A49" s="6" t="s">
        <v>103</v>
      </c>
      <c r="B49" s="6" t="s">
        <v>104</v>
      </c>
      <c r="C49" s="19" t="s">
        <v>76</v>
      </c>
      <c r="D49" s="19">
        <v>-1220.8602115057799</v>
      </c>
      <c r="E49" s="19">
        <v>-67.375555963705807</v>
      </c>
      <c r="F49" s="19">
        <v>-50.350460182226698</v>
      </c>
      <c r="G49" s="19">
        <v>-10.721176930090101</v>
      </c>
      <c r="H49" s="19">
        <v>-6.1023247448465501</v>
      </c>
      <c r="I49" s="19">
        <v>-4.0936297515941398</v>
      </c>
      <c r="J49" s="19">
        <v>-4.2401287682211404</v>
      </c>
      <c r="K49" s="19">
        <v>-4.2778916622585603</v>
      </c>
      <c r="L49" s="19">
        <v>-4.0902303251546099</v>
      </c>
      <c r="M49" s="19">
        <v>-2.2288261515601802</v>
      </c>
      <c r="N49" s="19">
        <v>-1.6553014627827101</v>
      </c>
      <c r="O49" s="19">
        <v>-0.793098650340893</v>
      </c>
      <c r="P49" s="19">
        <v>-0.51212600575857203</v>
      </c>
      <c r="Q49" s="19">
        <v>-0.48265586636727997</v>
      </c>
      <c r="R49" s="19">
        <v>-0.40616651021734401</v>
      </c>
      <c r="S49" s="19">
        <v>-0.198140648157688</v>
      </c>
      <c r="T49" s="19">
        <v>-0.22710240047237301</v>
      </c>
      <c r="U49" s="19">
        <v>-0.110446895751936</v>
      </c>
      <c r="V49" s="19">
        <v>-9.9139960839715505E-2</v>
      </c>
      <c r="W49" s="19">
        <v>-0.14255167498218099</v>
      </c>
      <c r="X49" s="19">
        <v>-8.0312012167269797E-2</v>
      </c>
      <c r="Y49" s="22">
        <v>-0.10721860257442099</v>
      </c>
      <c r="Z49" s="19">
        <v>-4.9540159411404099E-2</v>
      </c>
      <c r="AA49" s="19">
        <v>-9.1324200913242004E-3</v>
      </c>
    </row>
    <row r="50" spans="1:27" x14ac:dyDescent="0.25">
      <c r="A50" s="6" t="s">
        <v>348</v>
      </c>
      <c r="B50" s="6" t="s">
        <v>241</v>
      </c>
      <c r="C50" s="19" t="s">
        <v>76</v>
      </c>
      <c r="D50" s="19">
        <v>-1220.8602115057799</v>
      </c>
      <c r="E50" s="19">
        <v>-67.375555963705807</v>
      </c>
      <c r="F50" s="19">
        <v>-50.350460182226698</v>
      </c>
      <c r="G50" s="19">
        <v>-10.721176930090101</v>
      </c>
      <c r="H50" s="19">
        <v>-6.1023247448465501</v>
      </c>
      <c r="I50" s="19">
        <v>-4.0936297515941398</v>
      </c>
      <c r="J50" s="19">
        <v>-4.2401287682211404</v>
      </c>
      <c r="K50" s="19">
        <v>-4.2778916622585603</v>
      </c>
      <c r="L50" s="19">
        <v>-4.0902303251546099</v>
      </c>
      <c r="M50" s="19">
        <v>-2.2288261515601802</v>
      </c>
      <c r="N50" s="19">
        <v>-1.6553014627827101</v>
      </c>
      <c r="O50" s="19">
        <v>-0.793098650340893</v>
      </c>
      <c r="P50" s="19">
        <v>-0.51212600575857203</v>
      </c>
      <c r="Q50" s="19">
        <v>-0.48265586636727997</v>
      </c>
      <c r="R50" s="19">
        <v>-0.40616651021734401</v>
      </c>
      <c r="S50" s="19">
        <v>-0.198140648157688</v>
      </c>
      <c r="T50" s="19">
        <v>-0.22710240047237301</v>
      </c>
      <c r="U50" s="19">
        <v>-0.110446895751936</v>
      </c>
      <c r="V50" s="19">
        <v>-9.9139960839715505E-2</v>
      </c>
      <c r="W50" s="19">
        <v>-0.14255167498218099</v>
      </c>
      <c r="X50" s="19">
        <v>-8.0312012167269797E-2</v>
      </c>
      <c r="Y50" s="22">
        <v>-0.10721860257442099</v>
      </c>
      <c r="Z50" s="19">
        <v>-4.9540159411404099E-2</v>
      </c>
      <c r="AA50" s="19">
        <v>-9.1324200913242004E-3</v>
      </c>
    </row>
    <row r="51" spans="1:27" x14ac:dyDescent="0.25">
      <c r="A51" s="6" t="s">
        <v>349</v>
      </c>
      <c r="B51" s="6" t="s">
        <v>82</v>
      </c>
      <c r="C51" s="19" t="s">
        <v>76</v>
      </c>
      <c r="D51" s="19">
        <v>-1220.8602115057799</v>
      </c>
      <c r="E51" s="19">
        <v>-67.375555963705807</v>
      </c>
      <c r="F51" s="19">
        <v>-50.350460182226698</v>
      </c>
      <c r="G51" s="19">
        <v>-10.721176930090101</v>
      </c>
      <c r="H51" s="19">
        <v>-6.1023247448465501</v>
      </c>
      <c r="I51" s="19">
        <v>-4.0936297515941398</v>
      </c>
      <c r="J51" s="19">
        <v>-4.2401287682211404</v>
      </c>
      <c r="K51" s="19">
        <v>-4.2778916622585603</v>
      </c>
      <c r="L51" s="19">
        <v>-4.0902303251546099</v>
      </c>
      <c r="M51" s="19">
        <v>-2.2288261515601802</v>
      </c>
      <c r="N51" s="19">
        <v>-1.6553014627827101</v>
      </c>
      <c r="O51" s="19">
        <v>-0.793098650340893</v>
      </c>
      <c r="P51" s="19">
        <v>-0.51212600575857203</v>
      </c>
      <c r="Q51" s="19">
        <v>-0.48265586636727997</v>
      </c>
      <c r="R51" s="19">
        <v>-0.40616651021734401</v>
      </c>
      <c r="S51" s="19">
        <v>-0.198140648157688</v>
      </c>
      <c r="T51" s="19">
        <v>-0.22710240047237301</v>
      </c>
      <c r="U51" s="19">
        <v>-0.110446895751936</v>
      </c>
      <c r="V51" s="19">
        <v>-9.9139960839715505E-2</v>
      </c>
      <c r="W51" s="19">
        <v>-0.14255167498218099</v>
      </c>
      <c r="X51" s="19">
        <v>-8.0312012167269797E-2</v>
      </c>
      <c r="Y51" s="22">
        <v>-0.10721860257442099</v>
      </c>
      <c r="Z51" s="19">
        <v>-4.9540159411404099E-2</v>
      </c>
      <c r="AA51" s="19">
        <v>-9.1324200913242004E-3</v>
      </c>
    </row>
    <row r="52" spans="1:27" x14ac:dyDescent="0.25">
      <c r="A52" s="6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21"/>
      <c r="Z52" s="18"/>
      <c r="AA52" s="18"/>
    </row>
    <row r="53" spans="1:27" x14ac:dyDescent="0.25">
      <c r="A53" s="6" t="s">
        <v>4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21"/>
      <c r="Z53" s="18"/>
      <c r="AA53" s="18"/>
    </row>
    <row r="54" spans="1:27" x14ac:dyDescent="0.25">
      <c r="A54" s="10" t="s">
        <v>350</v>
      </c>
      <c r="B54" s="10" t="s">
        <v>351</v>
      </c>
      <c r="C54" s="12" t="s">
        <v>352</v>
      </c>
      <c r="D54" s="12" t="s">
        <v>352</v>
      </c>
      <c r="E54" s="12" t="s">
        <v>352</v>
      </c>
      <c r="F54" s="12" t="s">
        <v>352</v>
      </c>
      <c r="G54" s="12" t="s">
        <v>352</v>
      </c>
      <c r="H54" s="12" t="s">
        <v>352</v>
      </c>
      <c r="I54" s="12" t="s">
        <v>352</v>
      </c>
      <c r="J54" s="12" t="s">
        <v>352</v>
      </c>
      <c r="K54" s="12" t="s">
        <v>352</v>
      </c>
      <c r="L54" s="12" t="s">
        <v>352</v>
      </c>
      <c r="M54" s="12" t="s">
        <v>352</v>
      </c>
      <c r="N54" s="12" t="s">
        <v>352</v>
      </c>
      <c r="O54" s="12" t="s">
        <v>352</v>
      </c>
      <c r="P54" s="12" t="s">
        <v>352</v>
      </c>
      <c r="Q54" s="12" t="s">
        <v>352</v>
      </c>
      <c r="R54" s="12" t="s">
        <v>352</v>
      </c>
      <c r="S54" s="12" t="s">
        <v>352</v>
      </c>
      <c r="T54" s="12" t="s">
        <v>352</v>
      </c>
      <c r="U54" s="12" t="s">
        <v>352</v>
      </c>
      <c r="V54" s="12" t="s">
        <v>352</v>
      </c>
      <c r="W54" s="12" t="s">
        <v>352</v>
      </c>
      <c r="X54" s="12" t="s">
        <v>352</v>
      </c>
      <c r="Y54" s="15"/>
      <c r="Z54" s="12"/>
      <c r="AA54" s="12"/>
    </row>
    <row r="55" spans="1:27" x14ac:dyDescent="0.25">
      <c r="A55" s="10" t="s">
        <v>78</v>
      </c>
      <c r="B55" s="10" t="s">
        <v>78</v>
      </c>
      <c r="C55" s="13" t="s">
        <v>76</v>
      </c>
      <c r="D55" s="13">
        <v>-67356.835992278895</v>
      </c>
      <c r="E55" s="13">
        <v>-4441.1310233054801</v>
      </c>
      <c r="F55" s="13">
        <v>-3353.5513333431199</v>
      </c>
      <c r="G55" s="13">
        <v>-746.62018290056403</v>
      </c>
      <c r="H55" s="13">
        <v>-488.38102915706799</v>
      </c>
      <c r="I55" s="13">
        <v>-329.32738073382899</v>
      </c>
      <c r="J55" s="13">
        <v>-340.28516412366201</v>
      </c>
      <c r="K55" s="13">
        <v>-343.98697521583199</v>
      </c>
      <c r="L55" s="13">
        <v>-330.75879304081201</v>
      </c>
      <c r="M55" s="13">
        <v>-207.140816093268</v>
      </c>
      <c r="N55" s="13">
        <v>-157.88517245722301</v>
      </c>
      <c r="O55" s="13">
        <v>-77.165715875887003</v>
      </c>
      <c r="P55" s="13">
        <v>-45.596285379371601</v>
      </c>
      <c r="Q55" s="13">
        <v>-49.4963590959646</v>
      </c>
      <c r="R55" s="13">
        <v>-42.472380677305203</v>
      </c>
      <c r="S55" s="13">
        <v>-22.714843904797402</v>
      </c>
      <c r="T55" s="13">
        <v>-19.891142249373601</v>
      </c>
      <c r="U55" s="13">
        <v>-13.7223365040796</v>
      </c>
      <c r="V55" s="13">
        <v>-16.457853124147999</v>
      </c>
      <c r="W55" s="13">
        <v>-21.472843905915902</v>
      </c>
      <c r="X55" s="13">
        <v>-13.543616951858001</v>
      </c>
      <c r="Y55" s="16">
        <v>-16.3148525670777</v>
      </c>
      <c r="Z55" s="13">
        <v>-6.2440220723482502</v>
      </c>
      <c r="AA55" s="13">
        <v>-2.04566210045662</v>
      </c>
    </row>
    <row r="56" spans="1:27" x14ac:dyDescent="0.25">
      <c r="A56" s="10" t="s">
        <v>353</v>
      </c>
      <c r="B56" s="10" t="s">
        <v>354</v>
      </c>
      <c r="C56" s="13" t="s">
        <v>76</v>
      </c>
      <c r="D56" s="13">
        <v>-408637323.67478901</v>
      </c>
      <c r="E56" s="13">
        <v>-1310785.80249363</v>
      </c>
      <c r="F56" s="13">
        <v>-323752.74378538999</v>
      </c>
      <c r="G56" s="13">
        <v>-27079.0110569262</v>
      </c>
      <c r="H56" s="13">
        <v>-8021.2319871016098</v>
      </c>
      <c r="I56" s="13">
        <v>-3886.3201096286598</v>
      </c>
      <c r="J56" s="13">
        <v>-2114.8646693066198</v>
      </c>
      <c r="K56" s="13">
        <v>-1644.1284563507099</v>
      </c>
      <c r="L56" s="13">
        <v>-1309.9323413576899</v>
      </c>
      <c r="M56" s="13">
        <v>-838.48119785118297</v>
      </c>
      <c r="N56" s="13">
        <v>-417.852003454542</v>
      </c>
      <c r="O56" s="13">
        <v>-222.34634200639999</v>
      </c>
      <c r="P56" s="13">
        <v>-116.28454176103099</v>
      </c>
      <c r="Q56" s="13">
        <v>-77.842664680083104</v>
      </c>
      <c r="R56" s="13">
        <v>-46.815818831684602</v>
      </c>
      <c r="S56" s="13">
        <v>-30.740049772930799</v>
      </c>
      <c r="T56" s="13">
        <v>-24.3166223816986</v>
      </c>
      <c r="U56" s="13">
        <v>-16.369293692101699</v>
      </c>
      <c r="V56" s="13">
        <v>-11.1270478598161</v>
      </c>
      <c r="W56" s="13">
        <v>-10.254704490377801</v>
      </c>
      <c r="X56" s="13">
        <v>-8.1892417040201195</v>
      </c>
      <c r="Y56" s="16">
        <v>-2.3962406759586101</v>
      </c>
      <c r="Z56" s="13">
        <v>-0.67806678619341598</v>
      </c>
      <c r="AA56" s="13"/>
    </row>
    <row r="57" spans="1:27" x14ac:dyDescent="0.25">
      <c r="A57" s="10" t="s">
        <v>355</v>
      </c>
      <c r="B57" s="10" t="s">
        <v>355</v>
      </c>
      <c r="C57" s="13" t="s">
        <v>76</v>
      </c>
      <c r="D57" s="13">
        <v>-67590.548232227404</v>
      </c>
      <c r="E57" s="13">
        <v>-4454.86474587878</v>
      </c>
      <c r="F57" s="13">
        <v>-3360.49025613699</v>
      </c>
      <c r="G57" s="13">
        <v>-748.26288434401499</v>
      </c>
      <c r="H57" s="13">
        <v>-489.39250554227601</v>
      </c>
      <c r="I57" s="13">
        <v>-330.12726339150697</v>
      </c>
      <c r="J57" s="13">
        <v>-340.91161072465201</v>
      </c>
      <c r="K57" s="13">
        <v>-344.59013542499099</v>
      </c>
      <c r="L57" s="13">
        <v>-331.33074747673697</v>
      </c>
      <c r="M57" s="13">
        <v>-207.62944336495599</v>
      </c>
      <c r="N57" s="13">
        <v>-158.19464186113501</v>
      </c>
      <c r="O57" s="13">
        <v>-77.402254069848297</v>
      </c>
      <c r="P57" s="13">
        <v>-45.7590276434237</v>
      </c>
      <c r="Q57" s="13">
        <v>-49.636958848341102</v>
      </c>
      <c r="R57" s="13">
        <v>-42.583399523431297</v>
      </c>
      <c r="S57" s="13">
        <v>-22.821839854802501</v>
      </c>
      <c r="T57" s="13">
        <v>-19.994095337587702</v>
      </c>
      <c r="U57" s="13">
        <v>-13.813455193075001</v>
      </c>
      <c r="V57" s="13">
        <v>-16.537784717575001</v>
      </c>
      <c r="W57" s="13">
        <v>-21.5515324305061</v>
      </c>
      <c r="X57" s="13">
        <v>-13.5983295101469</v>
      </c>
      <c r="Y57" s="16">
        <v>-16.3894649644857</v>
      </c>
      <c r="Z57" s="13"/>
      <c r="AA57" s="13"/>
    </row>
    <row r="58" spans="1:27" x14ac:dyDescent="0.25">
      <c r="A58" s="10" t="s">
        <v>141</v>
      </c>
      <c r="B58" s="10" t="s">
        <v>141</v>
      </c>
      <c r="C58" s="13" t="s">
        <v>76</v>
      </c>
      <c r="D58" s="13">
        <v>-68910.397109530997</v>
      </c>
      <c r="E58" s="13">
        <v>-4530.3622866709902</v>
      </c>
      <c r="F58" s="13">
        <v>-3402.4489729555098</v>
      </c>
      <c r="G58" s="13">
        <v>-759.11977237448605</v>
      </c>
      <c r="H58" s="13">
        <v>-492.46833415366802</v>
      </c>
      <c r="I58" s="13">
        <v>-335.16557693192999</v>
      </c>
      <c r="J58" s="13">
        <v>-344.902320153566</v>
      </c>
      <c r="K58" s="13">
        <v>-348.19257050899802</v>
      </c>
      <c r="L58" s="13">
        <v>-335.02708083066398</v>
      </c>
      <c r="M58" s="13">
        <v>-207.62944336495599</v>
      </c>
      <c r="N58" s="13">
        <v>-158.19464186113501</v>
      </c>
      <c r="O58" s="13">
        <v>-77.402254069848297</v>
      </c>
      <c r="P58" s="13">
        <v>-53.957595966723197</v>
      </c>
      <c r="Q58" s="13">
        <v>-50.7753971418379</v>
      </c>
      <c r="R58" s="13">
        <v>-42.583399523431297</v>
      </c>
      <c r="S58" s="13">
        <v>-23.5494123148376</v>
      </c>
      <c r="T58" s="13">
        <v>-25.8117018296883</v>
      </c>
      <c r="U58" s="13">
        <v>-14.4630209987161</v>
      </c>
      <c r="V58" s="13">
        <v>-17.1778570897464</v>
      </c>
      <c r="W58" s="13">
        <v>-22.151960085531002</v>
      </c>
      <c r="X58" s="13">
        <v>-14.655436370298601</v>
      </c>
      <c r="Y58" s="16">
        <v>-17.143373302861701</v>
      </c>
      <c r="Z58" s="13">
        <v>-9.5450643776823991</v>
      </c>
      <c r="AA58" s="13">
        <v>-6.6684931506849301</v>
      </c>
    </row>
    <row r="59" spans="1:27" x14ac:dyDescent="0.25">
      <c r="A59" s="10" t="s">
        <v>356</v>
      </c>
      <c r="B59" s="10" t="s">
        <v>152</v>
      </c>
      <c r="C59" s="13" t="s">
        <v>76</v>
      </c>
      <c r="D59" s="13" t="s">
        <v>76</v>
      </c>
      <c r="E59" s="13">
        <v>8639.1080953114906</v>
      </c>
      <c r="F59" s="13">
        <v>4891.25013898825</v>
      </c>
      <c r="G59" s="13">
        <v>1254.6899856336199</v>
      </c>
      <c r="H59" s="13">
        <v>729.37157296252599</v>
      </c>
      <c r="I59" s="13">
        <v>572.07035450644696</v>
      </c>
      <c r="J59" s="13">
        <v>448.07454006699697</v>
      </c>
      <c r="K59" s="13">
        <v>409.72291375216503</v>
      </c>
      <c r="L59" s="13">
        <v>351.03221442031298</v>
      </c>
      <c r="M59" s="13">
        <v>259.98595268030601</v>
      </c>
      <c r="N59" s="13">
        <v>164.8707803307</v>
      </c>
      <c r="O59" s="13">
        <v>127.814530402115</v>
      </c>
      <c r="P59" s="13">
        <v>105.01412784941201</v>
      </c>
      <c r="Q59" s="13">
        <v>97.492813673850506</v>
      </c>
      <c r="R59" s="13">
        <v>84.423723734565698</v>
      </c>
      <c r="S59" s="13">
        <v>73.521827966363603</v>
      </c>
      <c r="T59" s="13">
        <v>69.567899832701201</v>
      </c>
      <c r="U59" s="13">
        <v>64.311914458879201</v>
      </c>
      <c r="V59" s="13">
        <v>57.603279673829498</v>
      </c>
      <c r="W59" s="13">
        <v>52.044793727726301</v>
      </c>
      <c r="X59" s="13">
        <v>45.053888858214201</v>
      </c>
      <c r="Y59" s="16">
        <v>13.458662217169101</v>
      </c>
      <c r="Z59" s="13"/>
      <c r="AA59" s="13"/>
    </row>
    <row r="60" spans="1:27" x14ac:dyDescent="0.25">
      <c r="A60" s="10" t="s">
        <v>357</v>
      </c>
      <c r="B60" s="10" t="s">
        <v>358</v>
      </c>
      <c r="C60" s="13" t="s">
        <v>76</v>
      </c>
      <c r="D60" s="13">
        <v>-113689137.82521901</v>
      </c>
      <c r="E60" s="13">
        <v>-418131.06548442598</v>
      </c>
      <c r="F60" s="13">
        <v>-178452.991184474</v>
      </c>
      <c r="G60" s="13">
        <v>-10302.0979579008</v>
      </c>
      <c r="H60" s="13">
        <v>-3954.21276397573</v>
      </c>
      <c r="I60" s="13">
        <v>-2110.8365811037202</v>
      </c>
      <c r="J60" s="13">
        <v>-1720.5061755979</v>
      </c>
      <c r="K60" s="13">
        <v>-1567.92641720134</v>
      </c>
      <c r="L60" s="13">
        <v>-1305.0837394802199</v>
      </c>
      <c r="M60" s="13">
        <v>-593.29478511829905</v>
      </c>
      <c r="N60" s="13">
        <v>-284.63024163802902</v>
      </c>
      <c r="O60" s="13">
        <v>-107.697584527619</v>
      </c>
      <c r="P60" s="13">
        <v>-61.406862488477202</v>
      </c>
      <c r="Q60" s="13">
        <v>-53.276180932994798</v>
      </c>
      <c r="R60" s="13">
        <v>-38.435446602642799</v>
      </c>
      <c r="S60" s="13">
        <v>-18.664383029649802</v>
      </c>
      <c r="T60" s="13">
        <v>-19.539664948258501</v>
      </c>
      <c r="U60" s="13">
        <v>-9.9837235790316594</v>
      </c>
      <c r="V60" s="13">
        <v>-10.643825439314</v>
      </c>
      <c r="W60" s="13">
        <v>-12.631196008553101</v>
      </c>
      <c r="X60" s="13">
        <v>-7.3562972146790298</v>
      </c>
      <c r="Y60" s="16">
        <v>-2.5179294917047601</v>
      </c>
      <c r="Z60" s="13">
        <v>-4.6818218897277299</v>
      </c>
      <c r="AA60" s="13">
        <v>-3.0449740414086399</v>
      </c>
    </row>
    <row r="61" spans="1:27" x14ac:dyDescent="0.25">
      <c r="A61" s="10" t="s">
        <v>359</v>
      </c>
      <c r="B61" s="10" t="s">
        <v>360</v>
      </c>
      <c r="C61" s="13" t="s">
        <v>76</v>
      </c>
      <c r="D61" s="13">
        <v>-110461514.713015</v>
      </c>
      <c r="E61" s="13">
        <v>-403863.37787811301</v>
      </c>
      <c r="F61" s="13">
        <v>-175261.86115231199</v>
      </c>
      <c r="G61" s="13">
        <v>-10163.445658696901</v>
      </c>
      <c r="H61" s="13">
        <v>-3913.3280553577201</v>
      </c>
      <c r="I61" s="13">
        <v>-2091.8477063927799</v>
      </c>
      <c r="J61" s="13">
        <v>-1710.6204600380099</v>
      </c>
      <c r="K61" s="13">
        <v>-1559.49466571676</v>
      </c>
      <c r="L61" s="13">
        <v>-1300.9772378292901</v>
      </c>
      <c r="M61" s="13">
        <v>-588.86111841353295</v>
      </c>
      <c r="N61" s="13">
        <v>-280.35704852552198</v>
      </c>
      <c r="O61" s="13">
        <v>-103.59133435369399</v>
      </c>
      <c r="P61" s="13">
        <v>-57.021397762578403</v>
      </c>
      <c r="Q61" s="13">
        <v>-48.499247686399599</v>
      </c>
      <c r="R61" s="13">
        <v>-34.854959744385901</v>
      </c>
      <c r="S61" s="13">
        <v>-15.237794932354801</v>
      </c>
      <c r="T61" s="13">
        <v>-16.377513834321199</v>
      </c>
      <c r="U61" s="13">
        <v>-7.2652651415791096</v>
      </c>
      <c r="V61" s="13">
        <v>-6.2274233524177802</v>
      </c>
      <c r="W61" s="13">
        <v>-8.5588715609408403</v>
      </c>
      <c r="X61" s="13">
        <v>-4.25424122716755</v>
      </c>
      <c r="Y61" s="16">
        <v>-1.6109260777627401</v>
      </c>
      <c r="Z61" s="13">
        <v>-2.7487058114151699</v>
      </c>
      <c r="AA61" s="13">
        <v>-0.67075332040616298</v>
      </c>
    </row>
    <row r="62" spans="1:27" x14ac:dyDescent="0.25">
      <c r="A62" s="10" t="s">
        <v>361</v>
      </c>
      <c r="B62" s="10" t="s">
        <v>362</v>
      </c>
      <c r="C62" s="13" t="s">
        <v>76</v>
      </c>
      <c r="D62" s="13">
        <v>333333.33278339601</v>
      </c>
      <c r="E62" s="13" t="s">
        <v>76</v>
      </c>
      <c r="F62" s="13" t="s">
        <v>76</v>
      </c>
      <c r="G62" s="13" t="s">
        <v>76</v>
      </c>
      <c r="H62" s="13">
        <v>261096.60574244801</v>
      </c>
      <c r="I62" s="13" t="s">
        <v>76</v>
      </c>
      <c r="J62" s="13" t="s">
        <v>76</v>
      </c>
      <c r="K62" s="13" t="s">
        <v>76</v>
      </c>
      <c r="L62" s="13">
        <v>195312.50000097399</v>
      </c>
      <c r="M62" s="13" t="s">
        <v>76</v>
      </c>
      <c r="N62" s="13" t="s">
        <v>76</v>
      </c>
      <c r="O62" s="13" t="s">
        <v>76</v>
      </c>
      <c r="P62" s="13">
        <v>178253.11943006099</v>
      </c>
      <c r="Q62" s="13" t="s">
        <v>76</v>
      </c>
      <c r="R62" s="13" t="s">
        <v>76</v>
      </c>
      <c r="S62" s="13" t="s">
        <v>76</v>
      </c>
      <c r="T62" s="13" t="s">
        <v>76</v>
      </c>
      <c r="U62" s="13" t="s">
        <v>76</v>
      </c>
      <c r="V62" s="13" t="s">
        <v>76</v>
      </c>
      <c r="W62" s="13" t="s">
        <v>76</v>
      </c>
      <c r="X62" s="13">
        <v>116279.069767547</v>
      </c>
      <c r="Y62" s="16">
        <v>34024.2301062185</v>
      </c>
      <c r="Z62" s="13"/>
      <c r="AA62" s="13"/>
    </row>
    <row r="63" spans="1:27" x14ac:dyDescent="0.25">
      <c r="A63" s="10" t="s">
        <v>363</v>
      </c>
      <c r="B63" s="10" t="s">
        <v>244</v>
      </c>
      <c r="C63" s="13" t="s">
        <v>76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6">
        <v>0</v>
      </c>
      <c r="Z63" s="13"/>
      <c r="AA63" s="13"/>
    </row>
    <row r="64" spans="1:27" x14ac:dyDescent="0.25">
      <c r="A64" s="10" t="s">
        <v>364</v>
      </c>
      <c r="B64" s="10" t="s">
        <v>365</v>
      </c>
      <c r="C64" s="13" t="s">
        <v>76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6">
        <v>0</v>
      </c>
      <c r="Z64" s="13"/>
      <c r="AA64" s="13"/>
    </row>
    <row r="65" spans="1:27" x14ac:dyDescent="0.25">
      <c r="A65" s="10" t="s">
        <v>366</v>
      </c>
      <c r="B65" s="10" t="s">
        <v>367</v>
      </c>
      <c r="C65" s="13" t="s">
        <v>76</v>
      </c>
      <c r="D65" s="13" t="s">
        <v>76</v>
      </c>
      <c r="E65" s="13" t="s">
        <v>76</v>
      </c>
      <c r="F65" s="13" t="s">
        <v>76</v>
      </c>
      <c r="G65" s="13">
        <v>0</v>
      </c>
      <c r="H65" s="13">
        <v>0</v>
      </c>
      <c r="I65" s="13" t="s">
        <v>76</v>
      </c>
      <c r="J65" s="13" t="s">
        <v>76</v>
      </c>
      <c r="K65" s="13" t="s">
        <v>76</v>
      </c>
      <c r="L65" s="13">
        <v>0</v>
      </c>
      <c r="M65" s="13" t="s">
        <v>76</v>
      </c>
      <c r="N65" s="13" t="s">
        <v>76</v>
      </c>
      <c r="O65" s="13" t="s">
        <v>76</v>
      </c>
      <c r="P65" s="13">
        <v>0</v>
      </c>
      <c r="Q65" s="13" t="s">
        <v>76</v>
      </c>
      <c r="R65" s="13" t="s">
        <v>76</v>
      </c>
      <c r="S65" s="13" t="s">
        <v>76</v>
      </c>
      <c r="T65" s="13">
        <v>0</v>
      </c>
      <c r="U65" s="13" t="s">
        <v>76</v>
      </c>
      <c r="V65" s="13" t="s">
        <v>76</v>
      </c>
      <c r="W65" s="13" t="s">
        <v>76</v>
      </c>
      <c r="X65" s="13">
        <v>0</v>
      </c>
      <c r="Y65" s="16"/>
      <c r="Z65" s="13"/>
      <c r="AA65" s="13"/>
    </row>
    <row r="66" spans="1:27" x14ac:dyDescent="0.25">
      <c r="A66" s="10" t="s">
        <v>368</v>
      </c>
      <c r="B66" s="10" t="s">
        <v>369</v>
      </c>
      <c r="C66" s="13" t="s">
        <v>76</v>
      </c>
      <c r="D66" s="13">
        <v>233.71223994852599</v>
      </c>
      <c r="E66" s="13">
        <v>13.733722573303201</v>
      </c>
      <c r="F66" s="13">
        <v>6.9389227938631199</v>
      </c>
      <c r="G66" s="13">
        <v>1.6427014434504099</v>
      </c>
      <c r="H66" s="13">
        <v>1.01147638520764</v>
      </c>
      <c r="I66" s="13">
        <v>0.79988265767764399</v>
      </c>
      <c r="J66" s="13">
        <v>0.62644660099056404</v>
      </c>
      <c r="K66" s="13">
        <v>0.603160209159182</v>
      </c>
      <c r="L66" s="13">
        <v>0.57195443592490602</v>
      </c>
      <c r="M66" s="13">
        <v>0.48862727168819298</v>
      </c>
      <c r="N66" s="13">
        <v>0.30946940391154898</v>
      </c>
      <c r="O66" s="13">
        <v>0.236538193961319</v>
      </c>
      <c r="P66" s="13">
        <v>0.16274226405216899</v>
      </c>
      <c r="Q66" s="13">
        <v>0.140599752376556</v>
      </c>
      <c r="R66" s="13">
        <v>0.111018846126074</v>
      </c>
      <c r="S66" s="13">
        <v>0.106995950005152</v>
      </c>
      <c r="T66" s="13">
        <v>0.10295308821414199</v>
      </c>
      <c r="U66" s="13">
        <v>9.1118688995347405E-2</v>
      </c>
      <c r="V66" s="13">
        <v>7.9931593427020595E-2</v>
      </c>
      <c r="W66" s="13">
        <v>7.86885245901639E-2</v>
      </c>
      <c r="X66" s="13">
        <v>5.4712558288952599E-2</v>
      </c>
      <c r="Y66" s="16">
        <v>7.4612397407953598E-2</v>
      </c>
      <c r="Z66" s="13"/>
      <c r="AA66" s="13"/>
    </row>
    <row r="67" spans="1:27" x14ac:dyDescent="0.25">
      <c r="A67" s="10" t="s">
        <v>370</v>
      </c>
      <c r="B67" s="10" t="s">
        <v>371</v>
      </c>
      <c r="C67" s="13" t="s">
        <v>76</v>
      </c>
      <c r="D67" s="13">
        <v>1319.8488773035499</v>
      </c>
      <c r="E67" s="13">
        <v>75.497540792207303</v>
      </c>
      <c r="F67" s="13">
        <v>41.958716818522298</v>
      </c>
      <c r="G67" s="13">
        <v>10.8568880304709</v>
      </c>
      <c r="H67" s="13">
        <v>3.0758286113919202</v>
      </c>
      <c r="I67" s="13">
        <v>5.03831354042355</v>
      </c>
      <c r="J67" s="13">
        <v>3.9907094289140201</v>
      </c>
      <c r="K67" s="13">
        <v>3.6024350840072099</v>
      </c>
      <c r="L67" s="13">
        <v>3.69633335392732</v>
      </c>
      <c r="M67" s="13" t="s">
        <v>76</v>
      </c>
      <c r="N67" s="13" t="s">
        <v>76</v>
      </c>
      <c r="O67" s="13" t="s">
        <v>76</v>
      </c>
      <c r="P67" s="13">
        <v>8.1985683232994599</v>
      </c>
      <c r="Q67" s="13">
        <v>2.2674333200428101</v>
      </c>
      <c r="R67" s="13" t="s">
        <v>76</v>
      </c>
      <c r="S67" s="13">
        <v>1.9671403549095301</v>
      </c>
      <c r="T67" s="13">
        <v>5.8176064921006203</v>
      </c>
      <c r="U67" s="13">
        <v>1.30327336987285</v>
      </c>
      <c r="V67" s="13">
        <v>1.3297147247626799</v>
      </c>
      <c r="W67" s="13">
        <v>1.1980042765502501</v>
      </c>
      <c r="X67" s="13">
        <v>1.05710686015169</v>
      </c>
      <c r="Y67" s="16">
        <v>1.2103952107065901</v>
      </c>
      <c r="Z67" s="13"/>
      <c r="AA67" s="13"/>
    </row>
    <row r="68" spans="1:27" x14ac:dyDescent="0.25">
      <c r="A68" s="7" t="s">
        <v>90</v>
      </c>
      <c r="B68" s="7"/>
      <c r="C68" s="7" t="s">
        <v>5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92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540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6" t="s">
        <v>112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541</v>
      </c>
      <c r="B7" s="10" t="s">
        <v>542</v>
      </c>
      <c r="C7" s="13">
        <f>_xll.BDH("ITCI US Equity","CASH_CASH_EQTY_STI_DETAILED","FQ4 2018","FQ4 2018","Currency=USD","Period=FQ","BEST_FPERIOD_OVERRIDE=FQ","FILING_STATUS=MR","SCALING_FORMAT=MLN","Sort=A","Dates=H","DateFormat=P","Fill=—","Direction=H","UseDPDF=Y")</f>
        <v>347.53050000000002</v>
      </c>
      <c r="D7" s="13">
        <f>_xll.BDH("ITCI US Equity","CASH_CASH_EQTY_STI_DETAILED","FQ1 2019","FQ1 2019","Currency=USD","Period=FQ","BEST_FPERIOD_OVERRIDE=FQ","FILING_STATUS=MR","SCALING_FORMAT=MLN","Sort=A","Dates=H","DateFormat=P","Fill=—","Direction=H","UseDPDF=Y")</f>
        <v>312.82240000000002</v>
      </c>
      <c r="E7" s="13">
        <f>_xll.BDH("ITCI US Equity","CASH_CASH_EQTY_STI_DETAILED","FQ2 2019","FQ2 2019","Currency=USD","Period=FQ","BEST_FPERIOD_OVERRIDE=FQ","FILING_STATUS=MR","SCALING_FORMAT=MLN","Sort=A","Dates=H","DateFormat=P","Fill=—","Direction=H","UseDPDF=Y")</f>
        <v>285.30020000000002</v>
      </c>
      <c r="F7" s="13">
        <f>_xll.BDH("ITCI US Equity","CASH_CASH_EQTY_STI_DETAILED","FQ3 2019","FQ3 2019","Currency=USD","Period=FQ","BEST_FPERIOD_OVERRIDE=FQ","FILING_STATUS=MR","SCALING_FORMAT=MLN","Sort=A","Dates=H","DateFormat=P","Fill=—","Direction=H","UseDPDF=Y")</f>
        <v>255.43360000000001</v>
      </c>
      <c r="G7" s="13">
        <f>_xll.BDH("ITCI US Equity","CASH_CASH_EQTY_STI_DETAILED","FQ4 2019","FQ4 2019","Currency=USD","Period=FQ","BEST_FPERIOD_OVERRIDE=FQ","FILING_STATUS=MR","SCALING_FORMAT=MLN","Sort=A","Dates=H","DateFormat=P","Fill=—","Direction=H","UseDPDF=Y")</f>
        <v>224.0102</v>
      </c>
      <c r="H7" s="13">
        <f>_xll.BDH("ITCI US Equity","CASH_CASH_EQTY_STI_DETAILED","FQ1 2020","FQ1 2020","Currency=USD","Period=FQ","BEST_FPERIOD_OVERRIDE=FQ","FILING_STATUS=MR","SCALING_FORMAT=MLN","Sort=A","Dates=H","DateFormat=P","Fill=—","Direction=H","UseDPDF=Y")</f>
        <v>448.95400000000001</v>
      </c>
      <c r="I7" s="13">
        <f>_xll.BDH("ITCI US Equity","CASH_CASH_EQTY_STI_DETAILED","FQ2 2020","FQ2 2020","Currency=USD","Period=FQ","BEST_FPERIOD_OVERRIDE=FQ","FILING_STATUS=MR","SCALING_FORMAT=MLN","Sort=A","Dates=H","DateFormat=P","Fill=—","Direction=H","UseDPDF=Y")</f>
        <v>407.75889999999998</v>
      </c>
      <c r="J7" s="13">
        <f>_xll.BDH("ITCI US Equity","CASH_CASH_EQTY_STI_DETAILED","FQ3 2020","FQ3 2020","Currency=USD","Period=FQ","BEST_FPERIOD_OVERRIDE=FQ","FILING_STATUS=MR","SCALING_FORMAT=MLN","Sort=A","Dates=H","DateFormat=P","Fill=—","Direction=H","UseDPDF=Y")</f>
        <v>721.94749999999999</v>
      </c>
      <c r="K7" s="13">
        <f>_xll.BDH("ITCI US Equity","CASH_CASH_EQTY_STI_DETAILED","FQ4 2020","FQ4 2020","Currency=USD","Period=FQ","BEST_FPERIOD_OVERRIDE=FQ","FILING_STATUS=MR","SCALING_FORMAT=MLN","Sort=A","Dates=H","DateFormat=P","Fill=—","Direction=H","UseDPDF=Y")</f>
        <v>657.44809999999995</v>
      </c>
      <c r="L7" s="13">
        <f>_xll.BDH("ITCI US Equity","CASH_CASH_EQTY_STI_DETAILED","FQ1 2021","FQ1 2021","Currency=USD","Period=FQ","BEST_FPERIOD_OVERRIDE=FQ","FILING_STATUS=MR","SCALING_FORMAT=MLN","Sort=A","Dates=H","DateFormat=P","Fill=—","Direction=H","UseDPDF=Y")</f>
        <v>611.96469999999999</v>
      </c>
      <c r="M7" s="13">
        <f>_xll.BDH("ITCI US Equity","CASH_CASH_EQTY_STI_DETAILED","FQ2 2021","FQ2 2021","Currency=USD","Period=FQ","BEST_FPERIOD_OVERRIDE=FQ","FILING_STATUS=MR","SCALING_FORMAT=MLN","Sort=A","Dates=H","DateFormat=P","Fill=—","Direction=H","UseDPDF=Y")</f>
        <v>554.75739999999996</v>
      </c>
      <c r="N7" s="13">
        <f>_xll.BDH("ITCI US Equity","CASH_CASH_EQTY_STI_DETAILED","FQ3 2021","FQ3 2021","Currency=USD","Period=FQ","BEST_FPERIOD_OVERRIDE=FQ","FILING_STATUS=MR","SCALING_FORMAT=MLN","Sort=A","Dates=H","DateFormat=P","Fill=—","Direction=H","UseDPDF=Y")</f>
        <v>477.28390000000002</v>
      </c>
      <c r="O7" s="13">
        <f>_xll.BDH("ITCI US Equity","CASH_CASH_EQTY_STI_DETAILED","FQ4 2021","FQ4 2021","Currency=USD","Period=FQ","BEST_FPERIOD_OVERRIDE=FQ","FILING_STATUS=MR","SCALING_FORMAT=MLN","Sort=A","Dates=H","DateFormat=P","Fill=—","Direction=H","UseDPDF=Y")</f>
        <v>412.33330000000001</v>
      </c>
      <c r="P7" s="13">
        <f>_xll.BDH("ITCI US Equity","CASH_CASH_EQTY_STI_DETAILED","FQ1 2022","FQ1 2022","Currency=USD","Period=FQ","BEST_FPERIOD_OVERRIDE=FQ","FILING_STATUS=MR","SCALING_FORMAT=MLN","Sort=A","Dates=H","DateFormat=P","Fill=—","Direction=H","UseDPDF=Y")</f>
        <v>771.84799999999996</v>
      </c>
      <c r="Q7" s="13">
        <f>_xll.BDH("ITCI US Equity","CASH_CASH_EQTY_STI_DETAILED","FQ2 2022","FQ2 2022","Currency=USD","Period=FQ","BEST_FPERIOD_OVERRIDE=FQ","FILING_STATUS=MR","SCALING_FORMAT=MLN","Sort=A","Dates=H","DateFormat=P","Fill=—","Direction=H","UseDPDF=Y")</f>
        <v>677.82899999999995</v>
      </c>
      <c r="R7" s="13">
        <f>_xll.BDH("ITCI US Equity","CASH_CASH_EQTY_STI_DETAILED","FQ3 2022","FQ3 2022","Currency=USD","Period=FQ","BEST_FPERIOD_OVERRIDE=FQ","FILING_STATUS=MR","SCALING_FORMAT=MLN","Sort=A","Dates=H","DateFormat=P","Fill=—","Direction=H","UseDPDF=Y")</f>
        <v>628.74099999999999</v>
      </c>
      <c r="S7" s="13">
        <f>_xll.BDH("ITCI US Equity","CASH_CASH_EQTY_STI_DETAILED","FQ4 2022","FQ4 2022","Currency=USD","Period=FQ","BEST_FPERIOD_OVERRIDE=FQ","FILING_STATUS=MR","SCALING_FORMAT=MLN","Sort=A","Dates=H","DateFormat=P","Fill=—","Direction=H","UseDPDF=Y")</f>
        <v>591.90499999999997</v>
      </c>
      <c r="T7" s="13">
        <f>_xll.BDH("ITCI US Equity","CASH_CASH_EQTY_STI_DETAILED","FQ1 2023","FQ1 2023","Currency=USD","Period=FQ","BEST_FPERIOD_OVERRIDE=FQ","FILING_STATUS=MR","SCALING_FORMAT=MLN","Sort=A","Dates=H","DateFormat=P","Fill=—","Direction=H","UseDPDF=Y")</f>
        <v>538.70799999999997</v>
      </c>
      <c r="U7" s="13">
        <f>_xll.BDH("ITCI US Equity","CASH_CASH_EQTY_STI_DETAILED","FQ2 2023","FQ2 2023","Currency=USD","Period=FQ","BEST_FPERIOD_OVERRIDE=FQ","FILING_STATUS=MR","SCALING_FORMAT=MLN","Sort=A","Dates=H","DateFormat=P","Fill=—","Direction=H","UseDPDF=Y")</f>
        <v>512.85400000000004</v>
      </c>
      <c r="V7" s="13">
        <f>_xll.BDH("ITCI US Equity","CASH_CASH_EQTY_STI_DETAILED","FQ3 2023","FQ3 2023","Currency=USD","Period=FQ","BEST_FPERIOD_OVERRIDE=FQ","FILING_STATUS=MR","SCALING_FORMAT=MLN","Sort=A","Dates=H","DateFormat=P","Fill=—","Direction=H","UseDPDF=Y")</f>
        <v>493.02100000000002</v>
      </c>
      <c r="W7" s="13">
        <f>_xll.BDH("ITCI US Equity","CASH_CASH_EQTY_STI_DETAILED","FQ4 2023","FQ4 2023","Currency=USD","Period=FQ","BEST_FPERIOD_OVERRIDE=FQ","FILING_STATUS=MR","SCALING_FORMAT=MLN","Sort=A","Dates=H","DateFormat=P","Fill=—","Direction=H","UseDPDF=Y")</f>
        <v>497.94099999999997</v>
      </c>
      <c r="X7" s="13">
        <f>_xll.BDH("ITCI US Equity","CASH_CASH_EQTY_STI_DETAILED","FQ1 2024","FQ1 2024","Currency=USD","Period=FQ","BEST_FPERIOD_OVERRIDE=FQ","FILING_STATUS=MR","SCALING_FORMAT=MLN","Sort=A","Dates=H","DateFormat=P","Fill=—","Direction=H","UseDPDF=Y")</f>
        <v>475.62299999999999</v>
      </c>
      <c r="Y7" s="13">
        <f>_xll.BDH("ITCI US Equity","CASH_CASH_EQTY_STI_DETAILED","FQ2 2024","FQ2 2024","Currency=USD","Period=FQ","BEST_FPERIOD_OVERRIDE=FQ","FILING_STATUS=MR","SCALING_FORMAT=MLN","Sort=A","Dates=H","DateFormat=P","Fill=—","Direction=H","UseDPDF=Y")</f>
        <v>1022.907</v>
      </c>
      <c r="Z7" s="13">
        <f>_xll.BDH("ITCI US Equity","CASH_CASH_EQTY_STI_DETAILED","FQ3 2024","FQ3 2024","Currency=USD","Period=FQ","BEST_FPERIOD_OVERRIDE=FQ","FILING_STATUS=MR","SCALING_FORMAT=MLN","Sort=A","Dates=H","DateFormat=P","Fill=—","Direction=H","UseDPDF=Y")</f>
        <v>1006.562</v>
      </c>
      <c r="AA7" s="13">
        <f>_xll.BDH("ITCI US Equity","CASH_CASH_EQTY_STI_DETAILED","FQ4 2024","FQ4 2024","Currency=USD","Period=FQ","BEST_FPERIOD_OVERRIDE=FQ","FILING_STATUS=MR","SCALING_FORMAT=MLN","Sort=A","Dates=H","DateFormat=P","Fill=—","Direction=H","UseDPDF=Y")</f>
        <v>1001.066</v>
      </c>
    </row>
    <row r="8" spans="1:27" x14ac:dyDescent="0.25">
      <c r="A8" s="10" t="s">
        <v>543</v>
      </c>
      <c r="B8" s="10" t="s">
        <v>544</v>
      </c>
      <c r="C8" s="13">
        <f>_xll.BDH("ITCI US Equity","BS_CASH_NEAR_CASH_ITEM","FQ4 2018","FQ4 2018","Currency=USD","Period=FQ","BEST_FPERIOD_OVERRIDE=FQ","FILING_STATUS=MR","SCALING_FORMAT=MLN","Sort=A","Dates=H","DateFormat=P","Fill=—","Direction=H","UseDPDF=Y")</f>
        <v>54.947499999999998</v>
      </c>
      <c r="D8" s="13">
        <f>_xll.BDH("ITCI US Equity","BS_CASH_NEAR_CASH_ITEM","FQ1 2019","FQ1 2019","Currency=USD","Period=FQ","BEST_FPERIOD_OVERRIDE=FQ","FILING_STATUS=MR","SCALING_FORMAT=MLN","Sort=A","Dates=H","DateFormat=P","Fill=—","Direction=H","UseDPDF=Y")</f>
        <v>64.091099999999997</v>
      </c>
      <c r="E8" s="13">
        <f>_xll.BDH("ITCI US Equity","BS_CASH_NEAR_CASH_ITEM","FQ2 2019","FQ2 2019","Currency=USD","Period=FQ","BEST_FPERIOD_OVERRIDE=FQ","FILING_STATUS=MR","SCALING_FORMAT=MLN","Sort=A","Dates=H","DateFormat=P","Fill=—","Direction=H","UseDPDF=Y")</f>
        <v>91.763400000000004</v>
      </c>
      <c r="F8" s="13">
        <f>_xll.BDH("ITCI US Equity","BS_CASH_NEAR_CASH_ITEM","FQ3 2019","FQ3 2019","Currency=USD","Period=FQ","BEST_FPERIOD_OVERRIDE=FQ","FILING_STATUS=MR","SCALING_FORMAT=MLN","Sort=A","Dates=H","DateFormat=P","Fill=—","Direction=H","UseDPDF=Y")</f>
        <v>102.163</v>
      </c>
      <c r="G8" s="13">
        <f>_xll.BDH("ITCI US Equity","BS_CASH_NEAR_CASH_ITEM","FQ4 2019","FQ4 2019","Currency=USD","Period=FQ","BEST_FPERIOD_OVERRIDE=FQ","FILING_STATUS=MR","SCALING_FORMAT=MLN","Sort=A","Dates=H","DateFormat=P","Fill=—","Direction=H","UseDPDF=Y")</f>
        <v>107.63679999999999</v>
      </c>
      <c r="H8" s="13">
        <f>_xll.BDH("ITCI US Equity","BS_CASH_NEAR_CASH_ITEM","FQ1 2020","FQ1 2020","Currency=USD","Period=FQ","BEST_FPERIOD_OVERRIDE=FQ","FILING_STATUS=MR","SCALING_FORMAT=MLN","Sort=A","Dates=H","DateFormat=P","Fill=—","Direction=H","UseDPDF=Y")</f>
        <v>179.59299999999999</v>
      </c>
      <c r="I8" s="13">
        <f>_xll.BDH("ITCI US Equity","BS_CASH_NEAR_CASH_ITEM","FQ2 2020","FQ2 2020","Currency=USD","Period=FQ","BEST_FPERIOD_OVERRIDE=FQ","FILING_STATUS=MR","SCALING_FORMAT=MLN","Sort=A","Dates=H","DateFormat=P","Fill=—","Direction=H","UseDPDF=Y")</f>
        <v>129.29040000000001</v>
      </c>
      <c r="J8" s="13">
        <f>_xll.BDH("ITCI US Equity","BS_CASH_NEAR_CASH_ITEM","FQ3 2020","FQ3 2020","Currency=USD","Period=FQ","BEST_FPERIOD_OVERRIDE=FQ","FILING_STATUS=MR","SCALING_FORMAT=MLN","Sort=A","Dates=H","DateFormat=P","Fill=—","Direction=H","UseDPDF=Y")</f>
        <v>300.98899999999998</v>
      </c>
      <c r="K8" s="13">
        <f>_xll.BDH("ITCI US Equity","BS_CASH_NEAR_CASH_ITEM","FQ4 2020","FQ4 2020","Currency=USD","Period=FQ","BEST_FPERIOD_OVERRIDE=FQ","FILING_STATUS=MR","SCALING_FORMAT=MLN","Sort=A","Dates=H","DateFormat=P","Fill=—","Direction=H","UseDPDF=Y")</f>
        <v>60.045900000000003</v>
      </c>
      <c r="L8" s="13">
        <f>_xll.BDH("ITCI US Equity","BS_CASH_NEAR_CASH_ITEM","FQ1 2021","FQ1 2021","Currency=USD","Period=FQ","BEST_FPERIOD_OVERRIDE=FQ","FILING_STATUS=MR","SCALING_FORMAT=MLN","Sort=A","Dates=H","DateFormat=P","Fill=—","Direction=H","UseDPDF=Y")</f>
        <v>129.97989999999999</v>
      </c>
      <c r="M8" s="13">
        <f>_xll.BDH("ITCI US Equity","BS_CASH_NEAR_CASH_ITEM","FQ2 2021","FQ2 2021","Currency=USD","Period=FQ","BEST_FPERIOD_OVERRIDE=FQ","FILING_STATUS=MR","SCALING_FORMAT=MLN","Sort=A","Dates=H","DateFormat=P","Fill=—","Direction=H","UseDPDF=Y")</f>
        <v>121.03019999999999</v>
      </c>
      <c r="N8" s="13">
        <f>_xll.BDH("ITCI US Equity","BS_CASH_NEAR_CASH_ITEM","FQ3 2021","FQ3 2021","Currency=USD","Period=FQ","BEST_FPERIOD_OVERRIDE=FQ","FILING_STATUS=MR","SCALING_FORMAT=MLN","Sort=A","Dates=H","DateFormat=P","Fill=—","Direction=H","UseDPDF=Y")</f>
        <v>106.126</v>
      </c>
      <c r="O8" s="13">
        <f>_xll.BDH("ITCI US Equity","BS_CASH_NEAR_CASH_ITEM","FQ4 2021","FQ4 2021","Currency=USD","Period=FQ","BEST_FPERIOD_OVERRIDE=FQ","FILING_STATUS=MR","SCALING_FORMAT=MLN","Sort=A","Dates=H","DateFormat=P","Fill=—","Direction=H","UseDPDF=Y")</f>
        <v>92.364999999999995</v>
      </c>
      <c r="P8" s="13">
        <f>_xll.BDH("ITCI US Equity","BS_CASH_NEAR_CASH_ITEM","FQ1 2022","FQ1 2022","Currency=USD","Period=FQ","BEST_FPERIOD_OVERRIDE=FQ","FILING_STATUS=MR","SCALING_FORMAT=MLN","Sort=A","Dates=H","DateFormat=P","Fill=—","Direction=H","UseDPDF=Y")</f>
        <v>129.29499999999999</v>
      </c>
      <c r="Q8" s="13">
        <f>_xll.BDH("ITCI US Equity","BS_CASH_NEAR_CASH_ITEM","FQ2 2022","FQ2 2022","Currency=USD","Period=FQ","BEST_FPERIOD_OVERRIDE=FQ","FILING_STATUS=MR","SCALING_FORMAT=MLN","Sort=A","Dates=H","DateFormat=P","Fill=—","Direction=H","UseDPDF=Y")</f>
        <v>77.234999999999999</v>
      </c>
      <c r="R8" s="13">
        <f>_xll.BDH("ITCI US Equity","BS_CASH_NEAR_CASH_ITEM","FQ3 2022","FQ3 2022","Currency=USD","Period=FQ","BEST_FPERIOD_OVERRIDE=FQ","FILING_STATUS=MR","SCALING_FORMAT=MLN","Sort=A","Dates=H","DateFormat=P","Fill=—","Direction=H","UseDPDF=Y")</f>
        <v>135.358</v>
      </c>
      <c r="S8" s="13">
        <f>_xll.BDH("ITCI US Equity","BS_CASH_NEAR_CASH_ITEM","FQ4 2022","FQ4 2022","Currency=USD","Period=FQ","BEST_FPERIOD_OVERRIDE=FQ","FILING_STATUS=MR","SCALING_FORMAT=MLN","Sort=A","Dates=H","DateFormat=P","Fill=—","Direction=H","UseDPDF=Y")</f>
        <v>148.61500000000001</v>
      </c>
      <c r="T8" s="13">
        <f>_xll.BDH("ITCI US Equity","BS_CASH_NEAR_CASH_ITEM","FQ1 2023","FQ1 2023","Currency=USD","Period=FQ","BEST_FPERIOD_OVERRIDE=FQ","FILING_STATUS=MR","SCALING_FORMAT=MLN","Sort=A","Dates=H","DateFormat=P","Fill=—","Direction=H","UseDPDF=Y")</f>
        <v>75.727000000000004</v>
      </c>
      <c r="U8" s="13">
        <f>_xll.BDH("ITCI US Equity","BS_CASH_NEAR_CASH_ITEM","FQ2 2023","FQ2 2023","Currency=USD","Period=FQ","BEST_FPERIOD_OVERRIDE=FQ","FILING_STATUS=MR","SCALING_FORMAT=MLN","Sort=A","Dates=H","DateFormat=P","Fill=—","Direction=H","UseDPDF=Y")</f>
        <v>142.25800000000001</v>
      </c>
      <c r="V8" s="13">
        <f>_xll.BDH("ITCI US Equity","BS_CASH_NEAR_CASH_ITEM","FQ3 2023","FQ3 2023","Currency=USD","Period=FQ","BEST_FPERIOD_OVERRIDE=FQ","FILING_STATUS=MR","SCALING_FORMAT=MLN","Sort=A","Dates=H","DateFormat=P","Fill=—","Direction=H","UseDPDF=Y")</f>
        <v>99.402000000000001</v>
      </c>
      <c r="W8" s="13">
        <f>_xll.BDH("ITCI US Equity","BS_CASH_NEAR_CASH_ITEM","FQ4 2023","FQ4 2023","Currency=USD","Period=FQ","BEST_FPERIOD_OVERRIDE=FQ","FILING_STATUS=MR","SCALING_FORMAT=MLN","Sort=A","Dates=H","DateFormat=P","Fill=—","Direction=H","UseDPDF=Y")</f>
        <v>147.767</v>
      </c>
      <c r="X8" s="13">
        <f>_xll.BDH("ITCI US Equity","BS_CASH_NEAR_CASH_ITEM","FQ1 2024","FQ1 2024","Currency=USD","Period=FQ","BEST_FPERIOD_OVERRIDE=FQ","FILING_STATUS=MR","SCALING_FORMAT=MLN","Sort=A","Dates=H","DateFormat=P","Fill=—","Direction=H","UseDPDF=Y")</f>
        <v>139.81899999999999</v>
      </c>
      <c r="Y8" s="13">
        <f>_xll.BDH("ITCI US Equity","BS_CASH_NEAR_CASH_ITEM","FQ2 2024","FQ2 2024","Currency=USD","Period=FQ","BEST_FPERIOD_OVERRIDE=FQ","FILING_STATUS=MR","SCALING_FORMAT=MLN","Sort=A","Dates=H","DateFormat=P","Fill=—","Direction=H","UseDPDF=Y")</f>
        <v>693.30600000000004</v>
      </c>
      <c r="Z8" s="13">
        <f>_xll.BDH("ITCI US Equity","BS_CASH_NEAR_CASH_ITEM","FQ3 2024","FQ3 2024","Currency=USD","Period=FQ","BEST_FPERIOD_OVERRIDE=FQ","FILING_STATUS=MR","SCALING_FORMAT=MLN","Sort=A","Dates=H","DateFormat=P","Fill=—","Direction=H","UseDPDF=Y")</f>
        <v>464.31200000000001</v>
      </c>
      <c r="AA8" s="13">
        <f>_xll.BDH("ITCI US Equity","BS_CASH_NEAR_CASH_ITEM","FQ4 2024","FQ4 2024","Currency=USD","Period=FQ","BEST_FPERIOD_OVERRIDE=FQ","FILING_STATUS=MR","SCALING_FORMAT=MLN","Sort=A","Dates=H","DateFormat=P","Fill=—","Direction=H","UseDPDF=Y")</f>
        <v>306.94799999999998</v>
      </c>
    </row>
    <row r="9" spans="1:27" x14ac:dyDescent="0.25">
      <c r="A9" s="10" t="s">
        <v>545</v>
      </c>
      <c r="B9" s="10" t="s">
        <v>546</v>
      </c>
      <c r="C9" s="13">
        <f>_xll.BDH("ITCI US Equity","BS_MKT_SEC_OTHER_ST_INVEST","FQ4 2018","FQ4 2018","Currency=USD","Period=FQ","BEST_FPERIOD_OVERRIDE=FQ","FILING_STATUS=MR","SCALING_FORMAT=MLN","Sort=A","Dates=H","DateFormat=P","Fill=—","Direction=H","UseDPDF=Y")</f>
        <v>292.58300000000003</v>
      </c>
      <c r="D9" s="13">
        <f>_xll.BDH("ITCI US Equity","BS_MKT_SEC_OTHER_ST_INVEST","FQ1 2019","FQ1 2019","Currency=USD","Period=FQ","BEST_FPERIOD_OVERRIDE=FQ","FILING_STATUS=MR","SCALING_FORMAT=MLN","Sort=A","Dates=H","DateFormat=P","Fill=—","Direction=H","UseDPDF=Y")</f>
        <v>248.7313</v>
      </c>
      <c r="E9" s="13">
        <f>_xll.BDH("ITCI US Equity","BS_MKT_SEC_OTHER_ST_INVEST","FQ2 2019","FQ2 2019","Currency=USD","Period=FQ","BEST_FPERIOD_OVERRIDE=FQ","FILING_STATUS=MR","SCALING_FORMAT=MLN","Sort=A","Dates=H","DateFormat=P","Fill=—","Direction=H","UseDPDF=Y")</f>
        <v>193.5368</v>
      </c>
      <c r="F9" s="13">
        <f>_xll.BDH("ITCI US Equity","BS_MKT_SEC_OTHER_ST_INVEST","FQ3 2019","FQ3 2019","Currency=USD","Period=FQ","BEST_FPERIOD_OVERRIDE=FQ","FILING_STATUS=MR","SCALING_FORMAT=MLN","Sort=A","Dates=H","DateFormat=P","Fill=—","Direction=H","UseDPDF=Y")</f>
        <v>153.2706</v>
      </c>
      <c r="G9" s="13">
        <f>_xll.BDH("ITCI US Equity","BS_MKT_SEC_OTHER_ST_INVEST","FQ4 2019","FQ4 2019","Currency=USD","Period=FQ","BEST_FPERIOD_OVERRIDE=FQ","FILING_STATUS=MR","SCALING_FORMAT=MLN","Sort=A","Dates=H","DateFormat=P","Fill=—","Direction=H","UseDPDF=Y")</f>
        <v>116.3733</v>
      </c>
      <c r="H9" s="13">
        <f>_xll.BDH("ITCI US Equity","BS_MKT_SEC_OTHER_ST_INVEST","FQ1 2020","FQ1 2020","Currency=USD","Period=FQ","BEST_FPERIOD_OVERRIDE=FQ","FILING_STATUS=MR","SCALING_FORMAT=MLN","Sort=A","Dates=H","DateFormat=P","Fill=—","Direction=H","UseDPDF=Y")</f>
        <v>269.36090000000002</v>
      </c>
      <c r="I9" s="13">
        <f>_xll.BDH("ITCI US Equity","BS_MKT_SEC_OTHER_ST_INVEST","FQ2 2020","FQ2 2020","Currency=USD","Period=FQ","BEST_FPERIOD_OVERRIDE=FQ","FILING_STATUS=MR","SCALING_FORMAT=MLN","Sort=A","Dates=H","DateFormat=P","Fill=—","Direction=H","UseDPDF=Y")</f>
        <v>278.46850000000001</v>
      </c>
      <c r="J9" s="13">
        <f>_xll.BDH("ITCI US Equity","BS_MKT_SEC_OTHER_ST_INVEST","FQ3 2020","FQ3 2020","Currency=USD","Period=FQ","BEST_FPERIOD_OVERRIDE=FQ","FILING_STATUS=MR","SCALING_FORMAT=MLN","Sort=A","Dates=H","DateFormat=P","Fill=—","Direction=H","UseDPDF=Y")</f>
        <v>420.95850000000002</v>
      </c>
      <c r="K9" s="13">
        <f>_xll.BDH("ITCI US Equity","BS_MKT_SEC_OTHER_ST_INVEST","FQ4 2020","FQ4 2020","Currency=USD","Period=FQ","BEST_FPERIOD_OVERRIDE=FQ","FILING_STATUS=MR","SCALING_FORMAT=MLN","Sort=A","Dates=H","DateFormat=P","Fill=—","Direction=H","UseDPDF=Y")</f>
        <v>597.40210000000002</v>
      </c>
      <c r="L9" s="13">
        <f>_xll.BDH("ITCI US Equity","BS_MKT_SEC_OTHER_ST_INVEST","FQ1 2021","FQ1 2021","Currency=USD","Period=FQ","BEST_FPERIOD_OVERRIDE=FQ","FILING_STATUS=MR","SCALING_FORMAT=MLN","Sort=A","Dates=H","DateFormat=P","Fill=—","Direction=H","UseDPDF=Y")</f>
        <v>481.98480000000001</v>
      </c>
      <c r="M9" s="13">
        <f>_xll.BDH("ITCI US Equity","BS_MKT_SEC_OTHER_ST_INVEST","FQ2 2021","FQ2 2021","Currency=USD","Period=FQ","BEST_FPERIOD_OVERRIDE=FQ","FILING_STATUS=MR","SCALING_FORMAT=MLN","Sort=A","Dates=H","DateFormat=P","Fill=—","Direction=H","UseDPDF=Y")</f>
        <v>433.72719999999998</v>
      </c>
      <c r="N9" s="13">
        <f>_xll.BDH("ITCI US Equity","BS_MKT_SEC_OTHER_ST_INVEST","FQ3 2021","FQ3 2021","Currency=USD","Period=FQ","BEST_FPERIOD_OVERRIDE=FQ","FILING_STATUS=MR","SCALING_FORMAT=MLN","Sort=A","Dates=H","DateFormat=P","Fill=—","Direction=H","UseDPDF=Y")</f>
        <v>371.15800000000002</v>
      </c>
      <c r="O9" s="13">
        <f>_xll.BDH("ITCI US Equity","BS_MKT_SEC_OTHER_ST_INVEST","FQ4 2021","FQ4 2021","Currency=USD","Period=FQ","BEST_FPERIOD_OVERRIDE=FQ","FILING_STATUS=MR","SCALING_FORMAT=MLN","Sort=A","Dates=H","DateFormat=P","Fill=—","Direction=H","UseDPDF=Y")</f>
        <v>319.9683</v>
      </c>
      <c r="P9" s="13">
        <f>_xll.BDH("ITCI US Equity","BS_MKT_SEC_OTHER_ST_INVEST","FQ1 2022","FQ1 2022","Currency=USD","Period=FQ","BEST_FPERIOD_OVERRIDE=FQ","FILING_STATUS=MR","SCALING_FORMAT=MLN","Sort=A","Dates=H","DateFormat=P","Fill=—","Direction=H","UseDPDF=Y")</f>
        <v>642.553</v>
      </c>
      <c r="Q9" s="13">
        <f>_xll.BDH("ITCI US Equity","BS_MKT_SEC_OTHER_ST_INVEST","FQ2 2022","FQ2 2022","Currency=USD","Period=FQ","BEST_FPERIOD_OVERRIDE=FQ","FILING_STATUS=MR","SCALING_FORMAT=MLN","Sort=A","Dates=H","DateFormat=P","Fill=—","Direction=H","UseDPDF=Y")</f>
        <v>600.59400000000005</v>
      </c>
      <c r="R9" s="13">
        <f>_xll.BDH("ITCI US Equity","BS_MKT_SEC_OTHER_ST_INVEST","FQ3 2022","FQ3 2022","Currency=USD","Period=FQ","BEST_FPERIOD_OVERRIDE=FQ","FILING_STATUS=MR","SCALING_FORMAT=MLN","Sort=A","Dates=H","DateFormat=P","Fill=—","Direction=H","UseDPDF=Y")</f>
        <v>493.38299999999998</v>
      </c>
      <c r="S9" s="13">
        <f>_xll.BDH("ITCI US Equity","BS_MKT_SEC_OTHER_ST_INVEST","FQ4 2022","FQ4 2022","Currency=USD","Period=FQ","BEST_FPERIOD_OVERRIDE=FQ","FILING_STATUS=MR","SCALING_FORMAT=MLN","Sort=A","Dates=H","DateFormat=P","Fill=—","Direction=H","UseDPDF=Y")</f>
        <v>443.29</v>
      </c>
      <c r="T9" s="13">
        <f>_xll.BDH("ITCI US Equity","BS_MKT_SEC_OTHER_ST_INVEST","FQ1 2023","FQ1 2023","Currency=USD","Period=FQ","BEST_FPERIOD_OVERRIDE=FQ","FILING_STATUS=MR","SCALING_FORMAT=MLN","Sort=A","Dates=H","DateFormat=P","Fill=—","Direction=H","UseDPDF=Y")</f>
        <v>462.98099999999999</v>
      </c>
      <c r="U9" s="13">
        <f>_xll.BDH("ITCI US Equity","BS_MKT_SEC_OTHER_ST_INVEST","FQ2 2023","FQ2 2023","Currency=USD","Period=FQ","BEST_FPERIOD_OVERRIDE=FQ","FILING_STATUS=MR","SCALING_FORMAT=MLN","Sort=A","Dates=H","DateFormat=P","Fill=—","Direction=H","UseDPDF=Y")</f>
        <v>370.596</v>
      </c>
      <c r="V9" s="13">
        <f>_xll.BDH("ITCI US Equity","BS_MKT_SEC_OTHER_ST_INVEST","FQ3 2023","FQ3 2023","Currency=USD","Period=FQ","BEST_FPERIOD_OVERRIDE=FQ","FILING_STATUS=MR","SCALING_FORMAT=MLN","Sort=A","Dates=H","DateFormat=P","Fill=—","Direction=H","UseDPDF=Y")</f>
        <v>393.61900000000003</v>
      </c>
      <c r="W9" s="13">
        <f>_xll.BDH("ITCI US Equity","BS_MKT_SEC_OTHER_ST_INVEST","FQ4 2023","FQ4 2023","Currency=USD","Period=FQ","BEST_FPERIOD_OVERRIDE=FQ","FILING_STATUS=MR","SCALING_FORMAT=MLN","Sort=A","Dates=H","DateFormat=P","Fill=—","Direction=H","UseDPDF=Y")</f>
        <v>350.17399999999998</v>
      </c>
      <c r="X9" s="13">
        <f>_xll.BDH("ITCI US Equity","BS_MKT_SEC_OTHER_ST_INVEST","FQ1 2024","FQ1 2024","Currency=USD","Period=FQ","BEST_FPERIOD_OVERRIDE=FQ","FILING_STATUS=MR","SCALING_FORMAT=MLN","Sort=A","Dates=H","DateFormat=P","Fill=—","Direction=H","UseDPDF=Y")</f>
        <v>335.80399999999997</v>
      </c>
      <c r="Y9" s="13">
        <f>_xll.BDH("ITCI US Equity","BS_MKT_SEC_OTHER_ST_INVEST","FQ2 2024","FQ2 2024","Currency=USD","Period=FQ","BEST_FPERIOD_OVERRIDE=FQ","FILING_STATUS=MR","SCALING_FORMAT=MLN","Sort=A","Dates=H","DateFormat=P","Fill=—","Direction=H","UseDPDF=Y")</f>
        <v>329.601</v>
      </c>
      <c r="Z9" s="13">
        <f>_xll.BDH("ITCI US Equity","BS_MKT_SEC_OTHER_ST_INVEST","FQ3 2024","FQ3 2024","Currency=USD","Period=FQ","BEST_FPERIOD_OVERRIDE=FQ","FILING_STATUS=MR","SCALING_FORMAT=MLN","Sort=A","Dates=H","DateFormat=P","Fill=—","Direction=H","UseDPDF=Y")</f>
        <v>542.25</v>
      </c>
      <c r="AA9" s="13">
        <f>_xll.BDH("ITCI US Equity","BS_MKT_SEC_OTHER_ST_INVEST","FQ4 2024","FQ4 2024","Currency=USD","Period=FQ","BEST_FPERIOD_OVERRIDE=FQ","FILING_STATUS=MR","SCALING_FORMAT=MLN","Sort=A","Dates=H","DateFormat=P","Fill=—","Direction=H","UseDPDF=Y")</f>
        <v>694.11800000000005</v>
      </c>
    </row>
    <row r="10" spans="1:27" x14ac:dyDescent="0.25">
      <c r="A10" s="10" t="s">
        <v>547</v>
      </c>
      <c r="B10" s="10" t="s">
        <v>548</v>
      </c>
      <c r="C10" s="13">
        <f>_xll.BDH("ITCI US Equity","BS_ACCT_NOTE_RCV","FQ4 2018","FQ4 2018","Currency=USD","Period=FQ","BEST_FPERIOD_OVERRIDE=FQ","FILING_STATUS=MR","SCALING_FORMAT=MLN","Sort=A","Dates=H","DateFormat=P","Fill=—","Direction=H","UseDPDF=Y")</f>
        <v>0</v>
      </c>
      <c r="D10" s="13">
        <f>_xll.BDH("ITCI US Equity","BS_ACCT_NOTE_RCV","FQ1 2019","FQ1 2019","Currency=USD","Period=FQ","BEST_FPERIOD_OVERRIDE=FQ","FILING_STATUS=MR","SCALING_FORMAT=MLN","Sort=A","Dates=H","DateFormat=P","Fill=—","Direction=H","UseDPDF=Y")</f>
        <v>0</v>
      </c>
      <c r="E10" s="13">
        <f>_xll.BDH("ITCI US Equity","BS_ACCT_NOTE_RCV","FQ2 2019","FQ2 2019","Currency=USD","Period=FQ","BEST_FPERIOD_OVERRIDE=FQ","FILING_STATUS=MR","SCALING_FORMAT=MLN","Sort=A","Dates=H","DateFormat=P","Fill=—","Direction=H","UseDPDF=Y")</f>
        <v>0</v>
      </c>
      <c r="F10" s="13">
        <f>_xll.BDH("ITCI US Equity","BS_ACCT_NOTE_RCV","FQ3 2019","FQ3 2019","Currency=USD","Period=FQ","BEST_FPERIOD_OVERRIDE=FQ","FILING_STATUS=MR","SCALING_FORMAT=MLN","Sort=A","Dates=H","DateFormat=P","Fill=—","Direction=H","UseDPDF=Y")</f>
        <v>0</v>
      </c>
      <c r="G10" s="13">
        <f>_xll.BDH("ITCI US Equity","BS_ACCT_NOTE_RCV","FQ4 2019","FQ4 2019","Currency=USD","Period=FQ","BEST_FPERIOD_OVERRIDE=FQ","FILING_STATUS=MR","SCALING_FORMAT=MLN","Sort=A","Dates=H","DateFormat=P","Fill=—","Direction=H","UseDPDF=Y")</f>
        <v>0</v>
      </c>
      <c r="H10" s="13">
        <f>_xll.BDH("ITCI US Equity","BS_ACCT_NOTE_RCV","FQ1 2020","FQ1 2020","Currency=USD","Period=FQ","BEST_FPERIOD_OVERRIDE=FQ","FILING_STATUS=MR","SCALING_FORMAT=MLN","Sort=A","Dates=H","DateFormat=P","Fill=—","Direction=H","UseDPDF=Y")</f>
        <v>1.351</v>
      </c>
      <c r="I10" s="13">
        <f>_xll.BDH("ITCI US Equity","BS_ACCT_NOTE_RCV","FQ2 2020","FQ2 2020","Currency=USD","Period=FQ","BEST_FPERIOD_OVERRIDE=FQ","FILING_STATUS=MR","SCALING_FORMAT=MLN","Sort=A","Dates=H","DateFormat=P","Fill=—","Direction=H","UseDPDF=Y")</f>
        <v>2.3532999999999999</v>
      </c>
      <c r="J10" s="13">
        <f>_xll.BDH("ITCI US Equity","BS_ACCT_NOTE_RCV","FQ3 2020","FQ3 2020","Currency=USD","Period=FQ","BEST_FPERIOD_OVERRIDE=FQ","FILING_STATUS=MR","SCALING_FORMAT=MLN","Sort=A","Dates=H","DateFormat=P","Fill=—","Direction=H","UseDPDF=Y")</f>
        <v>7.4805999999999999</v>
      </c>
      <c r="K10" s="13">
        <f>_xll.BDH("ITCI US Equity","BS_ACCT_NOTE_RCV","FQ4 2020","FQ4 2020","Currency=USD","Period=FQ","BEST_FPERIOD_OVERRIDE=FQ","FILING_STATUS=MR","SCALING_FORMAT=MLN","Sort=A","Dates=H","DateFormat=P","Fill=—","Direction=H","UseDPDF=Y")</f>
        <v>10.7646</v>
      </c>
      <c r="L10" s="13">
        <f>_xll.BDH("ITCI US Equity","BS_ACCT_NOTE_RCV","FQ1 2021","FQ1 2021","Currency=USD","Period=FQ","BEST_FPERIOD_OVERRIDE=FQ","FILING_STATUS=MR","SCALING_FORMAT=MLN","Sort=A","Dates=H","DateFormat=P","Fill=—","Direction=H","UseDPDF=Y")</f>
        <v>13.662000000000001</v>
      </c>
      <c r="M10" s="13">
        <f>_xll.BDH("ITCI US Equity","BS_ACCT_NOTE_RCV","FQ2 2021","FQ2 2021","Currency=USD","Period=FQ","BEST_FPERIOD_OVERRIDE=FQ","FILING_STATUS=MR","SCALING_FORMAT=MLN","Sort=A","Dates=H","DateFormat=P","Fill=—","Direction=H","UseDPDF=Y")</f>
        <v>15.187799999999999</v>
      </c>
      <c r="N10" s="13">
        <f>_xll.BDH("ITCI US Equity","BS_ACCT_NOTE_RCV","FQ3 2021","FQ3 2021","Currency=USD","Period=FQ","BEST_FPERIOD_OVERRIDE=FQ","FILING_STATUS=MR","SCALING_FORMAT=MLN","Sort=A","Dates=H","DateFormat=P","Fill=—","Direction=H","UseDPDF=Y")</f>
        <v>16.9344</v>
      </c>
      <c r="O10" s="13">
        <f>_xll.BDH("ITCI US Equity","BS_ACCT_NOTE_RCV","FQ4 2021","FQ4 2021","Currency=USD","Period=FQ","BEST_FPERIOD_OVERRIDE=FQ","FILING_STATUS=MR","SCALING_FORMAT=MLN","Sort=A","Dates=H","DateFormat=P","Fill=—","Direction=H","UseDPDF=Y")</f>
        <v>20.155999999999999</v>
      </c>
      <c r="P10" s="13">
        <f>_xll.BDH("ITCI US Equity","BS_ACCT_NOTE_RCV","FQ1 2022","FQ1 2022","Currency=USD","Period=FQ","BEST_FPERIOD_OVERRIDE=FQ","FILING_STATUS=MR","SCALING_FORMAT=MLN","Sort=A","Dates=H","DateFormat=P","Fill=—","Direction=H","UseDPDF=Y")</f>
        <v>32.832000000000001</v>
      </c>
      <c r="Q10" s="13">
        <f>_xll.BDH("ITCI US Equity","BS_ACCT_NOTE_RCV","FQ2 2022","FQ2 2022","Currency=USD","Period=FQ","BEST_FPERIOD_OVERRIDE=FQ","FILING_STATUS=MR","SCALING_FORMAT=MLN","Sort=A","Dates=H","DateFormat=P","Fill=—","Direction=H","UseDPDF=Y")</f>
        <v>46.975999999999999</v>
      </c>
      <c r="R10" s="13">
        <f>_xll.BDH("ITCI US Equity","BS_ACCT_NOTE_RCV","FQ3 2022","FQ3 2022","Currency=USD","Period=FQ","BEST_FPERIOD_OVERRIDE=FQ","FILING_STATUS=MR","SCALING_FORMAT=MLN","Sort=A","Dates=H","DateFormat=P","Fill=—","Direction=H","UseDPDF=Y")</f>
        <v>61.537999999999997</v>
      </c>
      <c r="S10" s="13">
        <f>_xll.BDH("ITCI US Equity","BS_ACCT_NOTE_RCV","FQ4 2022","FQ4 2022","Currency=USD","Period=FQ","BEST_FPERIOD_OVERRIDE=FQ","FILING_STATUS=MR","SCALING_FORMAT=MLN","Sort=A","Dates=H","DateFormat=P","Fill=—","Direction=H","UseDPDF=Y")</f>
        <v>75.188999999999993</v>
      </c>
      <c r="T10" s="13">
        <f>_xll.BDH("ITCI US Equity","BS_ACCT_NOTE_RCV","FQ1 2023","FQ1 2023","Currency=USD","Period=FQ","BEST_FPERIOD_OVERRIDE=FQ","FILING_STATUS=MR","SCALING_FORMAT=MLN","Sort=A","Dates=H","DateFormat=P","Fill=—","Direction=H","UseDPDF=Y")</f>
        <v>81.545000000000002</v>
      </c>
      <c r="U10" s="13">
        <f>_xll.BDH("ITCI US Equity","BS_ACCT_NOTE_RCV","FQ2 2023","FQ2 2023","Currency=USD","Period=FQ","BEST_FPERIOD_OVERRIDE=FQ","FILING_STATUS=MR","SCALING_FORMAT=MLN","Sort=A","Dates=H","DateFormat=P","Fill=—","Direction=H","UseDPDF=Y")</f>
        <v>95.963999999999999</v>
      </c>
      <c r="V10" s="13">
        <f>_xll.BDH("ITCI US Equity","BS_ACCT_NOTE_RCV","FQ3 2023","FQ3 2023","Currency=USD","Period=FQ","BEST_FPERIOD_OVERRIDE=FQ","FILING_STATUS=MR","SCALING_FORMAT=MLN","Sort=A","Dates=H","DateFormat=P","Fill=—","Direction=H","UseDPDF=Y")</f>
        <v>102.67</v>
      </c>
      <c r="W10" s="13">
        <f>_xll.BDH("ITCI US Equity","BS_ACCT_NOTE_RCV","FQ4 2023","FQ4 2023","Currency=USD","Period=FQ","BEST_FPERIOD_OVERRIDE=FQ","FILING_STATUS=MR","SCALING_FORMAT=MLN","Sort=A","Dates=H","DateFormat=P","Fill=—","Direction=H","UseDPDF=Y")</f>
        <v>114.018</v>
      </c>
      <c r="X10" s="13">
        <f>_xll.BDH("ITCI US Equity","BS_ACCT_NOTE_RCV","FQ1 2024","FQ1 2024","Currency=USD","Period=FQ","BEST_FPERIOD_OVERRIDE=FQ","FILING_STATUS=MR","SCALING_FORMAT=MLN","Sort=A","Dates=H","DateFormat=P","Fill=—","Direction=H","UseDPDF=Y")</f>
        <v>131.15700000000001</v>
      </c>
      <c r="Y10" s="13">
        <f>_xll.BDH("ITCI US Equity","BS_ACCT_NOTE_RCV","FQ2 2024","FQ2 2024","Currency=USD","Period=FQ","BEST_FPERIOD_OVERRIDE=FQ","FILING_STATUS=MR","SCALING_FORMAT=MLN","Sort=A","Dates=H","DateFormat=P","Fill=—","Direction=H","UseDPDF=Y")</f>
        <v>145.714</v>
      </c>
      <c r="Z10" s="13">
        <f>_xll.BDH("ITCI US Equity","BS_ACCT_NOTE_RCV","FQ3 2024","FQ3 2024","Currency=USD","Period=FQ","BEST_FPERIOD_OVERRIDE=FQ","FILING_STATUS=MR","SCALING_FORMAT=MLN","Sort=A","Dates=H","DateFormat=P","Fill=—","Direction=H","UseDPDF=Y")</f>
        <v>145.608</v>
      </c>
      <c r="AA10" s="13">
        <f>_xll.BDH("ITCI US Equity","BS_ACCT_NOTE_RCV","FQ4 2024","FQ4 2024","Currency=USD","Period=FQ","BEST_FPERIOD_OVERRIDE=FQ","FILING_STATUS=MR","SCALING_FORMAT=MLN","Sort=A","Dates=H","DateFormat=P","Fill=—","Direction=H","UseDPDF=Y")</f>
        <v>166.5</v>
      </c>
    </row>
    <row r="11" spans="1:27" x14ac:dyDescent="0.25">
      <c r="A11" s="10" t="s">
        <v>549</v>
      </c>
      <c r="B11" s="10" t="s">
        <v>550</v>
      </c>
      <c r="C11" s="13">
        <f>_xll.BDH("ITCI US Equity","BS_ACCTS_REC_EXCL_NOTES_REC","FQ4 2018","FQ4 2018","Currency=USD","Period=FQ","BEST_FPERIOD_OVERRIDE=FQ","FILING_STATUS=MR","SCALING_FORMAT=MLN","Sort=A","Dates=H","DateFormat=P","Fill=—","Direction=H","UseDPDF=Y")</f>
        <v>0</v>
      </c>
      <c r="D11" s="13">
        <f>_xll.BDH("ITCI US Equity","BS_ACCTS_REC_EXCL_NOTES_REC","FQ1 2019","FQ1 2019","Currency=USD","Period=FQ","BEST_FPERIOD_OVERRIDE=FQ","FILING_STATUS=MR","SCALING_FORMAT=MLN","Sort=A","Dates=H","DateFormat=P","Fill=—","Direction=H","UseDPDF=Y")</f>
        <v>0</v>
      </c>
      <c r="E11" s="13">
        <f>_xll.BDH("ITCI US Equity","BS_ACCTS_REC_EXCL_NOTES_REC","FQ2 2019","FQ2 2019","Currency=USD","Period=FQ","BEST_FPERIOD_OVERRIDE=FQ","FILING_STATUS=MR","SCALING_FORMAT=MLN","Sort=A","Dates=H","DateFormat=P","Fill=—","Direction=H","UseDPDF=Y")</f>
        <v>0</v>
      </c>
      <c r="F11" s="13">
        <f>_xll.BDH("ITCI US Equity","BS_ACCTS_REC_EXCL_NOTES_REC","FQ3 2019","FQ3 2019","Currency=USD","Period=FQ","BEST_FPERIOD_OVERRIDE=FQ","FILING_STATUS=MR","SCALING_FORMAT=MLN","Sort=A","Dates=H","DateFormat=P","Fill=—","Direction=H","UseDPDF=Y")</f>
        <v>0</v>
      </c>
      <c r="G11" s="13">
        <f>_xll.BDH("ITCI US Equity","BS_ACCTS_REC_EXCL_NOTES_REC","FQ4 2019","FQ4 2019","Currency=USD","Period=FQ","BEST_FPERIOD_OVERRIDE=FQ","FILING_STATUS=MR","SCALING_FORMAT=MLN","Sort=A","Dates=H","DateFormat=P","Fill=—","Direction=H","UseDPDF=Y")</f>
        <v>0</v>
      </c>
      <c r="H11" s="13">
        <f>_xll.BDH("ITCI US Equity","BS_ACCTS_REC_EXCL_NOTES_REC","FQ1 2020","FQ1 2020","Currency=USD","Period=FQ","BEST_FPERIOD_OVERRIDE=FQ","FILING_STATUS=MR","SCALING_FORMAT=MLN","Sort=A","Dates=H","DateFormat=P","Fill=—","Direction=H","UseDPDF=Y")</f>
        <v>1.351</v>
      </c>
      <c r="I11" s="13">
        <f>_xll.BDH("ITCI US Equity","BS_ACCTS_REC_EXCL_NOTES_REC","FQ2 2020","FQ2 2020","Currency=USD","Period=FQ","BEST_FPERIOD_OVERRIDE=FQ","FILING_STATUS=MR","SCALING_FORMAT=MLN","Sort=A","Dates=H","DateFormat=P","Fill=—","Direction=H","UseDPDF=Y")</f>
        <v>2.3532999999999999</v>
      </c>
      <c r="J11" s="13">
        <f>_xll.BDH("ITCI US Equity","BS_ACCTS_REC_EXCL_NOTES_REC","FQ3 2020","FQ3 2020","Currency=USD","Period=FQ","BEST_FPERIOD_OVERRIDE=FQ","FILING_STATUS=MR","SCALING_FORMAT=MLN","Sort=A","Dates=H","DateFormat=P","Fill=—","Direction=H","UseDPDF=Y")</f>
        <v>7.4805999999999999</v>
      </c>
      <c r="K11" s="13">
        <f>_xll.BDH("ITCI US Equity","BS_ACCTS_REC_EXCL_NOTES_REC","FQ4 2020","FQ4 2020","Currency=USD","Period=FQ","BEST_FPERIOD_OVERRIDE=FQ","FILING_STATUS=MR","SCALING_FORMAT=MLN","Sort=A","Dates=H","DateFormat=P","Fill=—","Direction=H","UseDPDF=Y")</f>
        <v>10.7646</v>
      </c>
      <c r="L11" s="13">
        <f>_xll.BDH("ITCI US Equity","BS_ACCTS_REC_EXCL_NOTES_REC","FQ1 2021","FQ1 2021","Currency=USD","Period=FQ","BEST_FPERIOD_OVERRIDE=FQ","FILING_STATUS=MR","SCALING_FORMAT=MLN","Sort=A","Dates=H","DateFormat=P","Fill=—","Direction=H","UseDPDF=Y")</f>
        <v>13.662000000000001</v>
      </c>
      <c r="M11" s="13">
        <f>_xll.BDH("ITCI US Equity","BS_ACCTS_REC_EXCL_NOTES_REC","FQ2 2021","FQ2 2021","Currency=USD","Period=FQ","BEST_FPERIOD_OVERRIDE=FQ","FILING_STATUS=MR","SCALING_FORMAT=MLN","Sort=A","Dates=H","DateFormat=P","Fill=—","Direction=H","UseDPDF=Y")</f>
        <v>15.187799999999999</v>
      </c>
      <c r="N11" s="13">
        <f>_xll.BDH("ITCI US Equity","BS_ACCTS_REC_EXCL_NOTES_REC","FQ3 2021","FQ3 2021","Currency=USD","Period=FQ","BEST_FPERIOD_OVERRIDE=FQ","FILING_STATUS=MR","SCALING_FORMAT=MLN","Sort=A","Dates=H","DateFormat=P","Fill=—","Direction=H","UseDPDF=Y")</f>
        <v>16.9344</v>
      </c>
      <c r="O11" s="13">
        <f>_xll.BDH("ITCI US Equity","BS_ACCTS_REC_EXCL_NOTES_REC","FQ4 2021","FQ4 2021","Currency=USD","Period=FQ","BEST_FPERIOD_OVERRIDE=FQ","FILING_STATUS=MR","SCALING_FORMAT=MLN","Sort=A","Dates=H","DateFormat=P","Fill=—","Direction=H","UseDPDF=Y")</f>
        <v>20.155999999999999</v>
      </c>
      <c r="P11" s="13">
        <f>_xll.BDH("ITCI US Equity","BS_ACCTS_REC_EXCL_NOTES_REC","FQ1 2022","FQ1 2022","Currency=USD","Period=FQ","BEST_FPERIOD_OVERRIDE=FQ","FILING_STATUS=MR","SCALING_FORMAT=MLN","Sort=A","Dates=H","DateFormat=P","Fill=—","Direction=H","UseDPDF=Y")</f>
        <v>32.832000000000001</v>
      </c>
      <c r="Q11" s="13">
        <f>_xll.BDH("ITCI US Equity","BS_ACCTS_REC_EXCL_NOTES_REC","FQ2 2022","FQ2 2022","Currency=USD","Period=FQ","BEST_FPERIOD_OVERRIDE=FQ","FILING_STATUS=MR","SCALING_FORMAT=MLN","Sort=A","Dates=H","DateFormat=P","Fill=—","Direction=H","UseDPDF=Y")</f>
        <v>46.975999999999999</v>
      </c>
      <c r="R11" s="13">
        <f>_xll.BDH("ITCI US Equity","BS_ACCTS_REC_EXCL_NOTES_REC","FQ3 2022","FQ3 2022","Currency=USD","Period=FQ","BEST_FPERIOD_OVERRIDE=FQ","FILING_STATUS=MR","SCALING_FORMAT=MLN","Sort=A","Dates=H","DateFormat=P","Fill=—","Direction=H","UseDPDF=Y")</f>
        <v>61.537999999999997</v>
      </c>
      <c r="S11" s="13">
        <f>_xll.BDH("ITCI US Equity","BS_ACCTS_REC_EXCL_NOTES_REC","FQ4 2022","FQ4 2022","Currency=USD","Period=FQ","BEST_FPERIOD_OVERRIDE=FQ","FILING_STATUS=MR","SCALING_FORMAT=MLN","Sort=A","Dates=H","DateFormat=P","Fill=—","Direction=H","UseDPDF=Y")</f>
        <v>75.188999999999993</v>
      </c>
      <c r="T11" s="13">
        <f>_xll.BDH("ITCI US Equity","BS_ACCTS_REC_EXCL_NOTES_REC","FQ1 2023","FQ1 2023","Currency=USD","Period=FQ","BEST_FPERIOD_OVERRIDE=FQ","FILING_STATUS=MR","SCALING_FORMAT=MLN","Sort=A","Dates=H","DateFormat=P","Fill=—","Direction=H","UseDPDF=Y")</f>
        <v>81.545000000000002</v>
      </c>
      <c r="U11" s="13">
        <f>_xll.BDH("ITCI US Equity","BS_ACCTS_REC_EXCL_NOTES_REC","FQ2 2023","FQ2 2023","Currency=USD","Period=FQ","BEST_FPERIOD_OVERRIDE=FQ","FILING_STATUS=MR","SCALING_FORMAT=MLN","Sort=A","Dates=H","DateFormat=P","Fill=—","Direction=H","UseDPDF=Y")</f>
        <v>95.963999999999999</v>
      </c>
      <c r="V11" s="13">
        <f>_xll.BDH("ITCI US Equity","BS_ACCTS_REC_EXCL_NOTES_REC","FQ3 2023","FQ3 2023","Currency=USD","Period=FQ","BEST_FPERIOD_OVERRIDE=FQ","FILING_STATUS=MR","SCALING_FORMAT=MLN","Sort=A","Dates=H","DateFormat=P","Fill=—","Direction=H","UseDPDF=Y")</f>
        <v>102.67</v>
      </c>
      <c r="W11" s="13">
        <f>_xll.BDH("ITCI US Equity","BS_ACCTS_REC_EXCL_NOTES_REC","FQ4 2023","FQ4 2023","Currency=USD","Period=FQ","BEST_FPERIOD_OVERRIDE=FQ","FILING_STATUS=MR","SCALING_FORMAT=MLN","Sort=A","Dates=H","DateFormat=P","Fill=—","Direction=H","UseDPDF=Y")</f>
        <v>114.018</v>
      </c>
      <c r="X11" s="13">
        <f>_xll.BDH("ITCI US Equity","BS_ACCTS_REC_EXCL_NOTES_REC","FQ1 2024","FQ1 2024","Currency=USD","Period=FQ","BEST_FPERIOD_OVERRIDE=FQ","FILING_STATUS=MR","SCALING_FORMAT=MLN","Sort=A","Dates=H","DateFormat=P","Fill=—","Direction=H","UseDPDF=Y")</f>
        <v>131.15700000000001</v>
      </c>
      <c r="Y11" s="13">
        <f>_xll.BDH("ITCI US Equity","BS_ACCTS_REC_EXCL_NOTES_REC","FQ2 2024","FQ2 2024","Currency=USD","Period=FQ","BEST_FPERIOD_OVERRIDE=FQ","FILING_STATUS=MR","SCALING_FORMAT=MLN","Sort=A","Dates=H","DateFormat=P","Fill=—","Direction=H","UseDPDF=Y")</f>
        <v>145.714</v>
      </c>
      <c r="Z11" s="13">
        <f>_xll.BDH("ITCI US Equity","BS_ACCTS_REC_EXCL_NOTES_REC","FQ3 2024","FQ3 2024","Currency=USD","Period=FQ","BEST_FPERIOD_OVERRIDE=FQ","FILING_STATUS=MR","SCALING_FORMAT=MLN","Sort=A","Dates=H","DateFormat=P","Fill=—","Direction=H","UseDPDF=Y")</f>
        <v>145.608</v>
      </c>
      <c r="AA11" s="13">
        <f>_xll.BDH("ITCI US Equity","BS_ACCTS_REC_EXCL_NOTES_REC","FQ4 2024","FQ4 2024","Currency=USD","Period=FQ","BEST_FPERIOD_OVERRIDE=FQ","FILING_STATUS=MR","SCALING_FORMAT=MLN","Sort=A","Dates=H","DateFormat=P","Fill=—","Direction=H","UseDPDF=Y")</f>
        <v>166.5</v>
      </c>
    </row>
    <row r="12" spans="1:27" x14ac:dyDescent="0.25">
      <c r="A12" s="10" t="s">
        <v>551</v>
      </c>
      <c r="B12" s="10" t="s">
        <v>552</v>
      </c>
      <c r="C12" s="13">
        <f>_xll.BDH("ITCI US Equity","NOTES_RECEIVABLE","FQ4 2018","FQ4 2018","Currency=USD","Period=FQ","BEST_FPERIOD_OVERRIDE=FQ","FILING_STATUS=MR","SCALING_FORMAT=MLN","Sort=A","Dates=H","DateFormat=P","Fill=—","Direction=H","UseDPDF=Y")</f>
        <v>0</v>
      </c>
      <c r="D12" s="13">
        <f>_xll.BDH("ITCI US Equity","NOTES_RECEIVABLE","FQ1 2019","FQ1 2019","Currency=USD","Period=FQ","BEST_FPERIOD_OVERRIDE=FQ","FILING_STATUS=MR","SCALING_FORMAT=MLN","Sort=A","Dates=H","DateFormat=P","Fill=—","Direction=H","UseDPDF=Y")</f>
        <v>0</v>
      </c>
      <c r="E12" s="13">
        <f>_xll.BDH("ITCI US Equity","NOTES_RECEIVABLE","FQ2 2019","FQ2 2019","Currency=USD","Period=FQ","BEST_FPERIOD_OVERRIDE=FQ","FILING_STATUS=MR","SCALING_FORMAT=MLN","Sort=A","Dates=H","DateFormat=P","Fill=—","Direction=H","UseDPDF=Y")</f>
        <v>0</v>
      </c>
      <c r="F12" s="13">
        <f>_xll.BDH("ITCI US Equity","NOTES_RECEIVABLE","FQ3 2019","FQ3 2019","Currency=USD","Period=FQ","BEST_FPERIOD_OVERRIDE=FQ","FILING_STATUS=MR","SCALING_FORMAT=MLN","Sort=A","Dates=H","DateFormat=P","Fill=—","Direction=H","UseDPDF=Y")</f>
        <v>0</v>
      </c>
      <c r="G12" s="13">
        <f>_xll.BDH("ITCI US Equity","NOTES_RECEIVABLE","FQ4 2019","FQ4 2019","Currency=USD","Period=FQ","BEST_FPERIOD_OVERRIDE=FQ","FILING_STATUS=MR","SCALING_FORMAT=MLN","Sort=A","Dates=H","DateFormat=P","Fill=—","Direction=H","UseDPDF=Y")</f>
        <v>0</v>
      </c>
      <c r="H12" s="13">
        <f>_xll.BDH("ITCI US Equity","NOTES_RECEIVABLE","FQ1 2020","FQ1 2020","Currency=USD","Period=FQ","BEST_FPERIOD_OVERRIDE=FQ","FILING_STATUS=MR","SCALING_FORMAT=MLN","Sort=A","Dates=H","DateFormat=P","Fill=—","Direction=H","UseDPDF=Y")</f>
        <v>0</v>
      </c>
      <c r="I12" s="13">
        <f>_xll.BDH("ITCI US Equity","NOTES_RECEIVABLE","FQ2 2020","FQ2 2020","Currency=USD","Period=FQ","BEST_FPERIOD_OVERRIDE=FQ","FILING_STATUS=MR","SCALING_FORMAT=MLN","Sort=A","Dates=H","DateFormat=P","Fill=—","Direction=H","UseDPDF=Y")</f>
        <v>0</v>
      </c>
      <c r="J12" s="13">
        <f>_xll.BDH("ITCI US Equity","NOTES_RECEIVABLE","FQ3 2020","FQ3 2020","Currency=USD","Period=FQ","BEST_FPERIOD_OVERRIDE=FQ","FILING_STATUS=MR","SCALING_FORMAT=MLN","Sort=A","Dates=H","DateFormat=P","Fill=—","Direction=H","UseDPDF=Y")</f>
        <v>0</v>
      </c>
      <c r="K12" s="13">
        <f>_xll.BDH("ITCI US Equity","NOTES_RECEIVABLE","FQ4 2020","FQ4 2020","Currency=USD","Period=FQ","BEST_FPERIOD_OVERRIDE=FQ","FILING_STATUS=MR","SCALING_FORMAT=MLN","Sort=A","Dates=H","DateFormat=P","Fill=—","Direction=H","UseDPDF=Y")</f>
        <v>0</v>
      </c>
      <c r="L12" s="13">
        <f>_xll.BDH("ITCI US Equity","NOTES_RECEIVABLE","FQ1 2021","FQ1 2021","Currency=USD","Period=FQ","BEST_FPERIOD_OVERRIDE=FQ","FILING_STATUS=MR","SCALING_FORMAT=MLN","Sort=A","Dates=H","DateFormat=P","Fill=—","Direction=H","UseDPDF=Y")</f>
        <v>0</v>
      </c>
      <c r="M12" s="13">
        <f>_xll.BDH("ITCI US Equity","NOTES_RECEIVABLE","FQ2 2021","FQ2 2021","Currency=USD","Period=FQ","BEST_FPERIOD_OVERRIDE=FQ","FILING_STATUS=MR","SCALING_FORMAT=MLN","Sort=A","Dates=H","DateFormat=P","Fill=—","Direction=H","UseDPDF=Y")</f>
        <v>0</v>
      </c>
      <c r="N12" s="13">
        <f>_xll.BDH("ITCI US Equity","NOTES_RECEIVABLE","FQ3 2021","FQ3 2021","Currency=USD","Period=FQ","BEST_FPERIOD_OVERRIDE=FQ","FILING_STATUS=MR","SCALING_FORMAT=MLN","Sort=A","Dates=H","DateFormat=P","Fill=—","Direction=H","UseDPDF=Y")</f>
        <v>0</v>
      </c>
      <c r="O12" s="13">
        <f>_xll.BDH("ITCI US Equity","NOTES_RECEIVABLE","FQ4 2021","FQ4 2021","Currency=USD","Period=FQ","BEST_FPERIOD_OVERRIDE=FQ","FILING_STATUS=MR","SCALING_FORMAT=MLN","Sort=A","Dates=H","DateFormat=P","Fill=—","Direction=H","UseDPDF=Y")</f>
        <v>0</v>
      </c>
      <c r="P12" s="13">
        <f>_xll.BDH("ITCI US Equity","NOTES_RECEIVABLE","FQ1 2022","FQ1 2022","Currency=USD","Period=FQ","BEST_FPERIOD_OVERRIDE=FQ","FILING_STATUS=MR","SCALING_FORMAT=MLN","Sort=A","Dates=H","DateFormat=P","Fill=—","Direction=H","UseDPDF=Y")</f>
        <v>0</v>
      </c>
      <c r="Q12" s="13">
        <f>_xll.BDH("ITCI US Equity","NOTES_RECEIVABLE","FQ2 2022","FQ2 2022","Currency=USD","Period=FQ","BEST_FPERIOD_OVERRIDE=FQ","FILING_STATUS=MR","SCALING_FORMAT=MLN","Sort=A","Dates=H","DateFormat=P","Fill=—","Direction=H","UseDPDF=Y")</f>
        <v>0</v>
      </c>
      <c r="R12" s="13">
        <f>_xll.BDH("ITCI US Equity","NOTES_RECEIVABLE","FQ3 2022","FQ3 2022","Currency=USD","Period=FQ","BEST_FPERIOD_OVERRIDE=FQ","FILING_STATUS=MR","SCALING_FORMAT=MLN","Sort=A","Dates=H","DateFormat=P","Fill=—","Direction=H","UseDPDF=Y")</f>
        <v>0</v>
      </c>
      <c r="S12" s="13">
        <f>_xll.BDH("ITCI US Equity","NOTES_RECEIVABLE","FQ4 2022","FQ4 2022","Currency=USD","Period=FQ","BEST_FPERIOD_OVERRIDE=FQ","FILING_STATUS=MR","SCALING_FORMAT=MLN","Sort=A","Dates=H","DateFormat=P","Fill=—","Direction=H","UseDPDF=Y")</f>
        <v>0</v>
      </c>
      <c r="T12" s="13">
        <f>_xll.BDH("ITCI US Equity","NOTES_RECEIVABLE","FQ1 2023","FQ1 2023","Currency=USD","Period=FQ","BEST_FPERIOD_OVERRIDE=FQ","FILING_STATUS=MR","SCALING_FORMAT=MLN","Sort=A","Dates=H","DateFormat=P","Fill=—","Direction=H","UseDPDF=Y")</f>
        <v>0</v>
      </c>
      <c r="U12" s="13">
        <f>_xll.BDH("ITCI US Equity","NOTES_RECEIVABLE","FQ2 2023","FQ2 2023","Currency=USD","Period=FQ","BEST_FPERIOD_OVERRIDE=FQ","FILING_STATUS=MR","SCALING_FORMAT=MLN","Sort=A","Dates=H","DateFormat=P","Fill=—","Direction=H","UseDPDF=Y")</f>
        <v>0</v>
      </c>
      <c r="V12" s="13">
        <f>_xll.BDH("ITCI US Equity","NOTES_RECEIVABLE","FQ3 2023","FQ3 2023","Currency=USD","Period=FQ","BEST_FPERIOD_OVERRIDE=FQ","FILING_STATUS=MR","SCALING_FORMAT=MLN","Sort=A","Dates=H","DateFormat=P","Fill=—","Direction=H","UseDPDF=Y")</f>
        <v>0</v>
      </c>
      <c r="W12" s="13">
        <f>_xll.BDH("ITCI US Equity","NOTES_RECEIVABLE","FQ4 2023","FQ4 2023","Currency=USD","Period=FQ","BEST_FPERIOD_OVERRIDE=FQ","FILING_STATUS=MR","SCALING_FORMAT=MLN","Sort=A","Dates=H","DateFormat=P","Fill=—","Direction=H","UseDPDF=Y")</f>
        <v>0</v>
      </c>
      <c r="X12" s="13">
        <f>_xll.BDH("ITCI US Equity","NOTES_RECEIVABLE","FQ1 2024","FQ1 2024","Currency=USD","Period=FQ","BEST_FPERIOD_OVERRIDE=FQ","FILING_STATUS=MR","SCALING_FORMAT=MLN","Sort=A","Dates=H","DateFormat=P","Fill=—","Direction=H","UseDPDF=Y")</f>
        <v>0</v>
      </c>
      <c r="Y12" s="13">
        <f>_xll.BDH("ITCI US Equity","NOTES_RECEIVABLE","FQ2 2024","FQ2 2024","Currency=USD","Period=FQ","BEST_FPERIOD_OVERRIDE=FQ","FILING_STATUS=MR","SCALING_FORMAT=MLN","Sort=A","Dates=H","DateFormat=P","Fill=—","Direction=H","UseDPDF=Y")</f>
        <v>0</v>
      </c>
      <c r="Z12" s="13">
        <f>_xll.BDH("ITCI US Equity","NOTES_RECEIVABLE","FQ3 2024","FQ3 2024","Currency=USD","Period=FQ","BEST_FPERIOD_OVERRIDE=FQ","FILING_STATUS=MR","SCALING_FORMAT=MLN","Sort=A","Dates=H","DateFormat=P","Fill=—","Direction=H","UseDPDF=Y")</f>
        <v>0</v>
      </c>
      <c r="AA12" s="13">
        <f>_xll.BDH("ITCI US Equity","NOTES_RECEIVABLE","FQ4 2024","FQ4 2024","Currency=USD","Period=FQ","BEST_FPERIOD_OVERRIDE=FQ","FILING_STATUS=MR","SCALING_FORMAT=MLN","Sort=A","Dates=H","DateFormat=P","Fill=—","Direction=H","UseDPDF=Y")</f>
        <v>0</v>
      </c>
    </row>
    <row r="13" spans="1:27" x14ac:dyDescent="0.25">
      <c r="A13" s="10" t="s">
        <v>553</v>
      </c>
      <c r="B13" s="10" t="s">
        <v>554</v>
      </c>
      <c r="C13" s="13">
        <f>_xll.BDH("ITCI US Equity","BS_INVENTORIES","FQ4 2018","FQ4 2018","Currency=USD","Period=FQ","BEST_FPERIOD_OVERRIDE=FQ","FILING_STATUS=MR","SCALING_FORMAT=MLN","Sort=A","Dates=H","DateFormat=P","Fill=—","Direction=H","UseDPDF=Y")</f>
        <v>0</v>
      </c>
      <c r="D13" s="13">
        <f>_xll.BDH("ITCI US Equity","BS_INVENTORIES","FQ1 2019","FQ1 2019","Currency=USD","Period=FQ","BEST_FPERIOD_OVERRIDE=FQ","FILING_STATUS=MR","SCALING_FORMAT=MLN","Sort=A","Dates=H","DateFormat=P","Fill=—","Direction=H","UseDPDF=Y")</f>
        <v>0</v>
      </c>
      <c r="E13" s="13">
        <f>_xll.BDH("ITCI US Equity","BS_INVENTORIES","FQ2 2019","FQ2 2019","Currency=USD","Period=FQ","BEST_FPERIOD_OVERRIDE=FQ","FILING_STATUS=MR","SCALING_FORMAT=MLN","Sort=A","Dates=H","DateFormat=P","Fill=—","Direction=H","UseDPDF=Y")</f>
        <v>0</v>
      </c>
      <c r="F13" s="13">
        <f>_xll.BDH("ITCI US Equity","BS_INVENTORIES","FQ3 2019","FQ3 2019","Currency=USD","Period=FQ","BEST_FPERIOD_OVERRIDE=FQ","FILING_STATUS=MR","SCALING_FORMAT=MLN","Sort=A","Dates=H","DateFormat=P","Fill=—","Direction=H","UseDPDF=Y")</f>
        <v>0</v>
      </c>
      <c r="G13" s="13">
        <f>_xll.BDH("ITCI US Equity","BS_INVENTORIES","FQ4 2019","FQ4 2019","Currency=USD","Period=FQ","BEST_FPERIOD_OVERRIDE=FQ","FILING_STATUS=MR","SCALING_FORMAT=MLN","Sort=A","Dates=H","DateFormat=P","Fill=—","Direction=H","UseDPDF=Y")</f>
        <v>0</v>
      </c>
      <c r="H13" s="13">
        <f>_xll.BDH("ITCI US Equity","BS_INVENTORIES","FQ1 2020","FQ1 2020","Currency=USD","Period=FQ","BEST_FPERIOD_OVERRIDE=FQ","FILING_STATUS=MR","SCALING_FORMAT=MLN","Sort=A","Dates=H","DateFormat=P","Fill=—","Direction=H","UseDPDF=Y")</f>
        <v>1.3911</v>
      </c>
      <c r="I13" s="13">
        <f>_xll.BDH("ITCI US Equity","BS_INVENTORIES","FQ2 2020","FQ2 2020","Currency=USD","Period=FQ","BEST_FPERIOD_OVERRIDE=FQ","FILING_STATUS=MR","SCALING_FORMAT=MLN","Sort=A","Dates=H","DateFormat=P","Fill=—","Direction=H","UseDPDF=Y")</f>
        <v>2.335</v>
      </c>
      <c r="J13" s="13">
        <f>_xll.BDH("ITCI US Equity","BS_INVENTORIES","FQ3 2020","FQ3 2020","Currency=USD","Period=FQ","BEST_FPERIOD_OVERRIDE=FQ","FILING_STATUS=MR","SCALING_FORMAT=MLN","Sort=A","Dates=H","DateFormat=P","Fill=—","Direction=H","UseDPDF=Y")</f>
        <v>2.9470999999999998</v>
      </c>
      <c r="K13" s="13">
        <f>_xll.BDH("ITCI US Equity","BS_INVENTORIES","FQ4 2020","FQ4 2020","Currency=USD","Period=FQ","BEST_FPERIOD_OVERRIDE=FQ","FILING_STATUS=MR","SCALING_FORMAT=MLN","Sort=A","Dates=H","DateFormat=P","Fill=—","Direction=H","UseDPDF=Y")</f>
        <v>7.0564</v>
      </c>
      <c r="L13" s="13">
        <f>_xll.BDH("ITCI US Equity","BS_INVENTORIES","FQ1 2021","FQ1 2021","Currency=USD","Period=FQ","BEST_FPERIOD_OVERRIDE=FQ","FILING_STATUS=MR","SCALING_FORMAT=MLN","Sort=A","Dates=H","DateFormat=P","Fill=—","Direction=H","UseDPDF=Y")</f>
        <v>7.5793999999999997</v>
      </c>
      <c r="M13" s="13">
        <f>_xll.BDH("ITCI US Equity","BS_INVENTORIES","FQ2 2021","FQ2 2021","Currency=USD","Period=FQ","BEST_FPERIOD_OVERRIDE=FQ","FILING_STATUS=MR","SCALING_FORMAT=MLN","Sort=A","Dates=H","DateFormat=P","Fill=—","Direction=H","UseDPDF=Y")</f>
        <v>7.7687999999999997</v>
      </c>
      <c r="N13" s="13">
        <f>_xll.BDH("ITCI US Equity","BS_INVENTORIES","FQ3 2021","FQ3 2021","Currency=USD","Period=FQ","BEST_FPERIOD_OVERRIDE=FQ","FILING_STATUS=MR","SCALING_FORMAT=MLN","Sort=A","Dates=H","DateFormat=P","Fill=—","Direction=H","UseDPDF=Y")</f>
        <v>8.1669</v>
      </c>
      <c r="O13" s="13">
        <f>_xll.BDH("ITCI US Equity","BS_INVENTORIES","FQ4 2021","FQ4 2021","Currency=USD","Period=FQ","BEST_FPERIOD_OVERRIDE=FQ","FILING_STATUS=MR","SCALING_FORMAT=MLN","Sort=A","Dates=H","DateFormat=P","Fill=—","Direction=H","UseDPDF=Y")</f>
        <v>7.9481000000000002</v>
      </c>
      <c r="P13" s="13">
        <f>_xll.BDH("ITCI US Equity","BS_INVENTORIES","FQ1 2022","FQ1 2022","Currency=USD","Period=FQ","BEST_FPERIOD_OVERRIDE=FQ","FILING_STATUS=MR","SCALING_FORMAT=MLN","Sort=A","Dates=H","DateFormat=P","Fill=—","Direction=H","UseDPDF=Y")</f>
        <v>7.8929999999999998</v>
      </c>
      <c r="Q13" s="13">
        <f>_xll.BDH("ITCI US Equity","BS_INVENTORIES","FQ2 2022","FQ2 2022","Currency=USD","Period=FQ","BEST_FPERIOD_OVERRIDE=FQ","FILING_STATUS=MR","SCALING_FORMAT=MLN","Sort=A","Dates=H","DateFormat=P","Fill=—","Direction=H","UseDPDF=Y")</f>
        <v>25.021999999999998</v>
      </c>
      <c r="R13" s="13">
        <f>_xll.BDH("ITCI US Equity","BS_INVENTORIES","FQ3 2022","FQ3 2022","Currency=USD","Period=FQ","BEST_FPERIOD_OVERRIDE=FQ","FILING_STATUS=MR","SCALING_FORMAT=MLN","Sort=A","Dates=H","DateFormat=P","Fill=—","Direction=H","UseDPDF=Y")</f>
        <v>23.597000000000001</v>
      </c>
      <c r="S13" s="13">
        <f>_xll.BDH("ITCI US Equity","BS_INVENTORIES","FQ4 2022","FQ4 2022","Currency=USD","Period=FQ","BEST_FPERIOD_OVERRIDE=FQ","FILING_STATUS=MR","SCALING_FORMAT=MLN","Sort=A","Dates=H","DateFormat=P","Fill=—","Direction=H","UseDPDF=Y")</f>
        <v>23.92</v>
      </c>
      <c r="T13" s="13">
        <f>_xll.BDH("ITCI US Equity","BS_INVENTORIES","FQ1 2023","FQ1 2023","Currency=USD","Period=FQ","BEST_FPERIOD_OVERRIDE=FQ","FILING_STATUS=MR","SCALING_FORMAT=MLN","Sort=A","Dates=H","DateFormat=P","Fill=—","Direction=H","UseDPDF=Y")</f>
        <v>28.341000000000001</v>
      </c>
      <c r="U13" s="13">
        <f>_xll.BDH("ITCI US Equity","BS_INVENTORIES","FQ2 2023","FQ2 2023","Currency=USD","Period=FQ","BEST_FPERIOD_OVERRIDE=FQ","FILING_STATUS=MR","SCALING_FORMAT=MLN","Sort=A","Dates=H","DateFormat=P","Fill=—","Direction=H","UseDPDF=Y")</f>
        <v>41.895000000000003</v>
      </c>
      <c r="V13" s="13">
        <f>_xll.BDH("ITCI US Equity","BS_INVENTORIES","FQ3 2023","FQ3 2023","Currency=USD","Period=FQ","BEST_FPERIOD_OVERRIDE=FQ","FILING_STATUS=MR","SCALING_FORMAT=MLN","Sort=A","Dates=H","DateFormat=P","Fill=—","Direction=H","UseDPDF=Y")</f>
        <v>42.985999999999997</v>
      </c>
      <c r="W13" s="13">
        <f>_xll.BDH("ITCI US Equity","BS_INVENTORIES","FQ4 2023","FQ4 2023","Currency=USD","Period=FQ","BEST_FPERIOD_OVERRIDE=FQ","FILING_STATUS=MR","SCALING_FORMAT=MLN","Sort=A","Dates=H","DateFormat=P","Fill=—","Direction=H","UseDPDF=Y")</f>
        <v>11.647</v>
      </c>
      <c r="X13" s="13">
        <f>_xll.BDH("ITCI US Equity","BS_INVENTORIES","FQ1 2024","FQ1 2024","Currency=USD","Period=FQ","BEST_FPERIOD_OVERRIDE=FQ","FILING_STATUS=MR","SCALING_FORMAT=MLN","Sort=A","Dates=H","DateFormat=P","Fill=—","Direction=H","UseDPDF=Y")</f>
        <v>15.949</v>
      </c>
      <c r="Y13" s="13">
        <f>_xll.BDH("ITCI US Equity","BS_INVENTORIES","FQ2 2024","FQ2 2024","Currency=USD","Period=FQ","BEST_FPERIOD_OVERRIDE=FQ","FILING_STATUS=MR","SCALING_FORMAT=MLN","Sort=A","Dates=H","DateFormat=P","Fill=—","Direction=H","UseDPDF=Y")</f>
        <v>20.082000000000001</v>
      </c>
      <c r="Z13" s="13">
        <f>_xll.BDH("ITCI US Equity","BS_INVENTORIES","FQ3 2024","FQ3 2024","Currency=USD","Period=FQ","BEST_FPERIOD_OVERRIDE=FQ","FILING_STATUS=MR","SCALING_FORMAT=MLN","Sort=A","Dates=H","DateFormat=P","Fill=—","Direction=H","UseDPDF=Y")</f>
        <v>23.539000000000001</v>
      </c>
      <c r="AA13" s="13">
        <f>_xll.BDH("ITCI US Equity","BS_INVENTORIES","FQ4 2024","FQ4 2024","Currency=USD","Period=FQ","BEST_FPERIOD_OVERRIDE=FQ","FILING_STATUS=MR","SCALING_FORMAT=MLN","Sort=A","Dates=H","DateFormat=P","Fill=—","Direction=H","UseDPDF=Y")</f>
        <v>26.283000000000001</v>
      </c>
    </row>
    <row r="14" spans="1:27" x14ac:dyDescent="0.25">
      <c r="A14" s="10" t="s">
        <v>555</v>
      </c>
      <c r="B14" s="10" t="s">
        <v>556</v>
      </c>
      <c r="C14" s="13">
        <f>_xll.BDH("ITCI US Equity","INVTRY_RAW_MATERIALS","FQ4 2018","FQ4 2018","Currency=USD","Period=FQ","BEST_FPERIOD_OVERRIDE=FQ","FILING_STATUS=MR","SCALING_FORMAT=MLN","Sort=A","Dates=H","DateFormat=P","Fill=—","Direction=H","UseDPDF=Y")</f>
        <v>0</v>
      </c>
      <c r="D14" s="13">
        <f>_xll.BDH("ITCI US Equity","INVTRY_RAW_MATERIALS","FQ1 2019","FQ1 2019","Currency=USD","Period=FQ","BEST_FPERIOD_OVERRIDE=FQ","FILING_STATUS=MR","SCALING_FORMAT=MLN","Sort=A","Dates=H","DateFormat=P","Fill=—","Direction=H","UseDPDF=Y")</f>
        <v>0</v>
      </c>
      <c r="E14" s="13">
        <f>_xll.BDH("ITCI US Equity","INVTRY_RAW_MATERIALS","FQ2 2019","FQ2 2019","Currency=USD","Period=FQ","BEST_FPERIOD_OVERRIDE=FQ","FILING_STATUS=MR","SCALING_FORMAT=MLN","Sort=A","Dates=H","DateFormat=P","Fill=—","Direction=H","UseDPDF=Y")</f>
        <v>0</v>
      </c>
      <c r="F14" s="13">
        <f>_xll.BDH("ITCI US Equity","INVTRY_RAW_MATERIALS","FQ3 2019","FQ3 2019","Currency=USD","Period=FQ","BEST_FPERIOD_OVERRIDE=FQ","FILING_STATUS=MR","SCALING_FORMAT=MLN","Sort=A","Dates=H","DateFormat=P","Fill=—","Direction=H","UseDPDF=Y")</f>
        <v>0</v>
      </c>
      <c r="G14" s="13">
        <f>_xll.BDH("ITCI US Equity","INVTRY_RAW_MATERIALS","FQ4 2019","FQ4 2019","Currency=USD","Period=FQ","BEST_FPERIOD_OVERRIDE=FQ","FILING_STATUS=MR","SCALING_FORMAT=MLN","Sort=A","Dates=H","DateFormat=P","Fill=—","Direction=H","UseDPDF=Y")</f>
        <v>0</v>
      </c>
      <c r="H14" s="13">
        <f>_xll.BDH("ITCI US Equity","INVTRY_RAW_MATERIALS","FQ1 2020","FQ1 2020","Currency=USD","Period=FQ","BEST_FPERIOD_OVERRIDE=FQ","FILING_STATUS=MR","SCALING_FORMAT=MLN","Sort=A","Dates=H","DateFormat=P","Fill=—","Direction=H","UseDPDF=Y")</f>
        <v>0</v>
      </c>
      <c r="I14" s="13" t="str">
        <f>_xll.BDH("ITCI US Equity","INVTRY_RAW_MATERIALS","FQ2 2020","FQ2 2020","Currency=USD","Period=FQ","BEST_FPERIOD_OVERRIDE=FQ","FILING_STATUS=MR","SCALING_FORMAT=MLN","Sort=A","Dates=H","DateFormat=P","Fill=—","Direction=H","UseDPDF=Y")</f>
        <v>—</v>
      </c>
      <c r="J14" s="13" t="str">
        <f>_xll.BDH("ITCI US Equity","INVTRY_RAW_MATERIALS","FQ3 2020","FQ3 2020","Currency=USD","Period=FQ","BEST_FPERIOD_OVERRIDE=FQ","FILING_STATUS=MR","SCALING_FORMAT=MLN","Sort=A","Dates=H","DateFormat=P","Fill=—","Direction=H","UseDPDF=Y")</f>
        <v>—</v>
      </c>
      <c r="K14" s="13">
        <f>_xll.BDH("ITCI US Equity","INVTRY_RAW_MATERIALS","FQ4 2020","FQ4 2020","Currency=USD","Period=FQ","BEST_FPERIOD_OVERRIDE=FQ","FILING_STATUS=MR","SCALING_FORMAT=MLN","Sort=A","Dates=H","DateFormat=P","Fill=—","Direction=H","UseDPDF=Y")</f>
        <v>2.4838</v>
      </c>
      <c r="L14" s="13">
        <f>_xll.BDH("ITCI US Equity","INVTRY_RAW_MATERIALS","FQ1 2021","FQ1 2021","Currency=USD","Period=FQ","BEST_FPERIOD_OVERRIDE=FQ","FILING_STATUS=MR","SCALING_FORMAT=MLN","Sort=A","Dates=H","DateFormat=P","Fill=—","Direction=H","UseDPDF=Y")</f>
        <v>2.95</v>
      </c>
      <c r="M14" s="13">
        <f>_xll.BDH("ITCI US Equity","INVTRY_RAW_MATERIALS","FQ2 2021","FQ2 2021","Currency=USD","Period=FQ","BEST_FPERIOD_OVERRIDE=FQ","FILING_STATUS=MR","SCALING_FORMAT=MLN","Sort=A","Dates=H","DateFormat=P","Fill=—","Direction=H","UseDPDF=Y")</f>
        <v>3.0255999999999998</v>
      </c>
      <c r="N14" s="13">
        <f>_xll.BDH("ITCI US Equity","INVTRY_RAW_MATERIALS","FQ3 2021","FQ3 2021","Currency=USD","Period=FQ","BEST_FPERIOD_OVERRIDE=FQ","FILING_STATUS=MR","SCALING_FORMAT=MLN","Sort=A","Dates=H","DateFormat=P","Fill=—","Direction=H","UseDPDF=Y")</f>
        <v>2.1823000000000001</v>
      </c>
      <c r="O14" s="13">
        <f>_xll.BDH("ITCI US Equity","INVTRY_RAW_MATERIALS","FQ4 2021","FQ4 2021","Currency=USD","Period=FQ","BEST_FPERIOD_OVERRIDE=FQ","FILING_STATUS=MR","SCALING_FORMAT=MLN","Sort=A","Dates=H","DateFormat=P","Fill=—","Direction=H","UseDPDF=Y")</f>
        <v>2.4838</v>
      </c>
      <c r="P14" s="13">
        <f>_xll.BDH("ITCI US Equity","INVTRY_RAW_MATERIALS","FQ1 2022","FQ1 2022","Currency=USD","Period=FQ","BEST_FPERIOD_OVERRIDE=FQ","FILING_STATUS=MR","SCALING_FORMAT=MLN","Sort=A","Dates=H","DateFormat=P","Fill=—","Direction=H","UseDPDF=Y")</f>
        <v>2.4700000000000002</v>
      </c>
      <c r="Q14" s="13">
        <f>_xll.BDH("ITCI US Equity","INVTRY_RAW_MATERIALS","FQ2 2022","FQ2 2022","Currency=USD","Period=FQ","BEST_FPERIOD_OVERRIDE=FQ","FILING_STATUS=MR","SCALING_FORMAT=MLN","Sort=A","Dates=H","DateFormat=P","Fill=—","Direction=H","UseDPDF=Y")</f>
        <v>18.16</v>
      </c>
      <c r="R14" s="13">
        <f>_xll.BDH("ITCI US Equity","INVTRY_RAW_MATERIALS","FQ3 2022","FQ3 2022","Currency=USD","Period=FQ","BEST_FPERIOD_OVERRIDE=FQ","FILING_STATUS=MR","SCALING_FORMAT=MLN","Sort=A","Dates=H","DateFormat=P","Fill=—","Direction=H","UseDPDF=Y")</f>
        <v>17.806999999999999</v>
      </c>
      <c r="S14" s="13">
        <f>_xll.BDH("ITCI US Equity","INVTRY_RAW_MATERIALS","FQ4 2022","FQ4 2022","Currency=USD","Period=FQ","BEST_FPERIOD_OVERRIDE=FQ","FILING_STATUS=MR","SCALING_FORMAT=MLN","Sort=A","Dates=H","DateFormat=P","Fill=—","Direction=H","UseDPDF=Y")</f>
        <v>17.227</v>
      </c>
      <c r="T14" s="13">
        <f>_xll.BDH("ITCI US Equity","INVTRY_RAW_MATERIALS","FQ1 2023","FQ1 2023","Currency=USD","Period=FQ","BEST_FPERIOD_OVERRIDE=FQ","FILING_STATUS=MR","SCALING_FORMAT=MLN","Sort=A","Dates=H","DateFormat=P","Fill=—","Direction=H","UseDPDF=Y")</f>
        <v>21.716000000000001</v>
      </c>
      <c r="U14" s="13">
        <f>_xll.BDH("ITCI US Equity","INVTRY_RAW_MATERIALS","FQ2 2023","FQ2 2023","Currency=USD","Period=FQ","BEST_FPERIOD_OVERRIDE=FQ","FILING_STATUS=MR","SCALING_FORMAT=MLN","Sort=A","Dates=H","DateFormat=P","Fill=—","Direction=H","UseDPDF=Y")</f>
        <v>33.901000000000003</v>
      </c>
      <c r="V14" s="13">
        <f>_xll.BDH("ITCI US Equity","INVTRY_RAW_MATERIALS","FQ3 2023","FQ3 2023","Currency=USD","Period=FQ","BEST_FPERIOD_OVERRIDE=FQ","FILING_STATUS=MR","SCALING_FORMAT=MLN","Sort=A","Dates=H","DateFormat=P","Fill=—","Direction=H","UseDPDF=Y")</f>
        <v>33.173000000000002</v>
      </c>
      <c r="W14" s="13" t="str">
        <f>_xll.BDH("ITCI US Equity","INVTRY_RAW_MATERIALS","FQ4 2023","FQ4 2023","Currency=USD","Period=FQ","BEST_FPERIOD_OVERRIDE=FQ","FILING_STATUS=MR","SCALING_FORMAT=MLN","Sort=A","Dates=H","DateFormat=P","Fill=—","Direction=H","UseDPDF=Y")</f>
        <v>—</v>
      </c>
      <c r="X14" s="13">
        <f>_xll.BDH("ITCI US Equity","INVTRY_RAW_MATERIALS","FQ1 2024","FQ1 2024","Currency=USD","Period=FQ","BEST_FPERIOD_OVERRIDE=FQ","FILING_STATUS=MR","SCALING_FORMAT=MLN","Sort=A","Dates=H","DateFormat=P","Fill=—","Direction=H","UseDPDF=Y")</f>
        <v>34.817999999999998</v>
      </c>
      <c r="Y14" s="13">
        <f>_xll.BDH("ITCI US Equity","INVTRY_RAW_MATERIALS","FQ2 2024","FQ2 2024","Currency=USD","Period=FQ","BEST_FPERIOD_OVERRIDE=FQ","FILING_STATUS=MR","SCALING_FORMAT=MLN","Sort=A","Dates=H","DateFormat=P","Fill=—","Direction=H","UseDPDF=Y")</f>
        <v>32.561999999999998</v>
      </c>
      <c r="Z14" s="13">
        <f>_xll.BDH("ITCI US Equity","INVTRY_RAW_MATERIALS","FQ3 2024","FQ3 2024","Currency=USD","Period=FQ","BEST_FPERIOD_OVERRIDE=FQ","FILING_STATUS=MR","SCALING_FORMAT=MLN","Sort=A","Dates=H","DateFormat=P","Fill=—","Direction=H","UseDPDF=Y")</f>
        <v>30.478999999999999</v>
      </c>
      <c r="AA14" s="13">
        <f>_xll.BDH("ITCI US Equity","INVTRY_RAW_MATERIALS","FQ4 2024","FQ4 2024","Currency=USD","Period=FQ","BEST_FPERIOD_OVERRIDE=FQ","FILING_STATUS=MR","SCALING_FORMAT=MLN","Sort=A","Dates=H","DateFormat=P","Fill=—","Direction=H","UseDPDF=Y")</f>
        <v>38.89</v>
      </c>
    </row>
    <row r="15" spans="1:27" x14ac:dyDescent="0.25">
      <c r="A15" s="10" t="s">
        <v>557</v>
      </c>
      <c r="B15" s="10" t="s">
        <v>558</v>
      </c>
      <c r="C15" s="13">
        <f>_xll.BDH("ITCI US Equity","INVTRY_IN_PROGRESS","FQ4 2018","FQ4 2018","Currency=USD","Period=FQ","BEST_FPERIOD_OVERRIDE=FQ","FILING_STATUS=MR","SCALING_FORMAT=MLN","Sort=A","Dates=H","DateFormat=P","Fill=—","Direction=H","UseDPDF=Y")</f>
        <v>0</v>
      </c>
      <c r="D15" s="13">
        <f>_xll.BDH("ITCI US Equity","INVTRY_IN_PROGRESS","FQ1 2019","FQ1 2019","Currency=USD","Period=FQ","BEST_FPERIOD_OVERRIDE=FQ","FILING_STATUS=MR","SCALING_FORMAT=MLN","Sort=A","Dates=H","DateFormat=P","Fill=—","Direction=H","UseDPDF=Y")</f>
        <v>0</v>
      </c>
      <c r="E15" s="13">
        <f>_xll.BDH("ITCI US Equity","INVTRY_IN_PROGRESS","FQ2 2019","FQ2 2019","Currency=USD","Period=FQ","BEST_FPERIOD_OVERRIDE=FQ","FILING_STATUS=MR","SCALING_FORMAT=MLN","Sort=A","Dates=H","DateFormat=P","Fill=—","Direction=H","UseDPDF=Y")</f>
        <v>0</v>
      </c>
      <c r="F15" s="13">
        <f>_xll.BDH("ITCI US Equity","INVTRY_IN_PROGRESS","FQ3 2019","FQ3 2019","Currency=USD","Period=FQ","BEST_FPERIOD_OVERRIDE=FQ","FILING_STATUS=MR","SCALING_FORMAT=MLN","Sort=A","Dates=H","DateFormat=P","Fill=—","Direction=H","UseDPDF=Y")</f>
        <v>0</v>
      </c>
      <c r="G15" s="13">
        <f>_xll.BDH("ITCI US Equity","INVTRY_IN_PROGRESS","FQ4 2019","FQ4 2019","Currency=USD","Period=FQ","BEST_FPERIOD_OVERRIDE=FQ","FILING_STATUS=MR","SCALING_FORMAT=MLN","Sort=A","Dates=H","DateFormat=P","Fill=—","Direction=H","UseDPDF=Y")</f>
        <v>0</v>
      </c>
      <c r="H15" s="13">
        <f>_xll.BDH("ITCI US Equity","INVTRY_IN_PROGRESS","FQ1 2020","FQ1 2020","Currency=USD","Period=FQ","BEST_FPERIOD_OVERRIDE=FQ","FILING_STATUS=MR","SCALING_FORMAT=MLN","Sort=A","Dates=H","DateFormat=P","Fill=—","Direction=H","UseDPDF=Y")</f>
        <v>1.25</v>
      </c>
      <c r="I15" s="13" t="str">
        <f>_xll.BDH("ITCI US Equity","INVTRY_IN_PROGRESS","FQ2 2020","FQ2 2020","Currency=USD","Period=FQ","BEST_FPERIOD_OVERRIDE=FQ","FILING_STATUS=MR","SCALING_FORMAT=MLN","Sort=A","Dates=H","DateFormat=P","Fill=—","Direction=H","UseDPDF=Y")</f>
        <v>—</v>
      </c>
      <c r="J15" s="13" t="str">
        <f>_xll.BDH("ITCI US Equity","INVTRY_IN_PROGRESS","FQ3 2020","FQ3 2020","Currency=USD","Period=FQ","BEST_FPERIOD_OVERRIDE=FQ","FILING_STATUS=MR","SCALING_FORMAT=MLN","Sort=A","Dates=H","DateFormat=P","Fill=—","Direction=H","UseDPDF=Y")</f>
        <v>—</v>
      </c>
      <c r="K15" s="13">
        <f>_xll.BDH("ITCI US Equity","INVTRY_IN_PROGRESS","FQ4 2020","FQ4 2020","Currency=USD","Period=FQ","BEST_FPERIOD_OVERRIDE=FQ","FILING_STATUS=MR","SCALING_FORMAT=MLN","Sort=A","Dates=H","DateFormat=P","Fill=—","Direction=H","UseDPDF=Y")</f>
        <v>1.7810999999999999</v>
      </c>
      <c r="L15" s="13">
        <f>_xll.BDH("ITCI US Equity","INVTRY_IN_PROGRESS","FQ1 2021","FQ1 2021","Currency=USD","Period=FQ","BEST_FPERIOD_OVERRIDE=FQ","FILING_STATUS=MR","SCALING_FORMAT=MLN","Sort=A","Dates=H","DateFormat=P","Fill=—","Direction=H","UseDPDF=Y")</f>
        <v>1.1895</v>
      </c>
      <c r="M15" s="13">
        <f>_xll.BDH("ITCI US Equity","INVTRY_IN_PROGRESS","FQ2 2021","FQ2 2021","Currency=USD","Period=FQ","BEST_FPERIOD_OVERRIDE=FQ","FILING_STATUS=MR","SCALING_FORMAT=MLN","Sort=A","Dates=H","DateFormat=P","Fill=—","Direction=H","UseDPDF=Y")</f>
        <v>1.4103000000000001</v>
      </c>
      <c r="N15" s="13">
        <f>_xll.BDH("ITCI US Equity","INVTRY_IN_PROGRESS","FQ3 2021","FQ3 2021","Currency=USD","Period=FQ","BEST_FPERIOD_OVERRIDE=FQ","FILING_STATUS=MR","SCALING_FORMAT=MLN","Sort=A","Dates=H","DateFormat=P","Fill=—","Direction=H","UseDPDF=Y")</f>
        <v>3.444</v>
      </c>
      <c r="O15" s="13">
        <f>_xll.BDH("ITCI US Equity","INVTRY_IN_PROGRESS","FQ4 2021","FQ4 2021","Currency=USD","Period=FQ","BEST_FPERIOD_OVERRIDE=FQ","FILING_STATUS=MR","SCALING_FORMAT=MLN","Sort=A","Dates=H","DateFormat=P","Fill=—","Direction=H","UseDPDF=Y")</f>
        <v>2.4072</v>
      </c>
      <c r="P15" s="13">
        <f>_xll.BDH("ITCI US Equity","INVTRY_IN_PROGRESS","FQ1 2022","FQ1 2022","Currency=USD","Period=FQ","BEST_FPERIOD_OVERRIDE=FQ","FILING_STATUS=MR","SCALING_FORMAT=MLN","Sort=A","Dates=H","DateFormat=P","Fill=—","Direction=H","UseDPDF=Y")</f>
        <v>1.198</v>
      </c>
      <c r="Q15" s="13">
        <f>_xll.BDH("ITCI US Equity","INVTRY_IN_PROGRESS","FQ2 2022","FQ2 2022","Currency=USD","Period=FQ","BEST_FPERIOD_OVERRIDE=FQ","FILING_STATUS=MR","SCALING_FORMAT=MLN","Sort=A","Dates=H","DateFormat=P","Fill=—","Direction=H","UseDPDF=Y")</f>
        <v>1.7410000000000001</v>
      </c>
      <c r="R15" s="13">
        <f>_xll.BDH("ITCI US Equity","INVTRY_IN_PROGRESS","FQ3 2022","FQ3 2022","Currency=USD","Period=FQ","BEST_FPERIOD_OVERRIDE=FQ","FILING_STATUS=MR","SCALING_FORMAT=MLN","Sort=A","Dates=H","DateFormat=P","Fill=—","Direction=H","UseDPDF=Y")</f>
        <v>1.9870000000000001</v>
      </c>
      <c r="S15" s="13">
        <f>_xll.BDH("ITCI US Equity","INVTRY_IN_PROGRESS","FQ4 2022","FQ4 2022","Currency=USD","Period=FQ","BEST_FPERIOD_OVERRIDE=FQ","FILING_STATUS=MR","SCALING_FORMAT=MLN","Sort=A","Dates=H","DateFormat=P","Fill=—","Direction=H","UseDPDF=Y")</f>
        <v>2.5939999999999999</v>
      </c>
      <c r="T15" s="13">
        <f>_xll.BDH("ITCI US Equity","INVTRY_IN_PROGRESS","FQ1 2023","FQ1 2023","Currency=USD","Period=FQ","BEST_FPERIOD_OVERRIDE=FQ","FILING_STATUS=MR","SCALING_FORMAT=MLN","Sort=A","Dates=H","DateFormat=P","Fill=—","Direction=H","UseDPDF=Y")</f>
        <v>3.23</v>
      </c>
      <c r="U15" s="13">
        <f>_xll.BDH("ITCI US Equity","INVTRY_IN_PROGRESS","FQ2 2023","FQ2 2023","Currency=USD","Period=FQ","BEST_FPERIOD_OVERRIDE=FQ","FILING_STATUS=MR","SCALING_FORMAT=MLN","Sort=A","Dates=H","DateFormat=P","Fill=—","Direction=H","UseDPDF=Y")</f>
        <v>4.0510000000000002</v>
      </c>
      <c r="V15" s="13">
        <f>_xll.BDH("ITCI US Equity","INVTRY_IN_PROGRESS","FQ3 2023","FQ3 2023","Currency=USD","Period=FQ","BEST_FPERIOD_OVERRIDE=FQ","FILING_STATUS=MR","SCALING_FORMAT=MLN","Sort=A","Dates=H","DateFormat=P","Fill=—","Direction=H","UseDPDF=Y")</f>
        <v>4.7729999999999997</v>
      </c>
      <c r="W15" s="13" t="str">
        <f>_xll.BDH("ITCI US Equity","INVTRY_IN_PROGRESS","FQ4 2023","FQ4 2023","Currency=USD","Period=FQ","BEST_FPERIOD_OVERRIDE=FQ","FILING_STATUS=MR","SCALING_FORMAT=MLN","Sort=A","Dates=H","DateFormat=P","Fill=—","Direction=H","UseDPDF=Y")</f>
        <v>—</v>
      </c>
      <c r="X15" s="13">
        <f>_xll.BDH("ITCI US Equity","INVTRY_IN_PROGRESS","FQ1 2024","FQ1 2024","Currency=USD","Period=FQ","BEST_FPERIOD_OVERRIDE=FQ","FILING_STATUS=MR","SCALING_FORMAT=MLN","Sort=A","Dates=H","DateFormat=P","Fill=—","Direction=H","UseDPDF=Y")</f>
        <v>8.875</v>
      </c>
      <c r="Y15" s="13">
        <f>_xll.BDH("ITCI US Equity","INVTRY_IN_PROGRESS","FQ2 2024","FQ2 2024","Currency=USD","Period=FQ","BEST_FPERIOD_OVERRIDE=FQ","FILING_STATUS=MR","SCALING_FORMAT=MLN","Sort=A","Dates=H","DateFormat=P","Fill=—","Direction=H","UseDPDF=Y")</f>
        <v>12.151</v>
      </c>
      <c r="Z15" s="13">
        <f>_xll.BDH("ITCI US Equity","INVTRY_IN_PROGRESS","FQ3 2024","FQ3 2024","Currency=USD","Period=FQ","BEST_FPERIOD_OVERRIDE=FQ","FILING_STATUS=MR","SCALING_FORMAT=MLN","Sort=A","Dates=H","DateFormat=P","Fill=—","Direction=H","UseDPDF=Y")</f>
        <v>13.048</v>
      </c>
      <c r="AA15" s="13">
        <f>_xll.BDH("ITCI US Equity","INVTRY_IN_PROGRESS","FQ4 2024","FQ4 2024","Currency=USD","Period=FQ","BEST_FPERIOD_OVERRIDE=FQ","FILING_STATUS=MR","SCALING_FORMAT=MLN","Sort=A","Dates=H","DateFormat=P","Fill=—","Direction=H","UseDPDF=Y")</f>
        <v>14.971</v>
      </c>
    </row>
    <row r="16" spans="1:27" x14ac:dyDescent="0.25">
      <c r="A16" s="10" t="s">
        <v>559</v>
      </c>
      <c r="B16" s="10" t="s">
        <v>560</v>
      </c>
      <c r="C16" s="13">
        <f>_xll.BDH("ITCI US Equity","INVTRY_FINISHED_GOODS","FQ4 2018","FQ4 2018","Currency=USD","Period=FQ","BEST_FPERIOD_OVERRIDE=FQ","FILING_STATUS=MR","SCALING_FORMAT=MLN","Sort=A","Dates=H","DateFormat=P","Fill=—","Direction=H","UseDPDF=Y")</f>
        <v>0</v>
      </c>
      <c r="D16" s="13">
        <f>_xll.BDH("ITCI US Equity","INVTRY_FINISHED_GOODS","FQ1 2019","FQ1 2019","Currency=USD","Period=FQ","BEST_FPERIOD_OVERRIDE=FQ","FILING_STATUS=MR","SCALING_FORMAT=MLN","Sort=A","Dates=H","DateFormat=P","Fill=—","Direction=H","UseDPDF=Y")</f>
        <v>0</v>
      </c>
      <c r="E16" s="13">
        <f>_xll.BDH("ITCI US Equity","INVTRY_FINISHED_GOODS","FQ2 2019","FQ2 2019","Currency=USD","Period=FQ","BEST_FPERIOD_OVERRIDE=FQ","FILING_STATUS=MR","SCALING_FORMAT=MLN","Sort=A","Dates=H","DateFormat=P","Fill=—","Direction=H","UseDPDF=Y")</f>
        <v>0</v>
      </c>
      <c r="F16" s="13">
        <f>_xll.BDH("ITCI US Equity","INVTRY_FINISHED_GOODS","FQ3 2019","FQ3 2019","Currency=USD","Period=FQ","BEST_FPERIOD_OVERRIDE=FQ","FILING_STATUS=MR","SCALING_FORMAT=MLN","Sort=A","Dates=H","DateFormat=P","Fill=—","Direction=H","UseDPDF=Y")</f>
        <v>0</v>
      </c>
      <c r="G16" s="13">
        <f>_xll.BDH("ITCI US Equity","INVTRY_FINISHED_GOODS","FQ4 2019","FQ4 2019","Currency=USD","Period=FQ","BEST_FPERIOD_OVERRIDE=FQ","FILING_STATUS=MR","SCALING_FORMAT=MLN","Sort=A","Dates=H","DateFormat=P","Fill=—","Direction=H","UseDPDF=Y")</f>
        <v>0</v>
      </c>
      <c r="H16" s="13">
        <f>_xll.BDH("ITCI US Equity","INVTRY_FINISHED_GOODS","FQ1 2020","FQ1 2020","Currency=USD","Period=FQ","BEST_FPERIOD_OVERRIDE=FQ","FILING_STATUS=MR","SCALING_FORMAT=MLN","Sort=A","Dates=H","DateFormat=P","Fill=—","Direction=H","UseDPDF=Y")</f>
        <v>0.1411</v>
      </c>
      <c r="I16" s="13" t="str">
        <f>_xll.BDH("ITCI US Equity","INVTRY_FINISHED_GOODS","FQ2 2020","FQ2 2020","Currency=USD","Period=FQ","BEST_FPERIOD_OVERRIDE=FQ","FILING_STATUS=MR","SCALING_FORMAT=MLN","Sort=A","Dates=H","DateFormat=P","Fill=—","Direction=H","UseDPDF=Y")</f>
        <v>—</v>
      </c>
      <c r="J16" s="13" t="str">
        <f>_xll.BDH("ITCI US Equity","INVTRY_FINISHED_GOODS","FQ3 2020","FQ3 2020","Currency=USD","Period=FQ","BEST_FPERIOD_OVERRIDE=FQ","FILING_STATUS=MR","SCALING_FORMAT=MLN","Sort=A","Dates=H","DateFormat=P","Fill=—","Direction=H","UseDPDF=Y")</f>
        <v>—</v>
      </c>
      <c r="K16" s="13">
        <f>_xll.BDH("ITCI US Equity","INVTRY_FINISHED_GOODS","FQ4 2020","FQ4 2020","Currency=USD","Period=FQ","BEST_FPERIOD_OVERRIDE=FQ","FILING_STATUS=MR","SCALING_FORMAT=MLN","Sort=A","Dates=H","DateFormat=P","Fill=—","Direction=H","UseDPDF=Y")</f>
        <v>2.7915000000000001</v>
      </c>
      <c r="L16" s="13">
        <f>_xll.BDH("ITCI US Equity","INVTRY_FINISHED_GOODS","FQ1 2021","FQ1 2021","Currency=USD","Period=FQ","BEST_FPERIOD_OVERRIDE=FQ","FILING_STATUS=MR","SCALING_FORMAT=MLN","Sort=A","Dates=H","DateFormat=P","Fill=—","Direction=H","UseDPDF=Y")</f>
        <v>3.4399000000000002</v>
      </c>
      <c r="M16" s="13">
        <f>_xll.BDH("ITCI US Equity","INVTRY_FINISHED_GOODS","FQ2 2021","FQ2 2021","Currency=USD","Period=FQ","BEST_FPERIOD_OVERRIDE=FQ","FILING_STATUS=MR","SCALING_FORMAT=MLN","Sort=A","Dates=H","DateFormat=P","Fill=—","Direction=H","UseDPDF=Y")</f>
        <v>3.3330000000000002</v>
      </c>
      <c r="N16" s="13">
        <f>_xll.BDH("ITCI US Equity","INVTRY_FINISHED_GOODS","FQ3 2021","FQ3 2021","Currency=USD","Period=FQ","BEST_FPERIOD_OVERRIDE=FQ","FILING_STATUS=MR","SCALING_FORMAT=MLN","Sort=A","Dates=H","DateFormat=P","Fill=—","Direction=H","UseDPDF=Y")</f>
        <v>2.5407000000000002</v>
      </c>
      <c r="O16" s="13">
        <f>_xll.BDH("ITCI US Equity","INVTRY_FINISHED_GOODS","FQ4 2021","FQ4 2021","Currency=USD","Period=FQ","BEST_FPERIOD_OVERRIDE=FQ","FILING_STATUS=MR","SCALING_FORMAT=MLN","Sort=A","Dates=H","DateFormat=P","Fill=—","Direction=H","UseDPDF=Y")</f>
        <v>3.0571999999999999</v>
      </c>
      <c r="P16" s="13">
        <f>_xll.BDH("ITCI US Equity","INVTRY_FINISHED_GOODS","FQ1 2022","FQ1 2022","Currency=USD","Period=FQ","BEST_FPERIOD_OVERRIDE=FQ","FILING_STATUS=MR","SCALING_FORMAT=MLN","Sort=A","Dates=H","DateFormat=P","Fill=—","Direction=H","UseDPDF=Y")</f>
        <v>4.2249999999999996</v>
      </c>
      <c r="Q16" s="13">
        <f>_xll.BDH("ITCI US Equity","INVTRY_FINISHED_GOODS","FQ2 2022","FQ2 2022","Currency=USD","Period=FQ","BEST_FPERIOD_OVERRIDE=FQ","FILING_STATUS=MR","SCALING_FORMAT=MLN","Sort=A","Dates=H","DateFormat=P","Fill=—","Direction=H","UseDPDF=Y")</f>
        <v>5.1210000000000004</v>
      </c>
      <c r="R16" s="13">
        <f>_xll.BDH("ITCI US Equity","INVTRY_FINISHED_GOODS","FQ3 2022","FQ3 2022","Currency=USD","Period=FQ","BEST_FPERIOD_OVERRIDE=FQ","FILING_STATUS=MR","SCALING_FORMAT=MLN","Sort=A","Dates=H","DateFormat=P","Fill=—","Direction=H","UseDPDF=Y")</f>
        <v>3.8029999999999999</v>
      </c>
      <c r="S16" s="13">
        <f>_xll.BDH("ITCI US Equity","INVTRY_FINISHED_GOODS","FQ4 2022","FQ4 2022","Currency=USD","Period=FQ","BEST_FPERIOD_OVERRIDE=FQ","FILING_STATUS=MR","SCALING_FORMAT=MLN","Sort=A","Dates=H","DateFormat=P","Fill=—","Direction=H","UseDPDF=Y")</f>
        <v>4.0990000000000002</v>
      </c>
      <c r="T16" s="13">
        <f>_xll.BDH("ITCI US Equity","INVTRY_FINISHED_GOODS","FQ1 2023","FQ1 2023","Currency=USD","Period=FQ","BEST_FPERIOD_OVERRIDE=FQ","FILING_STATUS=MR","SCALING_FORMAT=MLN","Sort=A","Dates=H","DateFormat=P","Fill=—","Direction=H","UseDPDF=Y")</f>
        <v>3.395</v>
      </c>
      <c r="U16" s="13">
        <f>_xll.BDH("ITCI US Equity","INVTRY_FINISHED_GOODS","FQ2 2023","FQ2 2023","Currency=USD","Period=FQ","BEST_FPERIOD_OVERRIDE=FQ","FILING_STATUS=MR","SCALING_FORMAT=MLN","Sort=A","Dates=H","DateFormat=P","Fill=—","Direction=H","UseDPDF=Y")</f>
        <v>3.9430000000000001</v>
      </c>
      <c r="V16" s="13">
        <f>_xll.BDH("ITCI US Equity","INVTRY_FINISHED_GOODS","FQ3 2023","FQ3 2023","Currency=USD","Period=FQ","BEST_FPERIOD_OVERRIDE=FQ","FILING_STATUS=MR","SCALING_FORMAT=MLN","Sort=A","Dates=H","DateFormat=P","Fill=—","Direction=H","UseDPDF=Y")</f>
        <v>5.04</v>
      </c>
      <c r="W16" s="13" t="str">
        <f>_xll.BDH("ITCI US Equity","INVTRY_FINISHED_GOODS","FQ4 2023","FQ4 2023","Currency=USD","Period=FQ","BEST_FPERIOD_OVERRIDE=FQ","FILING_STATUS=MR","SCALING_FORMAT=MLN","Sort=A","Dates=H","DateFormat=P","Fill=—","Direction=H","UseDPDF=Y")</f>
        <v>—</v>
      </c>
      <c r="X16" s="13">
        <f>_xll.BDH("ITCI US Equity","INVTRY_FINISHED_GOODS","FQ1 2024","FQ1 2024","Currency=USD","Period=FQ","BEST_FPERIOD_OVERRIDE=FQ","FILING_STATUS=MR","SCALING_FORMAT=MLN","Sort=A","Dates=H","DateFormat=P","Fill=—","Direction=H","UseDPDF=Y")</f>
        <v>7.0739999999999998</v>
      </c>
      <c r="Y16" s="13">
        <f>_xll.BDH("ITCI US Equity","INVTRY_FINISHED_GOODS","FQ2 2024","FQ2 2024","Currency=USD","Period=FQ","BEST_FPERIOD_OVERRIDE=FQ","FILING_STATUS=MR","SCALING_FORMAT=MLN","Sort=A","Dates=H","DateFormat=P","Fill=—","Direction=H","UseDPDF=Y")</f>
        <v>7.931</v>
      </c>
      <c r="Z16" s="13">
        <f>_xll.BDH("ITCI US Equity","INVTRY_FINISHED_GOODS","FQ3 2024","FQ3 2024","Currency=USD","Period=FQ","BEST_FPERIOD_OVERRIDE=FQ","FILING_STATUS=MR","SCALING_FORMAT=MLN","Sort=A","Dates=H","DateFormat=P","Fill=—","Direction=H","UseDPDF=Y")</f>
        <v>10.491</v>
      </c>
      <c r="AA16" s="13">
        <f>_xll.BDH("ITCI US Equity","INVTRY_FINISHED_GOODS","FQ4 2024","FQ4 2024","Currency=USD","Period=FQ","BEST_FPERIOD_OVERRIDE=FQ","FILING_STATUS=MR","SCALING_FORMAT=MLN","Sort=A","Dates=H","DateFormat=P","Fill=—","Direction=H","UseDPDF=Y")</f>
        <v>11.311999999999999</v>
      </c>
    </row>
    <row r="17" spans="1:27" x14ac:dyDescent="0.25">
      <c r="A17" s="10" t="s">
        <v>561</v>
      </c>
      <c r="B17" s="10" t="s">
        <v>562</v>
      </c>
      <c r="C17" s="13">
        <f>_xll.BDH("ITCI US Equity","BS_OTHER_INV","FQ4 2018","FQ4 2018","Currency=USD","Period=FQ","BEST_FPERIOD_OVERRIDE=FQ","FILING_STATUS=MR","SCALING_FORMAT=MLN","Sort=A","Dates=H","DateFormat=P","Fill=—","Direction=H","UseDPDF=Y")</f>
        <v>0</v>
      </c>
      <c r="D17" s="13">
        <f>_xll.BDH("ITCI US Equity","BS_OTHER_INV","FQ1 2019","FQ1 2019","Currency=USD","Period=FQ","BEST_FPERIOD_OVERRIDE=FQ","FILING_STATUS=MR","SCALING_FORMAT=MLN","Sort=A","Dates=H","DateFormat=P","Fill=—","Direction=H","UseDPDF=Y")</f>
        <v>0</v>
      </c>
      <c r="E17" s="13">
        <f>_xll.BDH("ITCI US Equity","BS_OTHER_INV","FQ2 2019","FQ2 2019","Currency=USD","Period=FQ","BEST_FPERIOD_OVERRIDE=FQ","FILING_STATUS=MR","SCALING_FORMAT=MLN","Sort=A","Dates=H","DateFormat=P","Fill=—","Direction=H","UseDPDF=Y")</f>
        <v>0</v>
      </c>
      <c r="F17" s="13">
        <f>_xll.BDH("ITCI US Equity","BS_OTHER_INV","FQ3 2019","FQ3 2019","Currency=USD","Period=FQ","BEST_FPERIOD_OVERRIDE=FQ","FILING_STATUS=MR","SCALING_FORMAT=MLN","Sort=A","Dates=H","DateFormat=P","Fill=—","Direction=H","UseDPDF=Y")</f>
        <v>0</v>
      </c>
      <c r="G17" s="13">
        <f>_xll.BDH("ITCI US Equity","BS_OTHER_INV","FQ4 2019","FQ4 2019","Currency=USD","Period=FQ","BEST_FPERIOD_OVERRIDE=FQ","FILING_STATUS=MR","SCALING_FORMAT=MLN","Sort=A","Dates=H","DateFormat=P","Fill=—","Direction=H","UseDPDF=Y")</f>
        <v>0</v>
      </c>
      <c r="H17" s="13">
        <f>_xll.BDH("ITCI US Equity","BS_OTHER_INV","FQ1 2020","FQ1 2020","Currency=USD","Period=FQ","BEST_FPERIOD_OVERRIDE=FQ","FILING_STATUS=MR","SCALING_FORMAT=MLN","Sort=A","Dates=H","DateFormat=P","Fill=—","Direction=H","UseDPDF=Y")</f>
        <v>0</v>
      </c>
      <c r="I17" s="13" t="str">
        <f>_xll.BDH("ITCI US Equity","BS_OTHER_INV","FQ2 2020","FQ2 2020","Currency=USD","Period=FQ","BEST_FPERIOD_OVERRIDE=FQ","FILING_STATUS=MR","SCALING_FORMAT=MLN","Sort=A","Dates=H","DateFormat=P","Fill=—","Direction=H","UseDPDF=Y")</f>
        <v>—</v>
      </c>
      <c r="J17" s="13" t="str">
        <f>_xll.BDH("ITCI US Equity","BS_OTHER_INV","FQ3 2020","FQ3 2020","Currency=USD","Period=FQ","BEST_FPERIOD_OVERRIDE=FQ","FILING_STATUS=MR","SCALING_FORMAT=MLN","Sort=A","Dates=H","DateFormat=P","Fill=—","Direction=H","UseDPDF=Y")</f>
        <v>—</v>
      </c>
      <c r="K17" s="13">
        <f>_xll.BDH("ITCI US Equity","BS_OTHER_INV","FQ4 2020","FQ4 2020","Currency=USD","Period=FQ","BEST_FPERIOD_OVERRIDE=FQ","FILING_STATUS=MR","SCALING_FORMAT=MLN","Sort=A","Dates=H","DateFormat=P","Fill=—","Direction=H","UseDPDF=Y")</f>
        <v>0</v>
      </c>
      <c r="L17" s="13">
        <f>_xll.BDH("ITCI US Equity","BS_OTHER_INV","FQ1 2021","FQ1 2021","Currency=USD","Period=FQ","BEST_FPERIOD_OVERRIDE=FQ","FILING_STATUS=MR","SCALING_FORMAT=MLN","Sort=A","Dates=H","DateFormat=P","Fill=—","Direction=H","UseDPDF=Y")</f>
        <v>0</v>
      </c>
      <c r="M17" s="13">
        <f>_xll.BDH("ITCI US Equity","BS_OTHER_INV","FQ2 2021","FQ2 2021","Currency=USD","Period=FQ","BEST_FPERIOD_OVERRIDE=FQ","FILING_STATUS=MR","SCALING_FORMAT=MLN","Sort=A","Dates=H","DateFormat=P","Fill=—","Direction=H","UseDPDF=Y")</f>
        <v>0</v>
      </c>
      <c r="N17" s="13">
        <f>_xll.BDH("ITCI US Equity","BS_OTHER_INV","FQ3 2021","FQ3 2021","Currency=USD","Period=FQ","BEST_FPERIOD_OVERRIDE=FQ","FILING_STATUS=MR","SCALING_FORMAT=MLN","Sort=A","Dates=H","DateFormat=P","Fill=—","Direction=H","UseDPDF=Y")</f>
        <v>0</v>
      </c>
      <c r="O17" s="13">
        <f>_xll.BDH("ITCI US Equity","BS_OTHER_INV","FQ4 2021","FQ4 2021","Currency=USD","Period=FQ","BEST_FPERIOD_OVERRIDE=FQ","FILING_STATUS=MR","SCALING_FORMAT=MLN","Sort=A","Dates=H","DateFormat=P","Fill=—","Direction=H","UseDPDF=Y")</f>
        <v>0</v>
      </c>
      <c r="P17" s="13">
        <f>_xll.BDH("ITCI US Equity","BS_OTHER_INV","FQ1 2022","FQ1 2022","Currency=USD","Period=FQ","BEST_FPERIOD_OVERRIDE=FQ","FILING_STATUS=MR","SCALING_FORMAT=MLN","Sort=A","Dates=H","DateFormat=P","Fill=—","Direction=H","UseDPDF=Y")</f>
        <v>0</v>
      </c>
      <c r="Q17" s="13">
        <f>_xll.BDH("ITCI US Equity","BS_OTHER_INV","FQ2 2022","FQ2 2022","Currency=USD","Period=FQ","BEST_FPERIOD_OVERRIDE=FQ","FILING_STATUS=MR","SCALING_FORMAT=MLN","Sort=A","Dates=H","DateFormat=P","Fill=—","Direction=H","UseDPDF=Y")</f>
        <v>0</v>
      </c>
      <c r="R17" s="13">
        <f>_xll.BDH("ITCI US Equity","BS_OTHER_INV","FQ3 2022","FQ3 2022","Currency=USD","Period=FQ","BEST_FPERIOD_OVERRIDE=FQ","FILING_STATUS=MR","SCALING_FORMAT=MLN","Sort=A","Dates=H","DateFormat=P","Fill=—","Direction=H","UseDPDF=Y")</f>
        <v>0</v>
      </c>
      <c r="S17" s="13">
        <f>_xll.BDH("ITCI US Equity","BS_OTHER_INV","FQ4 2022","FQ4 2022","Currency=USD","Period=FQ","BEST_FPERIOD_OVERRIDE=FQ","FILING_STATUS=MR","SCALING_FORMAT=MLN","Sort=A","Dates=H","DateFormat=P","Fill=—","Direction=H","UseDPDF=Y")</f>
        <v>0</v>
      </c>
      <c r="T17" s="13">
        <f>_xll.BDH("ITCI US Equity","BS_OTHER_INV","FQ1 2023","FQ1 2023","Currency=USD","Period=FQ","BEST_FPERIOD_OVERRIDE=FQ","FILING_STATUS=MR","SCALING_FORMAT=MLN","Sort=A","Dates=H","DateFormat=P","Fill=—","Direction=H","UseDPDF=Y")</f>
        <v>0</v>
      </c>
      <c r="U17" s="13">
        <f>_xll.BDH("ITCI US Equity","BS_OTHER_INV","FQ2 2023","FQ2 2023","Currency=USD","Period=FQ","BEST_FPERIOD_OVERRIDE=FQ","FILING_STATUS=MR","SCALING_FORMAT=MLN","Sort=A","Dates=H","DateFormat=P","Fill=—","Direction=H","UseDPDF=Y")</f>
        <v>0</v>
      </c>
      <c r="V17" s="13">
        <f>_xll.BDH("ITCI US Equity","BS_OTHER_INV","FQ3 2023","FQ3 2023","Currency=USD","Period=FQ","BEST_FPERIOD_OVERRIDE=FQ","FILING_STATUS=MR","SCALING_FORMAT=MLN","Sort=A","Dates=H","DateFormat=P","Fill=—","Direction=H","UseDPDF=Y")</f>
        <v>0</v>
      </c>
      <c r="W17" s="13">
        <f>_xll.BDH("ITCI US Equity","BS_OTHER_INV","FQ4 2023","FQ4 2023","Currency=USD","Period=FQ","BEST_FPERIOD_OVERRIDE=FQ","FILING_STATUS=MR","SCALING_FORMAT=MLN","Sort=A","Dates=H","DateFormat=P","Fill=—","Direction=H","UseDPDF=Y")</f>
        <v>0</v>
      </c>
      <c r="X17" s="13">
        <f>_xll.BDH("ITCI US Equity","BS_OTHER_INV","FQ1 2024","FQ1 2024","Currency=USD","Period=FQ","BEST_FPERIOD_OVERRIDE=FQ","FILING_STATUS=MR","SCALING_FORMAT=MLN","Sort=A","Dates=H","DateFormat=P","Fill=—","Direction=H","UseDPDF=Y")</f>
        <v>-34.817999999999998</v>
      </c>
      <c r="Y17" s="13">
        <f>_xll.BDH("ITCI US Equity","BS_OTHER_INV","FQ2 2024","FQ2 2024","Currency=USD","Period=FQ","BEST_FPERIOD_OVERRIDE=FQ","FILING_STATUS=MR","SCALING_FORMAT=MLN","Sort=A","Dates=H","DateFormat=P","Fill=—","Direction=H","UseDPDF=Y")</f>
        <v>-32.561999999999998</v>
      </c>
      <c r="Z17" s="13">
        <f>_xll.BDH("ITCI US Equity","BS_OTHER_INV","FQ3 2024","FQ3 2024","Currency=USD","Period=FQ","BEST_FPERIOD_OVERRIDE=FQ","FILING_STATUS=MR","SCALING_FORMAT=MLN","Sort=A","Dates=H","DateFormat=P","Fill=—","Direction=H","UseDPDF=Y")</f>
        <v>-30.478999999999999</v>
      </c>
      <c r="AA17" s="13">
        <f>_xll.BDH("ITCI US Equity","BS_OTHER_INV","FQ4 2024","FQ4 2024","Currency=USD","Period=FQ","BEST_FPERIOD_OVERRIDE=FQ","FILING_STATUS=MR","SCALING_FORMAT=MLN","Sort=A","Dates=H","DateFormat=P","Fill=—","Direction=H","UseDPDF=Y")</f>
        <v>-38.89</v>
      </c>
    </row>
    <row r="18" spans="1:27" x14ac:dyDescent="0.25">
      <c r="A18" s="10" t="s">
        <v>563</v>
      </c>
      <c r="B18" s="10" t="s">
        <v>564</v>
      </c>
      <c r="C18" s="13">
        <f>_xll.BDH("ITCI US Equity","OTHER_CURRENT_ASSETS_DETAILED","FQ4 2018","FQ4 2018","Currency=USD","Period=FQ","BEST_FPERIOD_OVERRIDE=FQ","FILING_STATUS=MR","SCALING_FORMAT=MLN","Sort=A","Dates=H","DateFormat=P","Fill=—","Direction=H","UseDPDF=Y")</f>
        <v>7.9081000000000001</v>
      </c>
      <c r="D18" s="13">
        <f>_xll.BDH("ITCI US Equity","OTHER_CURRENT_ASSETS_DETAILED","FQ1 2019","FQ1 2019","Currency=USD","Period=FQ","BEST_FPERIOD_OVERRIDE=FQ","FILING_STATUS=MR","SCALING_FORMAT=MLN","Sort=A","Dates=H","DateFormat=P","Fill=—","Direction=H","UseDPDF=Y")</f>
        <v>8.3053000000000008</v>
      </c>
      <c r="E18" s="13">
        <f>_xll.BDH("ITCI US Equity","OTHER_CURRENT_ASSETS_DETAILED","FQ2 2019","FQ2 2019","Currency=USD","Period=FQ","BEST_FPERIOD_OVERRIDE=FQ","FILING_STATUS=MR","SCALING_FORMAT=MLN","Sort=A","Dates=H","DateFormat=P","Fill=—","Direction=H","UseDPDF=Y")</f>
        <v>3.0417000000000001</v>
      </c>
      <c r="F18" s="13">
        <f>_xll.BDH("ITCI US Equity","OTHER_CURRENT_ASSETS_DETAILED","FQ3 2019","FQ3 2019","Currency=USD","Period=FQ","BEST_FPERIOD_OVERRIDE=FQ","FILING_STATUS=MR","SCALING_FORMAT=MLN","Sort=A","Dates=H","DateFormat=P","Fill=—","Direction=H","UseDPDF=Y")</f>
        <v>4.0232999999999999</v>
      </c>
      <c r="G18" s="13">
        <f>_xll.BDH("ITCI US Equity","OTHER_CURRENT_ASSETS_DETAILED","FQ4 2019","FQ4 2019","Currency=USD","Period=FQ","BEST_FPERIOD_OVERRIDE=FQ","FILING_STATUS=MR","SCALING_FORMAT=MLN","Sort=A","Dates=H","DateFormat=P","Fill=—","Direction=H","UseDPDF=Y")</f>
        <v>6.3137999999999996</v>
      </c>
      <c r="H18" s="13">
        <f>_xll.BDH("ITCI US Equity","OTHER_CURRENT_ASSETS_DETAILED","FQ1 2020","FQ1 2020","Currency=USD","Period=FQ","BEST_FPERIOD_OVERRIDE=FQ","FILING_STATUS=MR","SCALING_FORMAT=MLN","Sort=A","Dates=H","DateFormat=P","Fill=—","Direction=H","UseDPDF=Y")</f>
        <v>9.2764000000000006</v>
      </c>
      <c r="I18" s="13">
        <f>_xll.BDH("ITCI US Equity","OTHER_CURRENT_ASSETS_DETAILED","FQ2 2020","FQ2 2020","Currency=USD","Period=FQ","BEST_FPERIOD_OVERRIDE=FQ","FILING_STATUS=MR","SCALING_FORMAT=MLN","Sort=A","Dates=H","DateFormat=P","Fill=—","Direction=H","UseDPDF=Y")</f>
        <v>6.1261000000000001</v>
      </c>
      <c r="J18" s="13">
        <f>_xll.BDH("ITCI US Equity","OTHER_CURRENT_ASSETS_DETAILED","FQ3 2020","FQ3 2020","Currency=USD","Period=FQ","BEST_FPERIOD_OVERRIDE=FQ","FILING_STATUS=MR","SCALING_FORMAT=MLN","Sort=A","Dates=H","DateFormat=P","Fill=—","Direction=H","UseDPDF=Y")</f>
        <v>12.4908</v>
      </c>
      <c r="K18" s="13">
        <f>_xll.BDH("ITCI US Equity","OTHER_CURRENT_ASSETS_DETAILED","FQ4 2020","FQ4 2020","Currency=USD","Period=FQ","BEST_FPERIOD_OVERRIDE=FQ","FILING_STATUS=MR","SCALING_FORMAT=MLN","Sort=A","Dates=H","DateFormat=P","Fill=—","Direction=H","UseDPDF=Y")</f>
        <v>15.6355</v>
      </c>
      <c r="L18" s="13">
        <f>_xll.BDH("ITCI US Equity","OTHER_CURRENT_ASSETS_DETAILED","FQ1 2021","FQ1 2021","Currency=USD","Period=FQ","BEST_FPERIOD_OVERRIDE=FQ","FILING_STATUS=MR","SCALING_FORMAT=MLN","Sort=A","Dates=H","DateFormat=P","Fill=—","Direction=H","UseDPDF=Y")</f>
        <v>15.894399999999999</v>
      </c>
      <c r="M18" s="13">
        <f>_xll.BDH("ITCI US Equity","OTHER_CURRENT_ASSETS_DETAILED","FQ2 2021","FQ2 2021","Currency=USD","Period=FQ","BEST_FPERIOD_OVERRIDE=FQ","FILING_STATUS=MR","SCALING_FORMAT=MLN","Sort=A","Dates=H","DateFormat=P","Fill=—","Direction=H","UseDPDF=Y")</f>
        <v>23.589200000000002</v>
      </c>
      <c r="N18" s="13">
        <f>_xll.BDH("ITCI US Equity","OTHER_CURRENT_ASSETS_DETAILED","FQ3 2021","FQ3 2021","Currency=USD","Period=FQ","BEST_FPERIOD_OVERRIDE=FQ","FILING_STATUS=MR","SCALING_FORMAT=MLN","Sort=A","Dates=H","DateFormat=P","Fill=—","Direction=H","UseDPDF=Y")</f>
        <v>30.857399999999998</v>
      </c>
      <c r="O18" s="13">
        <f>_xll.BDH("ITCI US Equity","OTHER_CURRENT_ASSETS_DETAILED","FQ4 2021","FQ4 2021","Currency=USD","Period=FQ","BEST_FPERIOD_OVERRIDE=FQ","FILING_STATUS=MR","SCALING_FORMAT=MLN","Sort=A","Dates=H","DateFormat=P","Fill=—","Direction=H","UseDPDF=Y")</f>
        <v>26.843399999999999</v>
      </c>
      <c r="P18" s="13">
        <f>_xll.BDH("ITCI US Equity","OTHER_CURRENT_ASSETS_DETAILED","FQ1 2022","FQ1 2022","Currency=USD","Period=FQ","BEST_FPERIOD_OVERRIDE=FQ","FILING_STATUS=MR","SCALING_FORMAT=MLN","Sort=A","Dates=H","DateFormat=P","Fill=—","Direction=H","UseDPDF=Y")</f>
        <v>35.768999999999998</v>
      </c>
      <c r="Q18" s="13">
        <f>_xll.BDH("ITCI US Equity","OTHER_CURRENT_ASSETS_DETAILED","FQ2 2022","FQ2 2022","Currency=USD","Period=FQ","BEST_FPERIOD_OVERRIDE=FQ","FILING_STATUS=MR","SCALING_FORMAT=MLN","Sort=A","Dates=H","DateFormat=P","Fill=—","Direction=H","UseDPDF=Y")</f>
        <v>39.378999999999998</v>
      </c>
      <c r="R18" s="13">
        <f>_xll.BDH("ITCI US Equity","OTHER_CURRENT_ASSETS_DETAILED","FQ3 2022","FQ3 2022","Currency=USD","Period=FQ","BEST_FPERIOD_OVERRIDE=FQ","FILING_STATUS=MR","SCALING_FORMAT=MLN","Sort=A","Dates=H","DateFormat=P","Fill=—","Direction=H","UseDPDF=Y")</f>
        <v>45.88</v>
      </c>
      <c r="S18" s="13">
        <f>_xll.BDH("ITCI US Equity","OTHER_CURRENT_ASSETS_DETAILED","FQ4 2022","FQ4 2022","Currency=USD","Period=FQ","BEST_FPERIOD_OVERRIDE=FQ","FILING_STATUS=MR","SCALING_FORMAT=MLN","Sort=A","Dates=H","DateFormat=P","Fill=—","Direction=H","UseDPDF=Y")</f>
        <v>46.942999999999998</v>
      </c>
      <c r="T18" s="13">
        <f>_xll.BDH("ITCI US Equity","OTHER_CURRENT_ASSETS_DETAILED","FQ1 2023","FQ1 2023","Currency=USD","Period=FQ","BEST_FPERIOD_OVERRIDE=FQ","FILING_STATUS=MR","SCALING_FORMAT=MLN","Sort=A","Dates=H","DateFormat=P","Fill=—","Direction=H","UseDPDF=Y")</f>
        <v>57.5</v>
      </c>
      <c r="U18" s="13">
        <f>_xll.BDH("ITCI US Equity","OTHER_CURRENT_ASSETS_DETAILED","FQ2 2023","FQ2 2023","Currency=USD","Period=FQ","BEST_FPERIOD_OVERRIDE=FQ","FILING_STATUS=MR","SCALING_FORMAT=MLN","Sort=A","Dates=H","DateFormat=P","Fill=—","Direction=H","UseDPDF=Y")</f>
        <v>47.36</v>
      </c>
      <c r="V18" s="13">
        <f>_xll.BDH("ITCI US Equity","OTHER_CURRENT_ASSETS_DETAILED","FQ3 2023","FQ3 2023","Currency=USD","Period=FQ","BEST_FPERIOD_OVERRIDE=FQ","FILING_STATUS=MR","SCALING_FORMAT=MLN","Sort=A","Dates=H","DateFormat=P","Fill=—","Direction=H","UseDPDF=Y")</f>
        <v>63.747999999999998</v>
      </c>
      <c r="W18" s="13">
        <f>_xll.BDH("ITCI US Equity","OTHER_CURRENT_ASSETS_DETAILED","FQ4 2023","FQ4 2023","Currency=USD","Period=FQ","BEST_FPERIOD_OVERRIDE=FQ","FILING_STATUS=MR","SCALING_FORMAT=MLN","Sort=A","Dates=H","DateFormat=P","Fill=—","Direction=H","UseDPDF=Y")</f>
        <v>44.192999999999998</v>
      </c>
      <c r="X18" s="13">
        <f>_xll.BDH("ITCI US Equity","OTHER_CURRENT_ASSETS_DETAILED","FQ1 2024","FQ1 2024","Currency=USD","Period=FQ","BEST_FPERIOD_OVERRIDE=FQ","FILING_STATUS=MR","SCALING_FORMAT=MLN","Sort=A","Dates=H","DateFormat=P","Fill=—","Direction=H","UseDPDF=Y")</f>
        <v>67.798000000000002</v>
      </c>
      <c r="Y18" s="13">
        <f>_xll.BDH("ITCI US Equity","OTHER_CURRENT_ASSETS_DETAILED","FQ2 2024","FQ2 2024","Currency=USD","Period=FQ","BEST_FPERIOD_OVERRIDE=FQ","FILING_STATUS=MR","SCALING_FORMAT=MLN","Sort=A","Dates=H","DateFormat=P","Fill=—","Direction=H","UseDPDF=Y")</f>
        <v>75.548000000000002</v>
      </c>
      <c r="Z18" s="13">
        <f>_xll.BDH("ITCI US Equity","OTHER_CURRENT_ASSETS_DETAILED","FQ3 2024","FQ3 2024","Currency=USD","Period=FQ","BEST_FPERIOD_OVERRIDE=FQ","FILING_STATUS=MR","SCALING_FORMAT=MLN","Sort=A","Dates=H","DateFormat=P","Fill=—","Direction=H","UseDPDF=Y")</f>
        <v>96.022000000000006</v>
      </c>
      <c r="AA18" s="13">
        <f>_xll.BDH("ITCI US Equity","OTHER_CURRENT_ASSETS_DETAILED","FQ4 2024","FQ4 2024","Currency=USD","Period=FQ","BEST_FPERIOD_OVERRIDE=FQ","FILING_STATUS=MR","SCALING_FORMAT=MLN","Sort=A","Dates=H","DateFormat=P","Fill=—","Direction=H","UseDPDF=Y")</f>
        <v>113.515</v>
      </c>
    </row>
    <row r="19" spans="1:27" x14ac:dyDescent="0.25">
      <c r="A19" s="10" t="s">
        <v>565</v>
      </c>
      <c r="B19" s="10" t="s">
        <v>566</v>
      </c>
      <c r="C19" s="13">
        <f>_xll.BDH("ITCI US Equity","BS_DERIV_HEDGING_ASST_ST","FQ4 2018","FQ4 2018","Currency=USD","Period=FQ","BEST_FPERIOD_OVERRIDE=FQ","FILING_STATUS=MR","SCALING_FORMAT=MLN","Sort=A","Dates=H","DateFormat=P","Fill=—","Direction=H","UseDPDF=Y")</f>
        <v>0</v>
      </c>
      <c r="D19" s="13" t="str">
        <f>_xll.BDH("ITCI US Equity","BS_DERIV_HEDGING_ASST_ST","FQ1 2019","FQ1 2019","Currency=USD","Period=FQ","BEST_FPERIOD_OVERRIDE=FQ","FILING_STATUS=MR","SCALING_FORMAT=MLN","Sort=A","Dates=H","DateFormat=P","Fill=—","Direction=H","UseDPDF=Y")</f>
        <v>—</v>
      </c>
      <c r="E19" s="13" t="str">
        <f>_xll.BDH("ITCI US Equity","BS_DERIV_HEDGING_ASST_ST","FQ2 2019","FQ2 2019","Currency=USD","Period=FQ","BEST_FPERIOD_OVERRIDE=FQ","FILING_STATUS=MR","SCALING_FORMAT=MLN","Sort=A","Dates=H","DateFormat=P","Fill=—","Direction=H","UseDPDF=Y")</f>
        <v>—</v>
      </c>
      <c r="F19" s="13" t="str">
        <f>_xll.BDH("ITCI US Equity","BS_DERIV_HEDGING_ASST_ST","FQ3 2019","FQ3 2019","Currency=USD","Period=FQ","BEST_FPERIOD_OVERRIDE=FQ","FILING_STATUS=MR","SCALING_FORMAT=MLN","Sort=A","Dates=H","DateFormat=P","Fill=—","Direction=H","UseDPDF=Y")</f>
        <v>—</v>
      </c>
      <c r="G19" s="13">
        <f>_xll.BDH("ITCI US Equity","BS_DERIV_HEDGING_ASST_ST","FQ4 2019","FQ4 2019","Currency=USD","Period=FQ","BEST_FPERIOD_OVERRIDE=FQ","FILING_STATUS=MR","SCALING_FORMAT=MLN","Sort=A","Dates=H","DateFormat=P","Fill=—","Direction=H","UseDPDF=Y")</f>
        <v>0</v>
      </c>
      <c r="H19" s="13" t="str">
        <f>_xll.BDH("ITCI US Equity","BS_DERIV_HEDGING_ASST_ST","FQ1 2020","FQ1 2020","Currency=USD","Period=FQ","BEST_FPERIOD_OVERRIDE=FQ","FILING_STATUS=MR","SCALING_FORMAT=MLN","Sort=A","Dates=H","DateFormat=P","Fill=—","Direction=H","UseDPDF=Y")</f>
        <v>—</v>
      </c>
      <c r="I19" s="13" t="str">
        <f>_xll.BDH("ITCI US Equity","BS_DERIV_HEDGING_ASST_ST","FQ2 2020","FQ2 2020","Currency=USD","Period=FQ","BEST_FPERIOD_OVERRIDE=FQ","FILING_STATUS=MR","SCALING_FORMAT=MLN","Sort=A","Dates=H","DateFormat=P","Fill=—","Direction=H","UseDPDF=Y")</f>
        <v>—</v>
      </c>
      <c r="J19" s="13" t="str">
        <f>_xll.BDH("ITCI US Equity","BS_DERIV_HEDGING_ASST_ST","FQ3 2020","FQ3 2020","Currency=USD","Period=FQ","BEST_FPERIOD_OVERRIDE=FQ","FILING_STATUS=MR","SCALING_FORMAT=MLN","Sort=A","Dates=H","DateFormat=P","Fill=—","Direction=H","UseDPDF=Y")</f>
        <v>—</v>
      </c>
      <c r="K19" s="13">
        <f>_xll.BDH("ITCI US Equity","BS_DERIV_HEDGING_ASST_ST","FQ4 2020","FQ4 2020","Currency=USD","Period=FQ","BEST_FPERIOD_OVERRIDE=FQ","FILING_STATUS=MR","SCALING_FORMAT=MLN","Sort=A","Dates=H","DateFormat=P","Fill=—","Direction=H","UseDPDF=Y")</f>
        <v>0</v>
      </c>
      <c r="L19" s="13" t="str">
        <f>_xll.BDH("ITCI US Equity","BS_DERIV_HEDGING_ASST_ST","FQ1 2021","FQ1 2021","Currency=USD","Period=FQ","BEST_FPERIOD_OVERRIDE=FQ","FILING_STATUS=MR","SCALING_FORMAT=MLN","Sort=A","Dates=H","DateFormat=P","Fill=—","Direction=H","UseDPDF=Y")</f>
        <v>—</v>
      </c>
      <c r="M19" s="13" t="str">
        <f>_xll.BDH("ITCI US Equity","BS_DERIV_HEDGING_ASST_ST","FQ2 2021","FQ2 2021","Currency=USD","Period=FQ","BEST_FPERIOD_OVERRIDE=FQ","FILING_STATUS=MR","SCALING_FORMAT=MLN","Sort=A","Dates=H","DateFormat=P","Fill=—","Direction=H","UseDPDF=Y")</f>
        <v>—</v>
      </c>
      <c r="N19" s="13" t="str">
        <f>_xll.BDH("ITCI US Equity","BS_DERIV_HEDGING_ASST_ST","FQ3 2021","FQ3 2021","Currency=USD","Period=FQ","BEST_FPERIOD_OVERRIDE=FQ","FILING_STATUS=MR","SCALING_FORMAT=MLN","Sort=A","Dates=H","DateFormat=P","Fill=—","Direction=H","UseDPDF=Y")</f>
        <v>—</v>
      </c>
      <c r="O19" s="13" t="str">
        <f>_xll.BDH("ITCI US Equity","BS_DERIV_HEDGING_ASST_ST","FQ4 2021","FQ4 2021","Currency=USD","Period=FQ","BEST_FPERIOD_OVERRIDE=FQ","FILING_STATUS=MR","SCALING_FORMAT=MLN","Sort=A","Dates=H","DateFormat=P","Fill=—","Direction=H","UseDPDF=Y")</f>
        <v>—</v>
      </c>
      <c r="P19" s="13" t="str">
        <f>_xll.BDH("ITCI US Equity","BS_DERIV_HEDGING_ASST_ST","FQ1 2022","FQ1 2022","Currency=USD","Period=FQ","BEST_FPERIOD_OVERRIDE=FQ","FILING_STATUS=MR","SCALING_FORMAT=MLN","Sort=A","Dates=H","DateFormat=P","Fill=—","Direction=H","UseDPDF=Y")</f>
        <v>—</v>
      </c>
      <c r="Q19" s="13" t="str">
        <f>_xll.BDH("ITCI US Equity","BS_DERIV_HEDGING_ASST_ST","FQ2 2022","FQ2 2022","Currency=USD","Period=FQ","BEST_FPERIOD_OVERRIDE=FQ","FILING_STATUS=MR","SCALING_FORMAT=MLN","Sort=A","Dates=H","DateFormat=P","Fill=—","Direction=H","UseDPDF=Y")</f>
        <v>—</v>
      </c>
      <c r="R19" s="13" t="str">
        <f>_xll.BDH("ITCI US Equity","BS_DERIV_HEDGING_ASST_ST","FQ3 2022","FQ3 2022","Currency=USD","Period=FQ","BEST_FPERIOD_OVERRIDE=FQ","FILING_STATUS=MR","SCALING_FORMAT=MLN","Sort=A","Dates=H","DateFormat=P","Fill=—","Direction=H","UseDPDF=Y")</f>
        <v>—</v>
      </c>
      <c r="S19" s="13">
        <f>_xll.BDH("ITCI US Equity","BS_DERIV_HEDGING_ASST_ST","FQ4 2022","FQ4 2022","Currency=USD","Period=FQ","BEST_FPERIOD_OVERRIDE=FQ","FILING_STATUS=MR","SCALING_FORMAT=MLN","Sort=A","Dates=H","DateFormat=P","Fill=—","Direction=H","UseDPDF=Y")</f>
        <v>0</v>
      </c>
      <c r="T19" s="13" t="str">
        <f>_xll.BDH("ITCI US Equity","BS_DERIV_HEDGING_ASST_ST","FQ1 2023","FQ1 2023","Currency=USD","Period=FQ","BEST_FPERIOD_OVERRIDE=FQ","FILING_STATUS=MR","SCALING_FORMAT=MLN","Sort=A","Dates=H","DateFormat=P","Fill=—","Direction=H","UseDPDF=Y")</f>
        <v>—</v>
      </c>
      <c r="U19" s="13" t="str">
        <f>_xll.BDH("ITCI US Equity","BS_DERIV_HEDGING_ASST_ST","FQ2 2023","FQ2 2023","Currency=USD","Period=FQ","BEST_FPERIOD_OVERRIDE=FQ","FILING_STATUS=MR","SCALING_FORMAT=MLN","Sort=A","Dates=H","DateFormat=P","Fill=—","Direction=H","UseDPDF=Y")</f>
        <v>—</v>
      </c>
      <c r="V19" s="13" t="str">
        <f>_xll.BDH("ITCI US Equity","BS_DERIV_HEDGING_ASST_ST","FQ3 2023","FQ3 2023","Currency=USD","Period=FQ","BEST_FPERIOD_OVERRIDE=FQ","FILING_STATUS=MR","SCALING_FORMAT=MLN","Sort=A","Dates=H","DateFormat=P","Fill=—","Direction=H","UseDPDF=Y")</f>
        <v>—</v>
      </c>
      <c r="W19" s="13">
        <f>_xll.BDH("ITCI US Equity","BS_DERIV_HEDGING_ASST_ST","FQ4 2023","FQ4 2023","Currency=USD","Period=FQ","BEST_FPERIOD_OVERRIDE=FQ","FILING_STATUS=MR","SCALING_FORMAT=MLN","Sort=A","Dates=H","DateFormat=P","Fill=—","Direction=H","UseDPDF=Y")</f>
        <v>0</v>
      </c>
      <c r="X19" s="13" t="str">
        <f>_xll.BDH("ITCI US Equity","BS_DERIV_HEDGING_ASST_ST","FQ1 2024","FQ1 2024","Currency=USD","Period=FQ","BEST_FPERIOD_OVERRIDE=FQ","FILING_STATUS=MR","SCALING_FORMAT=MLN","Sort=A","Dates=H","DateFormat=P","Fill=—","Direction=H","UseDPDF=Y")</f>
        <v>—</v>
      </c>
      <c r="Y19" s="13" t="str">
        <f>_xll.BDH("ITCI US Equity","BS_DERIV_HEDGING_ASST_ST","FQ2 2024","FQ2 2024","Currency=USD","Period=FQ","BEST_FPERIOD_OVERRIDE=FQ","FILING_STATUS=MR","SCALING_FORMAT=MLN","Sort=A","Dates=H","DateFormat=P","Fill=—","Direction=H","UseDPDF=Y")</f>
        <v>—</v>
      </c>
      <c r="Z19" s="13" t="str">
        <f>_xll.BDH("ITCI US Equity","BS_DERIV_HEDGING_ASST_ST","FQ3 2024","FQ3 2024","Currency=USD","Period=FQ","BEST_FPERIOD_OVERRIDE=FQ","FILING_STATUS=MR","SCALING_FORMAT=MLN","Sort=A","Dates=H","DateFormat=P","Fill=—","Direction=H","UseDPDF=Y")</f>
        <v>—</v>
      </c>
      <c r="AA19" s="13">
        <f>_xll.BDH("ITCI US Equity","BS_DERIV_HEDGING_ASST_ST","FQ4 2024","FQ4 2024","Currency=USD","Period=FQ","BEST_FPERIOD_OVERRIDE=FQ","FILING_STATUS=MR","SCALING_FORMAT=MLN","Sort=A","Dates=H","DateFormat=P","Fill=—","Direction=H","UseDPDF=Y")</f>
        <v>0</v>
      </c>
    </row>
    <row r="20" spans="1:27" x14ac:dyDescent="0.25">
      <c r="A20" s="10" t="s">
        <v>567</v>
      </c>
      <c r="B20" s="10" t="s">
        <v>568</v>
      </c>
      <c r="C20" s="13">
        <f>_xll.BDH("ITCI US Equity","BS_OTHER_CUR_ASSET_LESS_PREPAY","FQ4 2018","FQ4 2018","Currency=USD","Period=FQ","BEST_FPERIOD_OVERRIDE=FQ","FILING_STATUS=MR","SCALING_FORMAT=MLN","Sort=A","Dates=H","DateFormat=P","Fill=—","Direction=H","UseDPDF=Y")</f>
        <v>7.9081000000000001</v>
      </c>
      <c r="D20" s="13">
        <f>_xll.BDH("ITCI US Equity","BS_OTHER_CUR_ASSET_LESS_PREPAY","FQ1 2019","FQ1 2019","Currency=USD","Period=FQ","BEST_FPERIOD_OVERRIDE=FQ","FILING_STATUS=MR","SCALING_FORMAT=MLN","Sort=A","Dates=H","DateFormat=P","Fill=—","Direction=H","UseDPDF=Y")</f>
        <v>8.3053000000000008</v>
      </c>
      <c r="E20" s="13">
        <f>_xll.BDH("ITCI US Equity","BS_OTHER_CUR_ASSET_LESS_PREPAY","FQ2 2019","FQ2 2019","Currency=USD","Period=FQ","BEST_FPERIOD_OVERRIDE=FQ","FILING_STATUS=MR","SCALING_FORMAT=MLN","Sort=A","Dates=H","DateFormat=P","Fill=—","Direction=H","UseDPDF=Y")</f>
        <v>3.0417000000000001</v>
      </c>
      <c r="F20" s="13">
        <f>_xll.BDH("ITCI US Equity","BS_OTHER_CUR_ASSET_LESS_PREPAY","FQ3 2019","FQ3 2019","Currency=USD","Period=FQ","BEST_FPERIOD_OVERRIDE=FQ","FILING_STATUS=MR","SCALING_FORMAT=MLN","Sort=A","Dates=H","DateFormat=P","Fill=—","Direction=H","UseDPDF=Y")</f>
        <v>4.0232999999999999</v>
      </c>
      <c r="G20" s="13">
        <f>_xll.BDH("ITCI US Equity","BS_OTHER_CUR_ASSET_LESS_PREPAY","FQ4 2019","FQ4 2019","Currency=USD","Period=FQ","BEST_FPERIOD_OVERRIDE=FQ","FILING_STATUS=MR","SCALING_FORMAT=MLN","Sort=A","Dates=H","DateFormat=P","Fill=—","Direction=H","UseDPDF=Y")</f>
        <v>6.3137999999999996</v>
      </c>
      <c r="H20" s="13">
        <f>_xll.BDH("ITCI US Equity","BS_OTHER_CUR_ASSET_LESS_PREPAY","FQ1 2020","FQ1 2020","Currency=USD","Period=FQ","BEST_FPERIOD_OVERRIDE=FQ","FILING_STATUS=MR","SCALING_FORMAT=MLN","Sort=A","Dates=H","DateFormat=P","Fill=—","Direction=H","UseDPDF=Y")</f>
        <v>9.2764000000000006</v>
      </c>
      <c r="I20" s="13">
        <f>_xll.BDH("ITCI US Equity","BS_OTHER_CUR_ASSET_LESS_PREPAY","FQ2 2020","FQ2 2020","Currency=USD","Period=FQ","BEST_FPERIOD_OVERRIDE=FQ","FILING_STATUS=MR","SCALING_FORMAT=MLN","Sort=A","Dates=H","DateFormat=P","Fill=—","Direction=H","UseDPDF=Y")</f>
        <v>6.1261000000000001</v>
      </c>
      <c r="J20" s="13">
        <f>_xll.BDH("ITCI US Equity","BS_OTHER_CUR_ASSET_LESS_PREPAY","FQ3 2020","FQ3 2020","Currency=USD","Period=FQ","BEST_FPERIOD_OVERRIDE=FQ","FILING_STATUS=MR","SCALING_FORMAT=MLN","Sort=A","Dates=H","DateFormat=P","Fill=—","Direction=H","UseDPDF=Y")</f>
        <v>12.4908</v>
      </c>
      <c r="K20" s="13">
        <f>_xll.BDH("ITCI US Equity","BS_OTHER_CUR_ASSET_LESS_PREPAY","FQ4 2020","FQ4 2020","Currency=USD","Period=FQ","BEST_FPERIOD_OVERRIDE=FQ","FILING_STATUS=MR","SCALING_FORMAT=MLN","Sort=A","Dates=H","DateFormat=P","Fill=—","Direction=H","UseDPDF=Y")</f>
        <v>15.6355</v>
      </c>
      <c r="L20" s="13">
        <f>_xll.BDH("ITCI US Equity","BS_OTHER_CUR_ASSET_LESS_PREPAY","FQ1 2021","FQ1 2021","Currency=USD","Period=FQ","BEST_FPERIOD_OVERRIDE=FQ","FILING_STATUS=MR","SCALING_FORMAT=MLN","Sort=A","Dates=H","DateFormat=P","Fill=—","Direction=H","UseDPDF=Y")</f>
        <v>15.894399999999999</v>
      </c>
      <c r="M20" s="13">
        <f>_xll.BDH("ITCI US Equity","BS_OTHER_CUR_ASSET_LESS_PREPAY","FQ2 2021","FQ2 2021","Currency=USD","Period=FQ","BEST_FPERIOD_OVERRIDE=FQ","FILING_STATUS=MR","SCALING_FORMAT=MLN","Sort=A","Dates=H","DateFormat=P","Fill=—","Direction=H","UseDPDF=Y")</f>
        <v>23.589200000000002</v>
      </c>
      <c r="N20" s="13">
        <f>_xll.BDH("ITCI US Equity","BS_OTHER_CUR_ASSET_LESS_PREPAY","FQ3 2021","FQ3 2021","Currency=USD","Period=FQ","BEST_FPERIOD_OVERRIDE=FQ","FILING_STATUS=MR","SCALING_FORMAT=MLN","Sort=A","Dates=H","DateFormat=P","Fill=—","Direction=H","UseDPDF=Y")</f>
        <v>30.857399999999998</v>
      </c>
      <c r="O20" s="13">
        <f>_xll.BDH("ITCI US Equity","BS_OTHER_CUR_ASSET_LESS_PREPAY","FQ4 2021","FQ4 2021","Currency=USD","Period=FQ","BEST_FPERIOD_OVERRIDE=FQ","FILING_STATUS=MR","SCALING_FORMAT=MLN","Sort=A","Dates=H","DateFormat=P","Fill=—","Direction=H","UseDPDF=Y")</f>
        <v>26.843399999999999</v>
      </c>
      <c r="P20" s="13">
        <f>_xll.BDH("ITCI US Equity","BS_OTHER_CUR_ASSET_LESS_PREPAY","FQ1 2022","FQ1 2022","Currency=USD","Period=FQ","BEST_FPERIOD_OVERRIDE=FQ","FILING_STATUS=MR","SCALING_FORMAT=MLN","Sort=A","Dates=H","DateFormat=P","Fill=—","Direction=H","UseDPDF=Y")</f>
        <v>35.768999999999998</v>
      </c>
      <c r="Q20" s="13">
        <f>_xll.BDH("ITCI US Equity","BS_OTHER_CUR_ASSET_LESS_PREPAY","FQ2 2022","FQ2 2022","Currency=USD","Period=FQ","BEST_FPERIOD_OVERRIDE=FQ","FILING_STATUS=MR","SCALING_FORMAT=MLN","Sort=A","Dates=H","DateFormat=P","Fill=—","Direction=H","UseDPDF=Y")</f>
        <v>39.378999999999998</v>
      </c>
      <c r="R20" s="13">
        <f>_xll.BDH("ITCI US Equity","BS_OTHER_CUR_ASSET_LESS_PREPAY","FQ3 2022","FQ3 2022","Currency=USD","Period=FQ","BEST_FPERIOD_OVERRIDE=FQ","FILING_STATUS=MR","SCALING_FORMAT=MLN","Sort=A","Dates=H","DateFormat=P","Fill=—","Direction=H","UseDPDF=Y")</f>
        <v>45.88</v>
      </c>
      <c r="S20" s="13">
        <f>_xll.BDH("ITCI US Equity","BS_OTHER_CUR_ASSET_LESS_PREPAY","FQ4 2022","FQ4 2022","Currency=USD","Period=FQ","BEST_FPERIOD_OVERRIDE=FQ","FILING_STATUS=MR","SCALING_FORMAT=MLN","Sort=A","Dates=H","DateFormat=P","Fill=—","Direction=H","UseDPDF=Y")</f>
        <v>46.942999999999998</v>
      </c>
      <c r="T20" s="13">
        <f>_xll.BDH("ITCI US Equity","BS_OTHER_CUR_ASSET_LESS_PREPAY","FQ1 2023","FQ1 2023","Currency=USD","Period=FQ","BEST_FPERIOD_OVERRIDE=FQ","FILING_STATUS=MR","SCALING_FORMAT=MLN","Sort=A","Dates=H","DateFormat=P","Fill=—","Direction=H","UseDPDF=Y")</f>
        <v>57.5</v>
      </c>
      <c r="U20" s="13">
        <f>_xll.BDH("ITCI US Equity","BS_OTHER_CUR_ASSET_LESS_PREPAY","FQ2 2023","FQ2 2023","Currency=USD","Period=FQ","BEST_FPERIOD_OVERRIDE=FQ","FILING_STATUS=MR","SCALING_FORMAT=MLN","Sort=A","Dates=H","DateFormat=P","Fill=—","Direction=H","UseDPDF=Y")</f>
        <v>47.36</v>
      </c>
      <c r="V20" s="13">
        <f>_xll.BDH("ITCI US Equity","BS_OTHER_CUR_ASSET_LESS_PREPAY","FQ3 2023","FQ3 2023","Currency=USD","Period=FQ","BEST_FPERIOD_OVERRIDE=FQ","FILING_STATUS=MR","SCALING_FORMAT=MLN","Sort=A","Dates=H","DateFormat=P","Fill=—","Direction=H","UseDPDF=Y")</f>
        <v>63.747999999999998</v>
      </c>
      <c r="W20" s="13">
        <f>_xll.BDH("ITCI US Equity","BS_OTHER_CUR_ASSET_LESS_PREPAY","FQ4 2023","FQ4 2023","Currency=USD","Period=FQ","BEST_FPERIOD_OVERRIDE=FQ","FILING_STATUS=MR","SCALING_FORMAT=MLN","Sort=A","Dates=H","DateFormat=P","Fill=—","Direction=H","UseDPDF=Y")</f>
        <v>44.192999999999998</v>
      </c>
      <c r="X20" s="13">
        <f>_xll.BDH("ITCI US Equity","BS_OTHER_CUR_ASSET_LESS_PREPAY","FQ1 2024","FQ1 2024","Currency=USD","Period=FQ","BEST_FPERIOD_OVERRIDE=FQ","FILING_STATUS=MR","SCALING_FORMAT=MLN","Sort=A","Dates=H","DateFormat=P","Fill=—","Direction=H","UseDPDF=Y")</f>
        <v>67.798000000000002</v>
      </c>
      <c r="Y20" s="13">
        <f>_xll.BDH("ITCI US Equity","BS_OTHER_CUR_ASSET_LESS_PREPAY","FQ2 2024","FQ2 2024","Currency=USD","Period=FQ","BEST_FPERIOD_OVERRIDE=FQ","FILING_STATUS=MR","SCALING_FORMAT=MLN","Sort=A","Dates=H","DateFormat=P","Fill=—","Direction=H","UseDPDF=Y")</f>
        <v>75.548000000000002</v>
      </c>
      <c r="Z20" s="13">
        <f>_xll.BDH("ITCI US Equity","BS_OTHER_CUR_ASSET_LESS_PREPAY","FQ3 2024","FQ3 2024","Currency=USD","Period=FQ","BEST_FPERIOD_OVERRIDE=FQ","FILING_STATUS=MR","SCALING_FORMAT=MLN","Sort=A","Dates=H","DateFormat=P","Fill=—","Direction=H","UseDPDF=Y")</f>
        <v>96.022000000000006</v>
      </c>
      <c r="AA20" s="13">
        <f>_xll.BDH("ITCI US Equity","BS_OTHER_CUR_ASSET_LESS_PREPAY","FQ4 2024","FQ4 2024","Currency=USD","Period=FQ","BEST_FPERIOD_OVERRIDE=FQ","FILING_STATUS=MR","SCALING_FORMAT=MLN","Sort=A","Dates=H","DateFormat=P","Fill=—","Direction=H","UseDPDF=Y")</f>
        <v>113.515</v>
      </c>
    </row>
    <row r="21" spans="1:27" x14ac:dyDescent="0.25">
      <c r="A21" s="6" t="s">
        <v>110</v>
      </c>
      <c r="B21" s="6" t="s">
        <v>111</v>
      </c>
      <c r="C21" s="19">
        <f>_xll.BDH("ITCI US Equity","BS_CUR_ASSET_REPORT","FQ4 2018","FQ4 2018","Currency=USD","Period=FQ","BEST_FPERIOD_OVERRIDE=FQ","FILING_STATUS=MR","SCALING_FORMAT=MLN","Sort=A","Dates=H","DateFormat=P","Fill=—","Direction=H","UseDPDF=Y")</f>
        <v>355.43869999999998</v>
      </c>
      <c r="D21" s="19">
        <f>_xll.BDH("ITCI US Equity","BS_CUR_ASSET_REPORT","FQ1 2019","FQ1 2019","Currency=USD","Period=FQ","BEST_FPERIOD_OVERRIDE=FQ","FILING_STATUS=MR","SCALING_FORMAT=MLN","Sort=A","Dates=H","DateFormat=P","Fill=—","Direction=H","UseDPDF=Y")</f>
        <v>321.12759999999997</v>
      </c>
      <c r="E21" s="19">
        <f>_xll.BDH("ITCI US Equity","BS_CUR_ASSET_REPORT","FQ2 2019","FQ2 2019","Currency=USD","Period=FQ","BEST_FPERIOD_OVERRIDE=FQ","FILING_STATUS=MR","SCALING_FORMAT=MLN","Sort=A","Dates=H","DateFormat=P","Fill=—","Direction=H","UseDPDF=Y")</f>
        <v>288.34190000000001</v>
      </c>
      <c r="F21" s="19">
        <f>_xll.BDH("ITCI US Equity","BS_CUR_ASSET_REPORT","FQ3 2019","FQ3 2019","Currency=USD","Period=FQ","BEST_FPERIOD_OVERRIDE=FQ","FILING_STATUS=MR","SCALING_FORMAT=MLN","Sort=A","Dates=H","DateFormat=P","Fill=—","Direction=H","UseDPDF=Y")</f>
        <v>259.45690000000002</v>
      </c>
      <c r="G21" s="19">
        <f>_xll.BDH("ITCI US Equity","BS_CUR_ASSET_REPORT","FQ4 2019","FQ4 2019","Currency=USD","Period=FQ","BEST_FPERIOD_OVERRIDE=FQ","FILING_STATUS=MR","SCALING_FORMAT=MLN","Sort=A","Dates=H","DateFormat=P","Fill=—","Direction=H","UseDPDF=Y")</f>
        <v>230.32400000000001</v>
      </c>
      <c r="H21" s="19">
        <f>_xll.BDH("ITCI US Equity","BS_CUR_ASSET_REPORT","FQ1 2020","FQ1 2020","Currency=USD","Period=FQ","BEST_FPERIOD_OVERRIDE=FQ","FILING_STATUS=MR","SCALING_FORMAT=MLN","Sort=A","Dates=H","DateFormat=P","Fill=—","Direction=H","UseDPDF=Y")</f>
        <v>460.97250000000003</v>
      </c>
      <c r="I21" s="19">
        <f>_xll.BDH("ITCI US Equity","BS_CUR_ASSET_REPORT","FQ2 2020","FQ2 2020","Currency=USD","Period=FQ","BEST_FPERIOD_OVERRIDE=FQ","FILING_STATUS=MR","SCALING_FORMAT=MLN","Sort=A","Dates=H","DateFormat=P","Fill=—","Direction=H","UseDPDF=Y")</f>
        <v>418.57339999999999</v>
      </c>
      <c r="J21" s="19">
        <f>_xll.BDH("ITCI US Equity","BS_CUR_ASSET_REPORT","FQ3 2020","FQ3 2020","Currency=USD","Period=FQ","BEST_FPERIOD_OVERRIDE=FQ","FILING_STATUS=MR","SCALING_FORMAT=MLN","Sort=A","Dates=H","DateFormat=P","Fill=—","Direction=H","UseDPDF=Y")</f>
        <v>744.86599999999999</v>
      </c>
      <c r="K21" s="19">
        <f>_xll.BDH("ITCI US Equity","BS_CUR_ASSET_REPORT","FQ4 2020","FQ4 2020","Currency=USD","Period=FQ","BEST_FPERIOD_OVERRIDE=FQ","FILING_STATUS=MR","SCALING_FORMAT=MLN","Sort=A","Dates=H","DateFormat=P","Fill=—","Direction=H","UseDPDF=Y")</f>
        <v>690.90449999999998</v>
      </c>
      <c r="L21" s="19">
        <f>_xll.BDH("ITCI US Equity","BS_CUR_ASSET_REPORT","FQ1 2021","FQ1 2021","Currency=USD","Period=FQ","BEST_FPERIOD_OVERRIDE=FQ","FILING_STATUS=MR","SCALING_FORMAT=MLN","Sort=A","Dates=H","DateFormat=P","Fill=—","Direction=H","UseDPDF=Y")</f>
        <v>649.10040000000004</v>
      </c>
      <c r="M21" s="19">
        <f>_xll.BDH("ITCI US Equity","BS_CUR_ASSET_REPORT","FQ2 2021","FQ2 2021","Currency=USD","Period=FQ","BEST_FPERIOD_OVERRIDE=FQ","FILING_STATUS=MR","SCALING_FORMAT=MLN","Sort=A","Dates=H","DateFormat=P","Fill=—","Direction=H","UseDPDF=Y")</f>
        <v>601.30319999999995</v>
      </c>
      <c r="N21" s="19">
        <f>_xll.BDH("ITCI US Equity","BS_CUR_ASSET_REPORT","FQ3 2021","FQ3 2021","Currency=USD","Period=FQ","BEST_FPERIOD_OVERRIDE=FQ","FILING_STATUS=MR","SCALING_FORMAT=MLN","Sort=A","Dates=H","DateFormat=P","Fill=—","Direction=H","UseDPDF=Y")</f>
        <v>533.24270000000001</v>
      </c>
      <c r="O21" s="19">
        <f>_xll.BDH("ITCI US Equity","BS_CUR_ASSET_REPORT","FQ4 2021","FQ4 2021","Currency=USD","Period=FQ","BEST_FPERIOD_OVERRIDE=FQ","FILING_STATUS=MR","SCALING_FORMAT=MLN","Sort=A","Dates=H","DateFormat=P","Fill=—","Direction=H","UseDPDF=Y")</f>
        <v>467.2808</v>
      </c>
      <c r="P21" s="19">
        <f>_xll.BDH("ITCI US Equity","BS_CUR_ASSET_REPORT","FQ1 2022","FQ1 2022","Currency=USD","Period=FQ","BEST_FPERIOD_OVERRIDE=FQ","FILING_STATUS=MR","SCALING_FORMAT=MLN","Sort=A","Dates=H","DateFormat=P","Fill=—","Direction=H","UseDPDF=Y")</f>
        <v>848.34199999999998</v>
      </c>
      <c r="Q21" s="19">
        <f>_xll.BDH("ITCI US Equity","BS_CUR_ASSET_REPORT","FQ2 2022","FQ2 2022","Currency=USD","Period=FQ","BEST_FPERIOD_OVERRIDE=FQ","FILING_STATUS=MR","SCALING_FORMAT=MLN","Sort=A","Dates=H","DateFormat=P","Fill=—","Direction=H","UseDPDF=Y")</f>
        <v>789.20600000000002</v>
      </c>
      <c r="R21" s="19">
        <f>_xll.BDH("ITCI US Equity","BS_CUR_ASSET_REPORT","FQ3 2022","FQ3 2022","Currency=USD","Period=FQ","BEST_FPERIOD_OVERRIDE=FQ","FILING_STATUS=MR","SCALING_FORMAT=MLN","Sort=A","Dates=H","DateFormat=P","Fill=—","Direction=H","UseDPDF=Y")</f>
        <v>759.75599999999997</v>
      </c>
      <c r="S21" s="19">
        <f>_xll.BDH("ITCI US Equity","BS_CUR_ASSET_REPORT","FQ4 2022","FQ4 2022","Currency=USD","Period=FQ","BEST_FPERIOD_OVERRIDE=FQ","FILING_STATUS=MR","SCALING_FORMAT=MLN","Sort=A","Dates=H","DateFormat=P","Fill=—","Direction=H","UseDPDF=Y")</f>
        <v>737.95699999999999</v>
      </c>
      <c r="T21" s="19">
        <f>_xll.BDH("ITCI US Equity","BS_CUR_ASSET_REPORT","FQ1 2023","FQ1 2023","Currency=USD","Period=FQ","BEST_FPERIOD_OVERRIDE=FQ","FILING_STATUS=MR","SCALING_FORMAT=MLN","Sort=A","Dates=H","DateFormat=P","Fill=—","Direction=H","UseDPDF=Y")</f>
        <v>706.09400000000005</v>
      </c>
      <c r="U21" s="19">
        <f>_xll.BDH("ITCI US Equity","BS_CUR_ASSET_REPORT","FQ2 2023","FQ2 2023","Currency=USD","Period=FQ","BEST_FPERIOD_OVERRIDE=FQ","FILING_STATUS=MR","SCALING_FORMAT=MLN","Sort=A","Dates=H","DateFormat=P","Fill=—","Direction=H","UseDPDF=Y")</f>
        <v>698.07299999999998</v>
      </c>
      <c r="V21" s="19">
        <f>_xll.BDH("ITCI US Equity","BS_CUR_ASSET_REPORT","FQ3 2023","FQ3 2023","Currency=USD","Period=FQ","BEST_FPERIOD_OVERRIDE=FQ","FILING_STATUS=MR","SCALING_FORMAT=MLN","Sort=A","Dates=H","DateFormat=P","Fill=—","Direction=H","UseDPDF=Y")</f>
        <v>702.42499999999995</v>
      </c>
      <c r="W21" s="19">
        <f>_xll.BDH("ITCI US Equity","BS_CUR_ASSET_REPORT","FQ4 2023","FQ4 2023","Currency=USD","Period=FQ","BEST_FPERIOD_OVERRIDE=FQ","FILING_STATUS=MR","SCALING_FORMAT=MLN","Sort=A","Dates=H","DateFormat=P","Fill=—","Direction=H","UseDPDF=Y")</f>
        <v>667.79899999999998</v>
      </c>
      <c r="X21" s="19">
        <f>_xll.BDH("ITCI US Equity","BS_CUR_ASSET_REPORT","FQ1 2024","FQ1 2024","Currency=USD","Period=FQ","BEST_FPERIOD_OVERRIDE=FQ","FILING_STATUS=MR","SCALING_FORMAT=MLN","Sort=A","Dates=H","DateFormat=P","Fill=—","Direction=H","UseDPDF=Y")</f>
        <v>690.52700000000004</v>
      </c>
      <c r="Y21" s="19">
        <f>_xll.BDH("ITCI US Equity","BS_CUR_ASSET_REPORT","FQ2 2024","FQ2 2024","Currency=USD","Period=FQ","BEST_FPERIOD_OVERRIDE=FQ","FILING_STATUS=MR","SCALING_FORMAT=MLN","Sort=A","Dates=H","DateFormat=P","Fill=—","Direction=H","UseDPDF=Y")</f>
        <v>1264.251</v>
      </c>
      <c r="Z21" s="19">
        <f>_xll.BDH("ITCI US Equity","BS_CUR_ASSET_REPORT","FQ3 2024","FQ3 2024","Currency=USD","Period=FQ","BEST_FPERIOD_OVERRIDE=FQ","FILING_STATUS=MR","SCALING_FORMAT=MLN","Sort=A","Dates=H","DateFormat=P","Fill=—","Direction=H","UseDPDF=Y")</f>
        <v>1271.731</v>
      </c>
      <c r="AA21" s="19">
        <f>_xll.BDH("ITCI US Equity","BS_CUR_ASSET_REPORT","FQ4 2024","FQ4 2024","Currency=USD","Period=FQ","BEST_FPERIOD_OVERRIDE=FQ","FILING_STATUS=MR","SCALING_FORMAT=MLN","Sort=A","Dates=H","DateFormat=P","Fill=—","Direction=H","UseDPDF=Y")</f>
        <v>1307.364</v>
      </c>
    </row>
    <row r="22" spans="1:27" x14ac:dyDescent="0.25">
      <c r="A22" s="10" t="s">
        <v>569</v>
      </c>
      <c r="B22" s="10" t="s">
        <v>570</v>
      </c>
      <c r="C22" s="13">
        <f>_xll.BDH("ITCI US Equity","BS_NET_FIX_ASSET","FQ4 2018","FQ4 2018","Currency=USD","Period=FQ","BEST_FPERIOD_OVERRIDE=FQ","FILING_STATUS=MR","SCALING_FORMAT=MLN","Sort=A","Dates=H","DateFormat=P","Fill=—","Direction=H","UseDPDF=Y")</f>
        <v>1.1597999999999999</v>
      </c>
      <c r="D22" s="13">
        <f>_xll.BDH("ITCI US Equity","BS_NET_FIX_ASSET","FQ1 2019","FQ1 2019","Currency=USD","Period=FQ","BEST_FPERIOD_OVERRIDE=FQ","FILING_STATUS=MR","SCALING_FORMAT=MLN","Sort=A","Dates=H","DateFormat=P","Fill=—","Direction=H","UseDPDF=Y")</f>
        <v>21.229900000000001</v>
      </c>
      <c r="E22" s="13">
        <f>_xll.BDH("ITCI US Equity","BS_NET_FIX_ASSET","FQ2 2019","FQ2 2019","Currency=USD","Period=FQ","BEST_FPERIOD_OVERRIDE=FQ","FILING_STATUS=MR","SCALING_FORMAT=MLN","Sort=A","Dates=H","DateFormat=P","Fill=—","Direction=H","UseDPDF=Y")</f>
        <v>20.9054</v>
      </c>
      <c r="F22" s="13">
        <f>_xll.BDH("ITCI US Equity","BS_NET_FIX_ASSET","FQ3 2019","FQ3 2019","Currency=USD","Period=FQ","BEST_FPERIOD_OVERRIDE=FQ","FILING_STATUS=MR","SCALING_FORMAT=MLN","Sort=A","Dates=H","DateFormat=P","Fill=—","Direction=H","UseDPDF=Y")</f>
        <v>20.715399999999999</v>
      </c>
      <c r="G22" s="13">
        <f>_xll.BDH("ITCI US Equity","BS_NET_FIX_ASSET","FQ4 2019","FQ4 2019","Currency=USD","Period=FQ","BEST_FPERIOD_OVERRIDE=FQ","FILING_STATUS=MR","SCALING_FORMAT=MLN","Sort=A","Dates=H","DateFormat=P","Fill=—","Direction=H","UseDPDF=Y")</f>
        <v>20.511800000000001</v>
      </c>
      <c r="H22" s="13">
        <f>_xll.BDH("ITCI US Equity","BS_NET_FIX_ASSET","FQ1 2020","FQ1 2020","Currency=USD","Period=FQ","BEST_FPERIOD_OVERRIDE=FQ","FILING_STATUS=MR","SCALING_FORMAT=MLN","Sort=A","Dates=H","DateFormat=P","Fill=—","Direction=H","UseDPDF=Y")</f>
        <v>20.184100000000001</v>
      </c>
      <c r="I22" s="13">
        <f>_xll.BDH("ITCI US Equity","BS_NET_FIX_ASSET","FQ2 2020","FQ2 2020","Currency=USD","Period=FQ","BEST_FPERIOD_OVERRIDE=FQ","FILING_STATUS=MR","SCALING_FORMAT=MLN","Sort=A","Dates=H","DateFormat=P","Fill=—","Direction=H","UseDPDF=Y")</f>
        <v>22.2714</v>
      </c>
      <c r="J22" s="13">
        <f>_xll.BDH("ITCI US Equity","BS_NET_FIX_ASSET","FQ3 2020","FQ3 2020","Currency=USD","Period=FQ","BEST_FPERIOD_OVERRIDE=FQ","FILING_STATUS=MR","SCALING_FORMAT=MLN","Sort=A","Dates=H","DateFormat=P","Fill=—","Direction=H","UseDPDF=Y")</f>
        <v>26.341699999999999</v>
      </c>
      <c r="K22" s="13">
        <f>_xll.BDH("ITCI US Equity","BS_NET_FIX_ASSET","FQ4 2020","FQ4 2020","Currency=USD","Period=FQ","BEST_FPERIOD_OVERRIDE=FQ","FILING_STATUS=MR","SCALING_FORMAT=MLN","Sort=A","Dates=H","DateFormat=P","Fill=—","Direction=H","UseDPDF=Y")</f>
        <v>26.3231</v>
      </c>
      <c r="L22" s="13">
        <f>_xll.BDH("ITCI US Equity","BS_NET_FIX_ASSET","FQ1 2021","FQ1 2021","Currency=USD","Period=FQ","BEST_FPERIOD_OVERRIDE=FQ","FILING_STATUS=MR","SCALING_FORMAT=MLN","Sort=A","Dates=H","DateFormat=P","Fill=—","Direction=H","UseDPDF=Y")</f>
        <v>25.302</v>
      </c>
      <c r="M22" s="13">
        <f>_xll.BDH("ITCI US Equity","BS_NET_FIX_ASSET","FQ2 2021","FQ2 2021","Currency=USD","Period=FQ","BEST_FPERIOD_OVERRIDE=FQ","FILING_STATUS=MR","SCALING_FORMAT=MLN","Sort=A","Dates=H","DateFormat=P","Fill=—","Direction=H","UseDPDF=Y")</f>
        <v>24.307300000000001</v>
      </c>
      <c r="N22" s="13">
        <f>_xll.BDH("ITCI US Equity","BS_NET_FIX_ASSET","FQ3 2021","FQ3 2021","Currency=USD","Period=FQ","BEST_FPERIOD_OVERRIDE=FQ","FILING_STATUS=MR","SCALING_FORMAT=MLN","Sort=A","Dates=H","DateFormat=P","Fill=—","Direction=H","UseDPDF=Y")</f>
        <v>23.646999999999998</v>
      </c>
      <c r="O22" s="13">
        <f>_xll.BDH("ITCI US Equity","BS_NET_FIX_ASSET","FQ4 2021","FQ4 2021","Currency=USD","Period=FQ","BEST_FPERIOD_OVERRIDE=FQ","FILING_STATUS=MR","SCALING_FORMAT=MLN","Sort=A","Dates=H","DateFormat=P","Fill=—","Direction=H","UseDPDF=Y")</f>
        <v>22.555199999999999</v>
      </c>
      <c r="P22" s="13">
        <f>_xll.BDH("ITCI US Equity","BS_NET_FIX_ASSET","FQ1 2022","FQ1 2022","Currency=USD","Period=FQ","BEST_FPERIOD_OVERRIDE=FQ","FILING_STATUS=MR","SCALING_FORMAT=MLN","Sort=A","Dates=H","DateFormat=P","Fill=—","Direction=H","UseDPDF=Y")</f>
        <v>20.152000000000001</v>
      </c>
      <c r="Q22" s="13">
        <f>_xll.BDH("ITCI US Equity","BS_NET_FIX_ASSET","FQ2 2022","FQ2 2022","Currency=USD","Period=FQ","BEST_FPERIOD_OVERRIDE=FQ","FILING_STATUS=MR","SCALING_FORMAT=MLN","Sort=A","Dates=H","DateFormat=P","Fill=—","Direction=H","UseDPDF=Y")</f>
        <v>22.614000000000001</v>
      </c>
      <c r="R22" s="13">
        <f>_xll.BDH("ITCI US Equity","BS_NET_FIX_ASSET","FQ3 2022","FQ3 2022","Currency=USD","Period=FQ","BEST_FPERIOD_OVERRIDE=FQ","FILING_STATUS=MR","SCALING_FORMAT=MLN","Sort=A","Dates=H","DateFormat=P","Fill=—","Direction=H","UseDPDF=Y")</f>
        <v>22.157</v>
      </c>
      <c r="S22" s="13">
        <f>_xll.BDH("ITCI US Equity","BS_NET_FIX_ASSET","FQ4 2022","FQ4 2022","Currency=USD","Period=FQ","BEST_FPERIOD_OVERRIDE=FQ","FILING_STATUS=MR","SCALING_FORMAT=MLN","Sort=A","Dates=H","DateFormat=P","Fill=—","Direction=H","UseDPDF=Y")</f>
        <v>16.736999999999998</v>
      </c>
      <c r="T22" s="13">
        <f>_xll.BDH("ITCI US Equity","BS_NET_FIX_ASSET","FQ1 2023","FQ1 2023","Currency=USD","Period=FQ","BEST_FPERIOD_OVERRIDE=FQ","FILING_STATUS=MR","SCALING_FORMAT=MLN","Sort=A","Dates=H","DateFormat=P","Fill=—","Direction=H","UseDPDF=Y")</f>
        <v>15.978</v>
      </c>
      <c r="U22" s="13">
        <f>_xll.BDH("ITCI US Equity","BS_NET_FIX_ASSET","FQ2 2023","FQ2 2023","Currency=USD","Period=FQ","BEST_FPERIOD_OVERRIDE=FQ","FILING_STATUS=MR","SCALING_FORMAT=MLN","Sort=A","Dates=H","DateFormat=P","Fill=—","Direction=H","UseDPDF=Y")</f>
        <v>15.443</v>
      </c>
      <c r="V22" s="13">
        <f>_xll.BDH("ITCI US Equity","BS_NET_FIX_ASSET","FQ3 2023","FQ3 2023","Currency=USD","Period=FQ","BEST_FPERIOD_OVERRIDE=FQ","FILING_STATUS=MR","SCALING_FORMAT=MLN","Sort=A","Dates=H","DateFormat=P","Fill=—","Direction=H","UseDPDF=Y")</f>
        <v>15.153</v>
      </c>
      <c r="W22" s="13">
        <f>_xll.BDH("ITCI US Equity","BS_NET_FIX_ASSET","FQ4 2023","FQ4 2023","Currency=USD","Period=FQ","BEST_FPERIOD_OVERRIDE=FQ","FILING_STATUS=MR","SCALING_FORMAT=MLN","Sort=A","Dates=H","DateFormat=P","Fill=—","Direction=H","UseDPDF=Y")</f>
        <v>14.582000000000001</v>
      </c>
      <c r="X22" s="13">
        <f>_xll.BDH("ITCI US Equity","BS_NET_FIX_ASSET","FQ1 2024","FQ1 2024","Currency=USD","Period=FQ","BEST_FPERIOD_OVERRIDE=FQ","FILING_STATUS=MR","SCALING_FORMAT=MLN","Sort=A","Dates=H","DateFormat=P","Fill=—","Direction=H","UseDPDF=Y")</f>
        <v>14.003</v>
      </c>
      <c r="Y22" s="13">
        <f>_xll.BDH("ITCI US Equity","BS_NET_FIX_ASSET","FQ2 2024","FQ2 2024","Currency=USD","Period=FQ","BEST_FPERIOD_OVERRIDE=FQ","FILING_STATUS=MR","SCALING_FORMAT=MLN","Sort=A","Dates=H","DateFormat=P","Fill=—","Direction=H","UseDPDF=Y")</f>
        <v>15.952</v>
      </c>
      <c r="Z22" s="13">
        <f>_xll.BDH("ITCI US Equity","BS_NET_FIX_ASSET","FQ3 2024","FQ3 2024","Currency=USD","Period=FQ","BEST_FPERIOD_OVERRIDE=FQ","FILING_STATUS=MR","SCALING_FORMAT=MLN","Sort=A","Dates=H","DateFormat=P","Fill=—","Direction=H","UseDPDF=Y")</f>
        <v>16.015999999999998</v>
      </c>
      <c r="AA22" s="13">
        <f>_xll.BDH("ITCI US Equity","BS_NET_FIX_ASSET","FQ4 2024","FQ4 2024","Currency=USD","Period=FQ","BEST_FPERIOD_OVERRIDE=FQ","FILING_STATUS=MR","SCALING_FORMAT=MLN","Sort=A","Dates=H","DateFormat=P","Fill=—","Direction=H","UseDPDF=Y")</f>
        <v>14.896000000000001</v>
      </c>
    </row>
    <row r="23" spans="1:27" x14ac:dyDescent="0.25">
      <c r="A23" s="10" t="s">
        <v>571</v>
      </c>
      <c r="B23" s="10" t="s">
        <v>572</v>
      </c>
      <c r="C23" s="13">
        <f>_xll.BDH("ITCI US Equity","BS_GROSS_FIX_ASSET","FQ4 2018","FQ4 2018","Currency=USD","Period=FQ","BEST_FPERIOD_OVERRIDE=FQ","FILING_STATUS=MR","SCALING_FORMAT=MLN","Sort=A","Dates=H","DateFormat=P","Fill=—","Direction=H","UseDPDF=Y")</f>
        <v>4.1936999999999998</v>
      </c>
      <c r="D23" s="13">
        <f>_xll.BDH("ITCI US Equity","BS_GROSS_FIX_ASSET","FQ1 2019","FQ1 2019","Currency=USD","Period=FQ","BEST_FPERIOD_OVERRIDE=FQ","FILING_STATUS=MR","SCALING_FORMAT=MLN","Sort=A","Dates=H","DateFormat=P","Fill=—","Direction=H","UseDPDF=Y")</f>
        <v>24.362500000000001</v>
      </c>
      <c r="E23" s="13">
        <f>_xll.BDH("ITCI US Equity","BS_GROSS_FIX_ASSET","FQ2 2019","FQ2 2019","Currency=USD","Period=FQ","BEST_FPERIOD_OVERRIDE=FQ","FILING_STATUS=MR","SCALING_FORMAT=MLN","Sort=A","Dates=H","DateFormat=P","Fill=—","Direction=H","UseDPDF=Y")</f>
        <v>24.1431</v>
      </c>
      <c r="F23" s="13">
        <f>_xll.BDH("ITCI US Equity","BS_GROSS_FIX_ASSET","FQ3 2019","FQ3 2019","Currency=USD","Period=FQ","BEST_FPERIOD_OVERRIDE=FQ","FILING_STATUS=MR","SCALING_FORMAT=MLN","Sort=A","Dates=H","DateFormat=P","Fill=—","Direction=H","UseDPDF=Y")</f>
        <v>24.0822</v>
      </c>
      <c r="G23" s="13">
        <f>_xll.BDH("ITCI US Equity","BS_GROSS_FIX_ASSET","FQ4 2019","FQ4 2019","Currency=USD","Period=FQ","BEST_FPERIOD_OVERRIDE=FQ","FILING_STATUS=MR","SCALING_FORMAT=MLN","Sort=A","Dates=H","DateFormat=P","Fill=—","Direction=H","UseDPDF=Y")</f>
        <v>24.020199999999999</v>
      </c>
      <c r="H23" s="13">
        <f>_xll.BDH("ITCI US Equity","BS_GROSS_FIX_ASSET","FQ1 2020","FQ1 2020","Currency=USD","Period=FQ","BEST_FPERIOD_OVERRIDE=FQ","FILING_STATUS=MR","SCALING_FORMAT=MLN","Sort=A","Dates=H","DateFormat=P","Fill=—","Direction=H","UseDPDF=Y")</f>
        <v>23.8414</v>
      </c>
      <c r="I23" s="13">
        <f>_xll.BDH("ITCI US Equity","BS_GROSS_FIX_ASSET","FQ2 2020","FQ2 2020","Currency=USD","Period=FQ","BEST_FPERIOD_OVERRIDE=FQ","FILING_STATUS=MR","SCALING_FORMAT=MLN","Sort=A","Dates=H","DateFormat=P","Fill=—","Direction=H","UseDPDF=Y")</f>
        <v>26.0609</v>
      </c>
      <c r="J23" s="13">
        <f>_xll.BDH("ITCI US Equity","BS_GROSS_FIX_ASSET","FQ3 2020","FQ3 2020","Currency=USD","Period=FQ","BEST_FPERIOD_OVERRIDE=FQ","FILING_STATUS=MR","SCALING_FORMAT=MLN","Sort=A","Dates=H","DateFormat=P","Fill=—","Direction=H","UseDPDF=Y")</f>
        <v>30.252300000000002</v>
      </c>
      <c r="K23" s="13">
        <f>_xll.BDH("ITCI US Equity","BS_GROSS_FIX_ASSET","FQ4 2020","FQ4 2020","Currency=USD","Period=FQ","BEST_FPERIOD_OVERRIDE=FQ","FILING_STATUS=MR","SCALING_FORMAT=MLN","Sort=A","Dates=H","DateFormat=P","Fill=—","Direction=H","UseDPDF=Y")</f>
        <v>30.3597</v>
      </c>
      <c r="L23" s="13">
        <f>_xll.BDH("ITCI US Equity","BS_GROSS_FIX_ASSET","FQ1 2021","FQ1 2021","Currency=USD","Period=FQ","BEST_FPERIOD_OVERRIDE=FQ","FILING_STATUS=MR","SCALING_FORMAT=MLN","Sort=A","Dates=H","DateFormat=P","Fill=—","Direction=H","UseDPDF=Y")</f>
        <v>29.465599999999998</v>
      </c>
      <c r="M23" s="13">
        <f>_xll.BDH("ITCI US Equity","BS_GROSS_FIX_ASSET","FQ2 2021","FQ2 2021","Currency=USD","Period=FQ","BEST_FPERIOD_OVERRIDE=FQ","FILING_STATUS=MR","SCALING_FORMAT=MLN","Sort=A","Dates=H","DateFormat=P","Fill=—","Direction=H","UseDPDF=Y")</f>
        <v>28.596499999999999</v>
      </c>
      <c r="N23" s="13">
        <f>_xll.BDH("ITCI US Equity","BS_GROSS_FIX_ASSET","FQ3 2021","FQ3 2021","Currency=USD","Period=FQ","BEST_FPERIOD_OVERRIDE=FQ","FILING_STATUS=MR","SCALING_FORMAT=MLN","Sort=A","Dates=H","DateFormat=P","Fill=—","Direction=H","UseDPDF=Y")</f>
        <v>28.0701</v>
      </c>
      <c r="O23" s="13">
        <f>_xll.BDH("ITCI US Equity","BS_GROSS_FIX_ASSET","FQ4 2021","FQ4 2021","Currency=USD","Period=FQ","BEST_FPERIOD_OVERRIDE=FQ","FILING_STATUS=MR","SCALING_FORMAT=MLN","Sort=A","Dates=H","DateFormat=P","Fill=—","Direction=H","UseDPDF=Y")</f>
        <v>27.123799999999999</v>
      </c>
      <c r="P23" s="13" t="str">
        <f>_xll.BDH("ITCI US Equity","BS_GROSS_FIX_ASSET","FQ1 2022","FQ1 2022","Currency=USD","Period=FQ","BEST_FPERIOD_OVERRIDE=FQ","FILING_STATUS=MR","SCALING_FORMAT=MLN","Sort=A","Dates=H","DateFormat=P","Fill=—","Direction=H","UseDPDF=Y")</f>
        <v>—</v>
      </c>
      <c r="Q23" s="13" t="str">
        <f>_xll.BDH("ITCI US Equity","BS_GROSS_FIX_ASSET","FQ2 2022","FQ2 2022","Currency=USD","Period=FQ","BEST_FPERIOD_OVERRIDE=FQ","FILING_STATUS=MR","SCALING_FORMAT=MLN","Sort=A","Dates=H","DateFormat=P","Fill=—","Direction=H","UseDPDF=Y")</f>
        <v>—</v>
      </c>
      <c r="R23" s="13" t="str">
        <f>_xll.BDH("ITCI US Equity","BS_GROSS_FIX_ASSET","FQ3 2022","FQ3 2022","Currency=USD","Period=FQ","BEST_FPERIOD_OVERRIDE=FQ","FILING_STATUS=MR","SCALING_FORMAT=MLN","Sort=A","Dates=H","DateFormat=P","Fill=—","Direction=H","UseDPDF=Y")</f>
        <v>—</v>
      </c>
      <c r="S23" s="13">
        <f>_xll.BDH("ITCI US Equity","BS_GROSS_FIX_ASSET","FQ4 2022","FQ4 2022","Currency=USD","Period=FQ","BEST_FPERIOD_OVERRIDE=FQ","FILING_STATUS=MR","SCALING_FORMAT=MLN","Sort=A","Dates=H","DateFormat=P","Fill=—","Direction=H","UseDPDF=Y")</f>
        <v>21.960999999999999</v>
      </c>
      <c r="T23" s="13" t="str">
        <f>_xll.BDH("ITCI US Equity","BS_GROSS_FIX_ASSET","FQ1 2023","FQ1 2023","Currency=USD","Period=FQ","BEST_FPERIOD_OVERRIDE=FQ","FILING_STATUS=MR","SCALING_FORMAT=MLN","Sort=A","Dates=H","DateFormat=P","Fill=—","Direction=H","UseDPDF=Y")</f>
        <v>—</v>
      </c>
      <c r="U23" s="13" t="str">
        <f>_xll.BDH("ITCI US Equity","BS_GROSS_FIX_ASSET","FQ2 2023","FQ2 2023","Currency=USD","Period=FQ","BEST_FPERIOD_OVERRIDE=FQ","FILING_STATUS=MR","SCALING_FORMAT=MLN","Sort=A","Dates=H","DateFormat=P","Fill=—","Direction=H","UseDPDF=Y")</f>
        <v>—</v>
      </c>
      <c r="V23" s="13" t="str">
        <f>_xll.BDH("ITCI US Equity","BS_GROSS_FIX_ASSET","FQ3 2023","FQ3 2023","Currency=USD","Period=FQ","BEST_FPERIOD_OVERRIDE=FQ","FILING_STATUS=MR","SCALING_FORMAT=MLN","Sort=A","Dates=H","DateFormat=P","Fill=—","Direction=H","UseDPDF=Y")</f>
        <v>—</v>
      </c>
      <c r="W23" s="13" t="str">
        <f>_xll.BDH("ITCI US Equity","BS_GROSS_FIX_ASSET","FQ4 2023","FQ4 2023","Currency=USD","Period=FQ","BEST_FPERIOD_OVERRIDE=FQ","FILING_STATUS=MR","SCALING_FORMAT=MLN","Sort=A","Dates=H","DateFormat=P","Fill=—","Direction=H","UseDPDF=Y")</f>
        <v>—</v>
      </c>
      <c r="X23" s="13" t="str">
        <f>_xll.BDH("ITCI US Equity","BS_GROSS_FIX_ASSET","FQ1 2024","FQ1 2024","Currency=USD","Period=FQ","BEST_FPERIOD_OVERRIDE=FQ","FILING_STATUS=MR","SCALING_FORMAT=MLN","Sort=A","Dates=H","DateFormat=P","Fill=—","Direction=H","UseDPDF=Y")</f>
        <v>—</v>
      </c>
      <c r="Y23" s="13" t="str">
        <f>_xll.BDH("ITCI US Equity","BS_GROSS_FIX_ASSET","FQ2 2024","FQ2 2024","Currency=USD","Period=FQ","BEST_FPERIOD_OVERRIDE=FQ","FILING_STATUS=MR","SCALING_FORMAT=MLN","Sort=A","Dates=H","DateFormat=P","Fill=—","Direction=H","UseDPDF=Y")</f>
        <v>—</v>
      </c>
      <c r="Z23" s="13" t="str">
        <f>_xll.BDH("ITCI US Equity","BS_GROSS_FIX_ASSET","FQ3 2024","FQ3 2024","Currency=USD","Period=FQ","BEST_FPERIOD_OVERRIDE=FQ","FILING_STATUS=MR","SCALING_FORMAT=MLN","Sort=A","Dates=H","DateFormat=P","Fill=—","Direction=H","UseDPDF=Y")</f>
        <v>—</v>
      </c>
      <c r="AA23" s="13" t="str">
        <f>_xll.BDH("ITCI US Equity","BS_GROSS_FIX_ASSET","FQ4 2024","FQ4 2024","Currency=USD","Period=FQ","BEST_FPERIOD_OVERRIDE=FQ","FILING_STATUS=MR","SCALING_FORMAT=MLN","Sort=A","Dates=H","DateFormat=P","Fill=—","Direction=H","UseDPDF=Y")</f>
        <v>—</v>
      </c>
    </row>
    <row r="24" spans="1:27" x14ac:dyDescent="0.25">
      <c r="A24" s="10" t="s">
        <v>573</v>
      </c>
      <c r="B24" s="10" t="s">
        <v>574</v>
      </c>
      <c r="C24" s="13">
        <f>_xll.BDH("ITCI US Equity","BS_ACCUM_DEPR","FQ4 2018","FQ4 2018","Currency=USD","Period=FQ","BEST_FPERIOD_OVERRIDE=FQ","FILING_STATUS=MR","SCALING_FORMAT=MLN","Sort=A","Dates=H","DateFormat=P","Fill=—","Direction=H","UseDPDF=Y")</f>
        <v>3.0339</v>
      </c>
      <c r="D24" s="13">
        <f>_xll.BDH("ITCI US Equity","BS_ACCUM_DEPR","FQ1 2019","FQ1 2019","Currency=USD","Period=FQ","BEST_FPERIOD_OVERRIDE=FQ","FILING_STATUS=MR","SCALING_FORMAT=MLN","Sort=A","Dates=H","DateFormat=P","Fill=—","Direction=H","UseDPDF=Y")</f>
        <v>3.1326999999999998</v>
      </c>
      <c r="E24" s="13">
        <f>_xll.BDH("ITCI US Equity","BS_ACCUM_DEPR","FQ2 2019","FQ2 2019","Currency=USD","Period=FQ","BEST_FPERIOD_OVERRIDE=FQ","FILING_STATUS=MR","SCALING_FORMAT=MLN","Sort=A","Dates=H","DateFormat=P","Fill=—","Direction=H","UseDPDF=Y")</f>
        <v>3.2376999999999998</v>
      </c>
      <c r="F24" s="13">
        <f>_xll.BDH("ITCI US Equity","BS_ACCUM_DEPR","FQ3 2019","FQ3 2019","Currency=USD","Period=FQ","BEST_FPERIOD_OVERRIDE=FQ","FILING_STATUS=MR","SCALING_FORMAT=MLN","Sort=A","Dates=H","DateFormat=P","Fill=—","Direction=H","UseDPDF=Y")</f>
        <v>3.3668</v>
      </c>
      <c r="G24" s="13">
        <f>_xll.BDH("ITCI US Equity","BS_ACCUM_DEPR","FQ4 2019","FQ4 2019","Currency=USD","Period=FQ","BEST_FPERIOD_OVERRIDE=FQ","FILING_STATUS=MR","SCALING_FORMAT=MLN","Sort=A","Dates=H","DateFormat=P","Fill=—","Direction=H","UseDPDF=Y")</f>
        <v>3.5084</v>
      </c>
      <c r="H24" s="13">
        <f>_xll.BDH("ITCI US Equity","BS_ACCUM_DEPR","FQ1 2020","FQ1 2020","Currency=USD","Period=FQ","BEST_FPERIOD_OVERRIDE=FQ","FILING_STATUS=MR","SCALING_FORMAT=MLN","Sort=A","Dates=H","DateFormat=P","Fill=—","Direction=H","UseDPDF=Y")</f>
        <v>3.6572</v>
      </c>
      <c r="I24" s="13">
        <f>_xll.BDH("ITCI US Equity","BS_ACCUM_DEPR","FQ2 2020","FQ2 2020","Currency=USD","Period=FQ","BEST_FPERIOD_OVERRIDE=FQ","FILING_STATUS=MR","SCALING_FORMAT=MLN","Sort=A","Dates=H","DateFormat=P","Fill=—","Direction=H","UseDPDF=Y")</f>
        <v>3.7894999999999999</v>
      </c>
      <c r="J24" s="13">
        <f>_xll.BDH("ITCI US Equity","BS_ACCUM_DEPR","FQ3 2020","FQ3 2020","Currency=USD","Period=FQ","BEST_FPERIOD_OVERRIDE=FQ","FILING_STATUS=MR","SCALING_FORMAT=MLN","Sort=A","Dates=H","DateFormat=P","Fill=—","Direction=H","UseDPDF=Y")</f>
        <v>3.9106000000000001</v>
      </c>
      <c r="K24" s="13">
        <f>_xll.BDH("ITCI US Equity","BS_ACCUM_DEPR","FQ4 2020","FQ4 2020","Currency=USD","Period=FQ","BEST_FPERIOD_OVERRIDE=FQ","FILING_STATUS=MR","SCALING_FORMAT=MLN","Sort=A","Dates=H","DateFormat=P","Fill=—","Direction=H","UseDPDF=Y")</f>
        <v>4.0365000000000002</v>
      </c>
      <c r="L24" s="13">
        <f>_xll.BDH("ITCI US Equity","BS_ACCUM_DEPR","FQ1 2021","FQ1 2021","Currency=USD","Period=FQ","BEST_FPERIOD_OVERRIDE=FQ","FILING_STATUS=MR","SCALING_FORMAT=MLN","Sort=A","Dates=H","DateFormat=P","Fill=—","Direction=H","UseDPDF=Y")</f>
        <v>4.1635999999999997</v>
      </c>
      <c r="M24" s="13">
        <f>_xll.BDH("ITCI US Equity","BS_ACCUM_DEPR","FQ2 2021","FQ2 2021","Currency=USD","Period=FQ","BEST_FPERIOD_OVERRIDE=FQ","FILING_STATUS=MR","SCALING_FORMAT=MLN","Sort=A","Dates=H","DateFormat=P","Fill=—","Direction=H","UseDPDF=Y")</f>
        <v>4.2891000000000004</v>
      </c>
      <c r="N24" s="13">
        <f>_xll.BDH("ITCI US Equity","BS_ACCUM_DEPR","FQ3 2021","FQ3 2021","Currency=USD","Period=FQ","BEST_FPERIOD_OVERRIDE=FQ","FILING_STATUS=MR","SCALING_FORMAT=MLN","Sort=A","Dates=H","DateFormat=P","Fill=—","Direction=H","UseDPDF=Y")</f>
        <v>4.4230999999999998</v>
      </c>
      <c r="O24" s="13">
        <f>_xll.BDH("ITCI US Equity","BS_ACCUM_DEPR","FQ4 2021","FQ4 2021","Currency=USD","Period=FQ","BEST_FPERIOD_OVERRIDE=FQ","FILING_STATUS=MR","SCALING_FORMAT=MLN","Sort=A","Dates=H","DateFormat=P","Fill=—","Direction=H","UseDPDF=Y")</f>
        <v>4.5686999999999998</v>
      </c>
      <c r="P24" s="13" t="str">
        <f>_xll.BDH("ITCI US Equity","BS_ACCUM_DEPR","FQ1 2022","FQ1 2022","Currency=USD","Period=FQ","BEST_FPERIOD_OVERRIDE=FQ","FILING_STATUS=MR","SCALING_FORMAT=MLN","Sort=A","Dates=H","DateFormat=P","Fill=—","Direction=H","UseDPDF=Y")</f>
        <v>—</v>
      </c>
      <c r="Q24" s="13" t="str">
        <f>_xll.BDH("ITCI US Equity","BS_ACCUM_DEPR","FQ2 2022","FQ2 2022","Currency=USD","Period=FQ","BEST_FPERIOD_OVERRIDE=FQ","FILING_STATUS=MR","SCALING_FORMAT=MLN","Sort=A","Dates=H","DateFormat=P","Fill=—","Direction=H","UseDPDF=Y")</f>
        <v>—</v>
      </c>
      <c r="R24" s="13" t="str">
        <f>_xll.BDH("ITCI US Equity","BS_ACCUM_DEPR","FQ3 2022","FQ3 2022","Currency=USD","Period=FQ","BEST_FPERIOD_OVERRIDE=FQ","FILING_STATUS=MR","SCALING_FORMAT=MLN","Sort=A","Dates=H","DateFormat=P","Fill=—","Direction=H","UseDPDF=Y")</f>
        <v>—</v>
      </c>
      <c r="S24" s="13">
        <f>_xll.BDH("ITCI US Equity","BS_ACCUM_DEPR","FQ4 2022","FQ4 2022","Currency=USD","Period=FQ","BEST_FPERIOD_OVERRIDE=FQ","FILING_STATUS=MR","SCALING_FORMAT=MLN","Sort=A","Dates=H","DateFormat=P","Fill=—","Direction=H","UseDPDF=Y")</f>
        <v>5.2240000000000002</v>
      </c>
      <c r="T24" s="13" t="str">
        <f>_xll.BDH("ITCI US Equity","BS_ACCUM_DEPR","FQ1 2023","FQ1 2023","Currency=USD","Period=FQ","BEST_FPERIOD_OVERRIDE=FQ","FILING_STATUS=MR","SCALING_FORMAT=MLN","Sort=A","Dates=H","DateFormat=P","Fill=—","Direction=H","UseDPDF=Y")</f>
        <v>—</v>
      </c>
      <c r="U24" s="13" t="str">
        <f>_xll.BDH("ITCI US Equity","BS_ACCUM_DEPR","FQ2 2023","FQ2 2023","Currency=USD","Period=FQ","BEST_FPERIOD_OVERRIDE=FQ","FILING_STATUS=MR","SCALING_FORMAT=MLN","Sort=A","Dates=H","DateFormat=P","Fill=—","Direction=H","UseDPDF=Y")</f>
        <v>—</v>
      </c>
      <c r="V24" s="13" t="str">
        <f>_xll.BDH("ITCI US Equity","BS_ACCUM_DEPR","FQ3 2023","FQ3 2023","Currency=USD","Period=FQ","BEST_FPERIOD_OVERRIDE=FQ","FILING_STATUS=MR","SCALING_FORMAT=MLN","Sort=A","Dates=H","DateFormat=P","Fill=—","Direction=H","UseDPDF=Y")</f>
        <v>—</v>
      </c>
      <c r="W24" s="13" t="str">
        <f>_xll.BDH("ITCI US Equity","BS_ACCUM_DEPR","FQ4 2023","FQ4 2023","Currency=USD","Period=FQ","BEST_FPERIOD_OVERRIDE=FQ","FILING_STATUS=MR","SCALING_FORMAT=MLN","Sort=A","Dates=H","DateFormat=P","Fill=—","Direction=H","UseDPDF=Y")</f>
        <v>—</v>
      </c>
      <c r="X24" s="13" t="str">
        <f>_xll.BDH("ITCI US Equity","BS_ACCUM_DEPR","FQ1 2024","FQ1 2024","Currency=USD","Period=FQ","BEST_FPERIOD_OVERRIDE=FQ","FILING_STATUS=MR","SCALING_FORMAT=MLN","Sort=A","Dates=H","DateFormat=P","Fill=—","Direction=H","UseDPDF=Y")</f>
        <v>—</v>
      </c>
      <c r="Y24" s="13" t="str">
        <f>_xll.BDH("ITCI US Equity","BS_ACCUM_DEPR","FQ2 2024","FQ2 2024","Currency=USD","Period=FQ","BEST_FPERIOD_OVERRIDE=FQ","FILING_STATUS=MR","SCALING_FORMAT=MLN","Sort=A","Dates=H","DateFormat=P","Fill=—","Direction=H","UseDPDF=Y")</f>
        <v>—</v>
      </c>
      <c r="Z24" s="13" t="str">
        <f>_xll.BDH("ITCI US Equity","BS_ACCUM_DEPR","FQ3 2024","FQ3 2024","Currency=USD","Period=FQ","BEST_FPERIOD_OVERRIDE=FQ","FILING_STATUS=MR","SCALING_FORMAT=MLN","Sort=A","Dates=H","DateFormat=P","Fill=—","Direction=H","UseDPDF=Y")</f>
        <v>—</v>
      </c>
      <c r="AA24" s="13" t="str">
        <f>_xll.BDH("ITCI US Equity","BS_ACCUM_DEPR","FQ4 2024","FQ4 2024","Currency=USD","Period=FQ","BEST_FPERIOD_OVERRIDE=FQ","FILING_STATUS=MR","SCALING_FORMAT=MLN","Sort=A","Dates=H","DateFormat=P","Fill=—","Direction=H","UseDPDF=Y")</f>
        <v>—</v>
      </c>
    </row>
    <row r="25" spans="1:27" x14ac:dyDescent="0.25">
      <c r="A25" s="10" t="s">
        <v>575</v>
      </c>
      <c r="B25" s="10" t="s">
        <v>576</v>
      </c>
      <c r="C25" s="13">
        <f>_xll.BDH("ITCI US Equity","BS_LT_INVEST","FQ4 2018","FQ4 2018","Currency=USD","Period=FQ","BEST_FPERIOD_OVERRIDE=FQ","FILING_STATUS=MR","SCALING_FORMAT=MLN","Sort=A","Dates=H","DateFormat=P","Fill=—","Direction=H","UseDPDF=Y")</f>
        <v>0</v>
      </c>
      <c r="D25" s="13">
        <f>_xll.BDH("ITCI US Equity","BS_LT_INVEST","FQ1 2019","FQ1 2019","Currency=USD","Period=FQ","BEST_FPERIOD_OVERRIDE=FQ","FILING_STATUS=MR","SCALING_FORMAT=MLN","Sort=A","Dates=H","DateFormat=P","Fill=—","Direction=H","UseDPDF=Y")</f>
        <v>0</v>
      </c>
      <c r="E25" s="13">
        <f>_xll.BDH("ITCI US Equity","BS_LT_INVEST","FQ2 2019","FQ2 2019","Currency=USD","Period=FQ","BEST_FPERIOD_OVERRIDE=FQ","FILING_STATUS=MR","SCALING_FORMAT=MLN","Sort=A","Dates=H","DateFormat=P","Fill=—","Direction=H","UseDPDF=Y")</f>
        <v>0</v>
      </c>
      <c r="F25" s="13">
        <f>_xll.BDH("ITCI US Equity","BS_LT_INVEST","FQ3 2019","FQ3 2019","Currency=USD","Period=FQ","BEST_FPERIOD_OVERRIDE=FQ","FILING_STATUS=MR","SCALING_FORMAT=MLN","Sort=A","Dates=H","DateFormat=P","Fill=—","Direction=H","UseDPDF=Y")</f>
        <v>0</v>
      </c>
      <c r="G25" s="13">
        <f>_xll.BDH("ITCI US Equity","BS_LT_INVEST","FQ4 2019","FQ4 2019","Currency=USD","Period=FQ","BEST_FPERIOD_OVERRIDE=FQ","FILING_STATUS=MR","SCALING_FORMAT=MLN","Sort=A","Dates=H","DateFormat=P","Fill=—","Direction=H","UseDPDF=Y")</f>
        <v>0</v>
      </c>
      <c r="H25" s="13">
        <f>_xll.BDH("ITCI US Equity","BS_LT_INVEST","FQ1 2020","FQ1 2020","Currency=USD","Period=FQ","BEST_FPERIOD_OVERRIDE=FQ","FILING_STATUS=MR","SCALING_FORMAT=MLN","Sort=A","Dates=H","DateFormat=P","Fill=—","Direction=H","UseDPDF=Y")</f>
        <v>0</v>
      </c>
      <c r="I25" s="13">
        <f>_xll.BDH("ITCI US Equity","BS_LT_INVEST","FQ2 2020","FQ2 2020","Currency=USD","Period=FQ","BEST_FPERIOD_OVERRIDE=FQ","FILING_STATUS=MR","SCALING_FORMAT=MLN","Sort=A","Dates=H","DateFormat=P","Fill=—","Direction=H","UseDPDF=Y")</f>
        <v>0</v>
      </c>
      <c r="J25" s="13">
        <f>_xll.BDH("ITCI US Equity","BS_LT_INVEST","FQ3 2020","FQ3 2020","Currency=USD","Period=FQ","BEST_FPERIOD_OVERRIDE=FQ","FILING_STATUS=MR","SCALING_FORMAT=MLN","Sort=A","Dates=H","DateFormat=P","Fill=—","Direction=H","UseDPDF=Y")</f>
        <v>0</v>
      </c>
      <c r="K25" s="13">
        <f>_xll.BDH("ITCI US Equity","BS_LT_INVEST","FQ4 2020","FQ4 2020","Currency=USD","Period=FQ","BEST_FPERIOD_OVERRIDE=FQ","FILING_STATUS=MR","SCALING_FORMAT=MLN","Sort=A","Dates=H","DateFormat=P","Fill=—","Direction=H","UseDPDF=Y")</f>
        <v>0</v>
      </c>
      <c r="L25" s="13">
        <f>_xll.BDH("ITCI US Equity","BS_LT_INVEST","FQ1 2021","FQ1 2021","Currency=USD","Period=FQ","BEST_FPERIOD_OVERRIDE=FQ","FILING_STATUS=MR","SCALING_FORMAT=MLN","Sort=A","Dates=H","DateFormat=P","Fill=—","Direction=H","UseDPDF=Y")</f>
        <v>0</v>
      </c>
      <c r="M25" s="13">
        <f>_xll.BDH("ITCI US Equity","BS_LT_INVEST","FQ2 2021","FQ2 2021","Currency=USD","Period=FQ","BEST_FPERIOD_OVERRIDE=FQ","FILING_STATUS=MR","SCALING_FORMAT=MLN","Sort=A","Dates=H","DateFormat=P","Fill=—","Direction=H","UseDPDF=Y")</f>
        <v>0</v>
      </c>
      <c r="N25" s="13">
        <f>_xll.BDH("ITCI US Equity","BS_LT_INVEST","FQ3 2021","FQ3 2021","Currency=USD","Period=FQ","BEST_FPERIOD_OVERRIDE=FQ","FILING_STATUS=MR","SCALING_FORMAT=MLN","Sort=A","Dates=H","DateFormat=P","Fill=—","Direction=H","UseDPDF=Y")</f>
        <v>0</v>
      </c>
      <c r="O25" s="13">
        <f>_xll.BDH("ITCI US Equity","BS_LT_INVEST","FQ4 2021","FQ4 2021","Currency=USD","Period=FQ","BEST_FPERIOD_OVERRIDE=FQ","FILING_STATUS=MR","SCALING_FORMAT=MLN","Sort=A","Dates=H","DateFormat=P","Fill=—","Direction=H","UseDPDF=Y")</f>
        <v>0</v>
      </c>
      <c r="P25" s="13">
        <f>_xll.BDH("ITCI US Equity","BS_LT_INVEST","FQ1 2022","FQ1 2022","Currency=USD","Period=FQ","BEST_FPERIOD_OVERRIDE=FQ","FILING_STATUS=MR","SCALING_FORMAT=MLN","Sort=A","Dates=H","DateFormat=P","Fill=—","Direction=H","UseDPDF=Y")</f>
        <v>0</v>
      </c>
      <c r="Q25" s="13">
        <f>_xll.BDH("ITCI US Equity","BS_LT_INVEST","FQ2 2022","FQ2 2022","Currency=USD","Period=FQ","BEST_FPERIOD_OVERRIDE=FQ","FILING_STATUS=MR","SCALING_FORMAT=MLN","Sort=A","Dates=H","DateFormat=P","Fill=—","Direction=H","UseDPDF=Y")</f>
        <v>0</v>
      </c>
      <c r="R25" s="13">
        <f>_xll.BDH("ITCI US Equity","BS_LT_INVEST","FQ3 2022","FQ3 2022","Currency=USD","Period=FQ","BEST_FPERIOD_OVERRIDE=FQ","FILING_STATUS=MR","SCALING_FORMAT=MLN","Sort=A","Dates=H","DateFormat=P","Fill=—","Direction=H","UseDPDF=Y")</f>
        <v>0</v>
      </c>
      <c r="S25" s="13">
        <f>_xll.BDH("ITCI US Equity","BS_LT_INVEST","FQ4 2022","FQ4 2022","Currency=USD","Period=FQ","BEST_FPERIOD_OVERRIDE=FQ","FILING_STATUS=MR","SCALING_FORMAT=MLN","Sort=A","Dates=H","DateFormat=P","Fill=—","Direction=H","UseDPDF=Y")</f>
        <v>0</v>
      </c>
      <c r="T25" s="13">
        <f>_xll.BDH("ITCI US Equity","BS_LT_INVEST","FQ1 2023","FQ1 2023","Currency=USD","Period=FQ","BEST_FPERIOD_OVERRIDE=FQ","FILING_STATUS=MR","SCALING_FORMAT=MLN","Sort=A","Dates=H","DateFormat=P","Fill=—","Direction=H","UseDPDF=Y")</f>
        <v>0</v>
      </c>
      <c r="U25" s="13">
        <f>_xll.BDH("ITCI US Equity","BS_LT_INVEST","FQ2 2023","FQ2 2023","Currency=USD","Period=FQ","BEST_FPERIOD_OVERRIDE=FQ","FILING_STATUS=MR","SCALING_FORMAT=MLN","Sort=A","Dates=H","DateFormat=P","Fill=—","Direction=H","UseDPDF=Y")</f>
        <v>0</v>
      </c>
      <c r="V25" s="13">
        <f>_xll.BDH("ITCI US Equity","BS_LT_INVEST","FQ3 2023","FQ3 2023","Currency=USD","Period=FQ","BEST_FPERIOD_OVERRIDE=FQ","FILING_STATUS=MR","SCALING_FORMAT=MLN","Sort=A","Dates=H","DateFormat=P","Fill=—","Direction=H","UseDPDF=Y")</f>
        <v>0</v>
      </c>
      <c r="W25" s="13">
        <f>_xll.BDH("ITCI US Equity","BS_LT_INVEST","FQ4 2023","FQ4 2023","Currency=USD","Period=FQ","BEST_FPERIOD_OVERRIDE=FQ","FILING_STATUS=MR","SCALING_FORMAT=MLN","Sort=A","Dates=H","DateFormat=P","Fill=—","Direction=H","UseDPDF=Y")</f>
        <v>0</v>
      </c>
      <c r="X25" s="13">
        <f>_xll.BDH("ITCI US Equity","BS_LT_INVEST","FQ1 2024","FQ1 2024","Currency=USD","Period=FQ","BEST_FPERIOD_OVERRIDE=FQ","FILING_STATUS=MR","SCALING_FORMAT=MLN","Sort=A","Dates=H","DateFormat=P","Fill=—","Direction=H","UseDPDF=Y")</f>
        <v>0</v>
      </c>
      <c r="Y25" s="13">
        <f>_xll.BDH("ITCI US Equity","BS_LT_INVEST","FQ2 2024","FQ2 2024","Currency=USD","Period=FQ","BEST_FPERIOD_OVERRIDE=FQ","FILING_STATUS=MR","SCALING_FORMAT=MLN","Sort=A","Dates=H","DateFormat=P","Fill=—","Direction=H","UseDPDF=Y")</f>
        <v>0</v>
      </c>
      <c r="Z25" s="13">
        <f>_xll.BDH("ITCI US Equity","BS_LT_INVEST","FQ3 2024","FQ3 2024","Currency=USD","Period=FQ","BEST_FPERIOD_OVERRIDE=FQ","FILING_STATUS=MR","SCALING_FORMAT=MLN","Sort=A","Dates=H","DateFormat=P","Fill=—","Direction=H","UseDPDF=Y")</f>
        <v>0</v>
      </c>
      <c r="AA25" s="13">
        <f>_xll.BDH("ITCI US Equity","BS_LT_INVEST","FQ4 2024","FQ4 2024","Currency=USD","Period=FQ","BEST_FPERIOD_OVERRIDE=FQ","FILING_STATUS=MR","SCALING_FORMAT=MLN","Sort=A","Dates=H","DateFormat=P","Fill=—","Direction=H","UseDPDF=Y")</f>
        <v>0</v>
      </c>
    </row>
    <row r="26" spans="1:27" x14ac:dyDescent="0.25">
      <c r="A26" s="10" t="s">
        <v>577</v>
      </c>
      <c r="B26" s="10" t="s">
        <v>578</v>
      </c>
      <c r="C26" s="13">
        <f>_xll.BDH("ITCI US Equity","BS_OTHER_ASSETS_DEF_CHRG_OTHER","FQ4 2018","FQ4 2018","Currency=USD","Period=FQ","BEST_FPERIOD_OVERRIDE=FQ","FILING_STATUS=MR","SCALING_FORMAT=MLN","Sort=A","Dates=H","DateFormat=P","Fill=—","Direction=H","UseDPDF=Y")</f>
        <v>0.60809999999999997</v>
      </c>
      <c r="D26" s="13">
        <f>_xll.BDH("ITCI US Equity","BS_OTHER_ASSETS_DEF_CHRG_OTHER","FQ1 2019","FQ1 2019","Currency=USD","Period=FQ","BEST_FPERIOD_OVERRIDE=FQ","FILING_STATUS=MR","SCALING_FORMAT=MLN","Sort=A","Dates=H","DateFormat=P","Fill=—","Direction=H","UseDPDF=Y")</f>
        <v>0.61529999999999996</v>
      </c>
      <c r="E26" s="13">
        <f>_xll.BDH("ITCI US Equity","BS_OTHER_ASSETS_DEF_CHRG_OTHER","FQ2 2019","FQ2 2019","Currency=USD","Period=FQ","BEST_FPERIOD_OVERRIDE=FQ","FILING_STATUS=MR","SCALING_FORMAT=MLN","Sort=A","Dates=H","DateFormat=P","Fill=—","Direction=H","UseDPDF=Y")</f>
        <v>0.61529999999999996</v>
      </c>
      <c r="F26" s="13">
        <f>_xll.BDH("ITCI US Equity","BS_OTHER_ASSETS_DEF_CHRG_OTHER","FQ3 2019","FQ3 2019","Currency=USD","Period=FQ","BEST_FPERIOD_OVERRIDE=FQ","FILING_STATUS=MR","SCALING_FORMAT=MLN","Sort=A","Dates=H","DateFormat=P","Fill=—","Direction=H","UseDPDF=Y")</f>
        <v>0.35070000000000001</v>
      </c>
      <c r="G26" s="13">
        <f>_xll.BDH("ITCI US Equity","BS_OTHER_ASSETS_DEF_CHRG_OTHER","FQ4 2019","FQ4 2019","Currency=USD","Period=FQ","BEST_FPERIOD_OVERRIDE=FQ","FILING_STATUS=MR","SCALING_FORMAT=MLN","Sort=A","Dates=H","DateFormat=P","Fill=—","Direction=H","UseDPDF=Y")</f>
        <v>0.35070000000000001</v>
      </c>
      <c r="H26" s="13">
        <f>_xll.BDH("ITCI US Equity","BS_OTHER_ASSETS_DEF_CHRG_OTHER","FQ1 2020","FQ1 2020","Currency=USD","Period=FQ","BEST_FPERIOD_OVERRIDE=FQ","FILING_STATUS=MR","SCALING_FORMAT=MLN","Sort=A","Dates=H","DateFormat=P","Fill=—","Direction=H","UseDPDF=Y")</f>
        <v>8.6099999999999996E-2</v>
      </c>
      <c r="I26" s="13">
        <f>_xll.BDH("ITCI US Equity","BS_OTHER_ASSETS_DEF_CHRG_OTHER","FQ2 2020","FQ2 2020","Currency=USD","Period=FQ","BEST_FPERIOD_OVERRIDE=FQ","FILING_STATUS=MR","SCALING_FORMAT=MLN","Sort=A","Dates=H","DateFormat=P","Fill=—","Direction=H","UseDPDF=Y")</f>
        <v>8.6099999999999996E-2</v>
      </c>
      <c r="J26" s="13">
        <f>_xll.BDH("ITCI US Equity","BS_OTHER_ASSETS_DEF_CHRG_OTHER","FQ3 2020","FQ3 2020","Currency=USD","Period=FQ","BEST_FPERIOD_OVERRIDE=FQ","FILING_STATUS=MR","SCALING_FORMAT=MLN","Sort=A","Dates=H","DateFormat=P","Fill=—","Direction=H","UseDPDF=Y")</f>
        <v>8.6099999999999996E-2</v>
      </c>
      <c r="K26" s="13">
        <f>_xll.BDH("ITCI US Equity","BS_OTHER_ASSETS_DEF_CHRG_OTHER","FQ4 2020","FQ4 2020","Currency=USD","Period=FQ","BEST_FPERIOD_OVERRIDE=FQ","FILING_STATUS=MR","SCALING_FORMAT=MLN","Sort=A","Dates=H","DateFormat=P","Fill=—","Direction=H","UseDPDF=Y")</f>
        <v>8.6099999999999996E-2</v>
      </c>
      <c r="L26" s="13">
        <f>_xll.BDH("ITCI US Equity","BS_OTHER_ASSETS_DEF_CHRG_OTHER","FQ1 2021","FQ1 2021","Currency=USD","Period=FQ","BEST_FPERIOD_OVERRIDE=FQ","FILING_STATUS=MR","SCALING_FORMAT=MLN","Sort=A","Dates=H","DateFormat=P","Fill=—","Direction=H","UseDPDF=Y")</f>
        <v>8.6099999999999996E-2</v>
      </c>
      <c r="M26" s="13">
        <f>_xll.BDH("ITCI US Equity","BS_OTHER_ASSETS_DEF_CHRG_OTHER","FQ2 2021","FQ2 2021","Currency=USD","Period=FQ","BEST_FPERIOD_OVERRIDE=FQ","FILING_STATUS=MR","SCALING_FORMAT=MLN","Sort=A","Dates=H","DateFormat=P","Fill=—","Direction=H","UseDPDF=Y")</f>
        <v>8.6099999999999996E-2</v>
      </c>
      <c r="N26" s="13">
        <f>_xll.BDH("ITCI US Equity","BS_OTHER_ASSETS_DEF_CHRG_OTHER","FQ3 2021","FQ3 2021","Currency=USD","Period=FQ","BEST_FPERIOD_OVERRIDE=FQ","FILING_STATUS=MR","SCALING_FORMAT=MLN","Sort=A","Dates=H","DateFormat=P","Fill=—","Direction=H","UseDPDF=Y")</f>
        <v>8.6099999999999996E-2</v>
      </c>
      <c r="O26" s="13">
        <f>_xll.BDH("ITCI US Equity","BS_OTHER_ASSETS_DEF_CHRG_OTHER","FQ4 2021","FQ4 2021","Currency=USD","Period=FQ","BEST_FPERIOD_OVERRIDE=FQ","FILING_STATUS=MR","SCALING_FORMAT=MLN","Sort=A","Dates=H","DateFormat=P","Fill=—","Direction=H","UseDPDF=Y")</f>
        <v>8.6099999999999996E-2</v>
      </c>
      <c r="P26" s="13">
        <f>_xll.BDH("ITCI US Equity","BS_OTHER_ASSETS_DEF_CHRG_OTHER","FQ1 2022","FQ1 2022","Currency=USD","Period=FQ","BEST_FPERIOD_OVERRIDE=FQ","FILING_STATUS=MR","SCALING_FORMAT=MLN","Sort=A","Dates=H","DateFormat=P","Fill=—","Direction=H","UseDPDF=Y")</f>
        <v>8.5999999999999993E-2</v>
      </c>
      <c r="Q26" s="13">
        <f>_xll.BDH("ITCI US Equity","BS_OTHER_ASSETS_DEF_CHRG_OTHER","FQ2 2022","FQ2 2022","Currency=USD","Period=FQ","BEST_FPERIOD_OVERRIDE=FQ","FILING_STATUS=MR","SCALING_FORMAT=MLN","Sort=A","Dates=H","DateFormat=P","Fill=—","Direction=H","UseDPDF=Y")</f>
        <v>8.5999999999999993E-2</v>
      </c>
      <c r="R26" s="13">
        <f>_xll.BDH("ITCI US Equity","BS_OTHER_ASSETS_DEF_CHRG_OTHER","FQ3 2022","FQ3 2022","Currency=USD","Period=FQ","BEST_FPERIOD_OVERRIDE=FQ","FILING_STATUS=MR","SCALING_FORMAT=MLN","Sort=A","Dates=H","DateFormat=P","Fill=—","Direction=H","UseDPDF=Y")</f>
        <v>8.5999999999999993E-2</v>
      </c>
      <c r="S26" s="13">
        <f>_xll.BDH("ITCI US Equity","BS_OTHER_ASSETS_DEF_CHRG_OTHER","FQ4 2022","FQ4 2022","Currency=USD","Period=FQ","BEST_FPERIOD_OVERRIDE=FQ","FILING_STATUS=MR","SCALING_FORMAT=MLN","Sort=A","Dates=H","DateFormat=P","Fill=—","Direction=H","UseDPDF=Y")</f>
        <v>8.5999999999999993E-2</v>
      </c>
      <c r="T26" s="13">
        <f>_xll.BDH("ITCI US Equity","BS_OTHER_ASSETS_DEF_CHRG_OTHER","FQ1 2023","FQ1 2023","Currency=USD","Period=FQ","BEST_FPERIOD_OVERRIDE=FQ","FILING_STATUS=MR","SCALING_FORMAT=MLN","Sort=A","Dates=H","DateFormat=P","Fill=—","Direction=H","UseDPDF=Y")</f>
        <v>8.5999999999999993E-2</v>
      </c>
      <c r="U26" s="13">
        <f>_xll.BDH("ITCI US Equity","BS_OTHER_ASSETS_DEF_CHRG_OTHER","FQ2 2023","FQ2 2023","Currency=USD","Period=FQ","BEST_FPERIOD_OVERRIDE=FQ","FILING_STATUS=MR","SCALING_FORMAT=MLN","Sort=A","Dates=H","DateFormat=P","Fill=—","Direction=H","UseDPDF=Y")</f>
        <v>8.5999999999999993E-2</v>
      </c>
      <c r="V26" s="13">
        <f>_xll.BDH("ITCI US Equity","BS_OTHER_ASSETS_DEF_CHRG_OTHER","FQ3 2023","FQ3 2023","Currency=USD","Period=FQ","BEST_FPERIOD_OVERRIDE=FQ","FILING_STATUS=MR","SCALING_FORMAT=MLN","Sort=A","Dates=H","DateFormat=P","Fill=—","Direction=H","UseDPDF=Y")</f>
        <v>8.5999999999999993E-2</v>
      </c>
      <c r="W26" s="13">
        <f>_xll.BDH("ITCI US Equity","BS_OTHER_ASSETS_DEF_CHRG_OTHER","FQ4 2023","FQ4 2023","Currency=USD","Period=FQ","BEST_FPERIOD_OVERRIDE=FQ","FILING_STATUS=MR","SCALING_FORMAT=MLN","Sort=A","Dates=H","DateFormat=P","Fill=—","Direction=H","UseDPDF=Y")</f>
        <v>45.914000000000001</v>
      </c>
      <c r="X26" s="13">
        <f>_xll.BDH("ITCI US Equity","BS_OTHER_ASSETS_DEF_CHRG_OTHER","FQ1 2024","FQ1 2024","Currency=USD","Period=FQ","BEST_FPERIOD_OVERRIDE=FQ","FILING_STATUS=MR","SCALING_FORMAT=MLN","Sort=A","Dates=H","DateFormat=P","Fill=—","Direction=H","UseDPDF=Y")</f>
        <v>42.506</v>
      </c>
      <c r="Y26" s="13">
        <f>_xll.BDH("ITCI US Equity","BS_OTHER_ASSETS_DEF_CHRG_OTHER","FQ2 2024","FQ2 2024","Currency=USD","Period=FQ","BEST_FPERIOD_OVERRIDE=FQ","FILING_STATUS=MR","SCALING_FORMAT=MLN","Sort=A","Dates=H","DateFormat=P","Fill=—","Direction=H","UseDPDF=Y")</f>
        <v>40.301000000000002</v>
      </c>
      <c r="Z26" s="13">
        <f>_xll.BDH("ITCI US Equity","BS_OTHER_ASSETS_DEF_CHRG_OTHER","FQ3 2024","FQ3 2024","Currency=USD","Period=FQ","BEST_FPERIOD_OVERRIDE=FQ","FILING_STATUS=MR","SCALING_FORMAT=MLN","Sort=A","Dates=H","DateFormat=P","Fill=—","Direction=H","UseDPDF=Y")</f>
        <v>36.698</v>
      </c>
      <c r="AA26" s="13">
        <f>_xll.BDH("ITCI US Equity","BS_OTHER_ASSETS_DEF_CHRG_OTHER","FQ4 2024","FQ4 2024","Currency=USD","Period=FQ","BEST_FPERIOD_OVERRIDE=FQ","FILING_STATUS=MR","SCALING_FORMAT=MLN","Sort=A","Dates=H","DateFormat=P","Fill=—","Direction=H","UseDPDF=Y")</f>
        <v>44.652000000000001</v>
      </c>
    </row>
    <row r="27" spans="1:27" x14ac:dyDescent="0.25">
      <c r="A27" s="10" t="s">
        <v>579</v>
      </c>
      <c r="B27" s="10" t="s">
        <v>580</v>
      </c>
      <c r="C27" s="13">
        <f>_xll.BDH("ITCI US Equity","BS_DISCLOSED_INTANGIBLES","FQ4 2018","FQ4 2018","Currency=USD","Period=FQ","BEST_FPERIOD_OVERRIDE=FQ","FILING_STATUS=MR","SCALING_FORMAT=MLN","Sort=A","Dates=H","DateFormat=P","Fill=—","Direction=H","UseDPDF=Y")</f>
        <v>0</v>
      </c>
      <c r="D27" s="13">
        <f>_xll.BDH("ITCI US Equity","BS_DISCLOSED_INTANGIBLES","FQ1 2019","FQ1 2019","Currency=USD","Period=FQ","BEST_FPERIOD_OVERRIDE=FQ","FILING_STATUS=MR","SCALING_FORMAT=MLN","Sort=A","Dates=H","DateFormat=P","Fill=—","Direction=H","UseDPDF=Y")</f>
        <v>0</v>
      </c>
      <c r="E27" s="13">
        <f>_xll.BDH("ITCI US Equity","BS_DISCLOSED_INTANGIBLES","FQ2 2019","FQ2 2019","Currency=USD","Period=FQ","BEST_FPERIOD_OVERRIDE=FQ","FILING_STATUS=MR","SCALING_FORMAT=MLN","Sort=A","Dates=H","DateFormat=P","Fill=—","Direction=H","UseDPDF=Y")</f>
        <v>0</v>
      </c>
      <c r="F27" s="13">
        <f>_xll.BDH("ITCI US Equity","BS_DISCLOSED_INTANGIBLES","FQ3 2019","FQ3 2019","Currency=USD","Period=FQ","BEST_FPERIOD_OVERRIDE=FQ","FILING_STATUS=MR","SCALING_FORMAT=MLN","Sort=A","Dates=H","DateFormat=P","Fill=—","Direction=H","UseDPDF=Y")</f>
        <v>0</v>
      </c>
      <c r="G27" s="13">
        <f>_xll.BDH("ITCI US Equity","BS_DISCLOSED_INTANGIBLES","FQ4 2019","FQ4 2019","Currency=USD","Period=FQ","BEST_FPERIOD_OVERRIDE=FQ","FILING_STATUS=MR","SCALING_FORMAT=MLN","Sort=A","Dates=H","DateFormat=P","Fill=—","Direction=H","UseDPDF=Y")</f>
        <v>0</v>
      </c>
      <c r="H27" s="13">
        <f>_xll.BDH("ITCI US Equity","BS_DISCLOSED_INTANGIBLES","FQ1 2020","FQ1 2020","Currency=USD","Period=FQ","BEST_FPERIOD_OVERRIDE=FQ","FILING_STATUS=MR","SCALING_FORMAT=MLN","Sort=A","Dates=H","DateFormat=P","Fill=—","Direction=H","UseDPDF=Y")</f>
        <v>0</v>
      </c>
      <c r="I27" s="13">
        <f>_xll.BDH("ITCI US Equity","BS_DISCLOSED_INTANGIBLES","FQ2 2020","FQ2 2020","Currency=USD","Period=FQ","BEST_FPERIOD_OVERRIDE=FQ","FILING_STATUS=MR","SCALING_FORMAT=MLN","Sort=A","Dates=H","DateFormat=P","Fill=—","Direction=H","UseDPDF=Y")</f>
        <v>0</v>
      </c>
      <c r="J27" s="13">
        <f>_xll.BDH("ITCI US Equity","BS_DISCLOSED_INTANGIBLES","FQ3 2020","FQ3 2020","Currency=USD","Period=FQ","BEST_FPERIOD_OVERRIDE=FQ","FILING_STATUS=MR","SCALING_FORMAT=MLN","Sort=A","Dates=H","DateFormat=P","Fill=—","Direction=H","UseDPDF=Y")</f>
        <v>0</v>
      </c>
      <c r="K27" s="13">
        <f>_xll.BDH("ITCI US Equity","BS_DISCLOSED_INTANGIBLES","FQ4 2020","FQ4 2020","Currency=USD","Period=FQ","BEST_FPERIOD_OVERRIDE=FQ","FILING_STATUS=MR","SCALING_FORMAT=MLN","Sort=A","Dates=H","DateFormat=P","Fill=—","Direction=H","UseDPDF=Y")</f>
        <v>0</v>
      </c>
      <c r="L27" s="13">
        <f>_xll.BDH("ITCI US Equity","BS_DISCLOSED_INTANGIBLES","FQ1 2021","FQ1 2021","Currency=USD","Period=FQ","BEST_FPERIOD_OVERRIDE=FQ","FILING_STATUS=MR","SCALING_FORMAT=MLN","Sort=A","Dates=H","DateFormat=P","Fill=—","Direction=H","UseDPDF=Y")</f>
        <v>0</v>
      </c>
      <c r="M27" s="13">
        <f>_xll.BDH("ITCI US Equity","BS_DISCLOSED_INTANGIBLES","FQ2 2021","FQ2 2021","Currency=USD","Period=FQ","BEST_FPERIOD_OVERRIDE=FQ","FILING_STATUS=MR","SCALING_FORMAT=MLN","Sort=A","Dates=H","DateFormat=P","Fill=—","Direction=H","UseDPDF=Y")</f>
        <v>0</v>
      </c>
      <c r="N27" s="13">
        <f>_xll.BDH("ITCI US Equity","BS_DISCLOSED_INTANGIBLES","FQ3 2021","FQ3 2021","Currency=USD","Period=FQ","BEST_FPERIOD_OVERRIDE=FQ","FILING_STATUS=MR","SCALING_FORMAT=MLN","Sort=A","Dates=H","DateFormat=P","Fill=—","Direction=H","UseDPDF=Y")</f>
        <v>0</v>
      </c>
      <c r="O27" s="13">
        <f>_xll.BDH("ITCI US Equity","BS_DISCLOSED_INTANGIBLES","FQ4 2021","FQ4 2021","Currency=USD","Period=FQ","BEST_FPERIOD_OVERRIDE=FQ","FILING_STATUS=MR","SCALING_FORMAT=MLN","Sort=A","Dates=H","DateFormat=P","Fill=—","Direction=H","UseDPDF=Y")</f>
        <v>0</v>
      </c>
      <c r="P27" s="13">
        <f>_xll.BDH("ITCI US Equity","BS_DISCLOSED_INTANGIBLES","FQ1 2022","FQ1 2022","Currency=USD","Period=FQ","BEST_FPERIOD_OVERRIDE=FQ","FILING_STATUS=MR","SCALING_FORMAT=MLN","Sort=A","Dates=H","DateFormat=P","Fill=—","Direction=H","UseDPDF=Y")</f>
        <v>0</v>
      </c>
      <c r="Q27" s="13">
        <f>_xll.BDH("ITCI US Equity","BS_DISCLOSED_INTANGIBLES","FQ2 2022","FQ2 2022","Currency=USD","Period=FQ","BEST_FPERIOD_OVERRIDE=FQ","FILING_STATUS=MR","SCALING_FORMAT=MLN","Sort=A","Dates=H","DateFormat=P","Fill=—","Direction=H","UseDPDF=Y")</f>
        <v>0</v>
      </c>
      <c r="R27" s="13">
        <f>_xll.BDH("ITCI US Equity","BS_DISCLOSED_INTANGIBLES","FQ3 2022","FQ3 2022","Currency=USD","Period=FQ","BEST_FPERIOD_OVERRIDE=FQ","FILING_STATUS=MR","SCALING_FORMAT=MLN","Sort=A","Dates=H","DateFormat=P","Fill=—","Direction=H","UseDPDF=Y")</f>
        <v>0</v>
      </c>
      <c r="S27" s="13">
        <f>_xll.BDH("ITCI US Equity","BS_DISCLOSED_INTANGIBLES","FQ4 2022","FQ4 2022","Currency=USD","Period=FQ","BEST_FPERIOD_OVERRIDE=FQ","FILING_STATUS=MR","SCALING_FORMAT=MLN","Sort=A","Dates=H","DateFormat=P","Fill=—","Direction=H","UseDPDF=Y")</f>
        <v>0</v>
      </c>
      <c r="T27" s="13">
        <f>_xll.BDH("ITCI US Equity","BS_DISCLOSED_INTANGIBLES","FQ1 2023","FQ1 2023","Currency=USD","Period=FQ","BEST_FPERIOD_OVERRIDE=FQ","FILING_STATUS=MR","SCALING_FORMAT=MLN","Sort=A","Dates=H","DateFormat=P","Fill=—","Direction=H","UseDPDF=Y")</f>
        <v>0</v>
      </c>
      <c r="U27" s="13">
        <f>_xll.BDH("ITCI US Equity","BS_DISCLOSED_INTANGIBLES","FQ2 2023","FQ2 2023","Currency=USD","Period=FQ","BEST_FPERIOD_OVERRIDE=FQ","FILING_STATUS=MR","SCALING_FORMAT=MLN","Sort=A","Dates=H","DateFormat=P","Fill=—","Direction=H","UseDPDF=Y")</f>
        <v>0</v>
      </c>
      <c r="V27" s="13">
        <f>_xll.BDH("ITCI US Equity","BS_DISCLOSED_INTANGIBLES","FQ3 2023","FQ3 2023","Currency=USD","Period=FQ","BEST_FPERIOD_OVERRIDE=FQ","FILING_STATUS=MR","SCALING_FORMAT=MLN","Sort=A","Dates=H","DateFormat=P","Fill=—","Direction=H","UseDPDF=Y")</f>
        <v>0</v>
      </c>
      <c r="W27" s="13">
        <f>_xll.BDH("ITCI US Equity","BS_DISCLOSED_INTANGIBLES","FQ4 2023","FQ4 2023","Currency=USD","Period=FQ","BEST_FPERIOD_OVERRIDE=FQ","FILING_STATUS=MR","SCALING_FORMAT=MLN","Sort=A","Dates=H","DateFormat=P","Fill=—","Direction=H","UseDPDF=Y")</f>
        <v>0</v>
      </c>
      <c r="X27" s="13">
        <f>_xll.BDH("ITCI US Equity","BS_DISCLOSED_INTANGIBLES","FQ1 2024","FQ1 2024","Currency=USD","Period=FQ","BEST_FPERIOD_OVERRIDE=FQ","FILING_STATUS=MR","SCALING_FORMAT=MLN","Sort=A","Dates=H","DateFormat=P","Fill=—","Direction=H","UseDPDF=Y")</f>
        <v>0</v>
      </c>
      <c r="Y27" s="13">
        <f>_xll.BDH("ITCI US Equity","BS_DISCLOSED_INTANGIBLES","FQ2 2024","FQ2 2024","Currency=USD","Period=FQ","BEST_FPERIOD_OVERRIDE=FQ","FILING_STATUS=MR","SCALING_FORMAT=MLN","Sort=A","Dates=H","DateFormat=P","Fill=—","Direction=H","UseDPDF=Y")</f>
        <v>0</v>
      </c>
      <c r="Z27" s="13">
        <f>_xll.BDH("ITCI US Equity","BS_DISCLOSED_INTANGIBLES","FQ3 2024","FQ3 2024","Currency=USD","Period=FQ","BEST_FPERIOD_OVERRIDE=FQ","FILING_STATUS=MR","SCALING_FORMAT=MLN","Sort=A","Dates=H","DateFormat=P","Fill=—","Direction=H","UseDPDF=Y")</f>
        <v>0</v>
      </c>
      <c r="AA27" s="13">
        <f>_xll.BDH("ITCI US Equity","BS_DISCLOSED_INTANGIBLES","FQ4 2024","FQ4 2024","Currency=USD","Period=FQ","BEST_FPERIOD_OVERRIDE=FQ","FILING_STATUS=MR","SCALING_FORMAT=MLN","Sort=A","Dates=H","DateFormat=P","Fill=—","Direction=H","UseDPDF=Y")</f>
        <v>0</v>
      </c>
    </row>
    <row r="28" spans="1:27" x14ac:dyDescent="0.25">
      <c r="A28" s="11" t="s">
        <v>581</v>
      </c>
      <c r="B28" s="11" t="s">
        <v>582</v>
      </c>
      <c r="C28" s="25">
        <f>_xll.BDH("ITCI US Equity","BS_GOODWILL","FQ4 2018","FQ4 2018","Currency=USD","Period=FQ","BEST_FPERIOD_OVERRIDE=FQ","FILING_STATUS=MR","SCALING_FORMAT=MLN","Sort=A","Dates=H","DateFormat=P","Fill=—","Direction=H","UseDPDF=Y")</f>
        <v>0</v>
      </c>
      <c r="D28" s="25" t="str">
        <f>_xll.BDH("ITCI US Equity","BS_GOODWILL","FQ1 2019","FQ1 2019","Currency=USD","Period=FQ","BEST_FPERIOD_OVERRIDE=FQ","FILING_STATUS=MR","SCALING_FORMAT=MLN","Sort=A","Dates=H","DateFormat=P","Fill=—","Direction=H","UseDPDF=Y")</f>
        <v>—</v>
      </c>
      <c r="E28" s="25" t="str">
        <f>_xll.BDH("ITCI US Equity","BS_GOODWILL","FQ2 2019","FQ2 2019","Currency=USD","Period=FQ","BEST_FPERIOD_OVERRIDE=FQ","FILING_STATUS=MR","SCALING_FORMAT=MLN","Sort=A","Dates=H","DateFormat=P","Fill=—","Direction=H","UseDPDF=Y")</f>
        <v>—</v>
      </c>
      <c r="F28" s="25">
        <f>_xll.BDH("ITCI US Equity","BS_GOODWILL","FQ3 2019","FQ3 2019","Currency=USD","Period=FQ","BEST_FPERIOD_OVERRIDE=FQ","FILING_STATUS=MR","SCALING_FORMAT=MLN","Sort=A","Dates=H","DateFormat=P","Fill=—","Direction=H","UseDPDF=Y")</f>
        <v>0</v>
      </c>
      <c r="G28" s="25">
        <f>_xll.BDH("ITCI US Equity","BS_GOODWILL","FQ4 2019","FQ4 2019","Currency=USD","Period=FQ","BEST_FPERIOD_OVERRIDE=FQ","FILING_STATUS=MR","SCALING_FORMAT=MLN","Sort=A","Dates=H","DateFormat=P","Fill=—","Direction=H","UseDPDF=Y")</f>
        <v>0</v>
      </c>
      <c r="H28" s="25" t="str">
        <f>_xll.BDH("ITCI US Equity","BS_GOODWILL","FQ1 2020","FQ1 2020","Currency=USD","Period=FQ","BEST_FPERIOD_OVERRIDE=FQ","FILING_STATUS=MR","SCALING_FORMAT=MLN","Sort=A","Dates=H","DateFormat=P","Fill=—","Direction=H","UseDPDF=Y")</f>
        <v>—</v>
      </c>
      <c r="I28" s="25" t="str">
        <f>_xll.BDH("ITCI US Equity","BS_GOODWILL","FQ2 2020","FQ2 2020","Currency=USD","Period=FQ","BEST_FPERIOD_OVERRIDE=FQ","FILING_STATUS=MR","SCALING_FORMAT=MLN","Sort=A","Dates=H","DateFormat=P","Fill=—","Direction=H","UseDPDF=Y")</f>
        <v>—</v>
      </c>
      <c r="J28" s="25" t="str">
        <f>_xll.BDH("ITCI US Equity","BS_GOODWILL","FQ3 2020","FQ3 2020","Currency=USD","Period=FQ","BEST_FPERIOD_OVERRIDE=FQ","FILING_STATUS=MR","SCALING_FORMAT=MLN","Sort=A","Dates=H","DateFormat=P","Fill=—","Direction=H","UseDPDF=Y")</f>
        <v>—</v>
      </c>
      <c r="K28" s="25">
        <f>_xll.BDH("ITCI US Equity","BS_GOODWILL","FQ4 2020","FQ4 2020","Currency=USD","Period=FQ","BEST_FPERIOD_OVERRIDE=FQ","FILING_STATUS=MR","SCALING_FORMAT=MLN","Sort=A","Dates=H","DateFormat=P","Fill=—","Direction=H","UseDPDF=Y")</f>
        <v>0</v>
      </c>
      <c r="L28" s="25" t="str">
        <f>_xll.BDH("ITCI US Equity","BS_GOODWILL","FQ1 2021","FQ1 2021","Currency=USD","Period=FQ","BEST_FPERIOD_OVERRIDE=FQ","FILING_STATUS=MR","SCALING_FORMAT=MLN","Sort=A","Dates=H","DateFormat=P","Fill=—","Direction=H","UseDPDF=Y")</f>
        <v>—</v>
      </c>
      <c r="M28" s="25" t="str">
        <f>_xll.BDH("ITCI US Equity","BS_GOODWILL","FQ2 2021","FQ2 2021","Currency=USD","Period=FQ","BEST_FPERIOD_OVERRIDE=FQ","FILING_STATUS=MR","SCALING_FORMAT=MLN","Sort=A","Dates=H","DateFormat=P","Fill=—","Direction=H","UseDPDF=Y")</f>
        <v>—</v>
      </c>
      <c r="N28" s="25" t="str">
        <f>_xll.BDH("ITCI US Equity","BS_GOODWILL","FQ3 2021","FQ3 2021","Currency=USD","Period=FQ","BEST_FPERIOD_OVERRIDE=FQ","FILING_STATUS=MR","SCALING_FORMAT=MLN","Sort=A","Dates=H","DateFormat=P","Fill=—","Direction=H","UseDPDF=Y")</f>
        <v>—</v>
      </c>
      <c r="O28" s="25">
        <f>_xll.BDH("ITCI US Equity","BS_GOODWILL","FQ4 2021","FQ4 2021","Currency=USD","Period=FQ","BEST_FPERIOD_OVERRIDE=FQ","FILING_STATUS=MR","SCALING_FORMAT=MLN","Sort=A","Dates=H","DateFormat=P","Fill=—","Direction=H","UseDPDF=Y")</f>
        <v>0</v>
      </c>
      <c r="P28" s="25" t="str">
        <f>_xll.BDH("ITCI US Equity","BS_GOODWILL","FQ1 2022","FQ1 2022","Currency=USD","Period=FQ","BEST_FPERIOD_OVERRIDE=FQ","FILING_STATUS=MR","SCALING_FORMAT=MLN","Sort=A","Dates=H","DateFormat=P","Fill=—","Direction=H","UseDPDF=Y")</f>
        <v>—</v>
      </c>
      <c r="Q28" s="25">
        <f>_xll.BDH("ITCI US Equity","BS_GOODWILL","FQ2 2022","FQ2 2022","Currency=USD","Period=FQ","BEST_FPERIOD_OVERRIDE=FQ","FILING_STATUS=MR","SCALING_FORMAT=MLN","Sort=A","Dates=H","DateFormat=P","Fill=—","Direction=H","UseDPDF=Y")</f>
        <v>0</v>
      </c>
      <c r="R28" s="25" t="str">
        <f>_xll.BDH("ITCI US Equity","BS_GOODWILL","FQ3 2022","FQ3 2022","Currency=USD","Period=FQ","BEST_FPERIOD_OVERRIDE=FQ","FILING_STATUS=MR","SCALING_FORMAT=MLN","Sort=A","Dates=H","DateFormat=P","Fill=—","Direction=H","UseDPDF=Y")</f>
        <v>—</v>
      </c>
      <c r="S28" s="25">
        <f>_xll.BDH("ITCI US Equity","BS_GOODWILL","FQ4 2022","FQ4 2022","Currency=USD","Period=FQ","BEST_FPERIOD_OVERRIDE=FQ","FILING_STATUS=MR","SCALING_FORMAT=MLN","Sort=A","Dates=H","DateFormat=P","Fill=—","Direction=H","UseDPDF=Y")</f>
        <v>0</v>
      </c>
      <c r="T28" s="25" t="str">
        <f>_xll.BDH("ITCI US Equity","BS_GOODWILL","FQ1 2023","FQ1 2023","Currency=USD","Period=FQ","BEST_FPERIOD_OVERRIDE=FQ","FILING_STATUS=MR","SCALING_FORMAT=MLN","Sort=A","Dates=H","DateFormat=P","Fill=—","Direction=H","UseDPDF=Y")</f>
        <v>—</v>
      </c>
      <c r="U28" s="25" t="str">
        <f>_xll.BDH("ITCI US Equity","BS_GOODWILL","FQ2 2023","FQ2 2023","Currency=USD","Period=FQ","BEST_FPERIOD_OVERRIDE=FQ","FILING_STATUS=MR","SCALING_FORMAT=MLN","Sort=A","Dates=H","DateFormat=P","Fill=—","Direction=H","UseDPDF=Y")</f>
        <v>—</v>
      </c>
      <c r="V28" s="25" t="str">
        <f>_xll.BDH("ITCI US Equity","BS_GOODWILL","FQ3 2023","FQ3 2023","Currency=USD","Period=FQ","BEST_FPERIOD_OVERRIDE=FQ","FILING_STATUS=MR","SCALING_FORMAT=MLN","Sort=A","Dates=H","DateFormat=P","Fill=—","Direction=H","UseDPDF=Y")</f>
        <v>—</v>
      </c>
      <c r="W28" s="25">
        <f>_xll.BDH("ITCI US Equity","BS_GOODWILL","FQ4 2023","FQ4 2023","Currency=USD","Period=FQ","BEST_FPERIOD_OVERRIDE=FQ","FILING_STATUS=MR","SCALING_FORMAT=MLN","Sort=A","Dates=H","DateFormat=P","Fill=—","Direction=H","UseDPDF=Y")</f>
        <v>0</v>
      </c>
      <c r="X28" s="25" t="str">
        <f>_xll.BDH("ITCI US Equity","BS_GOODWILL","FQ1 2024","FQ1 2024","Currency=USD","Period=FQ","BEST_FPERIOD_OVERRIDE=FQ","FILING_STATUS=MR","SCALING_FORMAT=MLN","Sort=A","Dates=H","DateFormat=P","Fill=—","Direction=H","UseDPDF=Y")</f>
        <v>—</v>
      </c>
      <c r="Y28" s="25" t="str">
        <f>_xll.BDH("ITCI US Equity","BS_GOODWILL","FQ2 2024","FQ2 2024","Currency=USD","Period=FQ","BEST_FPERIOD_OVERRIDE=FQ","FILING_STATUS=MR","SCALING_FORMAT=MLN","Sort=A","Dates=H","DateFormat=P","Fill=—","Direction=H","UseDPDF=Y")</f>
        <v>—</v>
      </c>
      <c r="Z28" s="25" t="str">
        <f>_xll.BDH("ITCI US Equity","BS_GOODWILL","FQ3 2024","FQ3 2024","Currency=USD","Period=FQ","BEST_FPERIOD_OVERRIDE=FQ","FILING_STATUS=MR","SCALING_FORMAT=MLN","Sort=A","Dates=H","DateFormat=P","Fill=—","Direction=H","UseDPDF=Y")</f>
        <v>—</v>
      </c>
      <c r="AA28" s="25">
        <f>_xll.BDH("ITCI US Equity","BS_GOODWILL","FQ4 2024","FQ4 2024","Currency=USD","Period=FQ","BEST_FPERIOD_OVERRIDE=FQ","FILING_STATUS=MR","SCALING_FORMAT=MLN","Sort=A","Dates=H","DateFormat=P","Fill=—","Direction=H","UseDPDF=Y")</f>
        <v>0</v>
      </c>
    </row>
    <row r="29" spans="1:27" x14ac:dyDescent="0.25">
      <c r="A29" s="11" t="s">
        <v>583</v>
      </c>
      <c r="B29" s="11" t="s">
        <v>584</v>
      </c>
      <c r="C29" s="25">
        <f>_xll.BDH("ITCI US Equity","OTHER_INTANGIBLE_ASSETS_DETAILED","FQ4 2018","FQ4 2018","Currency=USD","Period=FQ","BEST_FPERIOD_OVERRIDE=FQ","FILING_STATUS=MR","SCALING_FORMAT=MLN","Sort=A","Dates=H","DateFormat=P","Fill=—","Direction=H","UseDPDF=Y")</f>
        <v>0</v>
      </c>
      <c r="D29" s="25">
        <f>_xll.BDH("ITCI US Equity","OTHER_INTANGIBLE_ASSETS_DETAILED","FQ1 2019","FQ1 2019","Currency=USD","Period=FQ","BEST_FPERIOD_OVERRIDE=FQ","FILING_STATUS=MR","SCALING_FORMAT=MLN","Sort=A","Dates=H","DateFormat=P","Fill=—","Direction=H","UseDPDF=Y")</f>
        <v>0</v>
      </c>
      <c r="E29" s="25">
        <f>_xll.BDH("ITCI US Equity","OTHER_INTANGIBLE_ASSETS_DETAILED","FQ2 2019","FQ2 2019","Currency=USD","Period=FQ","BEST_FPERIOD_OVERRIDE=FQ","FILING_STATUS=MR","SCALING_FORMAT=MLN","Sort=A","Dates=H","DateFormat=P","Fill=—","Direction=H","UseDPDF=Y")</f>
        <v>0</v>
      </c>
      <c r="F29" s="25">
        <f>_xll.BDH("ITCI US Equity","OTHER_INTANGIBLE_ASSETS_DETAILED","FQ3 2019","FQ3 2019","Currency=USD","Period=FQ","BEST_FPERIOD_OVERRIDE=FQ","FILING_STATUS=MR","SCALING_FORMAT=MLN","Sort=A","Dates=H","DateFormat=P","Fill=—","Direction=H","UseDPDF=Y")</f>
        <v>0</v>
      </c>
      <c r="G29" s="25">
        <f>_xll.BDH("ITCI US Equity","OTHER_INTANGIBLE_ASSETS_DETAILED","FQ4 2019","FQ4 2019","Currency=USD","Period=FQ","BEST_FPERIOD_OVERRIDE=FQ","FILING_STATUS=MR","SCALING_FORMAT=MLN","Sort=A","Dates=H","DateFormat=P","Fill=—","Direction=H","UseDPDF=Y")</f>
        <v>0</v>
      </c>
      <c r="H29" s="25">
        <f>_xll.BDH("ITCI US Equity","OTHER_INTANGIBLE_ASSETS_DETAILED","FQ1 2020","FQ1 2020","Currency=USD","Period=FQ","BEST_FPERIOD_OVERRIDE=FQ","FILING_STATUS=MR","SCALING_FORMAT=MLN","Sort=A","Dates=H","DateFormat=P","Fill=—","Direction=H","UseDPDF=Y")</f>
        <v>0</v>
      </c>
      <c r="I29" s="25">
        <f>_xll.BDH("ITCI US Equity","OTHER_INTANGIBLE_ASSETS_DETAILED","FQ2 2020","FQ2 2020","Currency=USD","Period=FQ","BEST_FPERIOD_OVERRIDE=FQ","FILING_STATUS=MR","SCALING_FORMAT=MLN","Sort=A","Dates=H","DateFormat=P","Fill=—","Direction=H","UseDPDF=Y")</f>
        <v>0</v>
      </c>
      <c r="J29" s="25">
        <f>_xll.BDH("ITCI US Equity","OTHER_INTANGIBLE_ASSETS_DETAILED","FQ3 2020","FQ3 2020","Currency=USD","Period=FQ","BEST_FPERIOD_OVERRIDE=FQ","FILING_STATUS=MR","SCALING_FORMAT=MLN","Sort=A","Dates=H","DateFormat=P","Fill=—","Direction=H","UseDPDF=Y")</f>
        <v>0</v>
      </c>
      <c r="K29" s="25">
        <f>_xll.BDH("ITCI US Equity","OTHER_INTANGIBLE_ASSETS_DETAILED","FQ4 2020","FQ4 2020","Currency=USD","Period=FQ","BEST_FPERIOD_OVERRIDE=FQ","FILING_STATUS=MR","SCALING_FORMAT=MLN","Sort=A","Dates=H","DateFormat=P","Fill=—","Direction=H","UseDPDF=Y")</f>
        <v>0</v>
      </c>
      <c r="L29" s="25">
        <f>_xll.BDH("ITCI US Equity","OTHER_INTANGIBLE_ASSETS_DETAILED","FQ1 2021","FQ1 2021","Currency=USD","Period=FQ","BEST_FPERIOD_OVERRIDE=FQ","FILING_STATUS=MR","SCALING_FORMAT=MLN","Sort=A","Dates=H","DateFormat=P","Fill=—","Direction=H","UseDPDF=Y")</f>
        <v>0</v>
      </c>
      <c r="M29" s="25">
        <f>_xll.BDH("ITCI US Equity","OTHER_INTANGIBLE_ASSETS_DETAILED","FQ2 2021","FQ2 2021","Currency=USD","Period=FQ","BEST_FPERIOD_OVERRIDE=FQ","FILING_STATUS=MR","SCALING_FORMAT=MLN","Sort=A","Dates=H","DateFormat=P","Fill=—","Direction=H","UseDPDF=Y")</f>
        <v>0</v>
      </c>
      <c r="N29" s="25">
        <f>_xll.BDH("ITCI US Equity","OTHER_INTANGIBLE_ASSETS_DETAILED","FQ3 2021","FQ3 2021","Currency=USD","Period=FQ","BEST_FPERIOD_OVERRIDE=FQ","FILING_STATUS=MR","SCALING_FORMAT=MLN","Sort=A","Dates=H","DateFormat=P","Fill=—","Direction=H","UseDPDF=Y")</f>
        <v>0</v>
      </c>
      <c r="O29" s="25">
        <f>_xll.BDH("ITCI US Equity","OTHER_INTANGIBLE_ASSETS_DETAILED","FQ4 2021","FQ4 2021","Currency=USD","Period=FQ","BEST_FPERIOD_OVERRIDE=FQ","FILING_STATUS=MR","SCALING_FORMAT=MLN","Sort=A","Dates=H","DateFormat=P","Fill=—","Direction=H","UseDPDF=Y")</f>
        <v>0</v>
      </c>
      <c r="P29" s="25">
        <f>_xll.BDH("ITCI US Equity","OTHER_INTANGIBLE_ASSETS_DETAILED","FQ1 2022","FQ1 2022","Currency=USD","Period=FQ","BEST_FPERIOD_OVERRIDE=FQ","FILING_STATUS=MR","SCALING_FORMAT=MLN","Sort=A","Dates=H","DateFormat=P","Fill=—","Direction=H","UseDPDF=Y")</f>
        <v>0</v>
      </c>
      <c r="Q29" s="25">
        <f>_xll.BDH("ITCI US Equity","OTHER_INTANGIBLE_ASSETS_DETAILED","FQ2 2022","FQ2 2022","Currency=USD","Period=FQ","BEST_FPERIOD_OVERRIDE=FQ","FILING_STATUS=MR","SCALING_FORMAT=MLN","Sort=A","Dates=H","DateFormat=P","Fill=—","Direction=H","UseDPDF=Y")</f>
        <v>0</v>
      </c>
      <c r="R29" s="25">
        <f>_xll.BDH("ITCI US Equity","OTHER_INTANGIBLE_ASSETS_DETAILED","FQ3 2022","FQ3 2022","Currency=USD","Period=FQ","BEST_FPERIOD_OVERRIDE=FQ","FILING_STATUS=MR","SCALING_FORMAT=MLN","Sort=A","Dates=H","DateFormat=P","Fill=—","Direction=H","UseDPDF=Y")</f>
        <v>0</v>
      </c>
      <c r="S29" s="25">
        <f>_xll.BDH("ITCI US Equity","OTHER_INTANGIBLE_ASSETS_DETAILED","FQ4 2022","FQ4 2022","Currency=USD","Period=FQ","BEST_FPERIOD_OVERRIDE=FQ","FILING_STATUS=MR","SCALING_FORMAT=MLN","Sort=A","Dates=H","DateFormat=P","Fill=—","Direction=H","UseDPDF=Y")</f>
        <v>0</v>
      </c>
      <c r="T29" s="25">
        <f>_xll.BDH("ITCI US Equity","OTHER_INTANGIBLE_ASSETS_DETAILED","FQ1 2023","FQ1 2023","Currency=USD","Period=FQ","BEST_FPERIOD_OVERRIDE=FQ","FILING_STATUS=MR","SCALING_FORMAT=MLN","Sort=A","Dates=H","DateFormat=P","Fill=—","Direction=H","UseDPDF=Y")</f>
        <v>0</v>
      </c>
      <c r="U29" s="25">
        <f>_xll.BDH("ITCI US Equity","OTHER_INTANGIBLE_ASSETS_DETAILED","FQ2 2023","FQ2 2023","Currency=USD","Period=FQ","BEST_FPERIOD_OVERRIDE=FQ","FILING_STATUS=MR","SCALING_FORMAT=MLN","Sort=A","Dates=H","DateFormat=P","Fill=—","Direction=H","UseDPDF=Y")</f>
        <v>0</v>
      </c>
      <c r="V29" s="25">
        <f>_xll.BDH("ITCI US Equity","OTHER_INTANGIBLE_ASSETS_DETAILED","FQ3 2023","FQ3 2023","Currency=USD","Period=FQ","BEST_FPERIOD_OVERRIDE=FQ","FILING_STATUS=MR","SCALING_FORMAT=MLN","Sort=A","Dates=H","DateFormat=P","Fill=—","Direction=H","UseDPDF=Y")</f>
        <v>0</v>
      </c>
      <c r="W29" s="25">
        <f>_xll.BDH("ITCI US Equity","OTHER_INTANGIBLE_ASSETS_DETAILED","FQ4 2023","FQ4 2023","Currency=USD","Period=FQ","BEST_FPERIOD_OVERRIDE=FQ","FILING_STATUS=MR","SCALING_FORMAT=MLN","Sort=A","Dates=H","DateFormat=P","Fill=—","Direction=H","UseDPDF=Y")</f>
        <v>0</v>
      </c>
      <c r="X29" s="25">
        <f>_xll.BDH("ITCI US Equity","OTHER_INTANGIBLE_ASSETS_DETAILED","FQ1 2024","FQ1 2024","Currency=USD","Period=FQ","BEST_FPERIOD_OVERRIDE=FQ","FILING_STATUS=MR","SCALING_FORMAT=MLN","Sort=A","Dates=H","DateFormat=P","Fill=—","Direction=H","UseDPDF=Y")</f>
        <v>0</v>
      </c>
      <c r="Y29" s="25">
        <f>_xll.BDH("ITCI US Equity","OTHER_INTANGIBLE_ASSETS_DETAILED","FQ2 2024","FQ2 2024","Currency=USD","Period=FQ","BEST_FPERIOD_OVERRIDE=FQ","FILING_STATUS=MR","SCALING_FORMAT=MLN","Sort=A","Dates=H","DateFormat=P","Fill=—","Direction=H","UseDPDF=Y")</f>
        <v>0</v>
      </c>
      <c r="Z29" s="25">
        <f>_xll.BDH("ITCI US Equity","OTHER_INTANGIBLE_ASSETS_DETAILED","FQ3 2024","FQ3 2024","Currency=USD","Period=FQ","BEST_FPERIOD_OVERRIDE=FQ","FILING_STATUS=MR","SCALING_FORMAT=MLN","Sort=A","Dates=H","DateFormat=P","Fill=—","Direction=H","UseDPDF=Y")</f>
        <v>0</v>
      </c>
      <c r="AA29" s="25">
        <f>_xll.BDH("ITCI US Equity","OTHER_INTANGIBLE_ASSETS_DETAILED","FQ4 2024","FQ4 2024","Currency=USD","Period=FQ","BEST_FPERIOD_OVERRIDE=FQ","FILING_STATUS=MR","SCALING_FORMAT=MLN","Sort=A","Dates=H","DateFormat=P","Fill=—","Direction=H","UseDPDF=Y")</f>
        <v>0</v>
      </c>
    </row>
    <row r="30" spans="1:27" x14ac:dyDescent="0.25">
      <c r="A30" s="10" t="s">
        <v>585</v>
      </c>
      <c r="B30" s="10" t="s">
        <v>586</v>
      </c>
      <c r="C30" s="13">
        <f>_xll.BDH("ITCI US Equity","BS_DEFERRED_TAX_ASSETS_LT","FQ4 2018","FQ4 2018","Currency=USD","Period=FQ","BEST_FPERIOD_OVERRIDE=FQ","FILING_STATUS=MR","SCALING_FORMAT=MLN","Sort=A","Dates=H","DateFormat=P","Fill=—","Direction=H","UseDPDF=Y")</f>
        <v>0.5292</v>
      </c>
      <c r="D30" s="13">
        <f>_xll.BDH("ITCI US Equity","BS_DEFERRED_TAX_ASSETS_LT","FQ1 2019","FQ1 2019","Currency=USD","Period=FQ","BEST_FPERIOD_OVERRIDE=FQ","FILING_STATUS=MR","SCALING_FORMAT=MLN","Sort=A","Dates=H","DateFormat=P","Fill=—","Direction=H","UseDPDF=Y")</f>
        <v>0.5292</v>
      </c>
      <c r="E30" s="13">
        <f>_xll.BDH("ITCI US Equity","BS_DEFERRED_TAX_ASSETS_LT","FQ2 2019","FQ2 2019","Currency=USD","Period=FQ","BEST_FPERIOD_OVERRIDE=FQ","FILING_STATUS=MR","SCALING_FORMAT=MLN","Sort=A","Dates=H","DateFormat=P","Fill=—","Direction=H","UseDPDF=Y")</f>
        <v>0.5292</v>
      </c>
      <c r="F30" s="13">
        <f>_xll.BDH("ITCI US Equity","BS_DEFERRED_TAX_ASSETS_LT","FQ3 2019","FQ3 2019","Currency=USD","Period=FQ","BEST_FPERIOD_OVERRIDE=FQ","FILING_STATUS=MR","SCALING_FORMAT=MLN","Sort=A","Dates=H","DateFormat=P","Fill=—","Direction=H","UseDPDF=Y")</f>
        <v>0.2646</v>
      </c>
      <c r="G30" s="13">
        <f>_xll.BDH("ITCI US Equity","BS_DEFERRED_TAX_ASSETS_LT","FQ4 2019","FQ4 2019","Currency=USD","Period=FQ","BEST_FPERIOD_OVERRIDE=FQ","FILING_STATUS=MR","SCALING_FORMAT=MLN","Sort=A","Dates=H","DateFormat=P","Fill=—","Direction=H","UseDPDF=Y")</f>
        <v>0.2646</v>
      </c>
      <c r="H30" s="13">
        <f>_xll.BDH("ITCI US Equity","BS_DEFERRED_TAX_ASSETS_LT","FQ1 2020","FQ1 2020","Currency=USD","Period=FQ","BEST_FPERIOD_OVERRIDE=FQ","FILING_STATUS=MR","SCALING_FORMAT=MLN","Sort=A","Dates=H","DateFormat=P","Fill=—","Direction=H","UseDPDF=Y")</f>
        <v>0</v>
      </c>
      <c r="I30" s="13">
        <f>_xll.BDH("ITCI US Equity","BS_DEFERRED_TAX_ASSETS_LT","FQ2 2020","FQ2 2020","Currency=USD","Period=FQ","BEST_FPERIOD_OVERRIDE=FQ","FILING_STATUS=MR","SCALING_FORMAT=MLN","Sort=A","Dates=H","DateFormat=P","Fill=—","Direction=H","UseDPDF=Y")</f>
        <v>0</v>
      </c>
      <c r="J30" s="13">
        <f>_xll.BDH("ITCI US Equity","BS_DEFERRED_TAX_ASSETS_LT","FQ3 2020","FQ3 2020","Currency=USD","Period=FQ","BEST_FPERIOD_OVERRIDE=FQ","FILING_STATUS=MR","SCALING_FORMAT=MLN","Sort=A","Dates=H","DateFormat=P","Fill=—","Direction=H","UseDPDF=Y")</f>
        <v>0</v>
      </c>
      <c r="K30" s="13">
        <f>_xll.BDH("ITCI US Equity","BS_DEFERRED_TAX_ASSETS_LT","FQ4 2020","FQ4 2020","Currency=USD","Period=FQ","BEST_FPERIOD_OVERRIDE=FQ","FILING_STATUS=MR","SCALING_FORMAT=MLN","Sort=A","Dates=H","DateFormat=P","Fill=—","Direction=H","UseDPDF=Y")</f>
        <v>0</v>
      </c>
      <c r="L30" s="13">
        <f>_xll.BDH("ITCI US Equity","BS_DEFERRED_TAX_ASSETS_LT","FQ1 2021","FQ1 2021","Currency=USD","Period=FQ","BEST_FPERIOD_OVERRIDE=FQ","FILING_STATUS=MR","SCALING_FORMAT=MLN","Sort=A","Dates=H","DateFormat=P","Fill=—","Direction=H","UseDPDF=Y")</f>
        <v>0</v>
      </c>
      <c r="M30" s="13" t="str">
        <f>_xll.BDH("ITCI US Equity","BS_DEFERRED_TAX_ASSETS_LT","FQ2 2021","FQ2 2021","Currency=USD","Period=FQ","BEST_FPERIOD_OVERRIDE=FQ","FILING_STATUS=MR","SCALING_FORMAT=MLN","Sort=A","Dates=H","DateFormat=P","Fill=—","Direction=H","UseDPDF=Y")</f>
        <v>—</v>
      </c>
      <c r="N30" s="13" t="str">
        <f>_xll.BDH("ITCI US Equity","BS_DEFERRED_TAX_ASSETS_LT","FQ3 2021","FQ3 2021","Currency=USD","Period=FQ","BEST_FPERIOD_OVERRIDE=FQ","FILING_STATUS=MR","SCALING_FORMAT=MLN","Sort=A","Dates=H","DateFormat=P","Fill=—","Direction=H","UseDPDF=Y")</f>
        <v>—</v>
      </c>
      <c r="O30" s="13" t="str">
        <f>_xll.BDH("ITCI US Equity","BS_DEFERRED_TAX_ASSETS_LT","FQ4 2021","FQ4 2021","Currency=USD","Period=FQ","BEST_FPERIOD_OVERRIDE=FQ","FILING_STATUS=MR","SCALING_FORMAT=MLN","Sort=A","Dates=H","DateFormat=P","Fill=—","Direction=H","UseDPDF=Y")</f>
        <v>—</v>
      </c>
      <c r="P30" s="13">
        <f>_xll.BDH("ITCI US Equity","BS_DEFERRED_TAX_ASSETS_LT","FQ1 2022","FQ1 2022","Currency=USD","Period=FQ","BEST_FPERIOD_OVERRIDE=FQ","FILING_STATUS=MR","SCALING_FORMAT=MLN","Sort=A","Dates=H","DateFormat=P","Fill=—","Direction=H","UseDPDF=Y")</f>
        <v>0</v>
      </c>
      <c r="Q30" s="13">
        <f>_xll.BDH("ITCI US Equity","BS_DEFERRED_TAX_ASSETS_LT","FQ2 2022","FQ2 2022","Currency=USD","Period=FQ","BEST_FPERIOD_OVERRIDE=FQ","FILING_STATUS=MR","SCALING_FORMAT=MLN","Sort=A","Dates=H","DateFormat=P","Fill=—","Direction=H","UseDPDF=Y")</f>
        <v>0</v>
      </c>
      <c r="R30" s="13" t="str">
        <f>_xll.BDH("ITCI US Equity","BS_DEFERRED_TAX_ASSETS_LT","FQ3 2022","FQ3 2022","Currency=USD","Period=FQ","BEST_FPERIOD_OVERRIDE=FQ","FILING_STATUS=MR","SCALING_FORMAT=MLN","Sort=A","Dates=H","DateFormat=P","Fill=—","Direction=H","UseDPDF=Y")</f>
        <v>—</v>
      </c>
      <c r="S30" s="13" t="str">
        <f>_xll.BDH("ITCI US Equity","BS_DEFERRED_TAX_ASSETS_LT","FQ4 2022","FQ4 2022","Currency=USD","Period=FQ","BEST_FPERIOD_OVERRIDE=FQ","FILING_STATUS=MR","SCALING_FORMAT=MLN","Sort=A","Dates=H","DateFormat=P","Fill=—","Direction=H","UseDPDF=Y")</f>
        <v>—</v>
      </c>
      <c r="T30" s="13">
        <f>_xll.BDH("ITCI US Equity","BS_DEFERRED_TAX_ASSETS_LT","FQ1 2023","FQ1 2023","Currency=USD","Period=FQ","BEST_FPERIOD_OVERRIDE=FQ","FILING_STATUS=MR","SCALING_FORMAT=MLN","Sort=A","Dates=H","DateFormat=P","Fill=—","Direction=H","UseDPDF=Y")</f>
        <v>0</v>
      </c>
      <c r="U30" s="13" t="str">
        <f>_xll.BDH("ITCI US Equity","BS_DEFERRED_TAX_ASSETS_LT","FQ2 2023","FQ2 2023","Currency=USD","Period=FQ","BEST_FPERIOD_OVERRIDE=FQ","FILING_STATUS=MR","SCALING_FORMAT=MLN","Sort=A","Dates=H","DateFormat=P","Fill=—","Direction=H","UseDPDF=Y")</f>
        <v>—</v>
      </c>
      <c r="V30" s="13" t="str">
        <f>_xll.BDH("ITCI US Equity","BS_DEFERRED_TAX_ASSETS_LT","FQ3 2023","FQ3 2023","Currency=USD","Period=FQ","BEST_FPERIOD_OVERRIDE=FQ","FILING_STATUS=MR","SCALING_FORMAT=MLN","Sort=A","Dates=H","DateFormat=P","Fill=—","Direction=H","UseDPDF=Y")</f>
        <v>—</v>
      </c>
      <c r="W30" s="13" t="str">
        <f>_xll.BDH("ITCI US Equity","BS_DEFERRED_TAX_ASSETS_LT","FQ4 2023","FQ4 2023","Currency=USD","Period=FQ","BEST_FPERIOD_OVERRIDE=FQ","FILING_STATUS=MR","SCALING_FORMAT=MLN","Sort=A","Dates=H","DateFormat=P","Fill=—","Direction=H","UseDPDF=Y")</f>
        <v>—</v>
      </c>
      <c r="X30" s="13">
        <f>_xll.BDH("ITCI US Equity","BS_DEFERRED_TAX_ASSETS_LT","FQ1 2024","FQ1 2024","Currency=USD","Period=FQ","BEST_FPERIOD_OVERRIDE=FQ","FILING_STATUS=MR","SCALING_FORMAT=MLN","Sort=A","Dates=H","DateFormat=P","Fill=—","Direction=H","UseDPDF=Y")</f>
        <v>0</v>
      </c>
      <c r="Y30" s="13" t="str">
        <f>_xll.BDH("ITCI US Equity","BS_DEFERRED_TAX_ASSETS_LT","FQ2 2024","FQ2 2024","Currency=USD","Period=FQ","BEST_FPERIOD_OVERRIDE=FQ","FILING_STATUS=MR","SCALING_FORMAT=MLN","Sort=A","Dates=H","DateFormat=P","Fill=—","Direction=H","UseDPDF=Y")</f>
        <v>—</v>
      </c>
      <c r="Z30" s="13" t="str">
        <f>_xll.BDH("ITCI US Equity","BS_DEFERRED_TAX_ASSETS_LT","FQ3 2024","FQ3 2024","Currency=USD","Period=FQ","BEST_FPERIOD_OVERRIDE=FQ","FILING_STATUS=MR","SCALING_FORMAT=MLN","Sort=A","Dates=H","DateFormat=P","Fill=—","Direction=H","UseDPDF=Y")</f>
        <v>—</v>
      </c>
      <c r="AA30" s="13" t="str">
        <f>_xll.BDH("ITCI US Equity","BS_DEFERRED_TAX_ASSETS_LT","FQ4 2024","FQ4 2024","Currency=USD","Period=FQ","BEST_FPERIOD_OVERRIDE=FQ","FILING_STATUS=MR","SCALING_FORMAT=MLN","Sort=A","Dates=H","DateFormat=P","Fill=—","Direction=H","UseDPDF=Y")</f>
        <v>—</v>
      </c>
    </row>
    <row r="31" spans="1:27" x14ac:dyDescent="0.25">
      <c r="A31" s="10" t="s">
        <v>565</v>
      </c>
      <c r="B31" s="10" t="s">
        <v>587</v>
      </c>
      <c r="C31" s="13">
        <f>_xll.BDH("ITCI US Equity","BS_DERIV_HEDGING_ASST_LT","FQ4 2018","FQ4 2018","Currency=USD","Period=FQ","BEST_FPERIOD_OVERRIDE=FQ","FILING_STATUS=MR","SCALING_FORMAT=MLN","Sort=A","Dates=H","DateFormat=P","Fill=—","Direction=H","UseDPDF=Y")</f>
        <v>0</v>
      </c>
      <c r="D31" s="13" t="str">
        <f>_xll.BDH("ITCI US Equity","BS_DERIV_HEDGING_ASST_LT","FQ1 2019","FQ1 2019","Currency=USD","Period=FQ","BEST_FPERIOD_OVERRIDE=FQ","FILING_STATUS=MR","SCALING_FORMAT=MLN","Sort=A","Dates=H","DateFormat=P","Fill=—","Direction=H","UseDPDF=Y")</f>
        <v>—</v>
      </c>
      <c r="E31" s="13" t="str">
        <f>_xll.BDH("ITCI US Equity","BS_DERIV_HEDGING_ASST_LT","FQ2 2019","FQ2 2019","Currency=USD","Period=FQ","BEST_FPERIOD_OVERRIDE=FQ","FILING_STATUS=MR","SCALING_FORMAT=MLN","Sort=A","Dates=H","DateFormat=P","Fill=—","Direction=H","UseDPDF=Y")</f>
        <v>—</v>
      </c>
      <c r="F31" s="13" t="str">
        <f>_xll.BDH("ITCI US Equity","BS_DERIV_HEDGING_ASST_LT","FQ3 2019","FQ3 2019","Currency=USD","Period=FQ","BEST_FPERIOD_OVERRIDE=FQ","FILING_STATUS=MR","SCALING_FORMAT=MLN","Sort=A","Dates=H","DateFormat=P","Fill=—","Direction=H","UseDPDF=Y")</f>
        <v>—</v>
      </c>
      <c r="G31" s="13">
        <f>_xll.BDH("ITCI US Equity","BS_DERIV_HEDGING_ASST_LT","FQ4 2019","FQ4 2019","Currency=USD","Period=FQ","BEST_FPERIOD_OVERRIDE=FQ","FILING_STATUS=MR","SCALING_FORMAT=MLN","Sort=A","Dates=H","DateFormat=P","Fill=—","Direction=H","UseDPDF=Y")</f>
        <v>0</v>
      </c>
      <c r="H31" s="13" t="str">
        <f>_xll.BDH("ITCI US Equity","BS_DERIV_HEDGING_ASST_LT","FQ1 2020","FQ1 2020","Currency=USD","Period=FQ","BEST_FPERIOD_OVERRIDE=FQ","FILING_STATUS=MR","SCALING_FORMAT=MLN","Sort=A","Dates=H","DateFormat=P","Fill=—","Direction=H","UseDPDF=Y")</f>
        <v>—</v>
      </c>
      <c r="I31" s="13" t="str">
        <f>_xll.BDH("ITCI US Equity","BS_DERIV_HEDGING_ASST_LT","FQ2 2020","FQ2 2020","Currency=USD","Period=FQ","BEST_FPERIOD_OVERRIDE=FQ","FILING_STATUS=MR","SCALING_FORMAT=MLN","Sort=A","Dates=H","DateFormat=P","Fill=—","Direction=H","UseDPDF=Y")</f>
        <v>—</v>
      </c>
      <c r="J31" s="13" t="str">
        <f>_xll.BDH("ITCI US Equity","BS_DERIV_HEDGING_ASST_LT","FQ3 2020","FQ3 2020","Currency=USD","Period=FQ","BEST_FPERIOD_OVERRIDE=FQ","FILING_STATUS=MR","SCALING_FORMAT=MLN","Sort=A","Dates=H","DateFormat=P","Fill=—","Direction=H","UseDPDF=Y")</f>
        <v>—</v>
      </c>
      <c r="K31" s="13">
        <f>_xll.BDH("ITCI US Equity","BS_DERIV_HEDGING_ASST_LT","FQ4 2020","FQ4 2020","Currency=USD","Period=FQ","BEST_FPERIOD_OVERRIDE=FQ","FILING_STATUS=MR","SCALING_FORMAT=MLN","Sort=A","Dates=H","DateFormat=P","Fill=—","Direction=H","UseDPDF=Y")</f>
        <v>0</v>
      </c>
      <c r="L31" s="13" t="str">
        <f>_xll.BDH("ITCI US Equity","BS_DERIV_HEDGING_ASST_LT","FQ1 2021","FQ1 2021","Currency=USD","Period=FQ","BEST_FPERIOD_OVERRIDE=FQ","FILING_STATUS=MR","SCALING_FORMAT=MLN","Sort=A","Dates=H","DateFormat=P","Fill=—","Direction=H","UseDPDF=Y")</f>
        <v>—</v>
      </c>
      <c r="M31" s="13" t="str">
        <f>_xll.BDH("ITCI US Equity","BS_DERIV_HEDGING_ASST_LT","FQ2 2021","FQ2 2021","Currency=USD","Period=FQ","BEST_FPERIOD_OVERRIDE=FQ","FILING_STATUS=MR","SCALING_FORMAT=MLN","Sort=A","Dates=H","DateFormat=P","Fill=—","Direction=H","UseDPDF=Y")</f>
        <v>—</v>
      </c>
      <c r="N31" s="13" t="str">
        <f>_xll.BDH("ITCI US Equity","BS_DERIV_HEDGING_ASST_LT","FQ3 2021","FQ3 2021","Currency=USD","Period=FQ","BEST_FPERIOD_OVERRIDE=FQ","FILING_STATUS=MR","SCALING_FORMAT=MLN","Sort=A","Dates=H","DateFormat=P","Fill=—","Direction=H","UseDPDF=Y")</f>
        <v>—</v>
      </c>
      <c r="O31" s="13" t="str">
        <f>_xll.BDH("ITCI US Equity","BS_DERIV_HEDGING_ASST_LT","FQ4 2021","FQ4 2021","Currency=USD","Period=FQ","BEST_FPERIOD_OVERRIDE=FQ","FILING_STATUS=MR","SCALING_FORMAT=MLN","Sort=A","Dates=H","DateFormat=P","Fill=—","Direction=H","UseDPDF=Y")</f>
        <v>—</v>
      </c>
      <c r="P31" s="13" t="str">
        <f>_xll.BDH("ITCI US Equity","BS_DERIV_HEDGING_ASST_LT","FQ1 2022","FQ1 2022","Currency=USD","Period=FQ","BEST_FPERIOD_OVERRIDE=FQ","FILING_STATUS=MR","SCALING_FORMAT=MLN","Sort=A","Dates=H","DateFormat=P","Fill=—","Direction=H","UseDPDF=Y")</f>
        <v>—</v>
      </c>
      <c r="Q31" s="13" t="str">
        <f>_xll.BDH("ITCI US Equity","BS_DERIV_HEDGING_ASST_LT","FQ2 2022","FQ2 2022","Currency=USD","Period=FQ","BEST_FPERIOD_OVERRIDE=FQ","FILING_STATUS=MR","SCALING_FORMAT=MLN","Sort=A","Dates=H","DateFormat=P","Fill=—","Direction=H","UseDPDF=Y")</f>
        <v>—</v>
      </c>
      <c r="R31" s="13" t="str">
        <f>_xll.BDH("ITCI US Equity","BS_DERIV_HEDGING_ASST_LT","FQ3 2022","FQ3 2022","Currency=USD","Period=FQ","BEST_FPERIOD_OVERRIDE=FQ","FILING_STATUS=MR","SCALING_FORMAT=MLN","Sort=A","Dates=H","DateFormat=P","Fill=—","Direction=H","UseDPDF=Y")</f>
        <v>—</v>
      </c>
      <c r="S31" s="13">
        <f>_xll.BDH("ITCI US Equity","BS_DERIV_HEDGING_ASST_LT","FQ4 2022","FQ4 2022","Currency=USD","Period=FQ","BEST_FPERIOD_OVERRIDE=FQ","FILING_STATUS=MR","SCALING_FORMAT=MLN","Sort=A","Dates=H","DateFormat=P","Fill=—","Direction=H","UseDPDF=Y")</f>
        <v>0</v>
      </c>
      <c r="T31" s="13" t="str">
        <f>_xll.BDH("ITCI US Equity","BS_DERIV_HEDGING_ASST_LT","FQ1 2023","FQ1 2023","Currency=USD","Period=FQ","BEST_FPERIOD_OVERRIDE=FQ","FILING_STATUS=MR","SCALING_FORMAT=MLN","Sort=A","Dates=H","DateFormat=P","Fill=—","Direction=H","UseDPDF=Y")</f>
        <v>—</v>
      </c>
      <c r="U31" s="13" t="str">
        <f>_xll.BDH("ITCI US Equity","BS_DERIV_HEDGING_ASST_LT","FQ2 2023","FQ2 2023","Currency=USD","Period=FQ","BEST_FPERIOD_OVERRIDE=FQ","FILING_STATUS=MR","SCALING_FORMAT=MLN","Sort=A","Dates=H","DateFormat=P","Fill=—","Direction=H","UseDPDF=Y")</f>
        <v>—</v>
      </c>
      <c r="V31" s="13" t="str">
        <f>_xll.BDH("ITCI US Equity","BS_DERIV_HEDGING_ASST_LT","FQ3 2023","FQ3 2023","Currency=USD","Period=FQ","BEST_FPERIOD_OVERRIDE=FQ","FILING_STATUS=MR","SCALING_FORMAT=MLN","Sort=A","Dates=H","DateFormat=P","Fill=—","Direction=H","UseDPDF=Y")</f>
        <v>—</v>
      </c>
      <c r="W31" s="13">
        <f>_xll.BDH("ITCI US Equity","BS_DERIV_HEDGING_ASST_LT","FQ4 2023","FQ4 2023","Currency=USD","Period=FQ","BEST_FPERIOD_OVERRIDE=FQ","FILING_STATUS=MR","SCALING_FORMAT=MLN","Sort=A","Dates=H","DateFormat=P","Fill=—","Direction=H","UseDPDF=Y")</f>
        <v>0</v>
      </c>
      <c r="X31" s="13" t="str">
        <f>_xll.BDH("ITCI US Equity","BS_DERIV_HEDGING_ASST_LT","FQ1 2024","FQ1 2024","Currency=USD","Period=FQ","BEST_FPERIOD_OVERRIDE=FQ","FILING_STATUS=MR","SCALING_FORMAT=MLN","Sort=A","Dates=H","DateFormat=P","Fill=—","Direction=H","UseDPDF=Y")</f>
        <v>—</v>
      </c>
      <c r="Y31" s="13" t="str">
        <f>_xll.BDH("ITCI US Equity","BS_DERIV_HEDGING_ASST_LT","FQ2 2024","FQ2 2024","Currency=USD","Period=FQ","BEST_FPERIOD_OVERRIDE=FQ","FILING_STATUS=MR","SCALING_FORMAT=MLN","Sort=A","Dates=H","DateFormat=P","Fill=—","Direction=H","UseDPDF=Y")</f>
        <v>—</v>
      </c>
      <c r="Z31" s="13" t="str">
        <f>_xll.BDH("ITCI US Equity","BS_DERIV_HEDGING_ASST_LT","FQ3 2024","FQ3 2024","Currency=USD","Period=FQ","BEST_FPERIOD_OVERRIDE=FQ","FILING_STATUS=MR","SCALING_FORMAT=MLN","Sort=A","Dates=H","DateFormat=P","Fill=—","Direction=H","UseDPDF=Y")</f>
        <v>—</v>
      </c>
      <c r="AA31" s="13">
        <f>_xll.BDH("ITCI US Equity","BS_DERIV_HEDGING_ASST_LT","FQ4 2024","FQ4 2024","Currency=USD","Period=FQ","BEST_FPERIOD_OVERRIDE=FQ","FILING_STATUS=MR","SCALING_FORMAT=MLN","Sort=A","Dates=H","DateFormat=P","Fill=—","Direction=H","UseDPDF=Y")</f>
        <v>0</v>
      </c>
    </row>
    <row r="32" spans="1:27" x14ac:dyDescent="0.25">
      <c r="A32" s="10" t="s">
        <v>588</v>
      </c>
      <c r="B32" s="10" t="s">
        <v>589</v>
      </c>
      <c r="C32" s="13">
        <f>_xll.BDH("ITCI US Equity","OTHER_NONCURRENT_ASSETS_DETAILED","FQ4 2018","FQ4 2018","Currency=USD","Period=FQ","BEST_FPERIOD_OVERRIDE=FQ","FILING_STATUS=MR","SCALING_FORMAT=MLN","Sort=A","Dates=H","DateFormat=P","Fill=—","Direction=H","UseDPDF=Y")</f>
        <v>7.8799999999999995E-2</v>
      </c>
      <c r="D32" s="13">
        <f>_xll.BDH("ITCI US Equity","OTHER_NONCURRENT_ASSETS_DETAILED","FQ1 2019","FQ1 2019","Currency=USD","Period=FQ","BEST_FPERIOD_OVERRIDE=FQ","FILING_STATUS=MR","SCALING_FORMAT=MLN","Sort=A","Dates=H","DateFormat=P","Fill=—","Direction=H","UseDPDF=Y")</f>
        <v>8.6099999999999996E-2</v>
      </c>
      <c r="E32" s="13">
        <f>_xll.BDH("ITCI US Equity","OTHER_NONCURRENT_ASSETS_DETAILED","FQ2 2019","FQ2 2019","Currency=USD","Period=FQ","BEST_FPERIOD_OVERRIDE=FQ","FILING_STATUS=MR","SCALING_FORMAT=MLN","Sort=A","Dates=H","DateFormat=P","Fill=—","Direction=H","UseDPDF=Y")</f>
        <v>8.6099999999999996E-2</v>
      </c>
      <c r="F32" s="13">
        <f>_xll.BDH("ITCI US Equity","OTHER_NONCURRENT_ASSETS_DETAILED","FQ3 2019","FQ3 2019","Currency=USD","Period=FQ","BEST_FPERIOD_OVERRIDE=FQ","FILING_STATUS=MR","SCALING_FORMAT=MLN","Sort=A","Dates=H","DateFormat=P","Fill=—","Direction=H","UseDPDF=Y")</f>
        <v>8.6099999999999996E-2</v>
      </c>
      <c r="G32" s="13">
        <f>_xll.BDH("ITCI US Equity","OTHER_NONCURRENT_ASSETS_DETAILED","FQ4 2019","FQ4 2019","Currency=USD","Period=FQ","BEST_FPERIOD_OVERRIDE=FQ","FILING_STATUS=MR","SCALING_FORMAT=MLN","Sort=A","Dates=H","DateFormat=P","Fill=—","Direction=H","UseDPDF=Y")</f>
        <v>8.6099999999999996E-2</v>
      </c>
      <c r="H32" s="13">
        <f>_xll.BDH("ITCI US Equity","OTHER_NONCURRENT_ASSETS_DETAILED","FQ1 2020","FQ1 2020","Currency=USD","Period=FQ","BEST_FPERIOD_OVERRIDE=FQ","FILING_STATUS=MR","SCALING_FORMAT=MLN","Sort=A","Dates=H","DateFormat=P","Fill=—","Direction=H","UseDPDF=Y")</f>
        <v>8.6099999999999996E-2</v>
      </c>
      <c r="I32" s="13">
        <f>_xll.BDH("ITCI US Equity","OTHER_NONCURRENT_ASSETS_DETAILED","FQ2 2020","FQ2 2020","Currency=USD","Period=FQ","BEST_FPERIOD_OVERRIDE=FQ","FILING_STATUS=MR","SCALING_FORMAT=MLN","Sort=A","Dates=H","DateFormat=P","Fill=—","Direction=H","UseDPDF=Y")</f>
        <v>8.6099999999999996E-2</v>
      </c>
      <c r="J32" s="13">
        <f>_xll.BDH("ITCI US Equity","OTHER_NONCURRENT_ASSETS_DETAILED","FQ3 2020","FQ3 2020","Currency=USD","Period=FQ","BEST_FPERIOD_OVERRIDE=FQ","FILING_STATUS=MR","SCALING_FORMAT=MLN","Sort=A","Dates=H","DateFormat=P","Fill=—","Direction=H","UseDPDF=Y")</f>
        <v>8.6099999999999996E-2</v>
      </c>
      <c r="K32" s="13">
        <f>_xll.BDH("ITCI US Equity","OTHER_NONCURRENT_ASSETS_DETAILED","FQ4 2020","FQ4 2020","Currency=USD","Period=FQ","BEST_FPERIOD_OVERRIDE=FQ","FILING_STATUS=MR","SCALING_FORMAT=MLN","Sort=A","Dates=H","DateFormat=P","Fill=—","Direction=H","UseDPDF=Y")</f>
        <v>8.6099999999999996E-2</v>
      </c>
      <c r="L32" s="13">
        <f>_xll.BDH("ITCI US Equity","OTHER_NONCURRENT_ASSETS_DETAILED","FQ1 2021","FQ1 2021","Currency=USD","Period=FQ","BEST_FPERIOD_OVERRIDE=FQ","FILING_STATUS=MR","SCALING_FORMAT=MLN","Sort=A","Dates=H","DateFormat=P","Fill=—","Direction=H","UseDPDF=Y")</f>
        <v>8.6099999999999996E-2</v>
      </c>
      <c r="M32" s="13">
        <f>_xll.BDH("ITCI US Equity","OTHER_NONCURRENT_ASSETS_DETAILED","FQ2 2021","FQ2 2021","Currency=USD","Period=FQ","BEST_FPERIOD_OVERRIDE=FQ","FILING_STATUS=MR","SCALING_FORMAT=MLN","Sort=A","Dates=H","DateFormat=P","Fill=—","Direction=H","UseDPDF=Y")</f>
        <v>8.6099999999999996E-2</v>
      </c>
      <c r="N32" s="13">
        <f>_xll.BDH("ITCI US Equity","OTHER_NONCURRENT_ASSETS_DETAILED","FQ3 2021","FQ3 2021","Currency=USD","Period=FQ","BEST_FPERIOD_OVERRIDE=FQ","FILING_STATUS=MR","SCALING_FORMAT=MLN","Sort=A","Dates=H","DateFormat=P","Fill=—","Direction=H","UseDPDF=Y")</f>
        <v>8.6099999999999996E-2</v>
      </c>
      <c r="O32" s="13">
        <f>_xll.BDH("ITCI US Equity","OTHER_NONCURRENT_ASSETS_DETAILED","FQ4 2021","FQ4 2021","Currency=USD","Period=FQ","BEST_FPERIOD_OVERRIDE=FQ","FILING_STATUS=MR","SCALING_FORMAT=MLN","Sort=A","Dates=H","DateFormat=P","Fill=—","Direction=H","UseDPDF=Y")</f>
        <v>8.6099999999999996E-2</v>
      </c>
      <c r="P32" s="13">
        <f>_xll.BDH("ITCI US Equity","OTHER_NONCURRENT_ASSETS_DETAILED","FQ1 2022","FQ1 2022","Currency=USD","Period=FQ","BEST_FPERIOD_OVERRIDE=FQ","FILING_STATUS=MR","SCALING_FORMAT=MLN","Sort=A","Dates=H","DateFormat=P","Fill=—","Direction=H","UseDPDF=Y")</f>
        <v>8.5999999999999993E-2</v>
      </c>
      <c r="Q32" s="13">
        <f>_xll.BDH("ITCI US Equity","OTHER_NONCURRENT_ASSETS_DETAILED","FQ2 2022","FQ2 2022","Currency=USD","Period=FQ","BEST_FPERIOD_OVERRIDE=FQ","FILING_STATUS=MR","SCALING_FORMAT=MLN","Sort=A","Dates=H","DateFormat=P","Fill=—","Direction=H","UseDPDF=Y")</f>
        <v>8.5999999999999993E-2</v>
      </c>
      <c r="R32" s="13">
        <f>_xll.BDH("ITCI US Equity","OTHER_NONCURRENT_ASSETS_DETAILED","FQ3 2022","FQ3 2022","Currency=USD","Period=FQ","BEST_FPERIOD_OVERRIDE=FQ","FILING_STATUS=MR","SCALING_FORMAT=MLN","Sort=A","Dates=H","DateFormat=P","Fill=—","Direction=H","UseDPDF=Y")</f>
        <v>8.5999999999999993E-2</v>
      </c>
      <c r="S32" s="13">
        <f>_xll.BDH("ITCI US Equity","OTHER_NONCURRENT_ASSETS_DETAILED","FQ4 2022","FQ4 2022","Currency=USD","Period=FQ","BEST_FPERIOD_OVERRIDE=FQ","FILING_STATUS=MR","SCALING_FORMAT=MLN","Sort=A","Dates=H","DateFormat=P","Fill=—","Direction=H","UseDPDF=Y")</f>
        <v>8.5999999999999993E-2</v>
      </c>
      <c r="T32" s="13">
        <f>_xll.BDH("ITCI US Equity","OTHER_NONCURRENT_ASSETS_DETAILED","FQ1 2023","FQ1 2023","Currency=USD","Period=FQ","BEST_FPERIOD_OVERRIDE=FQ","FILING_STATUS=MR","SCALING_FORMAT=MLN","Sort=A","Dates=H","DateFormat=P","Fill=—","Direction=H","UseDPDF=Y")</f>
        <v>8.5999999999999993E-2</v>
      </c>
      <c r="U32" s="13">
        <f>_xll.BDH("ITCI US Equity","OTHER_NONCURRENT_ASSETS_DETAILED","FQ2 2023","FQ2 2023","Currency=USD","Period=FQ","BEST_FPERIOD_OVERRIDE=FQ","FILING_STATUS=MR","SCALING_FORMAT=MLN","Sort=A","Dates=H","DateFormat=P","Fill=—","Direction=H","UseDPDF=Y")</f>
        <v>8.5999999999999993E-2</v>
      </c>
      <c r="V32" s="13">
        <f>_xll.BDH("ITCI US Equity","OTHER_NONCURRENT_ASSETS_DETAILED","FQ3 2023","FQ3 2023","Currency=USD","Period=FQ","BEST_FPERIOD_OVERRIDE=FQ","FILING_STATUS=MR","SCALING_FORMAT=MLN","Sort=A","Dates=H","DateFormat=P","Fill=—","Direction=H","UseDPDF=Y")</f>
        <v>8.5999999999999993E-2</v>
      </c>
      <c r="W32" s="13">
        <f>_xll.BDH("ITCI US Equity","OTHER_NONCURRENT_ASSETS_DETAILED","FQ4 2023","FQ4 2023","Currency=USD","Period=FQ","BEST_FPERIOD_OVERRIDE=FQ","FILING_STATUS=MR","SCALING_FORMAT=MLN","Sort=A","Dates=H","DateFormat=P","Fill=—","Direction=H","UseDPDF=Y")</f>
        <v>45.914000000000001</v>
      </c>
      <c r="X32" s="13">
        <f>_xll.BDH("ITCI US Equity","OTHER_NONCURRENT_ASSETS_DETAILED","FQ1 2024","FQ1 2024","Currency=USD","Period=FQ","BEST_FPERIOD_OVERRIDE=FQ","FILING_STATUS=MR","SCALING_FORMAT=MLN","Sort=A","Dates=H","DateFormat=P","Fill=—","Direction=H","UseDPDF=Y")</f>
        <v>42.506</v>
      </c>
      <c r="Y32" s="13">
        <f>_xll.BDH("ITCI US Equity","OTHER_NONCURRENT_ASSETS_DETAILED","FQ2 2024","FQ2 2024","Currency=USD","Period=FQ","BEST_FPERIOD_OVERRIDE=FQ","FILING_STATUS=MR","SCALING_FORMAT=MLN","Sort=A","Dates=H","DateFormat=P","Fill=—","Direction=H","UseDPDF=Y")</f>
        <v>40.301000000000002</v>
      </c>
      <c r="Z32" s="13">
        <f>_xll.BDH("ITCI US Equity","OTHER_NONCURRENT_ASSETS_DETAILED","FQ3 2024","FQ3 2024","Currency=USD","Period=FQ","BEST_FPERIOD_OVERRIDE=FQ","FILING_STATUS=MR","SCALING_FORMAT=MLN","Sort=A","Dates=H","DateFormat=P","Fill=—","Direction=H","UseDPDF=Y")</f>
        <v>36.698</v>
      </c>
      <c r="AA32" s="13">
        <f>_xll.BDH("ITCI US Equity","OTHER_NONCURRENT_ASSETS_DETAILED","FQ4 2024","FQ4 2024","Currency=USD","Period=FQ","BEST_FPERIOD_OVERRIDE=FQ","FILING_STATUS=MR","SCALING_FORMAT=MLN","Sort=A","Dates=H","DateFormat=P","Fill=—","Direction=H","UseDPDF=Y")</f>
        <v>44.652000000000001</v>
      </c>
    </row>
    <row r="33" spans="1:27" x14ac:dyDescent="0.25">
      <c r="A33" s="6" t="s">
        <v>590</v>
      </c>
      <c r="B33" s="6" t="s">
        <v>591</v>
      </c>
      <c r="C33" s="19">
        <f>_xll.BDH("ITCI US Equity","BS_TOT_NON_CUR_ASSET","FQ4 2018","FQ4 2018","Currency=USD","Period=FQ","BEST_FPERIOD_OVERRIDE=FQ","FILING_STATUS=MR","SCALING_FORMAT=MLN","Sort=A","Dates=H","DateFormat=P","Fill=—","Direction=H","UseDPDF=Y")</f>
        <v>1.7678</v>
      </c>
      <c r="D33" s="19">
        <f>_xll.BDH("ITCI US Equity","BS_TOT_NON_CUR_ASSET","FQ1 2019","FQ1 2019","Currency=USD","Period=FQ","BEST_FPERIOD_OVERRIDE=FQ","FILING_STATUS=MR","SCALING_FORMAT=MLN","Sort=A","Dates=H","DateFormat=P","Fill=—","Direction=H","UseDPDF=Y")</f>
        <v>21.845199999999998</v>
      </c>
      <c r="E33" s="19">
        <f>_xll.BDH("ITCI US Equity","BS_TOT_NON_CUR_ASSET","FQ2 2019","FQ2 2019","Currency=USD","Period=FQ","BEST_FPERIOD_OVERRIDE=FQ","FILING_STATUS=MR","SCALING_FORMAT=MLN","Sort=A","Dates=H","DateFormat=P","Fill=—","Direction=H","UseDPDF=Y")</f>
        <v>21.520700000000001</v>
      </c>
      <c r="F33" s="19">
        <f>_xll.BDH("ITCI US Equity","BS_TOT_NON_CUR_ASSET","FQ3 2019","FQ3 2019","Currency=USD","Period=FQ","BEST_FPERIOD_OVERRIDE=FQ","FILING_STATUS=MR","SCALING_FORMAT=MLN","Sort=A","Dates=H","DateFormat=P","Fill=—","Direction=H","UseDPDF=Y")</f>
        <v>21.066099999999999</v>
      </c>
      <c r="G33" s="19">
        <f>_xll.BDH("ITCI US Equity","BS_TOT_NON_CUR_ASSET","FQ4 2019","FQ4 2019","Currency=USD","Period=FQ","BEST_FPERIOD_OVERRIDE=FQ","FILING_STATUS=MR","SCALING_FORMAT=MLN","Sort=A","Dates=H","DateFormat=P","Fill=—","Direction=H","UseDPDF=Y")</f>
        <v>20.862500000000001</v>
      </c>
      <c r="H33" s="19">
        <f>_xll.BDH("ITCI US Equity","BS_TOT_NON_CUR_ASSET","FQ1 2020","FQ1 2020","Currency=USD","Period=FQ","BEST_FPERIOD_OVERRIDE=FQ","FILING_STATUS=MR","SCALING_FORMAT=MLN","Sort=A","Dates=H","DateFormat=P","Fill=—","Direction=H","UseDPDF=Y")</f>
        <v>20.270199999999999</v>
      </c>
      <c r="I33" s="19">
        <f>_xll.BDH("ITCI US Equity","BS_TOT_NON_CUR_ASSET","FQ2 2020","FQ2 2020","Currency=USD","Period=FQ","BEST_FPERIOD_OVERRIDE=FQ","FILING_STATUS=MR","SCALING_FORMAT=MLN","Sort=A","Dates=H","DateFormat=P","Fill=—","Direction=H","UseDPDF=Y")</f>
        <v>22.357399999999998</v>
      </c>
      <c r="J33" s="19">
        <f>_xll.BDH("ITCI US Equity","BS_TOT_NON_CUR_ASSET","FQ3 2020","FQ3 2020","Currency=USD","Period=FQ","BEST_FPERIOD_OVERRIDE=FQ","FILING_STATUS=MR","SCALING_FORMAT=MLN","Sort=A","Dates=H","DateFormat=P","Fill=—","Direction=H","UseDPDF=Y")</f>
        <v>26.427800000000001</v>
      </c>
      <c r="K33" s="19">
        <f>_xll.BDH("ITCI US Equity","BS_TOT_NON_CUR_ASSET","FQ4 2020","FQ4 2020","Currency=USD","Period=FQ","BEST_FPERIOD_OVERRIDE=FQ","FILING_STATUS=MR","SCALING_FORMAT=MLN","Sort=A","Dates=H","DateFormat=P","Fill=—","Direction=H","UseDPDF=Y")</f>
        <v>26.409199999999998</v>
      </c>
      <c r="L33" s="19">
        <f>_xll.BDH("ITCI US Equity","BS_TOT_NON_CUR_ASSET","FQ1 2021","FQ1 2021","Currency=USD","Period=FQ","BEST_FPERIOD_OVERRIDE=FQ","FILING_STATUS=MR","SCALING_FORMAT=MLN","Sort=A","Dates=H","DateFormat=P","Fill=—","Direction=H","UseDPDF=Y")</f>
        <v>25.388100000000001</v>
      </c>
      <c r="M33" s="19">
        <f>_xll.BDH("ITCI US Equity","BS_TOT_NON_CUR_ASSET","FQ2 2021","FQ2 2021","Currency=USD","Period=FQ","BEST_FPERIOD_OVERRIDE=FQ","FILING_STATUS=MR","SCALING_FORMAT=MLN","Sort=A","Dates=H","DateFormat=P","Fill=—","Direction=H","UseDPDF=Y")</f>
        <v>24.3934</v>
      </c>
      <c r="N33" s="19">
        <f>_xll.BDH("ITCI US Equity","BS_TOT_NON_CUR_ASSET","FQ3 2021","FQ3 2021","Currency=USD","Period=FQ","BEST_FPERIOD_OVERRIDE=FQ","FILING_STATUS=MR","SCALING_FORMAT=MLN","Sort=A","Dates=H","DateFormat=P","Fill=—","Direction=H","UseDPDF=Y")</f>
        <v>23.7331</v>
      </c>
      <c r="O33" s="19">
        <f>_xll.BDH("ITCI US Equity","BS_TOT_NON_CUR_ASSET","FQ4 2021","FQ4 2021","Currency=USD","Period=FQ","BEST_FPERIOD_OVERRIDE=FQ","FILING_STATUS=MR","SCALING_FORMAT=MLN","Sort=A","Dates=H","DateFormat=P","Fill=—","Direction=H","UseDPDF=Y")</f>
        <v>22.641300000000001</v>
      </c>
      <c r="P33" s="19">
        <f>_xll.BDH("ITCI US Equity","BS_TOT_NON_CUR_ASSET","FQ1 2022","FQ1 2022","Currency=USD","Period=FQ","BEST_FPERIOD_OVERRIDE=FQ","FILING_STATUS=MR","SCALING_FORMAT=MLN","Sort=A","Dates=H","DateFormat=P","Fill=—","Direction=H","UseDPDF=Y")</f>
        <v>20.238</v>
      </c>
      <c r="Q33" s="19">
        <f>_xll.BDH("ITCI US Equity","BS_TOT_NON_CUR_ASSET","FQ2 2022","FQ2 2022","Currency=USD","Period=FQ","BEST_FPERIOD_OVERRIDE=FQ","FILING_STATUS=MR","SCALING_FORMAT=MLN","Sort=A","Dates=H","DateFormat=P","Fill=—","Direction=H","UseDPDF=Y")</f>
        <v>22.7</v>
      </c>
      <c r="R33" s="19">
        <f>_xll.BDH("ITCI US Equity","BS_TOT_NON_CUR_ASSET","FQ3 2022","FQ3 2022","Currency=USD","Period=FQ","BEST_FPERIOD_OVERRIDE=FQ","FILING_STATUS=MR","SCALING_FORMAT=MLN","Sort=A","Dates=H","DateFormat=P","Fill=—","Direction=H","UseDPDF=Y")</f>
        <v>22.242999999999999</v>
      </c>
      <c r="S33" s="19">
        <f>_xll.BDH("ITCI US Equity","BS_TOT_NON_CUR_ASSET","FQ4 2022","FQ4 2022","Currency=USD","Period=FQ","BEST_FPERIOD_OVERRIDE=FQ","FILING_STATUS=MR","SCALING_FORMAT=MLN","Sort=A","Dates=H","DateFormat=P","Fill=—","Direction=H","UseDPDF=Y")</f>
        <v>16.823</v>
      </c>
      <c r="T33" s="19">
        <f>_xll.BDH("ITCI US Equity","BS_TOT_NON_CUR_ASSET","FQ1 2023","FQ1 2023","Currency=USD","Period=FQ","BEST_FPERIOD_OVERRIDE=FQ","FILING_STATUS=MR","SCALING_FORMAT=MLN","Sort=A","Dates=H","DateFormat=P","Fill=—","Direction=H","UseDPDF=Y")</f>
        <v>16.064</v>
      </c>
      <c r="U33" s="19">
        <f>_xll.BDH("ITCI US Equity","BS_TOT_NON_CUR_ASSET","FQ2 2023","FQ2 2023","Currency=USD","Period=FQ","BEST_FPERIOD_OVERRIDE=FQ","FILING_STATUS=MR","SCALING_FORMAT=MLN","Sort=A","Dates=H","DateFormat=P","Fill=—","Direction=H","UseDPDF=Y")</f>
        <v>15.529</v>
      </c>
      <c r="V33" s="19">
        <f>_xll.BDH("ITCI US Equity","BS_TOT_NON_CUR_ASSET","FQ3 2023","FQ3 2023","Currency=USD","Period=FQ","BEST_FPERIOD_OVERRIDE=FQ","FILING_STATUS=MR","SCALING_FORMAT=MLN","Sort=A","Dates=H","DateFormat=P","Fill=—","Direction=H","UseDPDF=Y")</f>
        <v>15.239000000000001</v>
      </c>
      <c r="W33" s="19">
        <f>_xll.BDH("ITCI US Equity","BS_TOT_NON_CUR_ASSET","FQ4 2023","FQ4 2023","Currency=USD","Period=FQ","BEST_FPERIOD_OVERRIDE=FQ","FILING_STATUS=MR","SCALING_FORMAT=MLN","Sort=A","Dates=H","DateFormat=P","Fill=—","Direction=H","UseDPDF=Y")</f>
        <v>60.496000000000002</v>
      </c>
      <c r="X33" s="19">
        <f>_xll.BDH("ITCI US Equity","BS_TOT_NON_CUR_ASSET","FQ1 2024","FQ1 2024","Currency=USD","Period=FQ","BEST_FPERIOD_OVERRIDE=FQ","FILING_STATUS=MR","SCALING_FORMAT=MLN","Sort=A","Dates=H","DateFormat=P","Fill=—","Direction=H","UseDPDF=Y")</f>
        <v>56.509</v>
      </c>
      <c r="Y33" s="19">
        <f>_xll.BDH("ITCI US Equity","BS_TOT_NON_CUR_ASSET","FQ2 2024","FQ2 2024","Currency=USD","Period=FQ","BEST_FPERIOD_OVERRIDE=FQ","FILING_STATUS=MR","SCALING_FORMAT=MLN","Sort=A","Dates=H","DateFormat=P","Fill=—","Direction=H","UseDPDF=Y")</f>
        <v>56.253</v>
      </c>
      <c r="Z33" s="19">
        <f>_xll.BDH("ITCI US Equity","BS_TOT_NON_CUR_ASSET","FQ3 2024","FQ3 2024","Currency=USD","Period=FQ","BEST_FPERIOD_OVERRIDE=FQ","FILING_STATUS=MR","SCALING_FORMAT=MLN","Sort=A","Dates=H","DateFormat=P","Fill=—","Direction=H","UseDPDF=Y")</f>
        <v>52.713999999999999</v>
      </c>
      <c r="AA33" s="19">
        <f>_xll.BDH("ITCI US Equity","BS_TOT_NON_CUR_ASSET","FQ4 2024","FQ4 2024","Currency=USD","Period=FQ","BEST_FPERIOD_OVERRIDE=FQ","FILING_STATUS=MR","SCALING_FORMAT=MLN","Sort=A","Dates=H","DateFormat=P","Fill=—","Direction=H","UseDPDF=Y")</f>
        <v>59.548000000000002</v>
      </c>
    </row>
    <row r="34" spans="1:27" x14ac:dyDescent="0.25">
      <c r="A34" s="6" t="s">
        <v>112</v>
      </c>
      <c r="B34" s="6" t="s">
        <v>113</v>
      </c>
      <c r="C34" s="19">
        <f>_xll.BDH("ITCI US Equity","BS_TOT_ASSET","FQ4 2018","FQ4 2018","Currency=USD","Period=FQ","BEST_FPERIOD_OVERRIDE=FQ","FILING_STATUS=MR","SCALING_FORMAT=MLN","Sort=A","Dates=H","DateFormat=P","Fill=—","Direction=H","UseDPDF=Y")</f>
        <v>357.20650000000001</v>
      </c>
      <c r="D34" s="19">
        <f>_xll.BDH("ITCI US Equity","BS_TOT_ASSET","FQ1 2019","FQ1 2019","Currency=USD","Period=FQ","BEST_FPERIOD_OVERRIDE=FQ","FILING_STATUS=MR","SCALING_FORMAT=MLN","Sort=A","Dates=H","DateFormat=P","Fill=—","Direction=H","UseDPDF=Y")</f>
        <v>342.97280000000001</v>
      </c>
      <c r="E34" s="19">
        <f>_xll.BDH("ITCI US Equity","BS_TOT_ASSET","FQ2 2019","FQ2 2019","Currency=USD","Period=FQ","BEST_FPERIOD_OVERRIDE=FQ","FILING_STATUS=MR","SCALING_FORMAT=MLN","Sort=A","Dates=H","DateFormat=P","Fill=—","Direction=H","UseDPDF=Y")</f>
        <v>309.86259999999999</v>
      </c>
      <c r="F34" s="19">
        <f>_xll.BDH("ITCI US Equity","BS_TOT_ASSET","FQ3 2019","FQ3 2019","Currency=USD","Period=FQ","BEST_FPERIOD_OVERRIDE=FQ","FILING_STATUS=MR","SCALING_FORMAT=MLN","Sort=A","Dates=H","DateFormat=P","Fill=—","Direction=H","UseDPDF=Y")</f>
        <v>280.52300000000002</v>
      </c>
      <c r="G34" s="19">
        <f>_xll.BDH("ITCI US Equity","BS_TOT_ASSET","FQ4 2019","FQ4 2019","Currency=USD","Period=FQ","BEST_FPERIOD_OVERRIDE=FQ","FILING_STATUS=MR","SCALING_FORMAT=MLN","Sort=A","Dates=H","DateFormat=P","Fill=—","Direction=H","UseDPDF=Y")</f>
        <v>251.1865</v>
      </c>
      <c r="H34" s="19">
        <f>_xll.BDH("ITCI US Equity","BS_TOT_ASSET","FQ1 2020","FQ1 2020","Currency=USD","Period=FQ","BEST_FPERIOD_OVERRIDE=FQ","FILING_STATUS=MR","SCALING_FORMAT=MLN","Sort=A","Dates=H","DateFormat=P","Fill=—","Direction=H","UseDPDF=Y")</f>
        <v>481.24270000000001</v>
      </c>
      <c r="I34" s="19">
        <f>_xll.BDH("ITCI US Equity","BS_TOT_ASSET","FQ2 2020","FQ2 2020","Currency=USD","Period=FQ","BEST_FPERIOD_OVERRIDE=FQ","FILING_STATUS=MR","SCALING_FORMAT=MLN","Sort=A","Dates=H","DateFormat=P","Fill=—","Direction=H","UseDPDF=Y")</f>
        <v>440.93079999999998</v>
      </c>
      <c r="J34" s="19">
        <f>_xll.BDH("ITCI US Equity","BS_TOT_ASSET","FQ3 2020","FQ3 2020","Currency=USD","Period=FQ","BEST_FPERIOD_OVERRIDE=FQ","FILING_STATUS=MR","SCALING_FORMAT=MLN","Sort=A","Dates=H","DateFormat=P","Fill=—","Direction=H","UseDPDF=Y")</f>
        <v>771.29380000000003</v>
      </c>
      <c r="K34" s="19">
        <f>_xll.BDH("ITCI US Equity","BS_TOT_ASSET","FQ4 2020","FQ4 2020","Currency=USD","Period=FQ","BEST_FPERIOD_OVERRIDE=FQ","FILING_STATUS=MR","SCALING_FORMAT=MLN","Sort=A","Dates=H","DateFormat=P","Fill=—","Direction=H","UseDPDF=Y")</f>
        <v>717.31370000000004</v>
      </c>
      <c r="L34" s="19">
        <f>_xll.BDH("ITCI US Equity","BS_TOT_ASSET","FQ1 2021","FQ1 2021","Currency=USD","Period=FQ","BEST_FPERIOD_OVERRIDE=FQ","FILING_STATUS=MR","SCALING_FORMAT=MLN","Sort=A","Dates=H","DateFormat=P","Fill=—","Direction=H","UseDPDF=Y")</f>
        <v>674.48860000000002</v>
      </c>
      <c r="M34" s="19">
        <f>_xll.BDH("ITCI US Equity","BS_TOT_ASSET","FQ2 2021","FQ2 2021","Currency=USD","Period=FQ","BEST_FPERIOD_OVERRIDE=FQ","FILING_STATUS=MR","SCALING_FORMAT=MLN","Sort=A","Dates=H","DateFormat=P","Fill=—","Direction=H","UseDPDF=Y")</f>
        <v>625.69669999999996</v>
      </c>
      <c r="N34" s="19">
        <f>_xll.BDH("ITCI US Equity","BS_TOT_ASSET","FQ3 2021","FQ3 2021","Currency=USD","Period=FQ","BEST_FPERIOD_OVERRIDE=FQ","FILING_STATUS=MR","SCALING_FORMAT=MLN","Sort=A","Dates=H","DateFormat=P","Fill=—","Direction=H","UseDPDF=Y")</f>
        <v>556.97569999999996</v>
      </c>
      <c r="O34" s="19">
        <f>_xll.BDH("ITCI US Equity","BS_TOT_ASSET","FQ4 2021","FQ4 2021","Currency=USD","Period=FQ","BEST_FPERIOD_OVERRIDE=FQ","FILING_STATUS=MR","SCALING_FORMAT=MLN","Sort=A","Dates=H","DateFormat=P","Fill=—","Direction=H","UseDPDF=Y")</f>
        <v>489.9221</v>
      </c>
      <c r="P34" s="19">
        <f>_xll.BDH("ITCI US Equity","BS_TOT_ASSET","FQ1 2022","FQ1 2022","Currency=USD","Period=FQ","BEST_FPERIOD_OVERRIDE=FQ","FILING_STATUS=MR","SCALING_FORMAT=MLN","Sort=A","Dates=H","DateFormat=P","Fill=—","Direction=H","UseDPDF=Y")</f>
        <v>868.58</v>
      </c>
      <c r="Q34" s="19">
        <f>_xll.BDH("ITCI US Equity","BS_TOT_ASSET","FQ2 2022","FQ2 2022","Currency=USD","Period=FQ","BEST_FPERIOD_OVERRIDE=FQ","FILING_STATUS=MR","SCALING_FORMAT=MLN","Sort=A","Dates=H","DateFormat=P","Fill=—","Direction=H","UseDPDF=Y")</f>
        <v>811.90599999999995</v>
      </c>
      <c r="R34" s="19">
        <f>_xll.BDH("ITCI US Equity","BS_TOT_ASSET","FQ3 2022","FQ3 2022","Currency=USD","Period=FQ","BEST_FPERIOD_OVERRIDE=FQ","FILING_STATUS=MR","SCALING_FORMAT=MLN","Sort=A","Dates=H","DateFormat=P","Fill=—","Direction=H","UseDPDF=Y")</f>
        <v>781.99900000000002</v>
      </c>
      <c r="S34" s="19">
        <f>_xll.BDH("ITCI US Equity","BS_TOT_ASSET","FQ4 2022","FQ4 2022","Currency=USD","Period=FQ","BEST_FPERIOD_OVERRIDE=FQ","FILING_STATUS=MR","SCALING_FORMAT=MLN","Sort=A","Dates=H","DateFormat=P","Fill=—","Direction=H","UseDPDF=Y")</f>
        <v>754.78</v>
      </c>
      <c r="T34" s="19">
        <f>_xll.BDH("ITCI US Equity","BS_TOT_ASSET","FQ1 2023","FQ1 2023","Currency=USD","Period=FQ","BEST_FPERIOD_OVERRIDE=FQ","FILING_STATUS=MR","SCALING_FORMAT=MLN","Sort=A","Dates=H","DateFormat=P","Fill=—","Direction=H","UseDPDF=Y")</f>
        <v>722.15800000000002</v>
      </c>
      <c r="U34" s="19">
        <f>_xll.BDH("ITCI US Equity","BS_TOT_ASSET","FQ2 2023","FQ2 2023","Currency=USD","Period=FQ","BEST_FPERIOD_OVERRIDE=FQ","FILING_STATUS=MR","SCALING_FORMAT=MLN","Sort=A","Dates=H","DateFormat=P","Fill=—","Direction=H","UseDPDF=Y")</f>
        <v>713.60199999999998</v>
      </c>
      <c r="V34" s="19">
        <f>_xll.BDH("ITCI US Equity","BS_TOT_ASSET","FQ3 2023","FQ3 2023","Currency=USD","Period=FQ","BEST_FPERIOD_OVERRIDE=FQ","FILING_STATUS=MR","SCALING_FORMAT=MLN","Sort=A","Dates=H","DateFormat=P","Fill=—","Direction=H","UseDPDF=Y")</f>
        <v>717.66399999999999</v>
      </c>
      <c r="W34" s="19">
        <f>_xll.BDH("ITCI US Equity","BS_TOT_ASSET","FQ4 2023","FQ4 2023","Currency=USD","Period=FQ","BEST_FPERIOD_OVERRIDE=FQ","FILING_STATUS=MR","SCALING_FORMAT=MLN","Sort=A","Dates=H","DateFormat=P","Fill=—","Direction=H","UseDPDF=Y")</f>
        <v>728.29499999999996</v>
      </c>
      <c r="X34" s="19">
        <f>_xll.BDH("ITCI US Equity","BS_TOT_ASSET","FQ1 2024","FQ1 2024","Currency=USD","Period=FQ","BEST_FPERIOD_OVERRIDE=FQ","FILING_STATUS=MR","SCALING_FORMAT=MLN","Sort=A","Dates=H","DateFormat=P","Fill=—","Direction=H","UseDPDF=Y")</f>
        <v>747.03599999999994</v>
      </c>
      <c r="Y34" s="19">
        <f>_xll.BDH("ITCI US Equity","BS_TOT_ASSET","FQ2 2024","FQ2 2024","Currency=USD","Period=FQ","BEST_FPERIOD_OVERRIDE=FQ","FILING_STATUS=MR","SCALING_FORMAT=MLN","Sort=A","Dates=H","DateFormat=P","Fill=—","Direction=H","UseDPDF=Y")</f>
        <v>1320.5039999999999</v>
      </c>
      <c r="Z34" s="19">
        <f>_xll.BDH("ITCI US Equity","BS_TOT_ASSET","FQ3 2024","FQ3 2024","Currency=USD","Period=FQ","BEST_FPERIOD_OVERRIDE=FQ","FILING_STATUS=MR","SCALING_FORMAT=MLN","Sort=A","Dates=H","DateFormat=P","Fill=—","Direction=H","UseDPDF=Y")</f>
        <v>1324.4449999999999</v>
      </c>
      <c r="AA34" s="19">
        <f>_xll.BDH("ITCI US Equity","BS_TOT_ASSET","FQ4 2024","FQ4 2024","Currency=USD","Period=FQ","BEST_FPERIOD_OVERRIDE=FQ","FILING_STATUS=MR","SCALING_FORMAT=MLN","Sort=A","Dates=H","DateFormat=P","Fill=—","Direction=H","UseDPDF=Y")</f>
        <v>1366.912</v>
      </c>
    </row>
    <row r="35" spans="1:27" x14ac:dyDescent="0.25">
      <c r="A35" s="6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 x14ac:dyDescent="0.25">
      <c r="A36" s="6" t="s">
        <v>592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x14ac:dyDescent="0.25">
      <c r="A37" s="10" t="s">
        <v>593</v>
      </c>
      <c r="B37" s="10" t="s">
        <v>594</v>
      </c>
      <c r="C37" s="13">
        <f>_xll.BDH("ITCI US Equity","ACCT_PAYABLE_ACCRUALS_DETAILED","FQ4 2018","FQ4 2018","Currency=USD","Period=FQ","BEST_FPERIOD_OVERRIDE=FQ","FILING_STATUS=MR","SCALING_FORMAT=MLN","Sort=A","Dates=H","DateFormat=P","Fill=—","Direction=H","UseDPDF=Y")</f>
        <v>36.299199999999999</v>
      </c>
      <c r="D37" s="13">
        <f>_xll.BDH("ITCI US Equity","ACCT_PAYABLE_ACCRUALS_DETAILED","FQ1 2019","FQ1 2019","Currency=USD","Period=FQ","BEST_FPERIOD_OVERRIDE=FQ","FILING_STATUS=MR","SCALING_FORMAT=MLN","Sort=A","Dates=H","DateFormat=P","Fill=—","Direction=H","UseDPDF=Y")</f>
        <v>30.626300000000001</v>
      </c>
      <c r="E37" s="13">
        <f>_xll.BDH("ITCI US Equity","ACCT_PAYABLE_ACCRUALS_DETAILED","FQ2 2019","FQ2 2019","Currency=USD","Period=FQ","BEST_FPERIOD_OVERRIDE=FQ","FILING_STATUS=MR","SCALING_FORMAT=MLN","Sort=A","Dates=H","DateFormat=P","Fill=—","Direction=H","UseDPDF=Y")</f>
        <v>30.263500000000001</v>
      </c>
      <c r="F37" s="13">
        <f>_xll.BDH("ITCI US Equity","ACCT_PAYABLE_ACCRUALS_DETAILED","FQ3 2019","FQ3 2019","Currency=USD","Period=FQ","BEST_FPERIOD_OVERRIDE=FQ","FILING_STATUS=MR","SCALING_FORMAT=MLN","Sort=A","Dates=H","DateFormat=P","Fill=—","Direction=H","UseDPDF=Y")</f>
        <v>31.086200000000002</v>
      </c>
      <c r="G37" s="13">
        <f>_xll.BDH("ITCI US Equity","ACCT_PAYABLE_ACCRUALS_DETAILED","FQ4 2019","FQ4 2019","Currency=USD","Period=FQ","BEST_FPERIOD_OVERRIDE=FQ","FILING_STATUS=MR","SCALING_FORMAT=MLN","Sort=A","Dates=H","DateFormat=P","Fill=—","Direction=H","UseDPDF=Y")</f>
        <v>33.0366</v>
      </c>
      <c r="H37" s="13">
        <f>_xll.BDH("ITCI US Equity","ACCT_PAYABLE_ACCRUALS_DETAILED","FQ1 2020","FQ1 2020","Currency=USD","Period=FQ","BEST_FPERIOD_OVERRIDE=FQ","FILING_STATUS=MR","SCALING_FORMAT=MLN","Sort=A","Dates=H","DateFormat=P","Fill=—","Direction=H","UseDPDF=Y")</f>
        <v>27.865100000000002</v>
      </c>
      <c r="I37" s="13">
        <f>_xll.BDH("ITCI US Equity","ACCT_PAYABLE_ACCRUALS_DETAILED","FQ2 2020","FQ2 2020","Currency=USD","Period=FQ","BEST_FPERIOD_OVERRIDE=FQ","FILING_STATUS=MR","SCALING_FORMAT=MLN","Sort=A","Dates=H","DateFormat=P","Fill=—","Direction=H","UseDPDF=Y")</f>
        <v>36.268799999999999</v>
      </c>
      <c r="J37" s="13">
        <f>_xll.BDH("ITCI US Equity","ACCT_PAYABLE_ACCRUALS_DETAILED","FQ3 2020","FQ3 2020","Currency=USD","Period=FQ","BEST_FPERIOD_OVERRIDE=FQ","FILING_STATUS=MR","SCALING_FORMAT=MLN","Sort=A","Dates=H","DateFormat=P","Fill=—","Direction=H","UseDPDF=Y")</f>
        <v>32.761499999999998</v>
      </c>
      <c r="K37" s="13">
        <f>_xll.BDH("ITCI US Equity","ACCT_PAYABLE_ACCRUALS_DETAILED","FQ4 2020","FQ4 2020","Currency=USD","Period=FQ","BEST_FPERIOD_OVERRIDE=FQ","FILING_STATUS=MR","SCALING_FORMAT=MLN","Sort=A","Dates=H","DateFormat=P","Fill=—","Direction=H","UseDPDF=Y")</f>
        <v>31.311399999999999</v>
      </c>
      <c r="L37" s="13">
        <f>_xll.BDH("ITCI US Equity","ACCT_PAYABLE_ACCRUALS_DETAILED","FQ1 2021","FQ1 2021","Currency=USD","Period=FQ","BEST_FPERIOD_OVERRIDE=FQ","FILING_STATUS=MR","SCALING_FORMAT=MLN","Sort=A","Dates=H","DateFormat=P","Fill=—","Direction=H","UseDPDF=Y")</f>
        <v>34.128500000000003</v>
      </c>
      <c r="M37" s="13">
        <f>_xll.BDH("ITCI US Equity","ACCT_PAYABLE_ACCRUALS_DETAILED","FQ2 2021","FQ2 2021","Currency=USD","Period=FQ","BEST_FPERIOD_OVERRIDE=FQ","FILING_STATUS=MR","SCALING_FORMAT=MLN","Sort=A","Dates=H","DateFormat=P","Fill=—","Direction=H","UseDPDF=Y")</f>
        <v>44.826900000000002</v>
      </c>
      <c r="N37" s="13">
        <f>_xll.BDH("ITCI US Equity","ACCT_PAYABLE_ACCRUALS_DETAILED","FQ3 2021","FQ3 2021","Currency=USD","Period=FQ","BEST_FPERIOD_OVERRIDE=FQ","FILING_STATUS=MR","SCALING_FORMAT=MLN","Sort=A","Dates=H","DateFormat=P","Fill=—","Direction=H","UseDPDF=Y")</f>
        <v>43.813499999999998</v>
      </c>
      <c r="O37" s="13">
        <f>_xll.BDH("ITCI US Equity","ACCT_PAYABLE_ACCRUALS_DETAILED","FQ4 2021","FQ4 2021","Currency=USD","Period=FQ","BEST_FPERIOD_OVERRIDE=FQ","FILING_STATUS=MR","SCALING_FORMAT=MLN","Sort=A","Dates=H","DateFormat=P","Fill=—","Direction=H","UseDPDF=Y")</f>
        <v>46.624699999999997</v>
      </c>
      <c r="P37" s="13">
        <f>_xll.BDH("ITCI US Equity","ACCT_PAYABLE_ACCRUALS_DETAILED","FQ1 2022","FQ1 2022","Currency=USD","Period=FQ","BEST_FPERIOD_OVERRIDE=FQ","FILING_STATUS=MR","SCALING_FORMAT=MLN","Sort=A","Dates=H","DateFormat=P","Fill=—","Direction=H","UseDPDF=Y")</f>
        <v>51.438000000000002</v>
      </c>
      <c r="Q37" s="13">
        <f>_xll.BDH("ITCI US Equity","ACCT_PAYABLE_ACCRUALS_DETAILED","FQ2 2022","FQ2 2022","Currency=USD","Period=FQ","BEST_FPERIOD_OVERRIDE=FQ","FILING_STATUS=MR","SCALING_FORMAT=MLN","Sort=A","Dates=H","DateFormat=P","Fill=—","Direction=H","UseDPDF=Y")</f>
        <v>62.890999999999998</v>
      </c>
      <c r="R37" s="13">
        <f>_xll.BDH("ITCI US Equity","ACCT_PAYABLE_ACCRUALS_DETAILED","FQ3 2022","FQ3 2022","Currency=USD","Period=FQ","BEST_FPERIOD_OVERRIDE=FQ","FILING_STATUS=MR","SCALING_FORMAT=MLN","Sort=A","Dates=H","DateFormat=P","Fill=—","Direction=H","UseDPDF=Y")</f>
        <v>70.165000000000006</v>
      </c>
      <c r="S37" s="13">
        <f>_xll.BDH("ITCI US Equity","ACCT_PAYABLE_ACCRUALS_DETAILED","FQ4 2022","FQ4 2022","Currency=USD","Period=FQ","BEST_FPERIOD_OVERRIDE=FQ","FILING_STATUS=MR","SCALING_FORMAT=MLN","Sort=A","Dates=H","DateFormat=P","Fill=—","Direction=H","UseDPDF=Y")</f>
        <v>78.668999999999997</v>
      </c>
      <c r="T37" s="13">
        <f>_xll.BDH("ITCI US Equity","ACCT_PAYABLE_ACCRUALS_DETAILED","FQ1 2023","FQ1 2023","Currency=USD","Period=FQ","BEST_FPERIOD_OVERRIDE=FQ","FILING_STATUS=MR","SCALING_FORMAT=MLN","Sort=A","Dates=H","DateFormat=P","Fill=—","Direction=H","UseDPDF=Y")</f>
        <v>76.055999999999997</v>
      </c>
      <c r="U37" s="13">
        <f>_xll.BDH("ITCI US Equity","ACCT_PAYABLE_ACCRUALS_DETAILED","FQ2 2023","FQ2 2023","Currency=USD","Period=FQ","BEST_FPERIOD_OVERRIDE=FQ","FILING_STATUS=MR","SCALING_FORMAT=MLN","Sort=A","Dates=H","DateFormat=P","Fill=—","Direction=H","UseDPDF=Y")</f>
        <v>88.522000000000006</v>
      </c>
      <c r="V37" s="13">
        <f>_xll.BDH("ITCI US Equity","ACCT_PAYABLE_ACCRUALS_DETAILED","FQ3 2023","FQ3 2023","Currency=USD","Period=FQ","BEST_FPERIOD_OVERRIDE=FQ","FILING_STATUS=MR","SCALING_FORMAT=MLN","Sort=A","Dates=H","DateFormat=P","Fill=—","Direction=H","UseDPDF=Y")</f>
        <v>99.507999999999996</v>
      </c>
      <c r="W37" s="13">
        <f>_xll.BDH("ITCI US Equity","ACCT_PAYABLE_ACCRUALS_DETAILED","FQ4 2023","FQ4 2023","Currency=USD","Period=FQ","BEST_FPERIOD_OVERRIDE=FQ","FILING_STATUS=MR","SCALING_FORMAT=MLN","Sort=A","Dates=H","DateFormat=P","Fill=—","Direction=H","UseDPDF=Y")</f>
        <v>119.93300000000001</v>
      </c>
      <c r="X37" s="13">
        <f>_xll.BDH("ITCI US Equity","ACCT_PAYABLE_ACCRUALS_DETAILED","FQ1 2024","FQ1 2024","Currency=USD","Period=FQ","BEST_FPERIOD_OVERRIDE=FQ","FILING_STATUS=MR","SCALING_FORMAT=MLN","Sort=A","Dates=H","DateFormat=P","Fill=—","Direction=H","UseDPDF=Y")</f>
        <v>131.16200000000001</v>
      </c>
      <c r="Y37" s="13">
        <f>_xll.BDH("ITCI US Equity","ACCT_PAYABLE_ACCRUALS_DETAILED","FQ2 2024","FQ2 2024","Currency=USD","Period=FQ","BEST_FPERIOD_OVERRIDE=FQ","FILING_STATUS=MR","SCALING_FORMAT=MLN","Sort=A","Dates=H","DateFormat=P","Fill=—","Direction=H","UseDPDF=Y")</f>
        <v>157.60400000000001</v>
      </c>
      <c r="Z37" s="13">
        <f>_xll.BDH("ITCI US Equity","ACCT_PAYABLE_ACCRUALS_DETAILED","FQ3 2024","FQ3 2024","Currency=USD","Period=FQ","BEST_FPERIOD_OVERRIDE=FQ","FILING_STATUS=MR","SCALING_FORMAT=MLN","Sort=A","Dates=H","DateFormat=P","Fill=—","Direction=H","UseDPDF=Y")</f>
        <v>161.91</v>
      </c>
      <c r="AA37" s="13">
        <f>_xll.BDH("ITCI US Equity","ACCT_PAYABLE_ACCRUALS_DETAILED","FQ4 2024","FQ4 2024","Currency=USD","Period=FQ","BEST_FPERIOD_OVERRIDE=FQ","FILING_STATUS=MR","SCALING_FORMAT=MLN","Sort=A","Dates=H","DateFormat=P","Fill=—","Direction=H","UseDPDF=Y")</f>
        <v>201.471</v>
      </c>
    </row>
    <row r="38" spans="1:27" x14ac:dyDescent="0.25">
      <c r="A38" s="10" t="s">
        <v>595</v>
      </c>
      <c r="B38" s="10" t="s">
        <v>596</v>
      </c>
      <c r="C38" s="13">
        <f>_xll.BDH("ITCI US Equity","BS_ACCT_PAYABLE","FQ4 2018","FQ4 2018","Currency=USD","Period=FQ","BEST_FPERIOD_OVERRIDE=FQ","FILING_STATUS=MR","SCALING_FORMAT=MLN","Sort=A","Dates=H","DateFormat=P","Fill=—","Direction=H","UseDPDF=Y")</f>
        <v>13.9611</v>
      </c>
      <c r="D38" s="13">
        <f>_xll.BDH("ITCI US Equity","BS_ACCT_PAYABLE","FQ1 2019","FQ1 2019","Currency=USD","Period=FQ","BEST_FPERIOD_OVERRIDE=FQ","FILING_STATUS=MR","SCALING_FORMAT=MLN","Sort=A","Dates=H","DateFormat=P","Fill=—","Direction=H","UseDPDF=Y")</f>
        <v>8.5744000000000007</v>
      </c>
      <c r="E38" s="13">
        <f>_xll.BDH("ITCI US Equity","BS_ACCT_PAYABLE","FQ2 2019","FQ2 2019","Currency=USD","Period=FQ","BEST_FPERIOD_OVERRIDE=FQ","FILING_STATUS=MR","SCALING_FORMAT=MLN","Sort=A","Dates=H","DateFormat=P","Fill=—","Direction=H","UseDPDF=Y")</f>
        <v>5.6327999999999996</v>
      </c>
      <c r="F38" s="13">
        <f>_xll.BDH("ITCI US Equity","BS_ACCT_PAYABLE","FQ3 2019","FQ3 2019","Currency=USD","Period=FQ","BEST_FPERIOD_OVERRIDE=FQ","FILING_STATUS=MR","SCALING_FORMAT=MLN","Sort=A","Dates=H","DateFormat=P","Fill=—","Direction=H","UseDPDF=Y")</f>
        <v>6.2309000000000001</v>
      </c>
      <c r="G38" s="13">
        <f>_xll.BDH("ITCI US Equity","BS_ACCT_PAYABLE","FQ4 2019","FQ4 2019","Currency=USD","Period=FQ","BEST_FPERIOD_OVERRIDE=FQ","FILING_STATUS=MR","SCALING_FORMAT=MLN","Sort=A","Dates=H","DateFormat=P","Fill=—","Direction=H","UseDPDF=Y")</f>
        <v>7.4249999999999998</v>
      </c>
      <c r="H38" s="13">
        <f>_xll.BDH("ITCI US Equity","BS_ACCT_PAYABLE","FQ1 2020","FQ1 2020","Currency=USD","Period=FQ","BEST_FPERIOD_OVERRIDE=FQ","FILING_STATUS=MR","SCALING_FORMAT=MLN","Sort=A","Dates=H","DateFormat=P","Fill=—","Direction=H","UseDPDF=Y")</f>
        <v>10.9941</v>
      </c>
      <c r="I38" s="13">
        <f>_xll.BDH("ITCI US Equity","BS_ACCT_PAYABLE","FQ2 2020","FQ2 2020","Currency=USD","Period=FQ","BEST_FPERIOD_OVERRIDE=FQ","FILING_STATUS=MR","SCALING_FORMAT=MLN","Sort=A","Dates=H","DateFormat=P","Fill=—","Direction=H","UseDPDF=Y")</f>
        <v>5.4729999999999999</v>
      </c>
      <c r="J38" s="13">
        <f>_xll.BDH("ITCI US Equity","BS_ACCT_PAYABLE","FQ3 2020","FQ3 2020","Currency=USD","Period=FQ","BEST_FPERIOD_OVERRIDE=FQ","FILING_STATUS=MR","SCALING_FORMAT=MLN","Sort=A","Dates=H","DateFormat=P","Fill=—","Direction=H","UseDPDF=Y")</f>
        <v>8.5691000000000006</v>
      </c>
      <c r="K38" s="13">
        <f>_xll.BDH("ITCI US Equity","BS_ACCT_PAYABLE","FQ4 2020","FQ4 2020","Currency=USD","Period=FQ","BEST_FPERIOD_OVERRIDE=FQ","FILING_STATUS=MR","SCALING_FORMAT=MLN","Sort=A","Dates=H","DateFormat=P","Fill=—","Direction=H","UseDPDF=Y")</f>
        <v>5.5018000000000002</v>
      </c>
      <c r="L38" s="13">
        <f>_xll.BDH("ITCI US Equity","BS_ACCT_PAYABLE","FQ1 2021","FQ1 2021","Currency=USD","Period=FQ","BEST_FPERIOD_OVERRIDE=FQ","FILING_STATUS=MR","SCALING_FORMAT=MLN","Sort=A","Dates=H","DateFormat=P","Fill=—","Direction=H","UseDPDF=Y")</f>
        <v>8.7210000000000001</v>
      </c>
      <c r="M38" s="13">
        <f>_xll.BDH("ITCI US Equity","BS_ACCT_PAYABLE","FQ2 2021","FQ2 2021","Currency=USD","Period=FQ","BEST_FPERIOD_OVERRIDE=FQ","FILING_STATUS=MR","SCALING_FORMAT=MLN","Sort=A","Dates=H","DateFormat=P","Fill=—","Direction=H","UseDPDF=Y")</f>
        <v>15.940799999999999</v>
      </c>
      <c r="N38" s="13">
        <f>_xll.BDH("ITCI US Equity","BS_ACCT_PAYABLE","FQ3 2021","FQ3 2021","Currency=USD","Period=FQ","BEST_FPERIOD_OVERRIDE=FQ","FILING_STATUS=MR","SCALING_FORMAT=MLN","Sort=A","Dates=H","DateFormat=P","Fill=—","Direction=H","UseDPDF=Y")</f>
        <v>12.0306</v>
      </c>
      <c r="O38" s="13">
        <f>_xll.BDH("ITCI US Equity","BS_ACCT_PAYABLE","FQ4 2021","FQ4 2021","Currency=USD","Period=FQ","BEST_FPERIOD_OVERRIDE=FQ","FILING_STATUS=MR","SCALING_FORMAT=MLN","Sort=A","Dates=H","DateFormat=P","Fill=—","Direction=H","UseDPDF=Y")</f>
        <v>8.6912000000000003</v>
      </c>
      <c r="P38" s="13">
        <f>_xll.BDH("ITCI US Equity","BS_ACCT_PAYABLE","FQ1 2022","FQ1 2022","Currency=USD","Period=FQ","BEST_FPERIOD_OVERRIDE=FQ","FILING_STATUS=MR","SCALING_FORMAT=MLN","Sort=A","Dates=H","DateFormat=P","Fill=—","Direction=H","UseDPDF=Y")</f>
        <v>11.648999999999999</v>
      </c>
      <c r="Q38" s="13">
        <f>_xll.BDH("ITCI US Equity","BS_ACCT_PAYABLE","FQ2 2022","FQ2 2022","Currency=USD","Period=FQ","BEST_FPERIOD_OVERRIDE=FQ","FILING_STATUS=MR","SCALING_FORMAT=MLN","Sort=A","Dates=H","DateFormat=P","Fill=—","Direction=H","UseDPDF=Y")</f>
        <v>10.749000000000001</v>
      </c>
      <c r="R38" s="13">
        <f>_xll.BDH("ITCI US Equity","BS_ACCT_PAYABLE","FQ3 2022","FQ3 2022","Currency=USD","Period=FQ","BEST_FPERIOD_OVERRIDE=FQ","FILING_STATUS=MR","SCALING_FORMAT=MLN","Sort=A","Dates=H","DateFormat=P","Fill=—","Direction=H","UseDPDF=Y")</f>
        <v>14.218999999999999</v>
      </c>
      <c r="S38" s="13">
        <f>_xll.BDH("ITCI US Equity","BS_ACCT_PAYABLE","FQ4 2022","FQ4 2022","Currency=USD","Period=FQ","BEST_FPERIOD_OVERRIDE=FQ","FILING_STATUS=MR","SCALING_FORMAT=MLN","Sort=A","Dates=H","DateFormat=P","Fill=—","Direction=H","UseDPDF=Y")</f>
        <v>10.395</v>
      </c>
      <c r="T38" s="13">
        <f>_xll.BDH("ITCI US Equity","BS_ACCT_PAYABLE","FQ1 2023","FQ1 2023","Currency=USD","Period=FQ","BEST_FPERIOD_OVERRIDE=FQ","FILING_STATUS=MR","SCALING_FORMAT=MLN","Sort=A","Dates=H","DateFormat=P","Fill=—","Direction=H","UseDPDF=Y")</f>
        <v>8.4410000000000007</v>
      </c>
      <c r="U38" s="13">
        <f>_xll.BDH("ITCI US Equity","BS_ACCT_PAYABLE","FQ2 2023","FQ2 2023","Currency=USD","Period=FQ","BEST_FPERIOD_OVERRIDE=FQ","FILING_STATUS=MR","SCALING_FORMAT=MLN","Sort=A","Dates=H","DateFormat=P","Fill=—","Direction=H","UseDPDF=Y")</f>
        <v>7.7329999999999997</v>
      </c>
      <c r="V38" s="13">
        <f>_xll.BDH("ITCI US Equity","BS_ACCT_PAYABLE","FQ3 2023","FQ3 2023","Currency=USD","Period=FQ","BEST_FPERIOD_OVERRIDE=FQ","FILING_STATUS=MR","SCALING_FORMAT=MLN","Sort=A","Dates=H","DateFormat=P","Fill=—","Direction=H","UseDPDF=Y")</f>
        <v>10.613</v>
      </c>
      <c r="W38" s="13">
        <f>_xll.BDH("ITCI US Equity","BS_ACCT_PAYABLE","FQ4 2023","FQ4 2023","Currency=USD","Period=FQ","BEST_FPERIOD_OVERRIDE=FQ","FILING_STATUS=MR","SCALING_FORMAT=MLN","Sort=A","Dates=H","DateFormat=P","Fill=—","Direction=H","UseDPDF=Y")</f>
        <v>11.452</v>
      </c>
      <c r="X38" s="13">
        <f>_xll.BDH("ITCI US Equity","BS_ACCT_PAYABLE","FQ1 2024","FQ1 2024","Currency=USD","Period=FQ","BEST_FPERIOD_OVERRIDE=FQ","FILING_STATUS=MR","SCALING_FORMAT=MLN","Sort=A","Dates=H","DateFormat=P","Fill=—","Direction=H","UseDPDF=Y")</f>
        <v>11.532</v>
      </c>
      <c r="Y38" s="13">
        <f>_xll.BDH("ITCI US Equity","BS_ACCT_PAYABLE","FQ2 2024","FQ2 2024","Currency=USD","Period=FQ","BEST_FPERIOD_OVERRIDE=FQ","FILING_STATUS=MR","SCALING_FORMAT=MLN","Sort=A","Dates=H","DateFormat=P","Fill=—","Direction=H","UseDPDF=Y")</f>
        <v>17.547999999999998</v>
      </c>
      <c r="Z38" s="13">
        <f>_xll.BDH("ITCI US Equity","BS_ACCT_PAYABLE","FQ3 2024","FQ3 2024","Currency=USD","Period=FQ","BEST_FPERIOD_OVERRIDE=FQ","FILING_STATUS=MR","SCALING_FORMAT=MLN","Sort=A","Dates=H","DateFormat=P","Fill=—","Direction=H","UseDPDF=Y")</f>
        <v>10.337999999999999</v>
      </c>
      <c r="AA38" s="13">
        <f>_xll.BDH("ITCI US Equity","BS_ACCT_PAYABLE","FQ4 2024","FQ4 2024","Currency=USD","Period=FQ","BEST_FPERIOD_OVERRIDE=FQ","FILING_STATUS=MR","SCALING_FORMAT=MLN","Sort=A","Dates=H","DateFormat=P","Fill=—","Direction=H","UseDPDF=Y")</f>
        <v>26.074000000000002</v>
      </c>
    </row>
    <row r="39" spans="1:27" x14ac:dyDescent="0.25">
      <c r="A39" s="10" t="s">
        <v>597</v>
      </c>
      <c r="B39" s="10" t="s">
        <v>598</v>
      </c>
      <c r="C39" s="13">
        <f>_xll.BDH("ITCI US Equity","BS_ACCRUAL","FQ4 2018","FQ4 2018","Currency=USD","Period=FQ","BEST_FPERIOD_OVERRIDE=FQ","FILING_STATUS=MR","SCALING_FORMAT=MLN","Sort=A","Dates=H","DateFormat=P","Fill=—","Direction=H","UseDPDF=Y")</f>
        <v>22.338100000000001</v>
      </c>
      <c r="D39" s="13">
        <f>_xll.BDH("ITCI US Equity","BS_ACCRUAL","FQ1 2019","FQ1 2019","Currency=USD","Period=FQ","BEST_FPERIOD_OVERRIDE=FQ","FILING_STATUS=MR","SCALING_FORMAT=MLN","Sort=A","Dates=H","DateFormat=P","Fill=—","Direction=H","UseDPDF=Y")</f>
        <v>22.0518</v>
      </c>
      <c r="E39" s="13">
        <f>_xll.BDH("ITCI US Equity","BS_ACCRUAL","FQ2 2019","FQ2 2019","Currency=USD","Period=FQ","BEST_FPERIOD_OVERRIDE=FQ","FILING_STATUS=MR","SCALING_FORMAT=MLN","Sort=A","Dates=H","DateFormat=P","Fill=—","Direction=H","UseDPDF=Y")</f>
        <v>24.630700000000001</v>
      </c>
      <c r="F39" s="13">
        <f>_xll.BDH("ITCI US Equity","BS_ACCRUAL","FQ3 2019","FQ3 2019","Currency=USD","Period=FQ","BEST_FPERIOD_OVERRIDE=FQ","FILING_STATUS=MR","SCALING_FORMAT=MLN","Sort=A","Dates=H","DateFormat=P","Fill=—","Direction=H","UseDPDF=Y")</f>
        <v>24.8553</v>
      </c>
      <c r="G39" s="13">
        <f>_xll.BDH("ITCI US Equity","BS_ACCRUAL","FQ4 2019","FQ4 2019","Currency=USD","Period=FQ","BEST_FPERIOD_OVERRIDE=FQ","FILING_STATUS=MR","SCALING_FORMAT=MLN","Sort=A","Dates=H","DateFormat=P","Fill=—","Direction=H","UseDPDF=Y")</f>
        <v>25.611599999999999</v>
      </c>
      <c r="H39" s="13">
        <f>_xll.BDH("ITCI US Equity","BS_ACCRUAL","FQ1 2020","FQ1 2020","Currency=USD","Period=FQ","BEST_FPERIOD_OVERRIDE=FQ","FILING_STATUS=MR","SCALING_FORMAT=MLN","Sort=A","Dates=H","DateFormat=P","Fill=—","Direction=H","UseDPDF=Y")</f>
        <v>16.870999999999999</v>
      </c>
      <c r="I39" s="13">
        <f>_xll.BDH("ITCI US Equity","BS_ACCRUAL","FQ2 2020","FQ2 2020","Currency=USD","Period=FQ","BEST_FPERIOD_OVERRIDE=FQ","FILING_STATUS=MR","SCALING_FORMAT=MLN","Sort=A","Dates=H","DateFormat=P","Fill=—","Direction=H","UseDPDF=Y")</f>
        <v>30.7958</v>
      </c>
      <c r="J39" s="13">
        <f>_xll.BDH("ITCI US Equity","BS_ACCRUAL","FQ3 2020","FQ3 2020","Currency=USD","Period=FQ","BEST_FPERIOD_OVERRIDE=FQ","FILING_STATUS=MR","SCALING_FORMAT=MLN","Sort=A","Dates=H","DateFormat=P","Fill=—","Direction=H","UseDPDF=Y")</f>
        <v>24.192299999999999</v>
      </c>
      <c r="K39" s="13">
        <f>_xll.BDH("ITCI US Equity","BS_ACCRUAL","FQ4 2020","FQ4 2020","Currency=USD","Period=FQ","BEST_FPERIOD_OVERRIDE=FQ","FILING_STATUS=MR","SCALING_FORMAT=MLN","Sort=A","Dates=H","DateFormat=P","Fill=—","Direction=H","UseDPDF=Y")</f>
        <v>25.8096</v>
      </c>
      <c r="L39" s="13">
        <f>_xll.BDH("ITCI US Equity","BS_ACCRUAL","FQ1 2021","FQ1 2021","Currency=USD","Period=FQ","BEST_FPERIOD_OVERRIDE=FQ","FILING_STATUS=MR","SCALING_FORMAT=MLN","Sort=A","Dates=H","DateFormat=P","Fill=—","Direction=H","UseDPDF=Y")</f>
        <v>25.407499999999999</v>
      </c>
      <c r="M39" s="13">
        <f>_xll.BDH("ITCI US Equity","BS_ACCRUAL","FQ2 2021","FQ2 2021","Currency=USD","Period=FQ","BEST_FPERIOD_OVERRIDE=FQ","FILING_STATUS=MR","SCALING_FORMAT=MLN","Sort=A","Dates=H","DateFormat=P","Fill=—","Direction=H","UseDPDF=Y")</f>
        <v>28.886099999999999</v>
      </c>
      <c r="N39" s="13">
        <f>_xll.BDH("ITCI US Equity","BS_ACCRUAL","FQ3 2021","FQ3 2021","Currency=USD","Period=FQ","BEST_FPERIOD_OVERRIDE=FQ","FILING_STATUS=MR","SCALING_FORMAT=MLN","Sort=A","Dates=H","DateFormat=P","Fill=—","Direction=H","UseDPDF=Y")</f>
        <v>31.782900000000001</v>
      </c>
      <c r="O39" s="13">
        <f>_xll.BDH("ITCI US Equity","BS_ACCRUAL","FQ4 2021","FQ4 2021","Currency=USD","Period=FQ","BEST_FPERIOD_OVERRIDE=FQ","FILING_STATUS=MR","SCALING_FORMAT=MLN","Sort=A","Dates=H","DateFormat=P","Fill=—","Direction=H","UseDPDF=Y")</f>
        <v>37.933500000000002</v>
      </c>
      <c r="P39" s="13">
        <f>_xll.BDH("ITCI US Equity","BS_ACCRUAL","FQ1 2022","FQ1 2022","Currency=USD","Period=FQ","BEST_FPERIOD_OVERRIDE=FQ","FILING_STATUS=MR","SCALING_FORMAT=MLN","Sort=A","Dates=H","DateFormat=P","Fill=—","Direction=H","UseDPDF=Y")</f>
        <v>39.789000000000001</v>
      </c>
      <c r="Q39" s="13">
        <f>_xll.BDH("ITCI US Equity","BS_ACCRUAL","FQ2 2022","FQ2 2022","Currency=USD","Period=FQ","BEST_FPERIOD_OVERRIDE=FQ","FILING_STATUS=MR","SCALING_FORMAT=MLN","Sort=A","Dates=H","DateFormat=P","Fill=—","Direction=H","UseDPDF=Y")</f>
        <v>52.142000000000003</v>
      </c>
      <c r="R39" s="13">
        <f>_xll.BDH("ITCI US Equity","BS_ACCRUAL","FQ3 2022","FQ3 2022","Currency=USD","Period=FQ","BEST_FPERIOD_OVERRIDE=FQ","FILING_STATUS=MR","SCALING_FORMAT=MLN","Sort=A","Dates=H","DateFormat=P","Fill=—","Direction=H","UseDPDF=Y")</f>
        <v>55.945999999999998</v>
      </c>
      <c r="S39" s="13">
        <f>_xll.BDH("ITCI US Equity","BS_ACCRUAL","FQ4 2022","FQ4 2022","Currency=USD","Period=FQ","BEST_FPERIOD_OVERRIDE=FQ","FILING_STATUS=MR","SCALING_FORMAT=MLN","Sort=A","Dates=H","DateFormat=P","Fill=—","Direction=H","UseDPDF=Y")</f>
        <v>68.274000000000001</v>
      </c>
      <c r="T39" s="13">
        <f>_xll.BDH("ITCI US Equity","BS_ACCRUAL","FQ1 2023","FQ1 2023","Currency=USD","Period=FQ","BEST_FPERIOD_OVERRIDE=FQ","FILING_STATUS=MR","SCALING_FORMAT=MLN","Sort=A","Dates=H","DateFormat=P","Fill=—","Direction=H","UseDPDF=Y")</f>
        <v>67.614999999999995</v>
      </c>
      <c r="U39" s="13">
        <f>_xll.BDH("ITCI US Equity","BS_ACCRUAL","FQ2 2023","FQ2 2023","Currency=USD","Period=FQ","BEST_FPERIOD_OVERRIDE=FQ","FILING_STATUS=MR","SCALING_FORMAT=MLN","Sort=A","Dates=H","DateFormat=P","Fill=—","Direction=H","UseDPDF=Y")</f>
        <v>80.789000000000001</v>
      </c>
      <c r="V39" s="13">
        <f>_xll.BDH("ITCI US Equity","BS_ACCRUAL","FQ3 2023","FQ3 2023","Currency=USD","Period=FQ","BEST_FPERIOD_OVERRIDE=FQ","FILING_STATUS=MR","SCALING_FORMAT=MLN","Sort=A","Dates=H","DateFormat=P","Fill=—","Direction=H","UseDPDF=Y")</f>
        <v>88.894999999999996</v>
      </c>
      <c r="W39" s="13">
        <f>_xll.BDH("ITCI US Equity","BS_ACCRUAL","FQ4 2023","FQ4 2023","Currency=USD","Period=FQ","BEST_FPERIOD_OVERRIDE=FQ","FILING_STATUS=MR","SCALING_FORMAT=MLN","Sort=A","Dates=H","DateFormat=P","Fill=—","Direction=H","UseDPDF=Y")</f>
        <v>108.48099999999999</v>
      </c>
      <c r="X39" s="13">
        <f>_xll.BDH("ITCI US Equity","BS_ACCRUAL","FQ1 2024","FQ1 2024","Currency=USD","Period=FQ","BEST_FPERIOD_OVERRIDE=FQ","FILING_STATUS=MR","SCALING_FORMAT=MLN","Sort=A","Dates=H","DateFormat=P","Fill=—","Direction=H","UseDPDF=Y")</f>
        <v>119.63</v>
      </c>
      <c r="Y39" s="13">
        <f>_xll.BDH("ITCI US Equity","BS_ACCRUAL","FQ2 2024","FQ2 2024","Currency=USD","Period=FQ","BEST_FPERIOD_OVERRIDE=FQ","FILING_STATUS=MR","SCALING_FORMAT=MLN","Sort=A","Dates=H","DateFormat=P","Fill=—","Direction=H","UseDPDF=Y")</f>
        <v>140.05600000000001</v>
      </c>
      <c r="Z39" s="13">
        <f>_xll.BDH("ITCI US Equity","BS_ACCRUAL","FQ3 2024","FQ3 2024","Currency=USD","Period=FQ","BEST_FPERIOD_OVERRIDE=FQ","FILING_STATUS=MR","SCALING_FORMAT=MLN","Sort=A","Dates=H","DateFormat=P","Fill=—","Direction=H","UseDPDF=Y")</f>
        <v>151.572</v>
      </c>
      <c r="AA39" s="13">
        <f>_xll.BDH("ITCI US Equity","BS_ACCRUAL","FQ4 2024","FQ4 2024","Currency=USD","Period=FQ","BEST_FPERIOD_OVERRIDE=FQ","FILING_STATUS=MR","SCALING_FORMAT=MLN","Sort=A","Dates=H","DateFormat=P","Fill=—","Direction=H","UseDPDF=Y")</f>
        <v>175.39699999999999</v>
      </c>
    </row>
    <row r="40" spans="1:27" x14ac:dyDescent="0.25">
      <c r="A40" s="10" t="s">
        <v>599</v>
      </c>
      <c r="B40" s="10" t="s">
        <v>600</v>
      </c>
      <c r="C40" s="13">
        <f>_xll.BDH("ITCI US Equity","BS_ST_BORROW","FQ4 2018","FQ4 2018","Currency=USD","Period=FQ","BEST_FPERIOD_OVERRIDE=FQ","FILING_STATUS=MR","SCALING_FORMAT=MLN","Sort=A","Dates=H","DateFormat=P","Fill=—","Direction=H","UseDPDF=Y")</f>
        <v>0</v>
      </c>
      <c r="D40" s="13">
        <f>_xll.BDH("ITCI US Equity","BS_ST_BORROW","FQ1 2019","FQ1 2019","Currency=USD","Period=FQ","BEST_FPERIOD_OVERRIDE=FQ","FILING_STATUS=MR","SCALING_FORMAT=MLN","Sort=A","Dates=H","DateFormat=P","Fill=—","Direction=H","UseDPDF=Y")</f>
        <v>2.8730000000000002</v>
      </c>
      <c r="E40" s="13">
        <f>_xll.BDH("ITCI US Equity","BS_ST_BORROW","FQ2 2019","FQ2 2019","Currency=USD","Period=FQ","BEST_FPERIOD_OVERRIDE=FQ","FILING_STATUS=MR","SCALING_FORMAT=MLN","Sort=A","Dates=H","DateFormat=P","Fill=—","Direction=H","UseDPDF=Y")</f>
        <v>2.2629999999999999</v>
      </c>
      <c r="F40" s="13">
        <f>_xll.BDH("ITCI US Equity","BS_ST_BORROW","FQ3 2019","FQ3 2019","Currency=USD","Period=FQ","BEST_FPERIOD_OVERRIDE=FQ","FILING_STATUS=MR","SCALING_FORMAT=MLN","Sort=A","Dates=H","DateFormat=P","Fill=—","Direction=H","UseDPDF=Y")</f>
        <v>2.2869000000000002</v>
      </c>
      <c r="G40" s="13">
        <f>_xll.BDH("ITCI US Equity","BS_ST_BORROW","FQ4 2019","FQ4 2019","Currency=USD","Period=FQ","BEST_FPERIOD_OVERRIDE=FQ","FILING_STATUS=MR","SCALING_FORMAT=MLN","Sort=A","Dates=H","DateFormat=P","Fill=—","Direction=H","UseDPDF=Y")</f>
        <v>3.1873999999999998</v>
      </c>
      <c r="H40" s="13">
        <f>_xll.BDH("ITCI US Equity","BS_ST_BORROW","FQ1 2020","FQ1 2020","Currency=USD","Period=FQ","BEST_FPERIOD_OVERRIDE=FQ","FILING_STATUS=MR","SCALING_FORMAT=MLN","Sort=A","Dates=H","DateFormat=P","Fill=—","Direction=H","UseDPDF=Y")</f>
        <v>3.2111999999999998</v>
      </c>
      <c r="I40" s="13">
        <f>_xll.BDH("ITCI US Equity","BS_ST_BORROW","FQ2 2020","FQ2 2020","Currency=USD","Period=FQ","BEST_FPERIOD_OVERRIDE=FQ","FILING_STATUS=MR","SCALING_FORMAT=MLN","Sort=A","Dates=H","DateFormat=P","Fill=—","Direction=H","UseDPDF=Y")</f>
        <v>3.9739</v>
      </c>
      <c r="J40" s="13">
        <f>_xll.BDH("ITCI US Equity","BS_ST_BORROW","FQ3 2020","FQ3 2020","Currency=USD","Period=FQ","BEST_FPERIOD_OVERRIDE=FQ","FILING_STATUS=MR","SCALING_FORMAT=MLN","Sort=A","Dates=H","DateFormat=P","Fill=—","Direction=H","UseDPDF=Y")</f>
        <v>5.2672999999999996</v>
      </c>
      <c r="K40" s="13">
        <f>_xll.BDH("ITCI US Equity","BS_ST_BORROW","FQ4 2020","FQ4 2020","Currency=USD","Period=FQ","BEST_FPERIOD_OVERRIDE=FQ","FILING_STATUS=MR","SCALING_FORMAT=MLN","Sort=A","Dates=H","DateFormat=P","Fill=—","Direction=H","UseDPDF=Y")</f>
        <v>5.5418000000000003</v>
      </c>
      <c r="L40" s="13">
        <f>_xll.BDH("ITCI US Equity","BS_ST_BORROW","FQ1 2021","FQ1 2021","Currency=USD","Period=FQ","BEST_FPERIOD_OVERRIDE=FQ","FILING_STATUS=MR","SCALING_FORMAT=MLN","Sort=A","Dates=H","DateFormat=P","Fill=—","Direction=H","UseDPDF=Y")</f>
        <v>5.5731999999999999</v>
      </c>
      <c r="M40" s="13">
        <f>_xll.BDH("ITCI US Equity","BS_ST_BORROW","FQ2 2021","FQ2 2021","Currency=USD","Period=FQ","BEST_FPERIOD_OVERRIDE=FQ","FILING_STATUS=MR","SCALING_FORMAT=MLN","Sort=A","Dates=H","DateFormat=P","Fill=—","Direction=H","UseDPDF=Y")</f>
        <v>5.5951000000000004</v>
      </c>
      <c r="N40" s="13">
        <f>_xll.BDH("ITCI US Equity","BS_ST_BORROW","FQ3 2021","FQ3 2021","Currency=USD","Period=FQ","BEST_FPERIOD_OVERRIDE=FQ","FILING_STATUS=MR","SCALING_FORMAT=MLN","Sort=A","Dates=H","DateFormat=P","Fill=—","Direction=H","UseDPDF=Y")</f>
        <v>6.0820999999999996</v>
      </c>
      <c r="O40" s="13">
        <f>_xll.BDH("ITCI US Equity","BS_ST_BORROW","FQ4 2021","FQ4 2021","Currency=USD","Period=FQ","BEST_FPERIOD_OVERRIDE=FQ","FILING_STATUS=MR","SCALING_FORMAT=MLN","Sort=A","Dates=H","DateFormat=P","Fill=—","Direction=H","UseDPDF=Y")</f>
        <v>6.7317999999999998</v>
      </c>
      <c r="P40" s="13">
        <f>_xll.BDH("ITCI US Equity","BS_ST_BORROW","FQ1 2022","FQ1 2022","Currency=USD","Period=FQ","BEST_FPERIOD_OVERRIDE=FQ","FILING_STATUS=MR","SCALING_FORMAT=MLN","Sort=A","Dates=H","DateFormat=P","Fill=—","Direction=H","UseDPDF=Y")</f>
        <v>7.6360000000000001</v>
      </c>
      <c r="Q40" s="13">
        <f>_xll.BDH("ITCI US Equity","BS_ST_BORROW","FQ2 2022","FQ2 2022","Currency=USD","Period=FQ","BEST_FPERIOD_OVERRIDE=FQ","FILING_STATUS=MR","SCALING_FORMAT=MLN","Sort=A","Dates=H","DateFormat=P","Fill=—","Direction=H","UseDPDF=Y")</f>
        <v>7.7430000000000003</v>
      </c>
      <c r="R40" s="13">
        <f>_xll.BDH("ITCI US Equity","BS_ST_BORROW","FQ3 2022","FQ3 2022","Currency=USD","Period=FQ","BEST_FPERIOD_OVERRIDE=FQ","FILING_STATUS=MR","SCALING_FORMAT=MLN","Sort=A","Dates=H","DateFormat=P","Fill=—","Direction=H","UseDPDF=Y")</f>
        <v>7.2450000000000001</v>
      </c>
      <c r="S40" s="13">
        <f>_xll.BDH("ITCI US Equity","BS_ST_BORROW","FQ4 2022","FQ4 2022","Currency=USD","Period=FQ","BEST_FPERIOD_OVERRIDE=FQ","FILING_STATUS=MR","SCALING_FORMAT=MLN","Sort=A","Dates=H","DateFormat=P","Fill=—","Direction=H","UseDPDF=Y")</f>
        <v>4.5670000000000002</v>
      </c>
      <c r="T40" s="13">
        <f>_xll.BDH("ITCI US Equity","BS_ST_BORROW","FQ1 2023","FQ1 2023","Currency=USD","Period=FQ","BEST_FPERIOD_OVERRIDE=FQ","FILING_STATUS=MR","SCALING_FORMAT=MLN","Sort=A","Dates=H","DateFormat=P","Fill=—","Direction=H","UseDPDF=Y")</f>
        <v>3.5310000000000001</v>
      </c>
      <c r="U40" s="13">
        <f>_xll.BDH("ITCI US Equity","BS_ST_BORROW","FQ2 2023","FQ2 2023","Currency=USD","Period=FQ","BEST_FPERIOD_OVERRIDE=FQ","FILING_STATUS=MR","SCALING_FORMAT=MLN","Sort=A","Dates=H","DateFormat=P","Fill=—","Direction=H","UseDPDF=Y")</f>
        <v>3.5579999999999998</v>
      </c>
      <c r="V40" s="13">
        <f>_xll.BDH("ITCI US Equity","BS_ST_BORROW","FQ3 2023","FQ3 2023","Currency=USD","Period=FQ","BEST_FPERIOD_OVERRIDE=FQ","FILING_STATUS=MR","SCALING_FORMAT=MLN","Sort=A","Dates=H","DateFormat=P","Fill=—","Direction=H","UseDPDF=Y")</f>
        <v>3.5840000000000001</v>
      </c>
      <c r="W40" s="13">
        <f>_xll.BDH("ITCI US Equity","BS_ST_BORROW","FQ4 2023","FQ4 2023","Currency=USD","Period=FQ","BEST_FPERIOD_OVERRIDE=FQ","FILING_STATUS=MR","SCALING_FORMAT=MLN","Sort=A","Dates=H","DateFormat=P","Fill=—","Direction=H","UseDPDF=Y")</f>
        <v>3.6120000000000001</v>
      </c>
      <c r="X40" s="13">
        <f>_xll.BDH("ITCI US Equity","BS_ST_BORROW","FQ1 2024","FQ1 2024","Currency=USD","Period=FQ","BEST_FPERIOD_OVERRIDE=FQ","FILING_STATUS=MR","SCALING_FORMAT=MLN","Sort=A","Dates=H","DateFormat=P","Fill=—","Direction=H","UseDPDF=Y")</f>
        <v>3.6389999999999998</v>
      </c>
      <c r="Y40" s="13">
        <f>_xll.BDH("ITCI US Equity","BS_ST_BORROW","FQ2 2024","FQ2 2024","Currency=USD","Period=FQ","BEST_FPERIOD_OVERRIDE=FQ","FILING_STATUS=MR","SCALING_FORMAT=MLN","Sort=A","Dates=H","DateFormat=P","Fill=—","Direction=H","UseDPDF=Y")</f>
        <v>4.1710000000000003</v>
      </c>
      <c r="Z40" s="13">
        <f>_xll.BDH("ITCI US Equity","BS_ST_BORROW","FQ3 2024","FQ3 2024","Currency=USD","Period=FQ","BEST_FPERIOD_OVERRIDE=FQ","FILING_STATUS=MR","SCALING_FORMAT=MLN","Sort=A","Dates=H","DateFormat=P","Fill=—","Direction=H","UseDPDF=Y")</f>
        <v>4.2030000000000003</v>
      </c>
      <c r="AA40" s="13">
        <f>_xll.BDH("ITCI US Equity","BS_ST_BORROW","FQ4 2024","FQ4 2024","Currency=USD","Period=FQ","BEST_FPERIOD_OVERRIDE=FQ","FILING_STATUS=MR","SCALING_FORMAT=MLN","Sort=A","Dates=H","DateFormat=P","Fill=—","Direction=H","UseDPDF=Y")</f>
        <v>4.2329999999999997</v>
      </c>
    </row>
    <row r="41" spans="1:27" x14ac:dyDescent="0.25">
      <c r="A41" s="10" t="s">
        <v>601</v>
      </c>
      <c r="B41" s="10" t="s">
        <v>602</v>
      </c>
      <c r="C41" s="13">
        <f>_xll.BDH("ITCI US Equity","SHORT_TERM_DEBT_DETAILED","FQ4 2018","FQ4 2018","Currency=USD","Period=FQ","BEST_FPERIOD_OVERRIDE=FQ","FILING_STATUS=MR","SCALING_FORMAT=MLN","Sort=A","Dates=H","DateFormat=P","Fill=—","Direction=H","UseDPDF=Y")</f>
        <v>0</v>
      </c>
      <c r="D41" s="13">
        <f>_xll.BDH("ITCI US Equity","SHORT_TERM_DEBT_DETAILED","FQ1 2019","FQ1 2019","Currency=USD","Period=FQ","BEST_FPERIOD_OVERRIDE=FQ","FILING_STATUS=MR","SCALING_FORMAT=MLN","Sort=A","Dates=H","DateFormat=P","Fill=—","Direction=H","UseDPDF=Y")</f>
        <v>0</v>
      </c>
      <c r="E41" s="13">
        <f>_xll.BDH("ITCI US Equity","SHORT_TERM_DEBT_DETAILED","FQ2 2019","FQ2 2019","Currency=USD","Period=FQ","BEST_FPERIOD_OVERRIDE=FQ","FILING_STATUS=MR","SCALING_FORMAT=MLN","Sort=A","Dates=H","DateFormat=P","Fill=—","Direction=H","UseDPDF=Y")</f>
        <v>0</v>
      </c>
      <c r="F41" s="13">
        <f>_xll.BDH("ITCI US Equity","SHORT_TERM_DEBT_DETAILED","FQ3 2019","FQ3 2019","Currency=USD","Period=FQ","BEST_FPERIOD_OVERRIDE=FQ","FILING_STATUS=MR","SCALING_FORMAT=MLN","Sort=A","Dates=H","DateFormat=P","Fill=—","Direction=H","UseDPDF=Y")</f>
        <v>0</v>
      </c>
      <c r="G41" s="13">
        <f>_xll.BDH("ITCI US Equity","SHORT_TERM_DEBT_DETAILED","FQ4 2019","FQ4 2019","Currency=USD","Period=FQ","BEST_FPERIOD_OVERRIDE=FQ","FILING_STATUS=MR","SCALING_FORMAT=MLN","Sort=A","Dates=H","DateFormat=P","Fill=—","Direction=H","UseDPDF=Y")</f>
        <v>0</v>
      </c>
      <c r="H41" s="13">
        <f>_xll.BDH("ITCI US Equity","SHORT_TERM_DEBT_DETAILED","FQ1 2020","FQ1 2020","Currency=USD","Period=FQ","BEST_FPERIOD_OVERRIDE=FQ","FILING_STATUS=MR","SCALING_FORMAT=MLN","Sort=A","Dates=H","DateFormat=P","Fill=—","Direction=H","UseDPDF=Y")</f>
        <v>0</v>
      </c>
      <c r="I41" s="13">
        <f>_xll.BDH("ITCI US Equity","SHORT_TERM_DEBT_DETAILED","FQ2 2020","FQ2 2020","Currency=USD","Period=FQ","BEST_FPERIOD_OVERRIDE=FQ","FILING_STATUS=MR","SCALING_FORMAT=MLN","Sort=A","Dates=H","DateFormat=P","Fill=—","Direction=H","UseDPDF=Y")</f>
        <v>0</v>
      </c>
      <c r="J41" s="13">
        <f>_xll.BDH("ITCI US Equity","SHORT_TERM_DEBT_DETAILED","FQ3 2020","FQ3 2020","Currency=USD","Period=FQ","BEST_FPERIOD_OVERRIDE=FQ","FILING_STATUS=MR","SCALING_FORMAT=MLN","Sort=A","Dates=H","DateFormat=P","Fill=—","Direction=H","UseDPDF=Y")</f>
        <v>0</v>
      </c>
      <c r="K41" s="13">
        <f>_xll.BDH("ITCI US Equity","SHORT_TERM_DEBT_DETAILED","FQ4 2020","FQ4 2020","Currency=USD","Period=FQ","BEST_FPERIOD_OVERRIDE=FQ","FILING_STATUS=MR","SCALING_FORMAT=MLN","Sort=A","Dates=H","DateFormat=P","Fill=—","Direction=H","UseDPDF=Y")</f>
        <v>0</v>
      </c>
      <c r="L41" s="13">
        <f>_xll.BDH("ITCI US Equity","SHORT_TERM_DEBT_DETAILED","FQ1 2021","FQ1 2021","Currency=USD","Period=FQ","BEST_FPERIOD_OVERRIDE=FQ","FILING_STATUS=MR","SCALING_FORMAT=MLN","Sort=A","Dates=H","DateFormat=P","Fill=—","Direction=H","UseDPDF=Y")</f>
        <v>0</v>
      </c>
      <c r="M41" s="13">
        <f>_xll.BDH("ITCI US Equity","SHORT_TERM_DEBT_DETAILED","FQ2 2021","FQ2 2021","Currency=USD","Period=FQ","BEST_FPERIOD_OVERRIDE=FQ","FILING_STATUS=MR","SCALING_FORMAT=MLN","Sort=A","Dates=H","DateFormat=P","Fill=—","Direction=H","UseDPDF=Y")</f>
        <v>0</v>
      </c>
      <c r="N41" s="13">
        <f>_xll.BDH("ITCI US Equity","SHORT_TERM_DEBT_DETAILED","FQ3 2021","FQ3 2021","Currency=USD","Period=FQ","BEST_FPERIOD_OVERRIDE=FQ","FILING_STATUS=MR","SCALING_FORMAT=MLN","Sort=A","Dates=H","DateFormat=P","Fill=—","Direction=H","UseDPDF=Y")</f>
        <v>0</v>
      </c>
      <c r="O41" s="13">
        <f>_xll.BDH("ITCI US Equity","SHORT_TERM_DEBT_DETAILED","FQ4 2021","FQ4 2021","Currency=USD","Period=FQ","BEST_FPERIOD_OVERRIDE=FQ","FILING_STATUS=MR","SCALING_FORMAT=MLN","Sort=A","Dates=H","DateFormat=P","Fill=—","Direction=H","UseDPDF=Y")</f>
        <v>0</v>
      </c>
      <c r="P41" s="13">
        <f>_xll.BDH("ITCI US Equity","SHORT_TERM_DEBT_DETAILED","FQ1 2022","FQ1 2022","Currency=USD","Period=FQ","BEST_FPERIOD_OVERRIDE=FQ","FILING_STATUS=MR","SCALING_FORMAT=MLN","Sort=A","Dates=H","DateFormat=P","Fill=—","Direction=H","UseDPDF=Y")</f>
        <v>0</v>
      </c>
      <c r="Q41" s="13">
        <f>_xll.BDH("ITCI US Equity","SHORT_TERM_DEBT_DETAILED","FQ2 2022","FQ2 2022","Currency=USD","Period=FQ","BEST_FPERIOD_OVERRIDE=FQ","FILING_STATUS=MR","SCALING_FORMAT=MLN","Sort=A","Dates=H","DateFormat=P","Fill=—","Direction=H","UseDPDF=Y")</f>
        <v>0</v>
      </c>
      <c r="R41" s="13">
        <f>_xll.BDH("ITCI US Equity","SHORT_TERM_DEBT_DETAILED","FQ3 2022","FQ3 2022","Currency=USD","Period=FQ","BEST_FPERIOD_OVERRIDE=FQ","FILING_STATUS=MR","SCALING_FORMAT=MLN","Sort=A","Dates=H","DateFormat=P","Fill=—","Direction=H","UseDPDF=Y")</f>
        <v>0</v>
      </c>
      <c r="S41" s="13">
        <f>_xll.BDH("ITCI US Equity","SHORT_TERM_DEBT_DETAILED","FQ4 2022","FQ4 2022","Currency=USD","Period=FQ","BEST_FPERIOD_OVERRIDE=FQ","FILING_STATUS=MR","SCALING_FORMAT=MLN","Sort=A","Dates=H","DateFormat=P","Fill=—","Direction=H","UseDPDF=Y")</f>
        <v>0</v>
      </c>
      <c r="T41" s="13">
        <f>_xll.BDH("ITCI US Equity","SHORT_TERM_DEBT_DETAILED","FQ1 2023","FQ1 2023","Currency=USD","Period=FQ","BEST_FPERIOD_OVERRIDE=FQ","FILING_STATUS=MR","SCALING_FORMAT=MLN","Sort=A","Dates=H","DateFormat=P","Fill=—","Direction=H","UseDPDF=Y")</f>
        <v>0</v>
      </c>
      <c r="U41" s="13">
        <f>_xll.BDH("ITCI US Equity","SHORT_TERM_DEBT_DETAILED","FQ2 2023","FQ2 2023","Currency=USD","Period=FQ","BEST_FPERIOD_OVERRIDE=FQ","FILING_STATUS=MR","SCALING_FORMAT=MLN","Sort=A","Dates=H","DateFormat=P","Fill=—","Direction=H","UseDPDF=Y")</f>
        <v>0</v>
      </c>
      <c r="V41" s="13">
        <f>_xll.BDH("ITCI US Equity","SHORT_TERM_DEBT_DETAILED","FQ3 2023","FQ3 2023","Currency=USD","Period=FQ","BEST_FPERIOD_OVERRIDE=FQ","FILING_STATUS=MR","SCALING_FORMAT=MLN","Sort=A","Dates=H","DateFormat=P","Fill=—","Direction=H","UseDPDF=Y")</f>
        <v>0</v>
      </c>
      <c r="W41" s="13">
        <f>_xll.BDH("ITCI US Equity","SHORT_TERM_DEBT_DETAILED","FQ4 2023","FQ4 2023","Currency=USD","Period=FQ","BEST_FPERIOD_OVERRIDE=FQ","FILING_STATUS=MR","SCALING_FORMAT=MLN","Sort=A","Dates=H","DateFormat=P","Fill=—","Direction=H","UseDPDF=Y")</f>
        <v>0</v>
      </c>
      <c r="X41" s="13">
        <f>_xll.BDH("ITCI US Equity","SHORT_TERM_DEBT_DETAILED","FQ1 2024","FQ1 2024","Currency=USD","Period=FQ","BEST_FPERIOD_OVERRIDE=FQ","FILING_STATUS=MR","SCALING_FORMAT=MLN","Sort=A","Dates=H","DateFormat=P","Fill=—","Direction=H","UseDPDF=Y")</f>
        <v>0</v>
      </c>
      <c r="Y41" s="13">
        <f>_xll.BDH("ITCI US Equity","SHORT_TERM_DEBT_DETAILED","FQ2 2024","FQ2 2024","Currency=USD","Period=FQ","BEST_FPERIOD_OVERRIDE=FQ","FILING_STATUS=MR","SCALING_FORMAT=MLN","Sort=A","Dates=H","DateFormat=P","Fill=—","Direction=H","UseDPDF=Y")</f>
        <v>0</v>
      </c>
      <c r="Z41" s="13">
        <f>_xll.BDH("ITCI US Equity","SHORT_TERM_DEBT_DETAILED","FQ3 2024","FQ3 2024","Currency=USD","Period=FQ","BEST_FPERIOD_OVERRIDE=FQ","FILING_STATUS=MR","SCALING_FORMAT=MLN","Sort=A","Dates=H","DateFormat=P","Fill=—","Direction=H","UseDPDF=Y")</f>
        <v>0</v>
      </c>
      <c r="AA41" s="13">
        <f>_xll.BDH("ITCI US Equity","SHORT_TERM_DEBT_DETAILED","FQ4 2024","FQ4 2024","Currency=USD","Period=FQ","BEST_FPERIOD_OVERRIDE=FQ","FILING_STATUS=MR","SCALING_FORMAT=MLN","Sort=A","Dates=H","DateFormat=P","Fill=—","Direction=H","UseDPDF=Y")</f>
        <v>0</v>
      </c>
    </row>
    <row r="42" spans="1:27" x14ac:dyDescent="0.25">
      <c r="A42" s="10" t="s">
        <v>603</v>
      </c>
      <c r="B42" s="10" t="s">
        <v>604</v>
      </c>
      <c r="C42" s="13">
        <f>_xll.BDH("ITCI US Equity","ST_CAPITALIZED_LEASE_LIABILITIES","FQ4 2018","FQ4 2018","Currency=USD","Period=FQ","BEST_FPERIOD_OVERRIDE=FQ","FILING_STATUS=MR","SCALING_FORMAT=MLN","Sort=A","Dates=H","DateFormat=P","Fill=—","Direction=H","UseDPDF=Y")</f>
        <v>0</v>
      </c>
      <c r="D42" s="13">
        <f>_xll.BDH("ITCI US Equity","ST_CAPITALIZED_LEASE_LIABILITIES","FQ1 2019","FQ1 2019","Currency=USD","Period=FQ","BEST_FPERIOD_OVERRIDE=FQ","FILING_STATUS=MR","SCALING_FORMAT=MLN","Sort=A","Dates=H","DateFormat=P","Fill=—","Direction=H","UseDPDF=Y")</f>
        <v>2.8730000000000002</v>
      </c>
      <c r="E42" s="13">
        <f>_xll.BDH("ITCI US Equity","ST_CAPITALIZED_LEASE_LIABILITIES","FQ2 2019","FQ2 2019","Currency=USD","Period=FQ","BEST_FPERIOD_OVERRIDE=FQ","FILING_STATUS=MR","SCALING_FORMAT=MLN","Sort=A","Dates=H","DateFormat=P","Fill=—","Direction=H","UseDPDF=Y")</f>
        <v>2.2629999999999999</v>
      </c>
      <c r="F42" s="13">
        <f>_xll.BDH("ITCI US Equity","ST_CAPITALIZED_LEASE_LIABILITIES","FQ3 2019","FQ3 2019","Currency=USD","Period=FQ","BEST_FPERIOD_OVERRIDE=FQ","FILING_STATUS=MR","SCALING_FORMAT=MLN","Sort=A","Dates=H","DateFormat=P","Fill=—","Direction=H","UseDPDF=Y")</f>
        <v>2.2869000000000002</v>
      </c>
      <c r="G42" s="13">
        <f>_xll.BDH("ITCI US Equity","ST_CAPITALIZED_LEASE_LIABILITIES","FQ4 2019","FQ4 2019","Currency=USD","Period=FQ","BEST_FPERIOD_OVERRIDE=FQ","FILING_STATUS=MR","SCALING_FORMAT=MLN","Sort=A","Dates=H","DateFormat=P","Fill=—","Direction=H","UseDPDF=Y")</f>
        <v>3.1873999999999998</v>
      </c>
      <c r="H42" s="13">
        <f>_xll.BDH("ITCI US Equity","ST_CAPITALIZED_LEASE_LIABILITIES","FQ1 2020","FQ1 2020","Currency=USD","Period=FQ","BEST_FPERIOD_OVERRIDE=FQ","FILING_STATUS=MR","SCALING_FORMAT=MLN","Sort=A","Dates=H","DateFormat=P","Fill=—","Direction=H","UseDPDF=Y")</f>
        <v>3.2111999999999998</v>
      </c>
      <c r="I42" s="13">
        <f>_xll.BDH("ITCI US Equity","ST_CAPITALIZED_LEASE_LIABILITIES","FQ2 2020","FQ2 2020","Currency=USD","Period=FQ","BEST_FPERIOD_OVERRIDE=FQ","FILING_STATUS=MR","SCALING_FORMAT=MLN","Sort=A","Dates=H","DateFormat=P","Fill=—","Direction=H","UseDPDF=Y")</f>
        <v>3.9739</v>
      </c>
      <c r="J42" s="13">
        <f>_xll.BDH("ITCI US Equity","ST_CAPITALIZED_LEASE_LIABILITIES","FQ3 2020","FQ3 2020","Currency=USD","Period=FQ","BEST_FPERIOD_OVERRIDE=FQ","FILING_STATUS=MR","SCALING_FORMAT=MLN","Sort=A","Dates=H","DateFormat=P","Fill=—","Direction=H","UseDPDF=Y")</f>
        <v>5.2672999999999996</v>
      </c>
      <c r="K42" s="13">
        <f>_xll.BDH("ITCI US Equity","ST_CAPITALIZED_LEASE_LIABILITIES","FQ4 2020","FQ4 2020","Currency=USD","Period=FQ","BEST_FPERIOD_OVERRIDE=FQ","FILING_STATUS=MR","SCALING_FORMAT=MLN","Sort=A","Dates=H","DateFormat=P","Fill=—","Direction=H","UseDPDF=Y")</f>
        <v>5.5418000000000003</v>
      </c>
      <c r="L42" s="13">
        <f>_xll.BDH("ITCI US Equity","ST_CAPITALIZED_LEASE_LIABILITIES","FQ1 2021","FQ1 2021","Currency=USD","Period=FQ","BEST_FPERIOD_OVERRIDE=FQ","FILING_STATUS=MR","SCALING_FORMAT=MLN","Sort=A","Dates=H","DateFormat=P","Fill=—","Direction=H","UseDPDF=Y")</f>
        <v>5.5731999999999999</v>
      </c>
      <c r="M42" s="13">
        <f>_xll.BDH("ITCI US Equity","ST_CAPITALIZED_LEASE_LIABILITIES","FQ2 2021","FQ2 2021","Currency=USD","Period=FQ","BEST_FPERIOD_OVERRIDE=FQ","FILING_STATUS=MR","SCALING_FORMAT=MLN","Sort=A","Dates=H","DateFormat=P","Fill=—","Direction=H","UseDPDF=Y")</f>
        <v>5.5951000000000004</v>
      </c>
      <c r="N42" s="13">
        <f>_xll.BDH("ITCI US Equity","ST_CAPITALIZED_LEASE_LIABILITIES","FQ3 2021","FQ3 2021","Currency=USD","Period=FQ","BEST_FPERIOD_OVERRIDE=FQ","FILING_STATUS=MR","SCALING_FORMAT=MLN","Sort=A","Dates=H","DateFormat=P","Fill=—","Direction=H","UseDPDF=Y")</f>
        <v>6.0820999999999996</v>
      </c>
      <c r="O42" s="13">
        <f>_xll.BDH("ITCI US Equity","ST_CAPITALIZED_LEASE_LIABILITIES","FQ4 2021","FQ4 2021","Currency=USD","Period=FQ","BEST_FPERIOD_OVERRIDE=FQ","FILING_STATUS=MR","SCALING_FORMAT=MLN","Sort=A","Dates=H","DateFormat=P","Fill=—","Direction=H","UseDPDF=Y")</f>
        <v>6.7317999999999998</v>
      </c>
      <c r="P42" s="13">
        <f>_xll.BDH("ITCI US Equity","ST_CAPITALIZED_LEASE_LIABILITIES","FQ1 2022","FQ1 2022","Currency=USD","Period=FQ","BEST_FPERIOD_OVERRIDE=FQ","FILING_STATUS=MR","SCALING_FORMAT=MLN","Sort=A","Dates=H","DateFormat=P","Fill=—","Direction=H","UseDPDF=Y")</f>
        <v>7.6360000000000001</v>
      </c>
      <c r="Q42" s="13">
        <f>_xll.BDH("ITCI US Equity","ST_CAPITALIZED_LEASE_LIABILITIES","FQ2 2022","FQ2 2022","Currency=USD","Period=FQ","BEST_FPERIOD_OVERRIDE=FQ","FILING_STATUS=MR","SCALING_FORMAT=MLN","Sort=A","Dates=H","DateFormat=P","Fill=—","Direction=H","UseDPDF=Y")</f>
        <v>7.7430000000000003</v>
      </c>
      <c r="R42" s="13">
        <f>_xll.BDH("ITCI US Equity","ST_CAPITALIZED_LEASE_LIABILITIES","FQ3 2022","FQ3 2022","Currency=USD","Period=FQ","BEST_FPERIOD_OVERRIDE=FQ","FILING_STATUS=MR","SCALING_FORMAT=MLN","Sort=A","Dates=H","DateFormat=P","Fill=—","Direction=H","UseDPDF=Y")</f>
        <v>7.2450000000000001</v>
      </c>
      <c r="S42" s="13">
        <f>_xll.BDH("ITCI US Equity","ST_CAPITALIZED_LEASE_LIABILITIES","FQ4 2022","FQ4 2022","Currency=USD","Period=FQ","BEST_FPERIOD_OVERRIDE=FQ","FILING_STATUS=MR","SCALING_FORMAT=MLN","Sort=A","Dates=H","DateFormat=P","Fill=—","Direction=H","UseDPDF=Y")</f>
        <v>4.5670000000000002</v>
      </c>
      <c r="T42" s="13">
        <f>_xll.BDH("ITCI US Equity","ST_CAPITALIZED_LEASE_LIABILITIES","FQ1 2023","FQ1 2023","Currency=USD","Period=FQ","BEST_FPERIOD_OVERRIDE=FQ","FILING_STATUS=MR","SCALING_FORMAT=MLN","Sort=A","Dates=H","DateFormat=P","Fill=—","Direction=H","UseDPDF=Y")</f>
        <v>3.5310000000000001</v>
      </c>
      <c r="U42" s="13">
        <f>_xll.BDH("ITCI US Equity","ST_CAPITALIZED_LEASE_LIABILITIES","FQ2 2023","FQ2 2023","Currency=USD","Period=FQ","BEST_FPERIOD_OVERRIDE=FQ","FILING_STATUS=MR","SCALING_FORMAT=MLN","Sort=A","Dates=H","DateFormat=P","Fill=—","Direction=H","UseDPDF=Y")</f>
        <v>3.5579999999999998</v>
      </c>
      <c r="V42" s="13">
        <f>_xll.BDH("ITCI US Equity","ST_CAPITALIZED_LEASE_LIABILITIES","FQ3 2023","FQ3 2023","Currency=USD","Period=FQ","BEST_FPERIOD_OVERRIDE=FQ","FILING_STATUS=MR","SCALING_FORMAT=MLN","Sort=A","Dates=H","DateFormat=P","Fill=—","Direction=H","UseDPDF=Y")</f>
        <v>3.5840000000000001</v>
      </c>
      <c r="W42" s="13">
        <f>_xll.BDH("ITCI US Equity","ST_CAPITALIZED_LEASE_LIABILITIES","FQ4 2023","FQ4 2023","Currency=USD","Period=FQ","BEST_FPERIOD_OVERRIDE=FQ","FILING_STATUS=MR","SCALING_FORMAT=MLN","Sort=A","Dates=H","DateFormat=P","Fill=—","Direction=H","UseDPDF=Y")</f>
        <v>3.6120000000000001</v>
      </c>
      <c r="X42" s="13">
        <f>_xll.BDH("ITCI US Equity","ST_CAPITALIZED_LEASE_LIABILITIES","FQ1 2024","FQ1 2024","Currency=USD","Period=FQ","BEST_FPERIOD_OVERRIDE=FQ","FILING_STATUS=MR","SCALING_FORMAT=MLN","Sort=A","Dates=H","DateFormat=P","Fill=—","Direction=H","UseDPDF=Y")</f>
        <v>3.6389999999999998</v>
      </c>
      <c r="Y42" s="13">
        <f>_xll.BDH("ITCI US Equity","ST_CAPITALIZED_LEASE_LIABILITIES","FQ2 2024","FQ2 2024","Currency=USD","Period=FQ","BEST_FPERIOD_OVERRIDE=FQ","FILING_STATUS=MR","SCALING_FORMAT=MLN","Sort=A","Dates=H","DateFormat=P","Fill=—","Direction=H","UseDPDF=Y")</f>
        <v>4.1710000000000003</v>
      </c>
      <c r="Z42" s="13">
        <f>_xll.BDH("ITCI US Equity","ST_CAPITALIZED_LEASE_LIABILITIES","FQ3 2024","FQ3 2024","Currency=USD","Period=FQ","BEST_FPERIOD_OVERRIDE=FQ","FILING_STATUS=MR","SCALING_FORMAT=MLN","Sort=A","Dates=H","DateFormat=P","Fill=—","Direction=H","UseDPDF=Y")</f>
        <v>4.2030000000000003</v>
      </c>
      <c r="AA42" s="13">
        <f>_xll.BDH("ITCI US Equity","ST_CAPITALIZED_LEASE_LIABILITIES","FQ4 2024","FQ4 2024","Currency=USD","Period=FQ","BEST_FPERIOD_OVERRIDE=FQ","FILING_STATUS=MR","SCALING_FORMAT=MLN","Sort=A","Dates=H","DateFormat=P","Fill=—","Direction=H","UseDPDF=Y")</f>
        <v>4.2329999999999997</v>
      </c>
    </row>
    <row r="43" spans="1:27" x14ac:dyDescent="0.25">
      <c r="A43" s="11" t="s">
        <v>605</v>
      </c>
      <c r="B43" s="11" t="s">
        <v>606</v>
      </c>
      <c r="C43" s="25">
        <f>_xll.BDH("ITCI US Equity","ST_CAPITAL_LEASE_OBLIGATIONS","FQ4 2018","FQ4 2018","Currency=USD","Period=FQ","BEST_FPERIOD_OVERRIDE=FQ","FILING_STATUS=MR","SCALING_FORMAT=MLN","Sort=A","Dates=H","DateFormat=P","Fill=—","Direction=H","UseDPDF=Y")</f>
        <v>0</v>
      </c>
      <c r="D43" s="25" t="str">
        <f>_xll.BDH("ITCI US Equity","ST_CAPITAL_LEASE_OBLIGATIONS","FQ1 2019","FQ1 2019","Currency=USD","Period=FQ","BEST_FPERIOD_OVERRIDE=FQ","FILING_STATUS=MR","SCALING_FORMAT=MLN","Sort=A","Dates=H","DateFormat=P","Fill=—","Direction=H","UseDPDF=Y")</f>
        <v>—</v>
      </c>
      <c r="E43" s="25" t="str">
        <f>_xll.BDH("ITCI US Equity","ST_CAPITAL_LEASE_OBLIGATIONS","FQ2 2019","FQ2 2019","Currency=USD","Period=FQ","BEST_FPERIOD_OVERRIDE=FQ","FILING_STATUS=MR","SCALING_FORMAT=MLN","Sort=A","Dates=H","DateFormat=P","Fill=—","Direction=H","UseDPDF=Y")</f>
        <v>—</v>
      </c>
      <c r="F43" s="25" t="str">
        <f>_xll.BDH("ITCI US Equity","ST_CAPITAL_LEASE_OBLIGATIONS","FQ3 2019","FQ3 2019","Currency=USD","Period=FQ","BEST_FPERIOD_OVERRIDE=FQ","FILING_STATUS=MR","SCALING_FORMAT=MLN","Sort=A","Dates=H","DateFormat=P","Fill=—","Direction=H","UseDPDF=Y")</f>
        <v>—</v>
      </c>
      <c r="G43" s="25" t="str">
        <f>_xll.BDH("ITCI US Equity","ST_CAPITAL_LEASE_OBLIGATIONS","FQ4 2019","FQ4 2019","Currency=USD","Period=FQ","BEST_FPERIOD_OVERRIDE=FQ","FILING_STATUS=MR","SCALING_FORMAT=MLN","Sort=A","Dates=H","DateFormat=P","Fill=—","Direction=H","UseDPDF=Y")</f>
        <v>—</v>
      </c>
      <c r="H43" s="25" t="str">
        <f>_xll.BDH("ITCI US Equity","ST_CAPITAL_LEASE_OBLIGATIONS","FQ1 2020","FQ1 2020","Currency=USD","Period=FQ","BEST_FPERIOD_OVERRIDE=FQ","FILING_STATUS=MR","SCALING_FORMAT=MLN","Sort=A","Dates=H","DateFormat=P","Fill=—","Direction=H","UseDPDF=Y")</f>
        <v>—</v>
      </c>
      <c r="I43" s="25" t="str">
        <f>_xll.BDH("ITCI US Equity","ST_CAPITAL_LEASE_OBLIGATIONS","FQ2 2020","FQ2 2020","Currency=USD","Period=FQ","BEST_FPERIOD_OVERRIDE=FQ","FILING_STATUS=MR","SCALING_FORMAT=MLN","Sort=A","Dates=H","DateFormat=P","Fill=—","Direction=H","UseDPDF=Y")</f>
        <v>—</v>
      </c>
      <c r="J43" s="25" t="str">
        <f>_xll.BDH("ITCI US Equity","ST_CAPITAL_LEASE_OBLIGATIONS","FQ3 2020","FQ3 2020","Currency=USD","Period=FQ","BEST_FPERIOD_OVERRIDE=FQ","FILING_STATUS=MR","SCALING_FORMAT=MLN","Sort=A","Dates=H","DateFormat=P","Fill=—","Direction=H","UseDPDF=Y")</f>
        <v>—</v>
      </c>
      <c r="K43" s="25" t="str">
        <f>_xll.BDH("ITCI US Equity","ST_CAPITAL_LEASE_OBLIGATIONS","FQ4 2020","FQ4 2020","Currency=USD","Period=FQ","BEST_FPERIOD_OVERRIDE=FQ","FILING_STATUS=MR","SCALING_FORMAT=MLN","Sort=A","Dates=H","DateFormat=P","Fill=—","Direction=H","UseDPDF=Y")</f>
        <v>—</v>
      </c>
      <c r="L43" s="25" t="str">
        <f>_xll.BDH("ITCI US Equity","ST_CAPITAL_LEASE_OBLIGATIONS","FQ1 2021","FQ1 2021","Currency=USD","Period=FQ","BEST_FPERIOD_OVERRIDE=FQ","FILING_STATUS=MR","SCALING_FORMAT=MLN","Sort=A","Dates=H","DateFormat=P","Fill=—","Direction=H","UseDPDF=Y")</f>
        <v>—</v>
      </c>
      <c r="M43" s="25" t="str">
        <f>_xll.BDH("ITCI US Equity","ST_CAPITAL_LEASE_OBLIGATIONS","FQ2 2021","FQ2 2021","Currency=USD","Period=FQ","BEST_FPERIOD_OVERRIDE=FQ","FILING_STATUS=MR","SCALING_FORMAT=MLN","Sort=A","Dates=H","DateFormat=P","Fill=—","Direction=H","UseDPDF=Y")</f>
        <v>—</v>
      </c>
      <c r="N43" s="25" t="str">
        <f>_xll.BDH("ITCI US Equity","ST_CAPITAL_LEASE_OBLIGATIONS","FQ3 2021","FQ3 2021","Currency=USD","Period=FQ","BEST_FPERIOD_OVERRIDE=FQ","FILING_STATUS=MR","SCALING_FORMAT=MLN","Sort=A","Dates=H","DateFormat=P","Fill=—","Direction=H","UseDPDF=Y")</f>
        <v>—</v>
      </c>
      <c r="O43" s="25" t="str">
        <f>_xll.BDH("ITCI US Equity","ST_CAPITAL_LEASE_OBLIGATIONS","FQ4 2021","FQ4 2021","Currency=USD","Period=FQ","BEST_FPERIOD_OVERRIDE=FQ","FILING_STATUS=MR","SCALING_FORMAT=MLN","Sort=A","Dates=H","DateFormat=P","Fill=—","Direction=H","UseDPDF=Y")</f>
        <v>—</v>
      </c>
      <c r="P43" s="25" t="str">
        <f>_xll.BDH("ITCI US Equity","ST_CAPITAL_LEASE_OBLIGATIONS","FQ1 2022","FQ1 2022","Currency=USD","Period=FQ","BEST_FPERIOD_OVERRIDE=FQ","FILING_STATUS=MR","SCALING_FORMAT=MLN","Sort=A","Dates=H","DateFormat=P","Fill=—","Direction=H","UseDPDF=Y")</f>
        <v>—</v>
      </c>
      <c r="Q43" s="25" t="str">
        <f>_xll.BDH("ITCI US Equity","ST_CAPITAL_LEASE_OBLIGATIONS","FQ2 2022","FQ2 2022","Currency=USD","Period=FQ","BEST_FPERIOD_OVERRIDE=FQ","FILING_STATUS=MR","SCALING_FORMAT=MLN","Sort=A","Dates=H","DateFormat=P","Fill=—","Direction=H","UseDPDF=Y")</f>
        <v>—</v>
      </c>
      <c r="R43" s="25" t="str">
        <f>_xll.BDH("ITCI US Equity","ST_CAPITAL_LEASE_OBLIGATIONS","FQ3 2022","FQ3 2022","Currency=USD","Period=FQ","BEST_FPERIOD_OVERRIDE=FQ","FILING_STATUS=MR","SCALING_FORMAT=MLN","Sort=A","Dates=H","DateFormat=P","Fill=—","Direction=H","UseDPDF=Y")</f>
        <v>—</v>
      </c>
      <c r="S43" s="25" t="str">
        <f>_xll.BDH("ITCI US Equity","ST_CAPITAL_LEASE_OBLIGATIONS","FQ4 2022","FQ4 2022","Currency=USD","Period=FQ","BEST_FPERIOD_OVERRIDE=FQ","FILING_STATUS=MR","SCALING_FORMAT=MLN","Sort=A","Dates=H","DateFormat=P","Fill=—","Direction=H","UseDPDF=Y")</f>
        <v>—</v>
      </c>
      <c r="T43" s="25" t="str">
        <f>_xll.BDH("ITCI US Equity","ST_CAPITAL_LEASE_OBLIGATIONS","FQ1 2023","FQ1 2023","Currency=USD","Period=FQ","BEST_FPERIOD_OVERRIDE=FQ","FILING_STATUS=MR","SCALING_FORMAT=MLN","Sort=A","Dates=H","DateFormat=P","Fill=—","Direction=H","UseDPDF=Y")</f>
        <v>—</v>
      </c>
      <c r="U43" s="25" t="str">
        <f>_xll.BDH("ITCI US Equity","ST_CAPITAL_LEASE_OBLIGATIONS","FQ2 2023","FQ2 2023","Currency=USD","Period=FQ","BEST_FPERIOD_OVERRIDE=FQ","FILING_STATUS=MR","SCALING_FORMAT=MLN","Sort=A","Dates=H","DateFormat=P","Fill=—","Direction=H","UseDPDF=Y")</f>
        <v>—</v>
      </c>
      <c r="V43" s="25" t="str">
        <f>_xll.BDH("ITCI US Equity","ST_CAPITAL_LEASE_OBLIGATIONS","FQ3 2023","FQ3 2023","Currency=USD","Period=FQ","BEST_FPERIOD_OVERRIDE=FQ","FILING_STATUS=MR","SCALING_FORMAT=MLN","Sort=A","Dates=H","DateFormat=P","Fill=—","Direction=H","UseDPDF=Y")</f>
        <v>—</v>
      </c>
      <c r="W43" s="25" t="str">
        <f>_xll.BDH("ITCI US Equity","ST_CAPITAL_LEASE_OBLIGATIONS","FQ4 2023","FQ4 2023","Currency=USD","Period=FQ","BEST_FPERIOD_OVERRIDE=FQ","FILING_STATUS=MR","SCALING_FORMAT=MLN","Sort=A","Dates=H","DateFormat=P","Fill=—","Direction=H","UseDPDF=Y")</f>
        <v>—</v>
      </c>
      <c r="X43" s="25" t="str">
        <f>_xll.BDH("ITCI US Equity","ST_CAPITAL_LEASE_OBLIGATIONS","FQ1 2024","FQ1 2024","Currency=USD","Period=FQ","BEST_FPERIOD_OVERRIDE=FQ","FILING_STATUS=MR","SCALING_FORMAT=MLN","Sort=A","Dates=H","DateFormat=P","Fill=—","Direction=H","UseDPDF=Y")</f>
        <v>—</v>
      </c>
      <c r="Y43" s="25" t="str">
        <f>_xll.BDH("ITCI US Equity","ST_CAPITAL_LEASE_OBLIGATIONS","FQ2 2024","FQ2 2024","Currency=USD","Period=FQ","BEST_FPERIOD_OVERRIDE=FQ","FILING_STATUS=MR","SCALING_FORMAT=MLN","Sort=A","Dates=H","DateFormat=P","Fill=—","Direction=H","UseDPDF=Y")</f>
        <v>—</v>
      </c>
      <c r="Z43" s="25" t="str">
        <f>_xll.BDH("ITCI US Equity","ST_CAPITAL_LEASE_OBLIGATIONS","FQ3 2024","FQ3 2024","Currency=USD","Period=FQ","BEST_FPERIOD_OVERRIDE=FQ","FILING_STATUS=MR","SCALING_FORMAT=MLN","Sort=A","Dates=H","DateFormat=P","Fill=—","Direction=H","UseDPDF=Y")</f>
        <v>—</v>
      </c>
      <c r="AA43" s="25" t="str">
        <f>_xll.BDH("ITCI US Equity","ST_CAPITAL_LEASE_OBLIGATIONS","FQ4 2024","FQ4 2024","Currency=USD","Period=FQ","BEST_FPERIOD_OVERRIDE=FQ","FILING_STATUS=MR","SCALING_FORMAT=MLN","Sort=A","Dates=H","DateFormat=P","Fill=—","Direction=H","UseDPDF=Y")</f>
        <v>—</v>
      </c>
    </row>
    <row r="44" spans="1:27" x14ac:dyDescent="0.25">
      <c r="A44" s="11" t="s">
        <v>607</v>
      </c>
      <c r="B44" s="11" t="s">
        <v>608</v>
      </c>
      <c r="C44" s="25" t="str">
        <f>_xll.BDH("ITCI US Equity","BS_ST_OPERATING_LEASE_LIABS","FQ4 2018","FQ4 2018","Currency=USD","Period=FQ","BEST_FPERIOD_OVERRIDE=FQ","FILING_STATUS=MR","SCALING_FORMAT=MLN","Sort=A","Dates=H","DateFormat=P","Fill=—","Direction=H","UseDPDF=Y")</f>
        <v>—</v>
      </c>
      <c r="D44" s="25">
        <f>_xll.BDH("ITCI US Equity","BS_ST_OPERATING_LEASE_LIABS","FQ1 2019","FQ1 2019","Currency=USD","Period=FQ","BEST_FPERIOD_OVERRIDE=FQ","FILING_STATUS=MR","SCALING_FORMAT=MLN","Sort=A","Dates=H","DateFormat=P","Fill=—","Direction=H","UseDPDF=Y")</f>
        <v>2.8730000000000002</v>
      </c>
      <c r="E44" s="25">
        <f>_xll.BDH("ITCI US Equity","BS_ST_OPERATING_LEASE_LIABS","FQ2 2019","FQ2 2019","Currency=USD","Period=FQ","BEST_FPERIOD_OVERRIDE=FQ","FILING_STATUS=MR","SCALING_FORMAT=MLN","Sort=A","Dates=H","DateFormat=P","Fill=—","Direction=H","UseDPDF=Y")</f>
        <v>2.2629999999999999</v>
      </c>
      <c r="F44" s="25">
        <f>_xll.BDH("ITCI US Equity","BS_ST_OPERATING_LEASE_LIABS","FQ3 2019","FQ3 2019","Currency=USD","Period=FQ","BEST_FPERIOD_OVERRIDE=FQ","FILING_STATUS=MR","SCALING_FORMAT=MLN","Sort=A","Dates=H","DateFormat=P","Fill=—","Direction=H","UseDPDF=Y")</f>
        <v>2.2869000000000002</v>
      </c>
      <c r="G44" s="25">
        <f>_xll.BDH("ITCI US Equity","BS_ST_OPERATING_LEASE_LIABS","FQ4 2019","FQ4 2019","Currency=USD","Period=FQ","BEST_FPERIOD_OVERRIDE=FQ","FILING_STATUS=MR","SCALING_FORMAT=MLN","Sort=A","Dates=H","DateFormat=P","Fill=—","Direction=H","UseDPDF=Y")</f>
        <v>3.1873999999999998</v>
      </c>
      <c r="H44" s="25">
        <f>_xll.BDH("ITCI US Equity","BS_ST_OPERATING_LEASE_LIABS","FQ1 2020","FQ1 2020","Currency=USD","Period=FQ","BEST_FPERIOD_OVERRIDE=FQ","FILING_STATUS=MR","SCALING_FORMAT=MLN","Sort=A","Dates=H","DateFormat=P","Fill=—","Direction=H","UseDPDF=Y")</f>
        <v>3.2111999999999998</v>
      </c>
      <c r="I44" s="25">
        <f>_xll.BDH("ITCI US Equity","BS_ST_OPERATING_LEASE_LIABS","FQ2 2020","FQ2 2020","Currency=USD","Period=FQ","BEST_FPERIOD_OVERRIDE=FQ","FILING_STATUS=MR","SCALING_FORMAT=MLN","Sort=A","Dates=H","DateFormat=P","Fill=—","Direction=H","UseDPDF=Y")</f>
        <v>3.9739</v>
      </c>
      <c r="J44" s="25">
        <f>_xll.BDH("ITCI US Equity","BS_ST_OPERATING_LEASE_LIABS","FQ3 2020","FQ3 2020","Currency=USD","Period=FQ","BEST_FPERIOD_OVERRIDE=FQ","FILING_STATUS=MR","SCALING_FORMAT=MLN","Sort=A","Dates=H","DateFormat=P","Fill=—","Direction=H","UseDPDF=Y")</f>
        <v>5.2672999999999996</v>
      </c>
      <c r="K44" s="25">
        <f>_xll.BDH("ITCI US Equity","BS_ST_OPERATING_LEASE_LIABS","FQ4 2020","FQ4 2020","Currency=USD","Period=FQ","BEST_FPERIOD_OVERRIDE=FQ","FILING_STATUS=MR","SCALING_FORMAT=MLN","Sort=A","Dates=H","DateFormat=P","Fill=—","Direction=H","UseDPDF=Y")</f>
        <v>5.5418000000000003</v>
      </c>
      <c r="L44" s="25">
        <f>_xll.BDH("ITCI US Equity","BS_ST_OPERATING_LEASE_LIABS","FQ1 2021","FQ1 2021","Currency=USD","Period=FQ","BEST_FPERIOD_OVERRIDE=FQ","FILING_STATUS=MR","SCALING_FORMAT=MLN","Sort=A","Dates=H","DateFormat=P","Fill=—","Direction=H","UseDPDF=Y")</f>
        <v>5.5731999999999999</v>
      </c>
      <c r="M44" s="25">
        <f>_xll.BDH("ITCI US Equity","BS_ST_OPERATING_LEASE_LIABS","FQ2 2021","FQ2 2021","Currency=USD","Period=FQ","BEST_FPERIOD_OVERRIDE=FQ","FILING_STATUS=MR","SCALING_FORMAT=MLN","Sort=A","Dates=H","DateFormat=P","Fill=—","Direction=H","UseDPDF=Y")</f>
        <v>5.5951000000000004</v>
      </c>
      <c r="N44" s="25">
        <f>_xll.BDH("ITCI US Equity","BS_ST_OPERATING_LEASE_LIABS","FQ3 2021","FQ3 2021","Currency=USD","Period=FQ","BEST_FPERIOD_OVERRIDE=FQ","FILING_STATUS=MR","SCALING_FORMAT=MLN","Sort=A","Dates=H","DateFormat=P","Fill=—","Direction=H","UseDPDF=Y")</f>
        <v>6.0820999999999996</v>
      </c>
      <c r="O44" s="25">
        <f>_xll.BDH("ITCI US Equity","BS_ST_OPERATING_LEASE_LIABS","FQ4 2021","FQ4 2021","Currency=USD","Period=FQ","BEST_FPERIOD_OVERRIDE=FQ","FILING_STATUS=MR","SCALING_FORMAT=MLN","Sort=A","Dates=H","DateFormat=P","Fill=—","Direction=H","UseDPDF=Y")</f>
        <v>6.7317999999999998</v>
      </c>
      <c r="P44" s="25">
        <f>_xll.BDH("ITCI US Equity","BS_ST_OPERATING_LEASE_LIABS","FQ1 2022","FQ1 2022","Currency=USD","Period=FQ","BEST_FPERIOD_OVERRIDE=FQ","FILING_STATUS=MR","SCALING_FORMAT=MLN","Sort=A","Dates=H","DateFormat=P","Fill=—","Direction=H","UseDPDF=Y")</f>
        <v>7.6360000000000001</v>
      </c>
      <c r="Q44" s="25">
        <f>_xll.BDH("ITCI US Equity","BS_ST_OPERATING_LEASE_LIABS","FQ2 2022","FQ2 2022","Currency=USD","Period=FQ","BEST_FPERIOD_OVERRIDE=FQ","FILING_STATUS=MR","SCALING_FORMAT=MLN","Sort=A","Dates=H","DateFormat=P","Fill=—","Direction=H","UseDPDF=Y")</f>
        <v>7.7430000000000003</v>
      </c>
      <c r="R44" s="25">
        <f>_xll.BDH("ITCI US Equity","BS_ST_OPERATING_LEASE_LIABS","FQ3 2022","FQ3 2022","Currency=USD","Period=FQ","BEST_FPERIOD_OVERRIDE=FQ","FILING_STATUS=MR","SCALING_FORMAT=MLN","Sort=A","Dates=H","DateFormat=P","Fill=—","Direction=H","UseDPDF=Y")</f>
        <v>7.2450000000000001</v>
      </c>
      <c r="S44" s="25">
        <f>_xll.BDH("ITCI US Equity","BS_ST_OPERATING_LEASE_LIABS","FQ4 2022","FQ4 2022","Currency=USD","Period=FQ","BEST_FPERIOD_OVERRIDE=FQ","FILING_STATUS=MR","SCALING_FORMAT=MLN","Sort=A","Dates=H","DateFormat=P","Fill=—","Direction=H","UseDPDF=Y")</f>
        <v>4.5670000000000002</v>
      </c>
      <c r="T44" s="25">
        <f>_xll.BDH("ITCI US Equity","BS_ST_OPERATING_LEASE_LIABS","FQ1 2023","FQ1 2023","Currency=USD","Period=FQ","BEST_FPERIOD_OVERRIDE=FQ","FILING_STATUS=MR","SCALING_FORMAT=MLN","Sort=A","Dates=H","DateFormat=P","Fill=—","Direction=H","UseDPDF=Y")</f>
        <v>3.5310000000000001</v>
      </c>
      <c r="U44" s="25">
        <f>_xll.BDH("ITCI US Equity","BS_ST_OPERATING_LEASE_LIABS","FQ2 2023","FQ2 2023","Currency=USD","Period=FQ","BEST_FPERIOD_OVERRIDE=FQ","FILING_STATUS=MR","SCALING_FORMAT=MLN","Sort=A","Dates=H","DateFormat=P","Fill=—","Direction=H","UseDPDF=Y")</f>
        <v>3.5579999999999998</v>
      </c>
      <c r="V44" s="25">
        <f>_xll.BDH("ITCI US Equity","BS_ST_OPERATING_LEASE_LIABS","FQ3 2023","FQ3 2023","Currency=USD","Period=FQ","BEST_FPERIOD_OVERRIDE=FQ","FILING_STATUS=MR","SCALING_FORMAT=MLN","Sort=A","Dates=H","DateFormat=P","Fill=—","Direction=H","UseDPDF=Y")</f>
        <v>3.5840000000000001</v>
      </c>
      <c r="W44" s="25">
        <f>_xll.BDH("ITCI US Equity","BS_ST_OPERATING_LEASE_LIABS","FQ4 2023","FQ4 2023","Currency=USD","Period=FQ","BEST_FPERIOD_OVERRIDE=FQ","FILING_STATUS=MR","SCALING_FORMAT=MLN","Sort=A","Dates=H","DateFormat=P","Fill=—","Direction=H","UseDPDF=Y")</f>
        <v>3.6120000000000001</v>
      </c>
      <c r="X44" s="25">
        <f>_xll.BDH("ITCI US Equity","BS_ST_OPERATING_LEASE_LIABS","FQ1 2024","FQ1 2024","Currency=USD","Period=FQ","BEST_FPERIOD_OVERRIDE=FQ","FILING_STATUS=MR","SCALING_FORMAT=MLN","Sort=A","Dates=H","DateFormat=P","Fill=—","Direction=H","UseDPDF=Y")</f>
        <v>3.6389999999999998</v>
      </c>
      <c r="Y44" s="25">
        <f>_xll.BDH("ITCI US Equity","BS_ST_OPERATING_LEASE_LIABS","FQ2 2024","FQ2 2024","Currency=USD","Period=FQ","BEST_FPERIOD_OVERRIDE=FQ","FILING_STATUS=MR","SCALING_FORMAT=MLN","Sort=A","Dates=H","DateFormat=P","Fill=—","Direction=H","UseDPDF=Y")</f>
        <v>4.1710000000000003</v>
      </c>
      <c r="Z44" s="25">
        <f>_xll.BDH("ITCI US Equity","BS_ST_OPERATING_LEASE_LIABS","FQ3 2024","FQ3 2024","Currency=USD","Period=FQ","BEST_FPERIOD_OVERRIDE=FQ","FILING_STATUS=MR","SCALING_FORMAT=MLN","Sort=A","Dates=H","DateFormat=P","Fill=—","Direction=H","UseDPDF=Y")</f>
        <v>4.2030000000000003</v>
      </c>
      <c r="AA44" s="25">
        <f>_xll.BDH("ITCI US Equity","BS_ST_OPERATING_LEASE_LIABS","FQ4 2024","FQ4 2024","Currency=USD","Period=FQ","BEST_FPERIOD_OVERRIDE=FQ","FILING_STATUS=MR","SCALING_FORMAT=MLN","Sort=A","Dates=H","DateFormat=P","Fill=—","Direction=H","UseDPDF=Y")</f>
        <v>4.2329999999999997</v>
      </c>
    </row>
    <row r="45" spans="1:27" x14ac:dyDescent="0.25">
      <c r="A45" s="10" t="s">
        <v>609</v>
      </c>
      <c r="B45" s="10" t="s">
        <v>610</v>
      </c>
      <c r="C45" s="13">
        <f>_xll.BDH("ITCI US Equity","OTHER_CURRENT_LIABS_SUB_DETAILED","FQ4 2018","FQ4 2018","Currency=USD","Period=FQ","BEST_FPERIOD_OVERRIDE=FQ","FILING_STATUS=MR","SCALING_FORMAT=MLN","Sort=A","Dates=H","DateFormat=P","Fill=—","Direction=H","UseDPDF=Y")</f>
        <v>0</v>
      </c>
      <c r="D45" s="13">
        <f>_xll.BDH("ITCI US Equity","OTHER_CURRENT_LIABS_SUB_DETAILED","FQ1 2019","FQ1 2019","Currency=USD","Period=FQ","BEST_FPERIOD_OVERRIDE=FQ","FILING_STATUS=MR","SCALING_FORMAT=MLN","Sort=A","Dates=H","DateFormat=P","Fill=—","Direction=H","UseDPDF=Y")</f>
        <v>0</v>
      </c>
      <c r="E45" s="13">
        <f>_xll.BDH("ITCI US Equity","OTHER_CURRENT_LIABS_SUB_DETAILED","FQ2 2019","FQ2 2019","Currency=USD","Period=FQ","BEST_FPERIOD_OVERRIDE=FQ","FILING_STATUS=MR","SCALING_FORMAT=MLN","Sort=A","Dates=H","DateFormat=P","Fill=—","Direction=H","UseDPDF=Y")</f>
        <v>0</v>
      </c>
      <c r="F45" s="13">
        <f>_xll.BDH("ITCI US Equity","OTHER_CURRENT_LIABS_SUB_DETAILED","FQ3 2019","FQ3 2019","Currency=USD","Period=FQ","BEST_FPERIOD_OVERRIDE=FQ","FILING_STATUS=MR","SCALING_FORMAT=MLN","Sort=A","Dates=H","DateFormat=P","Fill=—","Direction=H","UseDPDF=Y")</f>
        <v>0</v>
      </c>
      <c r="G45" s="13">
        <f>_xll.BDH("ITCI US Equity","OTHER_CURRENT_LIABS_SUB_DETAILED","FQ4 2019","FQ4 2019","Currency=USD","Period=FQ","BEST_FPERIOD_OVERRIDE=FQ","FILING_STATUS=MR","SCALING_FORMAT=MLN","Sort=A","Dates=H","DateFormat=P","Fill=—","Direction=H","UseDPDF=Y")</f>
        <v>0</v>
      </c>
      <c r="H45" s="13">
        <f>_xll.BDH("ITCI US Equity","OTHER_CURRENT_LIABS_SUB_DETAILED","FQ1 2020","FQ1 2020","Currency=USD","Period=FQ","BEST_FPERIOD_OVERRIDE=FQ","FILING_STATUS=MR","SCALING_FORMAT=MLN","Sort=A","Dates=H","DateFormat=P","Fill=—","Direction=H","UseDPDF=Y")</f>
        <v>0</v>
      </c>
      <c r="I45" s="13">
        <f>_xll.BDH("ITCI US Equity","OTHER_CURRENT_LIABS_SUB_DETAILED","FQ2 2020","FQ2 2020","Currency=USD","Period=FQ","BEST_FPERIOD_OVERRIDE=FQ","FILING_STATUS=MR","SCALING_FORMAT=MLN","Sort=A","Dates=H","DateFormat=P","Fill=—","Direction=H","UseDPDF=Y")</f>
        <v>0</v>
      </c>
      <c r="J45" s="13">
        <f>_xll.BDH("ITCI US Equity","OTHER_CURRENT_LIABS_SUB_DETAILED","FQ3 2020","FQ3 2020","Currency=USD","Period=FQ","BEST_FPERIOD_OVERRIDE=FQ","FILING_STATUS=MR","SCALING_FORMAT=MLN","Sort=A","Dates=H","DateFormat=P","Fill=—","Direction=H","UseDPDF=Y")</f>
        <v>0</v>
      </c>
      <c r="K45" s="13">
        <f>_xll.BDH("ITCI US Equity","OTHER_CURRENT_LIABS_SUB_DETAILED","FQ4 2020","FQ4 2020","Currency=USD","Period=FQ","BEST_FPERIOD_OVERRIDE=FQ","FILING_STATUS=MR","SCALING_FORMAT=MLN","Sort=A","Dates=H","DateFormat=P","Fill=—","Direction=H","UseDPDF=Y")</f>
        <v>0</v>
      </c>
      <c r="L45" s="13">
        <f>_xll.BDH("ITCI US Equity","OTHER_CURRENT_LIABS_SUB_DETAILED","FQ1 2021","FQ1 2021","Currency=USD","Period=FQ","BEST_FPERIOD_OVERRIDE=FQ","FILING_STATUS=MR","SCALING_FORMAT=MLN","Sort=A","Dates=H","DateFormat=P","Fill=—","Direction=H","UseDPDF=Y")</f>
        <v>0</v>
      </c>
      <c r="M45" s="13">
        <f>_xll.BDH("ITCI US Equity","OTHER_CURRENT_LIABS_SUB_DETAILED","FQ2 2021","FQ2 2021","Currency=USD","Period=FQ","BEST_FPERIOD_OVERRIDE=FQ","FILING_STATUS=MR","SCALING_FORMAT=MLN","Sort=A","Dates=H","DateFormat=P","Fill=—","Direction=H","UseDPDF=Y")</f>
        <v>0</v>
      </c>
      <c r="N45" s="13">
        <f>_xll.BDH("ITCI US Equity","OTHER_CURRENT_LIABS_SUB_DETAILED","FQ3 2021","FQ3 2021","Currency=USD","Period=FQ","BEST_FPERIOD_OVERRIDE=FQ","FILING_STATUS=MR","SCALING_FORMAT=MLN","Sort=A","Dates=H","DateFormat=P","Fill=—","Direction=H","UseDPDF=Y")</f>
        <v>0</v>
      </c>
      <c r="O45" s="13">
        <f>_xll.BDH("ITCI US Equity","OTHER_CURRENT_LIABS_SUB_DETAILED","FQ4 2021","FQ4 2021","Currency=USD","Period=FQ","BEST_FPERIOD_OVERRIDE=FQ","FILING_STATUS=MR","SCALING_FORMAT=MLN","Sort=A","Dates=H","DateFormat=P","Fill=—","Direction=H","UseDPDF=Y")</f>
        <v>0</v>
      </c>
      <c r="P45" s="13">
        <f>_xll.BDH("ITCI US Equity","OTHER_CURRENT_LIABS_SUB_DETAILED","FQ1 2022","FQ1 2022","Currency=USD","Period=FQ","BEST_FPERIOD_OVERRIDE=FQ","FILING_STATUS=MR","SCALING_FORMAT=MLN","Sort=A","Dates=H","DateFormat=P","Fill=—","Direction=H","UseDPDF=Y")</f>
        <v>0</v>
      </c>
      <c r="Q45" s="13">
        <f>_xll.BDH("ITCI US Equity","OTHER_CURRENT_LIABS_SUB_DETAILED","FQ2 2022","FQ2 2022","Currency=USD","Period=FQ","BEST_FPERIOD_OVERRIDE=FQ","FILING_STATUS=MR","SCALING_FORMAT=MLN","Sort=A","Dates=H","DateFormat=P","Fill=—","Direction=H","UseDPDF=Y")</f>
        <v>0</v>
      </c>
      <c r="R45" s="13">
        <f>_xll.BDH("ITCI US Equity","OTHER_CURRENT_LIABS_SUB_DETAILED","FQ3 2022","FQ3 2022","Currency=USD","Period=FQ","BEST_FPERIOD_OVERRIDE=FQ","FILING_STATUS=MR","SCALING_FORMAT=MLN","Sort=A","Dates=H","DateFormat=P","Fill=—","Direction=H","UseDPDF=Y")</f>
        <v>0</v>
      </c>
      <c r="S45" s="13">
        <f>_xll.BDH("ITCI US Equity","OTHER_CURRENT_LIABS_SUB_DETAILED","FQ4 2022","FQ4 2022","Currency=USD","Period=FQ","BEST_FPERIOD_OVERRIDE=FQ","FILING_STATUS=MR","SCALING_FORMAT=MLN","Sort=A","Dates=H","DateFormat=P","Fill=—","Direction=H","UseDPDF=Y")</f>
        <v>0</v>
      </c>
      <c r="T45" s="13">
        <f>_xll.BDH("ITCI US Equity","OTHER_CURRENT_LIABS_SUB_DETAILED","FQ1 2023","FQ1 2023","Currency=USD","Period=FQ","BEST_FPERIOD_OVERRIDE=FQ","FILING_STATUS=MR","SCALING_FORMAT=MLN","Sort=A","Dates=H","DateFormat=P","Fill=—","Direction=H","UseDPDF=Y")</f>
        <v>0</v>
      </c>
      <c r="U45" s="13">
        <f>_xll.BDH("ITCI US Equity","OTHER_CURRENT_LIABS_SUB_DETAILED","FQ2 2023","FQ2 2023","Currency=USD","Period=FQ","BEST_FPERIOD_OVERRIDE=FQ","FILING_STATUS=MR","SCALING_FORMAT=MLN","Sort=A","Dates=H","DateFormat=P","Fill=—","Direction=H","UseDPDF=Y")</f>
        <v>0</v>
      </c>
      <c r="V45" s="13">
        <f>_xll.BDH("ITCI US Equity","OTHER_CURRENT_LIABS_SUB_DETAILED","FQ3 2023","FQ3 2023","Currency=USD","Period=FQ","BEST_FPERIOD_OVERRIDE=FQ","FILING_STATUS=MR","SCALING_FORMAT=MLN","Sort=A","Dates=H","DateFormat=P","Fill=—","Direction=H","UseDPDF=Y")</f>
        <v>0</v>
      </c>
      <c r="W45" s="13">
        <f>_xll.BDH("ITCI US Equity","OTHER_CURRENT_LIABS_SUB_DETAILED","FQ4 2023","FQ4 2023","Currency=USD","Period=FQ","BEST_FPERIOD_OVERRIDE=FQ","FILING_STATUS=MR","SCALING_FORMAT=MLN","Sort=A","Dates=H","DateFormat=P","Fill=—","Direction=H","UseDPDF=Y")</f>
        <v>0</v>
      </c>
      <c r="X45" s="13">
        <f>_xll.BDH("ITCI US Equity","OTHER_CURRENT_LIABS_SUB_DETAILED","FQ1 2024","FQ1 2024","Currency=USD","Period=FQ","BEST_FPERIOD_OVERRIDE=FQ","FILING_STATUS=MR","SCALING_FORMAT=MLN","Sort=A","Dates=H","DateFormat=P","Fill=—","Direction=H","UseDPDF=Y")</f>
        <v>0</v>
      </c>
      <c r="Y45" s="13">
        <f>_xll.BDH("ITCI US Equity","OTHER_CURRENT_LIABS_SUB_DETAILED","FQ2 2024","FQ2 2024","Currency=USD","Period=FQ","BEST_FPERIOD_OVERRIDE=FQ","FILING_STATUS=MR","SCALING_FORMAT=MLN","Sort=A","Dates=H","DateFormat=P","Fill=—","Direction=H","UseDPDF=Y")</f>
        <v>0</v>
      </c>
      <c r="Z45" s="13">
        <f>_xll.BDH("ITCI US Equity","OTHER_CURRENT_LIABS_SUB_DETAILED","FQ3 2024","FQ3 2024","Currency=USD","Period=FQ","BEST_FPERIOD_OVERRIDE=FQ","FILING_STATUS=MR","SCALING_FORMAT=MLN","Sort=A","Dates=H","DateFormat=P","Fill=—","Direction=H","UseDPDF=Y")</f>
        <v>0</v>
      </c>
      <c r="AA45" s="13">
        <f>_xll.BDH("ITCI US Equity","OTHER_CURRENT_LIABS_SUB_DETAILED","FQ4 2024","FQ4 2024","Currency=USD","Period=FQ","BEST_FPERIOD_OVERRIDE=FQ","FILING_STATUS=MR","SCALING_FORMAT=MLN","Sort=A","Dates=H","DateFormat=P","Fill=—","Direction=H","UseDPDF=Y")</f>
        <v>0</v>
      </c>
    </row>
    <row r="46" spans="1:27" x14ac:dyDescent="0.25">
      <c r="A46" s="10" t="s">
        <v>611</v>
      </c>
      <c r="B46" s="10" t="s">
        <v>612</v>
      </c>
      <c r="C46" s="13">
        <f>_xll.BDH("ITCI US Equity","ST_DEFERRED_REVENUE","FQ4 2018","FQ4 2018","Currency=USD","Period=FQ","BEST_FPERIOD_OVERRIDE=FQ","FILING_STATUS=MR","SCALING_FORMAT=MLN","Sort=A","Dates=H","DateFormat=P","Fill=—","Direction=H","UseDPDF=Y")</f>
        <v>0</v>
      </c>
      <c r="D46" s="13" t="str">
        <f>_xll.BDH("ITCI US Equity","ST_DEFERRED_REVENUE","FQ1 2019","FQ1 2019","Currency=USD","Period=FQ","BEST_FPERIOD_OVERRIDE=FQ","FILING_STATUS=MR","SCALING_FORMAT=MLN","Sort=A","Dates=H","DateFormat=P","Fill=—","Direction=H","UseDPDF=Y")</f>
        <v>—</v>
      </c>
      <c r="E46" s="13" t="str">
        <f>_xll.BDH("ITCI US Equity","ST_DEFERRED_REVENUE","FQ2 2019","FQ2 2019","Currency=USD","Period=FQ","BEST_FPERIOD_OVERRIDE=FQ","FILING_STATUS=MR","SCALING_FORMAT=MLN","Sort=A","Dates=H","DateFormat=P","Fill=—","Direction=H","UseDPDF=Y")</f>
        <v>—</v>
      </c>
      <c r="F46" s="13" t="str">
        <f>_xll.BDH("ITCI US Equity","ST_DEFERRED_REVENUE","FQ3 2019","FQ3 2019","Currency=USD","Period=FQ","BEST_FPERIOD_OVERRIDE=FQ","FILING_STATUS=MR","SCALING_FORMAT=MLN","Sort=A","Dates=H","DateFormat=P","Fill=—","Direction=H","UseDPDF=Y")</f>
        <v>—</v>
      </c>
      <c r="G46" s="13">
        <f>_xll.BDH("ITCI US Equity","ST_DEFERRED_REVENUE","FQ4 2019","FQ4 2019","Currency=USD","Period=FQ","BEST_FPERIOD_OVERRIDE=FQ","FILING_STATUS=MR","SCALING_FORMAT=MLN","Sort=A","Dates=H","DateFormat=P","Fill=—","Direction=H","UseDPDF=Y")</f>
        <v>0</v>
      </c>
      <c r="H46" s="13" t="str">
        <f>_xll.BDH("ITCI US Equity","ST_DEFERRED_REVENUE","FQ1 2020","FQ1 2020","Currency=USD","Period=FQ","BEST_FPERIOD_OVERRIDE=FQ","FILING_STATUS=MR","SCALING_FORMAT=MLN","Sort=A","Dates=H","DateFormat=P","Fill=—","Direction=H","UseDPDF=Y")</f>
        <v>—</v>
      </c>
      <c r="I46" s="13" t="str">
        <f>_xll.BDH("ITCI US Equity","ST_DEFERRED_REVENUE","FQ2 2020","FQ2 2020","Currency=USD","Period=FQ","BEST_FPERIOD_OVERRIDE=FQ","FILING_STATUS=MR","SCALING_FORMAT=MLN","Sort=A","Dates=H","DateFormat=P","Fill=—","Direction=H","UseDPDF=Y")</f>
        <v>—</v>
      </c>
      <c r="J46" s="13" t="str">
        <f>_xll.BDH("ITCI US Equity","ST_DEFERRED_REVENUE","FQ3 2020","FQ3 2020","Currency=USD","Period=FQ","BEST_FPERIOD_OVERRIDE=FQ","FILING_STATUS=MR","SCALING_FORMAT=MLN","Sort=A","Dates=H","DateFormat=P","Fill=—","Direction=H","UseDPDF=Y")</f>
        <v>—</v>
      </c>
      <c r="K46" s="13">
        <f>_xll.BDH("ITCI US Equity","ST_DEFERRED_REVENUE","FQ4 2020","FQ4 2020","Currency=USD","Period=FQ","BEST_FPERIOD_OVERRIDE=FQ","FILING_STATUS=MR","SCALING_FORMAT=MLN","Sort=A","Dates=H","DateFormat=P","Fill=—","Direction=H","UseDPDF=Y")</f>
        <v>0</v>
      </c>
      <c r="L46" s="13" t="str">
        <f>_xll.BDH("ITCI US Equity","ST_DEFERRED_REVENUE","FQ1 2021","FQ1 2021","Currency=USD","Period=FQ","BEST_FPERIOD_OVERRIDE=FQ","FILING_STATUS=MR","SCALING_FORMAT=MLN","Sort=A","Dates=H","DateFormat=P","Fill=—","Direction=H","UseDPDF=Y")</f>
        <v>—</v>
      </c>
      <c r="M46" s="13" t="str">
        <f>_xll.BDH("ITCI US Equity","ST_DEFERRED_REVENUE","FQ2 2021","FQ2 2021","Currency=USD","Period=FQ","BEST_FPERIOD_OVERRIDE=FQ","FILING_STATUS=MR","SCALING_FORMAT=MLN","Sort=A","Dates=H","DateFormat=P","Fill=—","Direction=H","UseDPDF=Y")</f>
        <v>—</v>
      </c>
      <c r="N46" s="13" t="str">
        <f>_xll.BDH("ITCI US Equity","ST_DEFERRED_REVENUE","FQ3 2021","FQ3 2021","Currency=USD","Period=FQ","BEST_FPERIOD_OVERRIDE=FQ","FILING_STATUS=MR","SCALING_FORMAT=MLN","Sort=A","Dates=H","DateFormat=P","Fill=—","Direction=H","UseDPDF=Y")</f>
        <v>—</v>
      </c>
      <c r="O46" s="13">
        <f>_xll.BDH("ITCI US Equity","ST_DEFERRED_REVENUE","FQ4 2021","FQ4 2021","Currency=USD","Period=FQ","BEST_FPERIOD_OVERRIDE=FQ","FILING_STATUS=MR","SCALING_FORMAT=MLN","Sort=A","Dates=H","DateFormat=P","Fill=—","Direction=H","UseDPDF=Y")</f>
        <v>0</v>
      </c>
      <c r="P46" s="13" t="str">
        <f>_xll.BDH("ITCI US Equity","ST_DEFERRED_REVENUE","FQ1 2022","FQ1 2022","Currency=USD","Period=FQ","BEST_FPERIOD_OVERRIDE=FQ","FILING_STATUS=MR","SCALING_FORMAT=MLN","Sort=A","Dates=H","DateFormat=P","Fill=—","Direction=H","UseDPDF=Y")</f>
        <v>—</v>
      </c>
      <c r="Q46" s="13">
        <f>_xll.BDH("ITCI US Equity","ST_DEFERRED_REVENUE","FQ2 2022","FQ2 2022","Currency=USD","Period=FQ","BEST_FPERIOD_OVERRIDE=FQ","FILING_STATUS=MR","SCALING_FORMAT=MLN","Sort=A","Dates=H","DateFormat=P","Fill=—","Direction=H","UseDPDF=Y")</f>
        <v>0</v>
      </c>
      <c r="R46" s="13" t="str">
        <f>_xll.BDH("ITCI US Equity","ST_DEFERRED_REVENUE","FQ3 2022","FQ3 2022","Currency=USD","Period=FQ","BEST_FPERIOD_OVERRIDE=FQ","FILING_STATUS=MR","SCALING_FORMAT=MLN","Sort=A","Dates=H","DateFormat=P","Fill=—","Direction=H","UseDPDF=Y")</f>
        <v>—</v>
      </c>
      <c r="S46" s="13">
        <f>_xll.BDH("ITCI US Equity","ST_DEFERRED_REVENUE","FQ4 2022","FQ4 2022","Currency=USD","Period=FQ","BEST_FPERIOD_OVERRIDE=FQ","FILING_STATUS=MR","SCALING_FORMAT=MLN","Sort=A","Dates=H","DateFormat=P","Fill=—","Direction=H","UseDPDF=Y")</f>
        <v>0</v>
      </c>
      <c r="T46" s="13" t="str">
        <f>_xll.BDH("ITCI US Equity","ST_DEFERRED_REVENUE","FQ1 2023","FQ1 2023","Currency=USD","Period=FQ","BEST_FPERIOD_OVERRIDE=FQ","FILING_STATUS=MR","SCALING_FORMAT=MLN","Sort=A","Dates=H","DateFormat=P","Fill=—","Direction=H","UseDPDF=Y")</f>
        <v>—</v>
      </c>
      <c r="U46" s="13" t="str">
        <f>_xll.BDH("ITCI US Equity","ST_DEFERRED_REVENUE","FQ2 2023","FQ2 2023","Currency=USD","Period=FQ","BEST_FPERIOD_OVERRIDE=FQ","FILING_STATUS=MR","SCALING_FORMAT=MLN","Sort=A","Dates=H","DateFormat=P","Fill=—","Direction=H","UseDPDF=Y")</f>
        <v>—</v>
      </c>
      <c r="V46" s="13" t="str">
        <f>_xll.BDH("ITCI US Equity","ST_DEFERRED_REVENUE","FQ3 2023","FQ3 2023","Currency=USD","Period=FQ","BEST_FPERIOD_OVERRIDE=FQ","FILING_STATUS=MR","SCALING_FORMAT=MLN","Sort=A","Dates=H","DateFormat=P","Fill=—","Direction=H","UseDPDF=Y")</f>
        <v>—</v>
      </c>
      <c r="W46" s="13">
        <f>_xll.BDH("ITCI US Equity","ST_DEFERRED_REVENUE","FQ4 2023","FQ4 2023","Currency=USD","Period=FQ","BEST_FPERIOD_OVERRIDE=FQ","FILING_STATUS=MR","SCALING_FORMAT=MLN","Sort=A","Dates=H","DateFormat=P","Fill=—","Direction=H","UseDPDF=Y")</f>
        <v>0</v>
      </c>
      <c r="X46" s="13" t="str">
        <f>_xll.BDH("ITCI US Equity","ST_DEFERRED_REVENUE","FQ1 2024","FQ1 2024","Currency=USD","Period=FQ","BEST_FPERIOD_OVERRIDE=FQ","FILING_STATUS=MR","SCALING_FORMAT=MLN","Sort=A","Dates=H","DateFormat=P","Fill=—","Direction=H","UseDPDF=Y")</f>
        <v>—</v>
      </c>
      <c r="Y46" s="13" t="str">
        <f>_xll.BDH("ITCI US Equity","ST_DEFERRED_REVENUE","FQ2 2024","FQ2 2024","Currency=USD","Period=FQ","BEST_FPERIOD_OVERRIDE=FQ","FILING_STATUS=MR","SCALING_FORMAT=MLN","Sort=A","Dates=H","DateFormat=P","Fill=—","Direction=H","UseDPDF=Y")</f>
        <v>—</v>
      </c>
      <c r="Z46" s="13" t="str">
        <f>_xll.BDH("ITCI US Equity","ST_DEFERRED_REVENUE","FQ3 2024","FQ3 2024","Currency=USD","Period=FQ","BEST_FPERIOD_OVERRIDE=FQ","FILING_STATUS=MR","SCALING_FORMAT=MLN","Sort=A","Dates=H","DateFormat=P","Fill=—","Direction=H","UseDPDF=Y")</f>
        <v>—</v>
      </c>
      <c r="AA46" s="13">
        <f>_xll.BDH("ITCI US Equity","ST_DEFERRED_REVENUE","FQ4 2024","FQ4 2024","Currency=USD","Period=FQ","BEST_FPERIOD_OVERRIDE=FQ","FILING_STATUS=MR","SCALING_FORMAT=MLN","Sort=A","Dates=H","DateFormat=P","Fill=—","Direction=H","UseDPDF=Y")</f>
        <v>0</v>
      </c>
    </row>
    <row r="47" spans="1:27" x14ac:dyDescent="0.25">
      <c r="A47" s="10" t="s">
        <v>613</v>
      </c>
      <c r="B47" s="10" t="s">
        <v>614</v>
      </c>
      <c r="C47" s="13">
        <f>_xll.BDH("ITCI US Equity","BS_DERIV_HEDGING_LIAB_ST","FQ4 2018","FQ4 2018","Currency=USD","Period=FQ","BEST_FPERIOD_OVERRIDE=FQ","FILING_STATUS=MR","SCALING_FORMAT=MLN","Sort=A","Dates=H","DateFormat=P","Fill=—","Direction=H","UseDPDF=Y")</f>
        <v>0</v>
      </c>
      <c r="D47" s="13" t="str">
        <f>_xll.BDH("ITCI US Equity","BS_DERIV_HEDGING_LIAB_ST","FQ1 2019","FQ1 2019","Currency=USD","Period=FQ","BEST_FPERIOD_OVERRIDE=FQ","FILING_STATUS=MR","SCALING_FORMAT=MLN","Sort=A","Dates=H","DateFormat=P","Fill=—","Direction=H","UseDPDF=Y")</f>
        <v>—</v>
      </c>
      <c r="E47" s="13" t="str">
        <f>_xll.BDH("ITCI US Equity","BS_DERIV_HEDGING_LIAB_ST","FQ2 2019","FQ2 2019","Currency=USD","Period=FQ","BEST_FPERIOD_OVERRIDE=FQ","FILING_STATUS=MR","SCALING_FORMAT=MLN","Sort=A","Dates=H","DateFormat=P","Fill=—","Direction=H","UseDPDF=Y")</f>
        <v>—</v>
      </c>
      <c r="F47" s="13" t="str">
        <f>_xll.BDH("ITCI US Equity","BS_DERIV_HEDGING_LIAB_ST","FQ3 2019","FQ3 2019","Currency=USD","Period=FQ","BEST_FPERIOD_OVERRIDE=FQ","FILING_STATUS=MR","SCALING_FORMAT=MLN","Sort=A","Dates=H","DateFormat=P","Fill=—","Direction=H","UseDPDF=Y")</f>
        <v>—</v>
      </c>
      <c r="G47" s="13">
        <f>_xll.BDH("ITCI US Equity","BS_DERIV_HEDGING_LIAB_ST","FQ4 2019","FQ4 2019","Currency=USD","Period=FQ","BEST_FPERIOD_OVERRIDE=FQ","FILING_STATUS=MR","SCALING_FORMAT=MLN","Sort=A","Dates=H","DateFormat=P","Fill=—","Direction=H","UseDPDF=Y")</f>
        <v>0</v>
      </c>
      <c r="H47" s="13" t="str">
        <f>_xll.BDH("ITCI US Equity","BS_DERIV_HEDGING_LIAB_ST","FQ1 2020","FQ1 2020","Currency=USD","Period=FQ","BEST_FPERIOD_OVERRIDE=FQ","FILING_STATUS=MR","SCALING_FORMAT=MLN","Sort=A","Dates=H","DateFormat=P","Fill=—","Direction=H","UseDPDF=Y")</f>
        <v>—</v>
      </c>
      <c r="I47" s="13" t="str">
        <f>_xll.BDH("ITCI US Equity","BS_DERIV_HEDGING_LIAB_ST","FQ2 2020","FQ2 2020","Currency=USD","Period=FQ","BEST_FPERIOD_OVERRIDE=FQ","FILING_STATUS=MR","SCALING_FORMAT=MLN","Sort=A","Dates=H","DateFormat=P","Fill=—","Direction=H","UseDPDF=Y")</f>
        <v>—</v>
      </c>
      <c r="J47" s="13" t="str">
        <f>_xll.BDH("ITCI US Equity","BS_DERIV_HEDGING_LIAB_ST","FQ3 2020","FQ3 2020","Currency=USD","Period=FQ","BEST_FPERIOD_OVERRIDE=FQ","FILING_STATUS=MR","SCALING_FORMAT=MLN","Sort=A","Dates=H","DateFormat=P","Fill=—","Direction=H","UseDPDF=Y")</f>
        <v>—</v>
      </c>
      <c r="K47" s="13">
        <f>_xll.BDH("ITCI US Equity","BS_DERIV_HEDGING_LIAB_ST","FQ4 2020","FQ4 2020","Currency=USD","Period=FQ","BEST_FPERIOD_OVERRIDE=FQ","FILING_STATUS=MR","SCALING_FORMAT=MLN","Sort=A","Dates=H","DateFormat=P","Fill=—","Direction=H","UseDPDF=Y")</f>
        <v>0</v>
      </c>
      <c r="L47" s="13" t="str">
        <f>_xll.BDH("ITCI US Equity","BS_DERIV_HEDGING_LIAB_ST","FQ1 2021","FQ1 2021","Currency=USD","Period=FQ","BEST_FPERIOD_OVERRIDE=FQ","FILING_STATUS=MR","SCALING_FORMAT=MLN","Sort=A","Dates=H","DateFormat=P","Fill=—","Direction=H","UseDPDF=Y")</f>
        <v>—</v>
      </c>
      <c r="M47" s="13" t="str">
        <f>_xll.BDH("ITCI US Equity","BS_DERIV_HEDGING_LIAB_ST","FQ2 2021","FQ2 2021","Currency=USD","Period=FQ","BEST_FPERIOD_OVERRIDE=FQ","FILING_STATUS=MR","SCALING_FORMAT=MLN","Sort=A","Dates=H","DateFormat=P","Fill=—","Direction=H","UseDPDF=Y")</f>
        <v>—</v>
      </c>
      <c r="N47" s="13" t="str">
        <f>_xll.BDH("ITCI US Equity","BS_DERIV_HEDGING_LIAB_ST","FQ3 2021","FQ3 2021","Currency=USD","Period=FQ","BEST_FPERIOD_OVERRIDE=FQ","FILING_STATUS=MR","SCALING_FORMAT=MLN","Sort=A","Dates=H","DateFormat=P","Fill=—","Direction=H","UseDPDF=Y")</f>
        <v>—</v>
      </c>
      <c r="O47" s="13" t="str">
        <f>_xll.BDH("ITCI US Equity","BS_DERIV_HEDGING_LIAB_ST","FQ4 2021","FQ4 2021","Currency=USD","Period=FQ","BEST_FPERIOD_OVERRIDE=FQ","FILING_STATUS=MR","SCALING_FORMAT=MLN","Sort=A","Dates=H","DateFormat=P","Fill=—","Direction=H","UseDPDF=Y")</f>
        <v>—</v>
      </c>
      <c r="P47" s="13" t="str">
        <f>_xll.BDH("ITCI US Equity","BS_DERIV_HEDGING_LIAB_ST","FQ1 2022","FQ1 2022","Currency=USD","Period=FQ","BEST_FPERIOD_OVERRIDE=FQ","FILING_STATUS=MR","SCALING_FORMAT=MLN","Sort=A","Dates=H","DateFormat=P","Fill=—","Direction=H","UseDPDF=Y")</f>
        <v>—</v>
      </c>
      <c r="Q47" s="13">
        <f>_xll.BDH("ITCI US Equity","BS_DERIV_HEDGING_LIAB_ST","FQ2 2022","FQ2 2022","Currency=USD","Period=FQ","BEST_FPERIOD_OVERRIDE=FQ","FILING_STATUS=MR","SCALING_FORMAT=MLN","Sort=A","Dates=H","DateFormat=P","Fill=—","Direction=H","UseDPDF=Y")</f>
        <v>0</v>
      </c>
      <c r="R47" s="13" t="str">
        <f>_xll.BDH("ITCI US Equity","BS_DERIV_HEDGING_LIAB_ST","FQ3 2022","FQ3 2022","Currency=USD","Period=FQ","BEST_FPERIOD_OVERRIDE=FQ","FILING_STATUS=MR","SCALING_FORMAT=MLN","Sort=A","Dates=H","DateFormat=P","Fill=—","Direction=H","UseDPDF=Y")</f>
        <v>—</v>
      </c>
      <c r="S47" s="13">
        <f>_xll.BDH("ITCI US Equity","BS_DERIV_HEDGING_LIAB_ST","FQ4 2022","FQ4 2022","Currency=USD","Period=FQ","BEST_FPERIOD_OVERRIDE=FQ","FILING_STATUS=MR","SCALING_FORMAT=MLN","Sort=A","Dates=H","DateFormat=P","Fill=—","Direction=H","UseDPDF=Y")</f>
        <v>0</v>
      </c>
      <c r="T47" s="13" t="str">
        <f>_xll.BDH("ITCI US Equity","BS_DERIV_HEDGING_LIAB_ST","FQ1 2023","FQ1 2023","Currency=USD","Period=FQ","BEST_FPERIOD_OVERRIDE=FQ","FILING_STATUS=MR","SCALING_FORMAT=MLN","Sort=A","Dates=H","DateFormat=P","Fill=—","Direction=H","UseDPDF=Y")</f>
        <v>—</v>
      </c>
      <c r="U47" s="13" t="str">
        <f>_xll.BDH("ITCI US Equity","BS_DERIV_HEDGING_LIAB_ST","FQ2 2023","FQ2 2023","Currency=USD","Period=FQ","BEST_FPERIOD_OVERRIDE=FQ","FILING_STATUS=MR","SCALING_FORMAT=MLN","Sort=A","Dates=H","DateFormat=P","Fill=—","Direction=H","UseDPDF=Y")</f>
        <v>—</v>
      </c>
      <c r="V47" s="13" t="str">
        <f>_xll.BDH("ITCI US Equity","BS_DERIV_HEDGING_LIAB_ST","FQ3 2023","FQ3 2023","Currency=USD","Period=FQ","BEST_FPERIOD_OVERRIDE=FQ","FILING_STATUS=MR","SCALING_FORMAT=MLN","Sort=A","Dates=H","DateFormat=P","Fill=—","Direction=H","UseDPDF=Y")</f>
        <v>—</v>
      </c>
      <c r="W47" s="13">
        <f>_xll.BDH("ITCI US Equity","BS_DERIV_HEDGING_LIAB_ST","FQ4 2023","FQ4 2023","Currency=USD","Period=FQ","BEST_FPERIOD_OVERRIDE=FQ","FILING_STATUS=MR","SCALING_FORMAT=MLN","Sort=A","Dates=H","DateFormat=P","Fill=—","Direction=H","UseDPDF=Y")</f>
        <v>0</v>
      </c>
      <c r="X47" s="13" t="str">
        <f>_xll.BDH("ITCI US Equity","BS_DERIV_HEDGING_LIAB_ST","FQ1 2024","FQ1 2024","Currency=USD","Period=FQ","BEST_FPERIOD_OVERRIDE=FQ","FILING_STATUS=MR","SCALING_FORMAT=MLN","Sort=A","Dates=H","DateFormat=P","Fill=—","Direction=H","UseDPDF=Y")</f>
        <v>—</v>
      </c>
      <c r="Y47" s="13" t="str">
        <f>_xll.BDH("ITCI US Equity","BS_DERIV_HEDGING_LIAB_ST","FQ2 2024","FQ2 2024","Currency=USD","Period=FQ","BEST_FPERIOD_OVERRIDE=FQ","FILING_STATUS=MR","SCALING_FORMAT=MLN","Sort=A","Dates=H","DateFormat=P","Fill=—","Direction=H","UseDPDF=Y")</f>
        <v>—</v>
      </c>
      <c r="Z47" s="13" t="str">
        <f>_xll.BDH("ITCI US Equity","BS_DERIV_HEDGING_LIAB_ST","FQ3 2024","FQ3 2024","Currency=USD","Period=FQ","BEST_FPERIOD_OVERRIDE=FQ","FILING_STATUS=MR","SCALING_FORMAT=MLN","Sort=A","Dates=H","DateFormat=P","Fill=—","Direction=H","UseDPDF=Y")</f>
        <v>—</v>
      </c>
      <c r="AA47" s="13">
        <f>_xll.BDH("ITCI US Equity","BS_DERIV_HEDGING_LIAB_ST","FQ4 2024","FQ4 2024","Currency=USD","Period=FQ","BEST_FPERIOD_OVERRIDE=FQ","FILING_STATUS=MR","SCALING_FORMAT=MLN","Sort=A","Dates=H","DateFormat=P","Fill=—","Direction=H","UseDPDF=Y")</f>
        <v>0</v>
      </c>
    </row>
    <row r="48" spans="1:27" x14ac:dyDescent="0.25">
      <c r="A48" s="10" t="s">
        <v>615</v>
      </c>
      <c r="B48" s="10" t="s">
        <v>616</v>
      </c>
      <c r="C48" s="13">
        <f>_xll.BDH("ITCI US Equity","OTHER_CURRENT_LIABS_DETAILED","FQ4 2018","FQ4 2018","Currency=USD","Period=FQ","BEST_FPERIOD_OVERRIDE=FQ","FILING_STATUS=MR","SCALING_FORMAT=MLN","Sort=A","Dates=H","DateFormat=P","Fill=—","Direction=H","UseDPDF=Y")</f>
        <v>0</v>
      </c>
      <c r="D48" s="13">
        <f>_xll.BDH("ITCI US Equity","OTHER_CURRENT_LIABS_DETAILED","FQ1 2019","FQ1 2019","Currency=USD","Period=FQ","BEST_FPERIOD_OVERRIDE=FQ","FILING_STATUS=MR","SCALING_FORMAT=MLN","Sort=A","Dates=H","DateFormat=P","Fill=—","Direction=H","UseDPDF=Y")</f>
        <v>0</v>
      </c>
      <c r="E48" s="13">
        <f>_xll.BDH("ITCI US Equity","OTHER_CURRENT_LIABS_DETAILED","FQ2 2019","FQ2 2019","Currency=USD","Period=FQ","BEST_FPERIOD_OVERRIDE=FQ","FILING_STATUS=MR","SCALING_FORMAT=MLN","Sort=A","Dates=H","DateFormat=P","Fill=—","Direction=H","UseDPDF=Y")</f>
        <v>0</v>
      </c>
      <c r="F48" s="13">
        <f>_xll.BDH("ITCI US Equity","OTHER_CURRENT_LIABS_DETAILED","FQ3 2019","FQ3 2019","Currency=USD","Period=FQ","BEST_FPERIOD_OVERRIDE=FQ","FILING_STATUS=MR","SCALING_FORMAT=MLN","Sort=A","Dates=H","DateFormat=P","Fill=—","Direction=H","UseDPDF=Y")</f>
        <v>0</v>
      </c>
      <c r="G48" s="13">
        <f>_xll.BDH("ITCI US Equity","OTHER_CURRENT_LIABS_DETAILED","FQ4 2019","FQ4 2019","Currency=USD","Period=FQ","BEST_FPERIOD_OVERRIDE=FQ","FILING_STATUS=MR","SCALING_FORMAT=MLN","Sort=A","Dates=H","DateFormat=P","Fill=—","Direction=H","UseDPDF=Y")</f>
        <v>0</v>
      </c>
      <c r="H48" s="13">
        <f>_xll.BDH("ITCI US Equity","OTHER_CURRENT_LIABS_DETAILED","FQ1 2020","FQ1 2020","Currency=USD","Period=FQ","BEST_FPERIOD_OVERRIDE=FQ","FILING_STATUS=MR","SCALING_FORMAT=MLN","Sort=A","Dates=H","DateFormat=P","Fill=—","Direction=H","UseDPDF=Y")</f>
        <v>0</v>
      </c>
      <c r="I48" s="13">
        <f>_xll.BDH("ITCI US Equity","OTHER_CURRENT_LIABS_DETAILED","FQ2 2020","FQ2 2020","Currency=USD","Period=FQ","BEST_FPERIOD_OVERRIDE=FQ","FILING_STATUS=MR","SCALING_FORMAT=MLN","Sort=A","Dates=H","DateFormat=P","Fill=—","Direction=H","UseDPDF=Y")</f>
        <v>0</v>
      </c>
      <c r="J48" s="13">
        <f>_xll.BDH("ITCI US Equity","OTHER_CURRENT_LIABS_DETAILED","FQ3 2020","FQ3 2020","Currency=USD","Period=FQ","BEST_FPERIOD_OVERRIDE=FQ","FILING_STATUS=MR","SCALING_FORMAT=MLN","Sort=A","Dates=H","DateFormat=P","Fill=—","Direction=H","UseDPDF=Y")</f>
        <v>0</v>
      </c>
      <c r="K48" s="13">
        <f>_xll.BDH("ITCI US Equity","OTHER_CURRENT_LIABS_DETAILED","FQ4 2020","FQ4 2020","Currency=USD","Period=FQ","BEST_FPERIOD_OVERRIDE=FQ","FILING_STATUS=MR","SCALING_FORMAT=MLN","Sort=A","Dates=H","DateFormat=P","Fill=—","Direction=H","UseDPDF=Y")</f>
        <v>0</v>
      </c>
      <c r="L48" s="13">
        <f>_xll.BDH("ITCI US Equity","OTHER_CURRENT_LIABS_DETAILED","FQ1 2021","FQ1 2021","Currency=USD","Period=FQ","BEST_FPERIOD_OVERRIDE=FQ","FILING_STATUS=MR","SCALING_FORMAT=MLN","Sort=A","Dates=H","DateFormat=P","Fill=—","Direction=H","UseDPDF=Y")</f>
        <v>0</v>
      </c>
      <c r="M48" s="13">
        <f>_xll.BDH("ITCI US Equity","OTHER_CURRENT_LIABS_DETAILED","FQ2 2021","FQ2 2021","Currency=USD","Period=FQ","BEST_FPERIOD_OVERRIDE=FQ","FILING_STATUS=MR","SCALING_FORMAT=MLN","Sort=A","Dates=H","DateFormat=P","Fill=—","Direction=H","UseDPDF=Y")</f>
        <v>0</v>
      </c>
      <c r="N48" s="13">
        <f>_xll.BDH("ITCI US Equity","OTHER_CURRENT_LIABS_DETAILED","FQ3 2021","FQ3 2021","Currency=USD","Period=FQ","BEST_FPERIOD_OVERRIDE=FQ","FILING_STATUS=MR","SCALING_FORMAT=MLN","Sort=A","Dates=H","DateFormat=P","Fill=—","Direction=H","UseDPDF=Y")</f>
        <v>0</v>
      </c>
      <c r="O48" s="13">
        <f>_xll.BDH("ITCI US Equity","OTHER_CURRENT_LIABS_DETAILED","FQ4 2021","FQ4 2021","Currency=USD","Period=FQ","BEST_FPERIOD_OVERRIDE=FQ","FILING_STATUS=MR","SCALING_FORMAT=MLN","Sort=A","Dates=H","DateFormat=P","Fill=—","Direction=H","UseDPDF=Y")</f>
        <v>0</v>
      </c>
      <c r="P48" s="13">
        <f>_xll.BDH("ITCI US Equity","OTHER_CURRENT_LIABS_DETAILED","FQ1 2022","FQ1 2022","Currency=USD","Period=FQ","BEST_FPERIOD_OVERRIDE=FQ","FILING_STATUS=MR","SCALING_FORMAT=MLN","Sort=A","Dates=H","DateFormat=P","Fill=—","Direction=H","UseDPDF=Y")</f>
        <v>0</v>
      </c>
      <c r="Q48" s="13">
        <f>_xll.BDH("ITCI US Equity","OTHER_CURRENT_LIABS_DETAILED","FQ2 2022","FQ2 2022","Currency=USD","Period=FQ","BEST_FPERIOD_OVERRIDE=FQ","FILING_STATUS=MR","SCALING_FORMAT=MLN","Sort=A","Dates=H","DateFormat=P","Fill=—","Direction=H","UseDPDF=Y")</f>
        <v>0</v>
      </c>
      <c r="R48" s="13">
        <f>_xll.BDH("ITCI US Equity","OTHER_CURRENT_LIABS_DETAILED","FQ3 2022","FQ3 2022","Currency=USD","Period=FQ","BEST_FPERIOD_OVERRIDE=FQ","FILING_STATUS=MR","SCALING_FORMAT=MLN","Sort=A","Dates=H","DateFormat=P","Fill=—","Direction=H","UseDPDF=Y")</f>
        <v>0</v>
      </c>
      <c r="S48" s="13">
        <f>_xll.BDH("ITCI US Equity","OTHER_CURRENT_LIABS_DETAILED","FQ4 2022","FQ4 2022","Currency=USD","Period=FQ","BEST_FPERIOD_OVERRIDE=FQ","FILING_STATUS=MR","SCALING_FORMAT=MLN","Sort=A","Dates=H","DateFormat=P","Fill=—","Direction=H","UseDPDF=Y")</f>
        <v>0</v>
      </c>
      <c r="T48" s="13">
        <f>_xll.BDH("ITCI US Equity","OTHER_CURRENT_LIABS_DETAILED","FQ1 2023","FQ1 2023","Currency=USD","Period=FQ","BEST_FPERIOD_OVERRIDE=FQ","FILING_STATUS=MR","SCALING_FORMAT=MLN","Sort=A","Dates=H","DateFormat=P","Fill=—","Direction=H","UseDPDF=Y")</f>
        <v>0</v>
      </c>
      <c r="U48" s="13">
        <f>_xll.BDH("ITCI US Equity","OTHER_CURRENT_LIABS_DETAILED","FQ2 2023","FQ2 2023","Currency=USD","Period=FQ","BEST_FPERIOD_OVERRIDE=FQ","FILING_STATUS=MR","SCALING_FORMAT=MLN","Sort=A","Dates=H","DateFormat=P","Fill=—","Direction=H","UseDPDF=Y")</f>
        <v>0</v>
      </c>
      <c r="V48" s="13">
        <f>_xll.BDH("ITCI US Equity","OTHER_CURRENT_LIABS_DETAILED","FQ3 2023","FQ3 2023","Currency=USD","Period=FQ","BEST_FPERIOD_OVERRIDE=FQ","FILING_STATUS=MR","SCALING_FORMAT=MLN","Sort=A","Dates=H","DateFormat=P","Fill=—","Direction=H","UseDPDF=Y")</f>
        <v>0</v>
      </c>
      <c r="W48" s="13">
        <f>_xll.BDH("ITCI US Equity","OTHER_CURRENT_LIABS_DETAILED","FQ4 2023","FQ4 2023","Currency=USD","Period=FQ","BEST_FPERIOD_OVERRIDE=FQ","FILING_STATUS=MR","SCALING_FORMAT=MLN","Sort=A","Dates=H","DateFormat=P","Fill=—","Direction=H","UseDPDF=Y")</f>
        <v>0</v>
      </c>
      <c r="X48" s="13">
        <f>_xll.BDH("ITCI US Equity","OTHER_CURRENT_LIABS_DETAILED","FQ1 2024","FQ1 2024","Currency=USD","Period=FQ","BEST_FPERIOD_OVERRIDE=FQ","FILING_STATUS=MR","SCALING_FORMAT=MLN","Sort=A","Dates=H","DateFormat=P","Fill=—","Direction=H","UseDPDF=Y")</f>
        <v>0</v>
      </c>
      <c r="Y48" s="13">
        <f>_xll.BDH("ITCI US Equity","OTHER_CURRENT_LIABS_DETAILED","FQ2 2024","FQ2 2024","Currency=USD","Period=FQ","BEST_FPERIOD_OVERRIDE=FQ","FILING_STATUS=MR","SCALING_FORMAT=MLN","Sort=A","Dates=H","DateFormat=P","Fill=—","Direction=H","UseDPDF=Y")</f>
        <v>0</v>
      </c>
      <c r="Z48" s="13">
        <f>_xll.BDH("ITCI US Equity","OTHER_CURRENT_LIABS_DETAILED","FQ3 2024","FQ3 2024","Currency=USD","Period=FQ","BEST_FPERIOD_OVERRIDE=FQ","FILING_STATUS=MR","SCALING_FORMAT=MLN","Sort=A","Dates=H","DateFormat=P","Fill=—","Direction=H","UseDPDF=Y")</f>
        <v>0</v>
      </c>
      <c r="AA48" s="13">
        <f>_xll.BDH("ITCI US Equity","OTHER_CURRENT_LIABS_DETAILED","FQ4 2024","FQ4 2024","Currency=USD","Period=FQ","BEST_FPERIOD_OVERRIDE=FQ","FILING_STATUS=MR","SCALING_FORMAT=MLN","Sort=A","Dates=H","DateFormat=P","Fill=—","Direction=H","UseDPDF=Y")</f>
        <v>0</v>
      </c>
    </row>
    <row r="49" spans="1:27" x14ac:dyDescent="0.25">
      <c r="A49" s="6" t="s">
        <v>114</v>
      </c>
      <c r="B49" s="6" t="s">
        <v>115</v>
      </c>
      <c r="C49" s="19">
        <f>_xll.BDH("ITCI US Equity","BS_CUR_LIAB","FQ4 2018","FQ4 2018","Currency=USD","Period=FQ","BEST_FPERIOD_OVERRIDE=FQ","FILING_STATUS=MR","SCALING_FORMAT=MLN","Sort=A","Dates=H","DateFormat=P","Fill=—","Direction=H","UseDPDF=Y")</f>
        <v>36.299199999999999</v>
      </c>
      <c r="D49" s="19">
        <f>_xll.BDH("ITCI US Equity","BS_CUR_LIAB","FQ1 2019","FQ1 2019","Currency=USD","Period=FQ","BEST_FPERIOD_OVERRIDE=FQ","FILING_STATUS=MR","SCALING_FORMAT=MLN","Sort=A","Dates=H","DateFormat=P","Fill=—","Direction=H","UseDPDF=Y")</f>
        <v>33.499299999999998</v>
      </c>
      <c r="E49" s="19">
        <f>_xll.BDH("ITCI US Equity","BS_CUR_LIAB","FQ2 2019","FQ2 2019","Currency=USD","Period=FQ","BEST_FPERIOD_OVERRIDE=FQ","FILING_STATUS=MR","SCALING_FORMAT=MLN","Sort=A","Dates=H","DateFormat=P","Fill=—","Direction=H","UseDPDF=Y")</f>
        <v>32.526499999999999</v>
      </c>
      <c r="F49" s="19">
        <f>_xll.BDH("ITCI US Equity","BS_CUR_LIAB","FQ3 2019","FQ3 2019","Currency=USD","Period=FQ","BEST_FPERIOD_OVERRIDE=FQ","FILING_STATUS=MR","SCALING_FORMAT=MLN","Sort=A","Dates=H","DateFormat=P","Fill=—","Direction=H","UseDPDF=Y")</f>
        <v>33.373100000000001</v>
      </c>
      <c r="G49" s="19">
        <f>_xll.BDH("ITCI US Equity","BS_CUR_LIAB","FQ4 2019","FQ4 2019","Currency=USD","Period=FQ","BEST_FPERIOD_OVERRIDE=FQ","FILING_STATUS=MR","SCALING_FORMAT=MLN","Sort=A","Dates=H","DateFormat=P","Fill=—","Direction=H","UseDPDF=Y")</f>
        <v>36.223999999999997</v>
      </c>
      <c r="H49" s="19">
        <f>_xll.BDH("ITCI US Equity","BS_CUR_LIAB","FQ1 2020","FQ1 2020","Currency=USD","Period=FQ","BEST_FPERIOD_OVERRIDE=FQ","FILING_STATUS=MR","SCALING_FORMAT=MLN","Sort=A","Dates=H","DateFormat=P","Fill=—","Direction=H","UseDPDF=Y")</f>
        <v>31.0764</v>
      </c>
      <c r="I49" s="19">
        <f>_xll.BDH("ITCI US Equity","BS_CUR_LIAB","FQ2 2020","FQ2 2020","Currency=USD","Period=FQ","BEST_FPERIOD_OVERRIDE=FQ","FILING_STATUS=MR","SCALING_FORMAT=MLN","Sort=A","Dates=H","DateFormat=P","Fill=—","Direction=H","UseDPDF=Y")</f>
        <v>40.242699999999999</v>
      </c>
      <c r="J49" s="19">
        <f>_xll.BDH("ITCI US Equity","BS_CUR_LIAB","FQ3 2020","FQ3 2020","Currency=USD","Period=FQ","BEST_FPERIOD_OVERRIDE=FQ","FILING_STATUS=MR","SCALING_FORMAT=MLN","Sort=A","Dates=H","DateFormat=P","Fill=—","Direction=H","UseDPDF=Y")</f>
        <v>38.028700000000001</v>
      </c>
      <c r="K49" s="19">
        <f>_xll.BDH("ITCI US Equity","BS_CUR_LIAB","FQ4 2020","FQ4 2020","Currency=USD","Period=FQ","BEST_FPERIOD_OVERRIDE=FQ","FILING_STATUS=MR","SCALING_FORMAT=MLN","Sort=A","Dates=H","DateFormat=P","Fill=—","Direction=H","UseDPDF=Y")</f>
        <v>36.853200000000001</v>
      </c>
      <c r="L49" s="19">
        <f>_xll.BDH("ITCI US Equity","BS_CUR_LIAB","FQ1 2021","FQ1 2021","Currency=USD","Period=FQ","BEST_FPERIOD_OVERRIDE=FQ","FILING_STATUS=MR","SCALING_FORMAT=MLN","Sort=A","Dates=H","DateFormat=P","Fill=—","Direction=H","UseDPDF=Y")</f>
        <v>39.701700000000002</v>
      </c>
      <c r="M49" s="19">
        <f>_xll.BDH("ITCI US Equity","BS_CUR_LIAB","FQ2 2021","FQ2 2021","Currency=USD","Period=FQ","BEST_FPERIOD_OVERRIDE=FQ","FILING_STATUS=MR","SCALING_FORMAT=MLN","Sort=A","Dates=H","DateFormat=P","Fill=—","Direction=H","UseDPDF=Y")</f>
        <v>50.421900000000001</v>
      </c>
      <c r="N49" s="19">
        <f>_xll.BDH("ITCI US Equity","BS_CUR_LIAB","FQ3 2021","FQ3 2021","Currency=USD","Period=FQ","BEST_FPERIOD_OVERRIDE=FQ","FILING_STATUS=MR","SCALING_FORMAT=MLN","Sort=A","Dates=H","DateFormat=P","Fill=—","Direction=H","UseDPDF=Y")</f>
        <v>49.895600000000002</v>
      </c>
      <c r="O49" s="19">
        <f>_xll.BDH("ITCI US Equity","BS_CUR_LIAB","FQ4 2021","FQ4 2021","Currency=USD","Period=FQ","BEST_FPERIOD_OVERRIDE=FQ","FILING_STATUS=MR","SCALING_FORMAT=MLN","Sort=A","Dates=H","DateFormat=P","Fill=—","Direction=H","UseDPDF=Y")</f>
        <v>53.356499999999997</v>
      </c>
      <c r="P49" s="19">
        <f>_xll.BDH("ITCI US Equity","BS_CUR_LIAB","FQ1 2022","FQ1 2022","Currency=USD","Period=FQ","BEST_FPERIOD_OVERRIDE=FQ","FILING_STATUS=MR","SCALING_FORMAT=MLN","Sort=A","Dates=H","DateFormat=P","Fill=—","Direction=H","UseDPDF=Y")</f>
        <v>59.073999999999998</v>
      </c>
      <c r="Q49" s="19">
        <f>_xll.BDH("ITCI US Equity","BS_CUR_LIAB","FQ2 2022","FQ2 2022","Currency=USD","Period=FQ","BEST_FPERIOD_OVERRIDE=FQ","FILING_STATUS=MR","SCALING_FORMAT=MLN","Sort=A","Dates=H","DateFormat=P","Fill=—","Direction=H","UseDPDF=Y")</f>
        <v>70.634</v>
      </c>
      <c r="R49" s="19">
        <f>_xll.BDH("ITCI US Equity","BS_CUR_LIAB","FQ3 2022","FQ3 2022","Currency=USD","Period=FQ","BEST_FPERIOD_OVERRIDE=FQ","FILING_STATUS=MR","SCALING_FORMAT=MLN","Sort=A","Dates=H","DateFormat=P","Fill=—","Direction=H","UseDPDF=Y")</f>
        <v>77.41</v>
      </c>
      <c r="S49" s="19">
        <f>_xll.BDH("ITCI US Equity","BS_CUR_LIAB","FQ4 2022","FQ4 2022","Currency=USD","Period=FQ","BEST_FPERIOD_OVERRIDE=FQ","FILING_STATUS=MR","SCALING_FORMAT=MLN","Sort=A","Dates=H","DateFormat=P","Fill=—","Direction=H","UseDPDF=Y")</f>
        <v>83.236000000000004</v>
      </c>
      <c r="T49" s="19">
        <f>_xll.BDH("ITCI US Equity","BS_CUR_LIAB","FQ1 2023","FQ1 2023","Currency=USD","Period=FQ","BEST_FPERIOD_OVERRIDE=FQ","FILING_STATUS=MR","SCALING_FORMAT=MLN","Sort=A","Dates=H","DateFormat=P","Fill=—","Direction=H","UseDPDF=Y")</f>
        <v>79.587000000000003</v>
      </c>
      <c r="U49" s="19">
        <f>_xll.BDH("ITCI US Equity","BS_CUR_LIAB","FQ2 2023","FQ2 2023","Currency=USD","Period=FQ","BEST_FPERIOD_OVERRIDE=FQ","FILING_STATUS=MR","SCALING_FORMAT=MLN","Sort=A","Dates=H","DateFormat=P","Fill=—","Direction=H","UseDPDF=Y")</f>
        <v>92.08</v>
      </c>
      <c r="V49" s="19">
        <f>_xll.BDH("ITCI US Equity","BS_CUR_LIAB","FQ3 2023","FQ3 2023","Currency=USD","Period=FQ","BEST_FPERIOD_OVERRIDE=FQ","FILING_STATUS=MR","SCALING_FORMAT=MLN","Sort=A","Dates=H","DateFormat=P","Fill=—","Direction=H","UseDPDF=Y")</f>
        <v>103.092</v>
      </c>
      <c r="W49" s="19">
        <f>_xll.BDH("ITCI US Equity","BS_CUR_LIAB","FQ4 2023","FQ4 2023","Currency=USD","Period=FQ","BEST_FPERIOD_OVERRIDE=FQ","FILING_STATUS=MR","SCALING_FORMAT=MLN","Sort=A","Dates=H","DateFormat=P","Fill=—","Direction=H","UseDPDF=Y")</f>
        <v>123.545</v>
      </c>
      <c r="X49" s="19">
        <f>_xll.BDH("ITCI US Equity","BS_CUR_LIAB","FQ1 2024","FQ1 2024","Currency=USD","Period=FQ","BEST_FPERIOD_OVERRIDE=FQ","FILING_STATUS=MR","SCALING_FORMAT=MLN","Sort=A","Dates=H","DateFormat=P","Fill=—","Direction=H","UseDPDF=Y")</f>
        <v>134.80099999999999</v>
      </c>
      <c r="Y49" s="19">
        <f>_xll.BDH("ITCI US Equity","BS_CUR_LIAB","FQ2 2024","FQ2 2024","Currency=USD","Period=FQ","BEST_FPERIOD_OVERRIDE=FQ","FILING_STATUS=MR","SCALING_FORMAT=MLN","Sort=A","Dates=H","DateFormat=P","Fill=—","Direction=H","UseDPDF=Y")</f>
        <v>161.77500000000001</v>
      </c>
      <c r="Z49" s="19">
        <f>_xll.BDH("ITCI US Equity","BS_CUR_LIAB","FQ3 2024","FQ3 2024","Currency=USD","Period=FQ","BEST_FPERIOD_OVERRIDE=FQ","FILING_STATUS=MR","SCALING_FORMAT=MLN","Sort=A","Dates=H","DateFormat=P","Fill=—","Direction=H","UseDPDF=Y")</f>
        <v>166.113</v>
      </c>
      <c r="AA49" s="19">
        <f>_xll.BDH("ITCI US Equity","BS_CUR_LIAB","FQ4 2024","FQ4 2024","Currency=USD","Period=FQ","BEST_FPERIOD_OVERRIDE=FQ","FILING_STATUS=MR","SCALING_FORMAT=MLN","Sort=A","Dates=H","DateFormat=P","Fill=—","Direction=H","UseDPDF=Y")</f>
        <v>205.70400000000001</v>
      </c>
    </row>
    <row r="50" spans="1:27" x14ac:dyDescent="0.25">
      <c r="A50" s="10" t="s">
        <v>617</v>
      </c>
      <c r="B50" s="10" t="s">
        <v>618</v>
      </c>
      <c r="C50" s="13">
        <f>_xll.BDH("ITCI US Equity","BS_LT_BORROW","FQ4 2018","FQ4 2018","Currency=USD","Period=FQ","BEST_FPERIOD_OVERRIDE=FQ","FILING_STATUS=MR","SCALING_FORMAT=MLN","Sort=A","Dates=H","DateFormat=P","Fill=—","Direction=H","UseDPDF=Y")</f>
        <v>0</v>
      </c>
      <c r="D50" s="13">
        <f>_xll.BDH("ITCI US Equity","BS_LT_BORROW","FQ1 2019","FQ1 2019","Currency=USD","Period=FQ","BEST_FPERIOD_OVERRIDE=FQ","FILING_STATUS=MR","SCALING_FORMAT=MLN","Sort=A","Dates=H","DateFormat=P","Fill=—","Direction=H","UseDPDF=Y")</f>
        <v>20.859100000000002</v>
      </c>
      <c r="E50" s="13">
        <f>_xll.BDH("ITCI US Equity","BS_LT_BORROW","FQ2 2019","FQ2 2019","Currency=USD","Period=FQ","BEST_FPERIOD_OVERRIDE=FQ","FILING_STATUS=MR","SCALING_FORMAT=MLN","Sort=A","Dates=H","DateFormat=P","Fill=—","Direction=H","UseDPDF=Y")</f>
        <v>20.567799999999998</v>
      </c>
      <c r="F50" s="13">
        <f>_xll.BDH("ITCI US Equity","BS_LT_BORROW","FQ3 2019","FQ3 2019","Currency=USD","Period=FQ","BEST_FPERIOD_OVERRIDE=FQ","FILING_STATUS=MR","SCALING_FORMAT=MLN","Sort=A","Dates=H","DateFormat=P","Fill=—","Direction=H","UseDPDF=Y")</f>
        <v>20.269600000000001</v>
      </c>
      <c r="G50" s="13">
        <f>_xll.BDH("ITCI US Equity","BS_LT_BORROW","FQ4 2019","FQ4 2019","Currency=USD","Period=FQ","BEST_FPERIOD_OVERRIDE=FQ","FILING_STATUS=MR","SCALING_FORMAT=MLN","Sort=A","Dates=H","DateFormat=P","Fill=—","Direction=H","UseDPDF=Y")</f>
        <v>19.955200000000001</v>
      </c>
      <c r="H50" s="13">
        <f>_xll.BDH("ITCI US Equity","BS_LT_BORROW","FQ1 2020","FQ1 2020","Currency=USD","Period=FQ","BEST_FPERIOD_OVERRIDE=FQ","FILING_STATUS=MR","SCALING_FORMAT=MLN","Sort=A","Dates=H","DateFormat=P","Fill=—","Direction=H","UseDPDF=Y")</f>
        <v>19.718</v>
      </c>
      <c r="I50" s="13">
        <f>_xll.BDH("ITCI US Equity","BS_LT_BORROW","FQ2 2020","FQ2 2020","Currency=USD","Period=FQ","BEST_FPERIOD_OVERRIDE=FQ","FILING_STATUS=MR","SCALING_FORMAT=MLN","Sort=A","Dates=H","DateFormat=P","Fill=—","Direction=H","UseDPDF=Y")</f>
        <v>21.158200000000001</v>
      </c>
      <c r="J50" s="13">
        <f>_xll.BDH("ITCI US Equity","BS_LT_BORROW","FQ3 2020","FQ3 2020","Currency=USD","Period=FQ","BEST_FPERIOD_OVERRIDE=FQ","FILING_STATUS=MR","SCALING_FORMAT=MLN","Sort=A","Dates=H","DateFormat=P","Fill=—","Direction=H","UseDPDF=Y")</f>
        <v>23.869599999999998</v>
      </c>
      <c r="K50" s="13">
        <f>_xll.BDH("ITCI US Equity","BS_LT_BORROW","FQ4 2020","FQ4 2020","Currency=USD","Period=FQ","BEST_FPERIOD_OVERRIDE=FQ","FILING_STATUS=MR","SCALING_FORMAT=MLN","Sort=A","Dates=H","DateFormat=P","Fill=—","Direction=H","UseDPDF=Y")</f>
        <v>23.600300000000001</v>
      </c>
      <c r="L50" s="13">
        <f>_xll.BDH("ITCI US Equity","BS_LT_BORROW","FQ1 2021","FQ1 2021","Currency=USD","Period=FQ","BEST_FPERIOD_OVERRIDE=FQ","FILING_STATUS=MR","SCALING_FORMAT=MLN","Sort=A","Dates=H","DateFormat=P","Fill=—","Direction=H","UseDPDF=Y")</f>
        <v>22.6371</v>
      </c>
      <c r="M50" s="13">
        <f>_xll.BDH("ITCI US Equity","BS_LT_BORROW","FQ2 2021","FQ2 2021","Currency=USD","Period=FQ","BEST_FPERIOD_OVERRIDE=FQ","FILING_STATUS=MR","SCALING_FORMAT=MLN","Sort=A","Dates=H","DateFormat=P","Fill=—","Direction=H","UseDPDF=Y")</f>
        <v>21.6889</v>
      </c>
      <c r="N50" s="13">
        <f>_xll.BDH("ITCI US Equity","BS_LT_BORROW","FQ3 2021","FQ3 2021","Currency=USD","Period=FQ","BEST_FPERIOD_OVERRIDE=FQ","FILING_STATUS=MR","SCALING_FORMAT=MLN","Sort=A","Dates=H","DateFormat=P","Fill=—","Direction=H","UseDPDF=Y")</f>
        <v>20.323899999999998</v>
      </c>
      <c r="O50" s="13">
        <f>_xll.BDH("ITCI US Equity","BS_LT_BORROW","FQ4 2021","FQ4 2021","Currency=USD","Period=FQ","BEST_FPERIOD_OVERRIDE=FQ","FILING_STATUS=MR","SCALING_FORMAT=MLN","Sort=A","Dates=H","DateFormat=P","Fill=—","Direction=H","UseDPDF=Y")</f>
        <v>18.674900000000001</v>
      </c>
      <c r="P50" s="13">
        <f>_xll.BDH("ITCI US Equity","BS_LT_BORROW","FQ1 2022","FQ1 2022","Currency=USD","Period=FQ","BEST_FPERIOD_OVERRIDE=FQ","FILING_STATUS=MR","SCALING_FORMAT=MLN","Sort=A","Dates=H","DateFormat=P","Fill=—","Direction=H","UseDPDF=Y")</f>
        <v>16.756</v>
      </c>
      <c r="Q50" s="13">
        <f>_xll.BDH("ITCI US Equity","BS_LT_BORROW","FQ2 2022","FQ2 2022","Currency=USD","Period=FQ","BEST_FPERIOD_OVERRIDE=FQ","FILING_STATUS=MR","SCALING_FORMAT=MLN","Sort=A","Dates=H","DateFormat=P","Fill=—","Direction=H","UseDPDF=Y")</f>
        <v>19.074999999999999</v>
      </c>
      <c r="R50" s="13">
        <f>_xll.BDH("ITCI US Equity","BS_LT_BORROW","FQ3 2022","FQ3 2022","Currency=USD","Period=FQ","BEST_FPERIOD_OVERRIDE=FQ","FILING_STATUS=MR","SCALING_FORMAT=MLN","Sort=A","Dates=H","DateFormat=P","Fill=—","Direction=H","UseDPDF=Y")</f>
        <v>19.167000000000002</v>
      </c>
      <c r="S50" s="13">
        <f>_xll.BDH("ITCI US Equity","BS_LT_BORROW","FQ4 2022","FQ4 2022","Currency=USD","Period=FQ","BEST_FPERIOD_OVERRIDE=FQ","FILING_STATUS=MR","SCALING_FORMAT=MLN","Sort=A","Dates=H","DateFormat=P","Fill=—","Direction=H","UseDPDF=Y")</f>
        <v>15.474</v>
      </c>
      <c r="T50" s="13">
        <f>_xll.BDH("ITCI US Equity","BS_LT_BORROW","FQ1 2023","FQ1 2023","Currency=USD","Period=FQ","BEST_FPERIOD_OVERRIDE=FQ","FILING_STATUS=MR","SCALING_FORMAT=MLN","Sort=A","Dates=H","DateFormat=P","Fill=—","Direction=H","UseDPDF=Y")</f>
        <v>14.961</v>
      </c>
      <c r="U50" s="13">
        <f>_xll.BDH("ITCI US Equity","BS_LT_BORROW","FQ2 2023","FQ2 2023","Currency=USD","Period=FQ","BEST_FPERIOD_OVERRIDE=FQ","FILING_STATUS=MR","SCALING_FORMAT=MLN","Sort=A","Dates=H","DateFormat=P","Fill=—","Direction=H","UseDPDF=Y")</f>
        <v>14.432</v>
      </c>
      <c r="V50" s="13">
        <f>_xll.BDH("ITCI US Equity","BS_LT_BORROW","FQ3 2023","FQ3 2023","Currency=USD","Period=FQ","BEST_FPERIOD_OVERRIDE=FQ","FILING_STATUS=MR","SCALING_FORMAT=MLN","Sort=A","Dates=H","DateFormat=P","Fill=—","Direction=H","UseDPDF=Y")</f>
        <v>13.891</v>
      </c>
      <c r="W50" s="13">
        <f>_xll.BDH("ITCI US Equity","BS_LT_BORROW","FQ4 2023","FQ4 2023","Currency=USD","Period=FQ","BEST_FPERIOD_OVERRIDE=FQ","FILING_STATUS=MR","SCALING_FORMAT=MLN","Sort=A","Dates=H","DateFormat=P","Fill=—","Direction=H","UseDPDF=Y")</f>
        <v>13.326000000000001</v>
      </c>
      <c r="X50" s="13">
        <f>_xll.BDH("ITCI US Equity","BS_LT_BORROW","FQ1 2024","FQ1 2024","Currency=USD","Period=FQ","BEST_FPERIOD_OVERRIDE=FQ","FILING_STATUS=MR","SCALING_FORMAT=MLN","Sort=A","Dates=H","DateFormat=P","Fill=—","Direction=H","UseDPDF=Y")</f>
        <v>12.737</v>
      </c>
      <c r="Y50" s="13">
        <f>_xll.BDH("ITCI US Equity","BS_LT_BORROW","FQ2 2024","FQ2 2024","Currency=USD","Period=FQ","BEST_FPERIOD_OVERRIDE=FQ","FILING_STATUS=MR","SCALING_FORMAT=MLN","Sort=A","Dates=H","DateFormat=P","Fill=—","Direction=H","UseDPDF=Y")</f>
        <v>14.117000000000001</v>
      </c>
      <c r="Z50" s="13">
        <f>_xll.BDH("ITCI US Equity","BS_LT_BORROW","FQ3 2024","FQ3 2024","Currency=USD","Period=FQ","BEST_FPERIOD_OVERRIDE=FQ","FILING_STATUS=MR","SCALING_FORMAT=MLN","Sort=A","Dates=H","DateFormat=P","Fill=—","Direction=H","UseDPDF=Y")</f>
        <v>13.506</v>
      </c>
      <c r="AA50" s="13">
        <f>_xll.BDH("ITCI US Equity","BS_LT_BORROW","FQ4 2024","FQ4 2024","Currency=USD","Period=FQ","BEST_FPERIOD_OVERRIDE=FQ","FILING_STATUS=MR","SCALING_FORMAT=MLN","Sort=A","Dates=H","DateFormat=P","Fill=—","Direction=H","UseDPDF=Y")</f>
        <v>12.747999999999999</v>
      </c>
    </row>
    <row r="51" spans="1:27" x14ac:dyDescent="0.25">
      <c r="A51" s="10" t="s">
        <v>619</v>
      </c>
      <c r="B51" s="10" t="s">
        <v>620</v>
      </c>
      <c r="C51" s="13">
        <f>_xll.BDH("ITCI US Equity","LONG_TERM_BORROWINGS_DETAILED","FQ4 2018","FQ4 2018","Currency=USD","Period=FQ","BEST_FPERIOD_OVERRIDE=FQ","FILING_STATUS=MR","SCALING_FORMAT=MLN","Sort=A","Dates=H","DateFormat=P","Fill=—","Direction=H","UseDPDF=Y")</f>
        <v>0</v>
      </c>
      <c r="D51" s="13">
        <f>_xll.BDH("ITCI US Equity","LONG_TERM_BORROWINGS_DETAILED","FQ1 2019","FQ1 2019","Currency=USD","Period=FQ","BEST_FPERIOD_OVERRIDE=FQ","FILING_STATUS=MR","SCALING_FORMAT=MLN","Sort=A","Dates=H","DateFormat=P","Fill=—","Direction=H","UseDPDF=Y")</f>
        <v>0</v>
      </c>
      <c r="E51" s="13">
        <f>_xll.BDH("ITCI US Equity","LONG_TERM_BORROWINGS_DETAILED","FQ2 2019","FQ2 2019","Currency=USD","Period=FQ","BEST_FPERIOD_OVERRIDE=FQ","FILING_STATUS=MR","SCALING_FORMAT=MLN","Sort=A","Dates=H","DateFormat=P","Fill=—","Direction=H","UseDPDF=Y")</f>
        <v>0</v>
      </c>
      <c r="F51" s="13">
        <f>_xll.BDH("ITCI US Equity","LONG_TERM_BORROWINGS_DETAILED","FQ3 2019","FQ3 2019","Currency=USD","Period=FQ","BEST_FPERIOD_OVERRIDE=FQ","FILING_STATUS=MR","SCALING_FORMAT=MLN","Sort=A","Dates=H","DateFormat=P","Fill=—","Direction=H","UseDPDF=Y")</f>
        <v>0</v>
      </c>
      <c r="G51" s="13">
        <f>_xll.BDH("ITCI US Equity","LONG_TERM_BORROWINGS_DETAILED","FQ4 2019","FQ4 2019","Currency=USD","Period=FQ","BEST_FPERIOD_OVERRIDE=FQ","FILING_STATUS=MR","SCALING_FORMAT=MLN","Sort=A","Dates=H","DateFormat=P","Fill=—","Direction=H","UseDPDF=Y")</f>
        <v>0</v>
      </c>
      <c r="H51" s="13">
        <f>_xll.BDH("ITCI US Equity","LONG_TERM_BORROWINGS_DETAILED","FQ1 2020","FQ1 2020","Currency=USD","Period=FQ","BEST_FPERIOD_OVERRIDE=FQ","FILING_STATUS=MR","SCALING_FORMAT=MLN","Sort=A","Dates=H","DateFormat=P","Fill=—","Direction=H","UseDPDF=Y")</f>
        <v>0</v>
      </c>
      <c r="I51" s="13">
        <f>_xll.BDH("ITCI US Equity","LONG_TERM_BORROWINGS_DETAILED","FQ2 2020","FQ2 2020","Currency=USD","Period=FQ","BEST_FPERIOD_OVERRIDE=FQ","FILING_STATUS=MR","SCALING_FORMAT=MLN","Sort=A","Dates=H","DateFormat=P","Fill=—","Direction=H","UseDPDF=Y")</f>
        <v>0</v>
      </c>
      <c r="J51" s="13">
        <f>_xll.BDH("ITCI US Equity","LONG_TERM_BORROWINGS_DETAILED","FQ3 2020","FQ3 2020","Currency=USD","Period=FQ","BEST_FPERIOD_OVERRIDE=FQ","FILING_STATUS=MR","SCALING_FORMAT=MLN","Sort=A","Dates=H","DateFormat=P","Fill=—","Direction=H","UseDPDF=Y")</f>
        <v>0</v>
      </c>
      <c r="K51" s="13">
        <f>_xll.BDH("ITCI US Equity","LONG_TERM_BORROWINGS_DETAILED","FQ4 2020","FQ4 2020","Currency=USD","Period=FQ","BEST_FPERIOD_OVERRIDE=FQ","FILING_STATUS=MR","SCALING_FORMAT=MLN","Sort=A","Dates=H","DateFormat=P","Fill=—","Direction=H","UseDPDF=Y")</f>
        <v>0</v>
      </c>
      <c r="L51" s="13">
        <f>_xll.BDH("ITCI US Equity","LONG_TERM_BORROWINGS_DETAILED","FQ1 2021","FQ1 2021","Currency=USD","Period=FQ","BEST_FPERIOD_OVERRIDE=FQ","FILING_STATUS=MR","SCALING_FORMAT=MLN","Sort=A","Dates=H","DateFormat=P","Fill=—","Direction=H","UseDPDF=Y")</f>
        <v>0</v>
      </c>
      <c r="M51" s="13">
        <f>_xll.BDH("ITCI US Equity","LONG_TERM_BORROWINGS_DETAILED","FQ2 2021","FQ2 2021","Currency=USD","Period=FQ","BEST_FPERIOD_OVERRIDE=FQ","FILING_STATUS=MR","SCALING_FORMAT=MLN","Sort=A","Dates=H","DateFormat=P","Fill=—","Direction=H","UseDPDF=Y")</f>
        <v>0</v>
      </c>
      <c r="N51" s="13">
        <f>_xll.BDH("ITCI US Equity","LONG_TERM_BORROWINGS_DETAILED","FQ3 2021","FQ3 2021","Currency=USD","Period=FQ","BEST_FPERIOD_OVERRIDE=FQ","FILING_STATUS=MR","SCALING_FORMAT=MLN","Sort=A","Dates=H","DateFormat=P","Fill=—","Direction=H","UseDPDF=Y")</f>
        <v>0</v>
      </c>
      <c r="O51" s="13">
        <f>_xll.BDH("ITCI US Equity","LONG_TERM_BORROWINGS_DETAILED","FQ4 2021","FQ4 2021","Currency=USD","Period=FQ","BEST_FPERIOD_OVERRIDE=FQ","FILING_STATUS=MR","SCALING_FORMAT=MLN","Sort=A","Dates=H","DateFormat=P","Fill=—","Direction=H","UseDPDF=Y")</f>
        <v>0</v>
      </c>
      <c r="P51" s="13">
        <f>_xll.BDH("ITCI US Equity","LONG_TERM_BORROWINGS_DETAILED","FQ1 2022","FQ1 2022","Currency=USD","Period=FQ","BEST_FPERIOD_OVERRIDE=FQ","FILING_STATUS=MR","SCALING_FORMAT=MLN","Sort=A","Dates=H","DateFormat=P","Fill=—","Direction=H","UseDPDF=Y")</f>
        <v>0</v>
      </c>
      <c r="Q51" s="13">
        <f>_xll.BDH("ITCI US Equity","LONG_TERM_BORROWINGS_DETAILED","FQ2 2022","FQ2 2022","Currency=USD","Period=FQ","BEST_FPERIOD_OVERRIDE=FQ","FILING_STATUS=MR","SCALING_FORMAT=MLN","Sort=A","Dates=H","DateFormat=P","Fill=—","Direction=H","UseDPDF=Y")</f>
        <v>0</v>
      </c>
      <c r="R51" s="13">
        <f>_xll.BDH("ITCI US Equity","LONG_TERM_BORROWINGS_DETAILED","FQ3 2022","FQ3 2022","Currency=USD","Period=FQ","BEST_FPERIOD_OVERRIDE=FQ","FILING_STATUS=MR","SCALING_FORMAT=MLN","Sort=A","Dates=H","DateFormat=P","Fill=—","Direction=H","UseDPDF=Y")</f>
        <v>0</v>
      </c>
      <c r="S51" s="13">
        <f>_xll.BDH("ITCI US Equity","LONG_TERM_BORROWINGS_DETAILED","FQ4 2022","FQ4 2022","Currency=USD","Period=FQ","BEST_FPERIOD_OVERRIDE=FQ","FILING_STATUS=MR","SCALING_FORMAT=MLN","Sort=A","Dates=H","DateFormat=P","Fill=—","Direction=H","UseDPDF=Y")</f>
        <v>0</v>
      </c>
      <c r="T51" s="13">
        <f>_xll.BDH("ITCI US Equity","LONG_TERM_BORROWINGS_DETAILED","FQ1 2023","FQ1 2023","Currency=USD","Period=FQ","BEST_FPERIOD_OVERRIDE=FQ","FILING_STATUS=MR","SCALING_FORMAT=MLN","Sort=A","Dates=H","DateFormat=P","Fill=—","Direction=H","UseDPDF=Y")</f>
        <v>0</v>
      </c>
      <c r="U51" s="13">
        <f>_xll.BDH("ITCI US Equity","LONG_TERM_BORROWINGS_DETAILED","FQ2 2023","FQ2 2023","Currency=USD","Period=FQ","BEST_FPERIOD_OVERRIDE=FQ","FILING_STATUS=MR","SCALING_FORMAT=MLN","Sort=A","Dates=H","DateFormat=P","Fill=—","Direction=H","UseDPDF=Y")</f>
        <v>0</v>
      </c>
      <c r="V51" s="13">
        <f>_xll.BDH("ITCI US Equity","LONG_TERM_BORROWINGS_DETAILED","FQ3 2023","FQ3 2023","Currency=USD","Period=FQ","BEST_FPERIOD_OVERRIDE=FQ","FILING_STATUS=MR","SCALING_FORMAT=MLN","Sort=A","Dates=H","DateFormat=P","Fill=—","Direction=H","UseDPDF=Y")</f>
        <v>0</v>
      </c>
      <c r="W51" s="13">
        <f>_xll.BDH("ITCI US Equity","LONG_TERM_BORROWINGS_DETAILED","FQ4 2023","FQ4 2023","Currency=USD","Period=FQ","BEST_FPERIOD_OVERRIDE=FQ","FILING_STATUS=MR","SCALING_FORMAT=MLN","Sort=A","Dates=H","DateFormat=P","Fill=—","Direction=H","UseDPDF=Y")</f>
        <v>0</v>
      </c>
      <c r="X51" s="13">
        <f>_xll.BDH("ITCI US Equity","LONG_TERM_BORROWINGS_DETAILED","FQ1 2024","FQ1 2024","Currency=USD","Period=FQ","BEST_FPERIOD_OVERRIDE=FQ","FILING_STATUS=MR","SCALING_FORMAT=MLN","Sort=A","Dates=H","DateFormat=P","Fill=—","Direction=H","UseDPDF=Y")</f>
        <v>0</v>
      </c>
      <c r="Y51" s="13">
        <f>_xll.BDH("ITCI US Equity","LONG_TERM_BORROWINGS_DETAILED","FQ2 2024","FQ2 2024","Currency=USD","Period=FQ","BEST_FPERIOD_OVERRIDE=FQ","FILING_STATUS=MR","SCALING_FORMAT=MLN","Sort=A","Dates=H","DateFormat=P","Fill=—","Direction=H","UseDPDF=Y")</f>
        <v>0</v>
      </c>
      <c r="Z51" s="13">
        <f>_xll.BDH("ITCI US Equity","LONG_TERM_BORROWINGS_DETAILED","FQ3 2024","FQ3 2024","Currency=USD","Period=FQ","BEST_FPERIOD_OVERRIDE=FQ","FILING_STATUS=MR","SCALING_FORMAT=MLN","Sort=A","Dates=H","DateFormat=P","Fill=—","Direction=H","UseDPDF=Y")</f>
        <v>0</v>
      </c>
      <c r="AA51" s="13">
        <f>_xll.BDH("ITCI US Equity","LONG_TERM_BORROWINGS_DETAILED","FQ4 2024","FQ4 2024","Currency=USD","Period=FQ","BEST_FPERIOD_OVERRIDE=FQ","FILING_STATUS=MR","SCALING_FORMAT=MLN","Sort=A","Dates=H","DateFormat=P","Fill=—","Direction=H","UseDPDF=Y")</f>
        <v>0</v>
      </c>
    </row>
    <row r="52" spans="1:27" x14ac:dyDescent="0.25">
      <c r="A52" s="10" t="s">
        <v>621</v>
      </c>
      <c r="B52" s="10" t="s">
        <v>622</v>
      </c>
      <c r="C52" s="13">
        <f>_xll.BDH("ITCI US Equity","LT_CAPITALIZED_LEASE_LIABILITIES","FQ4 2018","FQ4 2018","Currency=USD","Period=FQ","BEST_FPERIOD_OVERRIDE=FQ","FILING_STATUS=MR","SCALING_FORMAT=MLN","Sort=A","Dates=H","DateFormat=P","Fill=—","Direction=H","UseDPDF=Y")</f>
        <v>0</v>
      </c>
      <c r="D52" s="13">
        <f>_xll.BDH("ITCI US Equity","LT_CAPITALIZED_LEASE_LIABILITIES","FQ1 2019","FQ1 2019","Currency=USD","Period=FQ","BEST_FPERIOD_OVERRIDE=FQ","FILING_STATUS=MR","SCALING_FORMAT=MLN","Sort=A","Dates=H","DateFormat=P","Fill=—","Direction=H","UseDPDF=Y")</f>
        <v>20.859100000000002</v>
      </c>
      <c r="E52" s="13">
        <f>_xll.BDH("ITCI US Equity","LT_CAPITALIZED_LEASE_LIABILITIES","FQ2 2019","FQ2 2019","Currency=USD","Period=FQ","BEST_FPERIOD_OVERRIDE=FQ","FILING_STATUS=MR","SCALING_FORMAT=MLN","Sort=A","Dates=H","DateFormat=P","Fill=—","Direction=H","UseDPDF=Y")</f>
        <v>20.567799999999998</v>
      </c>
      <c r="F52" s="13">
        <f>_xll.BDH("ITCI US Equity","LT_CAPITALIZED_LEASE_LIABILITIES","FQ3 2019","FQ3 2019","Currency=USD","Period=FQ","BEST_FPERIOD_OVERRIDE=FQ","FILING_STATUS=MR","SCALING_FORMAT=MLN","Sort=A","Dates=H","DateFormat=P","Fill=—","Direction=H","UseDPDF=Y")</f>
        <v>20.269600000000001</v>
      </c>
      <c r="G52" s="13">
        <f>_xll.BDH("ITCI US Equity","LT_CAPITALIZED_LEASE_LIABILITIES","FQ4 2019","FQ4 2019","Currency=USD","Period=FQ","BEST_FPERIOD_OVERRIDE=FQ","FILING_STATUS=MR","SCALING_FORMAT=MLN","Sort=A","Dates=H","DateFormat=P","Fill=—","Direction=H","UseDPDF=Y")</f>
        <v>19.955200000000001</v>
      </c>
      <c r="H52" s="13">
        <f>_xll.BDH("ITCI US Equity","LT_CAPITALIZED_LEASE_LIABILITIES","FQ1 2020","FQ1 2020","Currency=USD","Period=FQ","BEST_FPERIOD_OVERRIDE=FQ","FILING_STATUS=MR","SCALING_FORMAT=MLN","Sort=A","Dates=H","DateFormat=P","Fill=—","Direction=H","UseDPDF=Y")</f>
        <v>19.718</v>
      </c>
      <c r="I52" s="13">
        <f>_xll.BDH("ITCI US Equity","LT_CAPITALIZED_LEASE_LIABILITIES","FQ2 2020","FQ2 2020","Currency=USD","Period=FQ","BEST_FPERIOD_OVERRIDE=FQ","FILING_STATUS=MR","SCALING_FORMAT=MLN","Sort=A","Dates=H","DateFormat=P","Fill=—","Direction=H","UseDPDF=Y")</f>
        <v>21.158200000000001</v>
      </c>
      <c r="J52" s="13">
        <f>_xll.BDH("ITCI US Equity","LT_CAPITALIZED_LEASE_LIABILITIES","FQ3 2020","FQ3 2020","Currency=USD","Period=FQ","BEST_FPERIOD_OVERRIDE=FQ","FILING_STATUS=MR","SCALING_FORMAT=MLN","Sort=A","Dates=H","DateFormat=P","Fill=—","Direction=H","UseDPDF=Y")</f>
        <v>23.869599999999998</v>
      </c>
      <c r="K52" s="13">
        <f>_xll.BDH("ITCI US Equity","LT_CAPITALIZED_LEASE_LIABILITIES","FQ4 2020","FQ4 2020","Currency=USD","Period=FQ","BEST_FPERIOD_OVERRIDE=FQ","FILING_STATUS=MR","SCALING_FORMAT=MLN","Sort=A","Dates=H","DateFormat=P","Fill=—","Direction=H","UseDPDF=Y")</f>
        <v>23.600300000000001</v>
      </c>
      <c r="L52" s="13">
        <f>_xll.BDH("ITCI US Equity","LT_CAPITALIZED_LEASE_LIABILITIES","FQ1 2021","FQ1 2021","Currency=USD","Period=FQ","BEST_FPERIOD_OVERRIDE=FQ","FILING_STATUS=MR","SCALING_FORMAT=MLN","Sort=A","Dates=H","DateFormat=P","Fill=—","Direction=H","UseDPDF=Y")</f>
        <v>22.6371</v>
      </c>
      <c r="M52" s="13">
        <f>_xll.BDH("ITCI US Equity","LT_CAPITALIZED_LEASE_LIABILITIES","FQ2 2021","FQ2 2021","Currency=USD","Period=FQ","BEST_FPERIOD_OVERRIDE=FQ","FILING_STATUS=MR","SCALING_FORMAT=MLN","Sort=A","Dates=H","DateFormat=P","Fill=—","Direction=H","UseDPDF=Y")</f>
        <v>21.6889</v>
      </c>
      <c r="N52" s="13">
        <f>_xll.BDH("ITCI US Equity","LT_CAPITALIZED_LEASE_LIABILITIES","FQ3 2021","FQ3 2021","Currency=USD","Period=FQ","BEST_FPERIOD_OVERRIDE=FQ","FILING_STATUS=MR","SCALING_FORMAT=MLN","Sort=A","Dates=H","DateFormat=P","Fill=—","Direction=H","UseDPDF=Y")</f>
        <v>20.323899999999998</v>
      </c>
      <c r="O52" s="13">
        <f>_xll.BDH("ITCI US Equity","LT_CAPITALIZED_LEASE_LIABILITIES","FQ4 2021","FQ4 2021","Currency=USD","Period=FQ","BEST_FPERIOD_OVERRIDE=FQ","FILING_STATUS=MR","SCALING_FORMAT=MLN","Sort=A","Dates=H","DateFormat=P","Fill=—","Direction=H","UseDPDF=Y")</f>
        <v>18.674900000000001</v>
      </c>
      <c r="P52" s="13">
        <f>_xll.BDH("ITCI US Equity","LT_CAPITALIZED_LEASE_LIABILITIES","FQ1 2022","FQ1 2022","Currency=USD","Period=FQ","BEST_FPERIOD_OVERRIDE=FQ","FILING_STATUS=MR","SCALING_FORMAT=MLN","Sort=A","Dates=H","DateFormat=P","Fill=—","Direction=H","UseDPDF=Y")</f>
        <v>16.756</v>
      </c>
      <c r="Q52" s="13">
        <f>_xll.BDH("ITCI US Equity","LT_CAPITALIZED_LEASE_LIABILITIES","FQ2 2022","FQ2 2022","Currency=USD","Period=FQ","BEST_FPERIOD_OVERRIDE=FQ","FILING_STATUS=MR","SCALING_FORMAT=MLN","Sort=A","Dates=H","DateFormat=P","Fill=—","Direction=H","UseDPDF=Y")</f>
        <v>19.074999999999999</v>
      </c>
      <c r="R52" s="13">
        <f>_xll.BDH("ITCI US Equity","LT_CAPITALIZED_LEASE_LIABILITIES","FQ3 2022","FQ3 2022","Currency=USD","Period=FQ","BEST_FPERIOD_OVERRIDE=FQ","FILING_STATUS=MR","SCALING_FORMAT=MLN","Sort=A","Dates=H","DateFormat=P","Fill=—","Direction=H","UseDPDF=Y")</f>
        <v>19.167000000000002</v>
      </c>
      <c r="S52" s="13">
        <f>_xll.BDH("ITCI US Equity","LT_CAPITALIZED_LEASE_LIABILITIES","FQ4 2022","FQ4 2022","Currency=USD","Period=FQ","BEST_FPERIOD_OVERRIDE=FQ","FILING_STATUS=MR","SCALING_FORMAT=MLN","Sort=A","Dates=H","DateFormat=P","Fill=—","Direction=H","UseDPDF=Y")</f>
        <v>15.474</v>
      </c>
      <c r="T52" s="13">
        <f>_xll.BDH("ITCI US Equity","LT_CAPITALIZED_LEASE_LIABILITIES","FQ1 2023","FQ1 2023","Currency=USD","Period=FQ","BEST_FPERIOD_OVERRIDE=FQ","FILING_STATUS=MR","SCALING_FORMAT=MLN","Sort=A","Dates=H","DateFormat=P","Fill=—","Direction=H","UseDPDF=Y")</f>
        <v>14.961</v>
      </c>
      <c r="U52" s="13">
        <f>_xll.BDH("ITCI US Equity","LT_CAPITALIZED_LEASE_LIABILITIES","FQ2 2023","FQ2 2023","Currency=USD","Period=FQ","BEST_FPERIOD_OVERRIDE=FQ","FILING_STATUS=MR","SCALING_FORMAT=MLN","Sort=A","Dates=H","DateFormat=P","Fill=—","Direction=H","UseDPDF=Y")</f>
        <v>14.432</v>
      </c>
      <c r="V52" s="13">
        <f>_xll.BDH("ITCI US Equity","LT_CAPITALIZED_LEASE_LIABILITIES","FQ3 2023","FQ3 2023","Currency=USD","Period=FQ","BEST_FPERIOD_OVERRIDE=FQ","FILING_STATUS=MR","SCALING_FORMAT=MLN","Sort=A","Dates=H","DateFormat=P","Fill=—","Direction=H","UseDPDF=Y")</f>
        <v>13.891</v>
      </c>
      <c r="W52" s="13">
        <f>_xll.BDH("ITCI US Equity","LT_CAPITALIZED_LEASE_LIABILITIES","FQ4 2023","FQ4 2023","Currency=USD","Period=FQ","BEST_FPERIOD_OVERRIDE=FQ","FILING_STATUS=MR","SCALING_FORMAT=MLN","Sort=A","Dates=H","DateFormat=P","Fill=—","Direction=H","UseDPDF=Y")</f>
        <v>13.326000000000001</v>
      </c>
      <c r="X52" s="13">
        <f>_xll.BDH("ITCI US Equity","LT_CAPITALIZED_LEASE_LIABILITIES","FQ1 2024","FQ1 2024","Currency=USD","Period=FQ","BEST_FPERIOD_OVERRIDE=FQ","FILING_STATUS=MR","SCALING_FORMAT=MLN","Sort=A","Dates=H","DateFormat=P","Fill=—","Direction=H","UseDPDF=Y")</f>
        <v>12.737</v>
      </c>
      <c r="Y52" s="13">
        <f>_xll.BDH("ITCI US Equity","LT_CAPITALIZED_LEASE_LIABILITIES","FQ2 2024","FQ2 2024","Currency=USD","Period=FQ","BEST_FPERIOD_OVERRIDE=FQ","FILING_STATUS=MR","SCALING_FORMAT=MLN","Sort=A","Dates=H","DateFormat=P","Fill=—","Direction=H","UseDPDF=Y")</f>
        <v>14.117000000000001</v>
      </c>
      <c r="Z52" s="13">
        <f>_xll.BDH("ITCI US Equity","LT_CAPITALIZED_LEASE_LIABILITIES","FQ3 2024","FQ3 2024","Currency=USD","Period=FQ","BEST_FPERIOD_OVERRIDE=FQ","FILING_STATUS=MR","SCALING_FORMAT=MLN","Sort=A","Dates=H","DateFormat=P","Fill=—","Direction=H","UseDPDF=Y")</f>
        <v>13.506</v>
      </c>
      <c r="AA52" s="13">
        <f>_xll.BDH("ITCI US Equity","LT_CAPITALIZED_LEASE_LIABILITIES","FQ4 2024","FQ4 2024","Currency=USD","Period=FQ","BEST_FPERIOD_OVERRIDE=FQ","FILING_STATUS=MR","SCALING_FORMAT=MLN","Sort=A","Dates=H","DateFormat=P","Fill=—","Direction=H","UseDPDF=Y")</f>
        <v>12.747999999999999</v>
      </c>
    </row>
    <row r="53" spans="1:27" x14ac:dyDescent="0.25">
      <c r="A53" s="11" t="s">
        <v>623</v>
      </c>
      <c r="B53" s="11" t="s">
        <v>624</v>
      </c>
      <c r="C53" s="25">
        <f>_xll.BDH("ITCI US Equity","LT_CAPITAL_LEASE_OBLIGATIONS","FQ4 2018","FQ4 2018","Currency=USD","Period=FQ","BEST_FPERIOD_OVERRIDE=FQ","FILING_STATUS=MR","SCALING_FORMAT=MLN","Sort=A","Dates=H","DateFormat=P","Fill=—","Direction=H","UseDPDF=Y")</f>
        <v>0</v>
      </c>
      <c r="D53" s="25" t="str">
        <f>_xll.BDH("ITCI US Equity","LT_CAPITAL_LEASE_OBLIGATIONS","FQ1 2019","FQ1 2019","Currency=USD","Period=FQ","BEST_FPERIOD_OVERRIDE=FQ","FILING_STATUS=MR","SCALING_FORMAT=MLN","Sort=A","Dates=H","DateFormat=P","Fill=—","Direction=H","UseDPDF=Y")</f>
        <v>—</v>
      </c>
      <c r="E53" s="25" t="str">
        <f>_xll.BDH("ITCI US Equity","LT_CAPITAL_LEASE_OBLIGATIONS","FQ2 2019","FQ2 2019","Currency=USD","Period=FQ","BEST_FPERIOD_OVERRIDE=FQ","FILING_STATUS=MR","SCALING_FORMAT=MLN","Sort=A","Dates=H","DateFormat=P","Fill=—","Direction=H","UseDPDF=Y")</f>
        <v>—</v>
      </c>
      <c r="F53" s="25" t="str">
        <f>_xll.BDH("ITCI US Equity","LT_CAPITAL_LEASE_OBLIGATIONS","FQ3 2019","FQ3 2019","Currency=USD","Period=FQ","BEST_FPERIOD_OVERRIDE=FQ","FILING_STATUS=MR","SCALING_FORMAT=MLN","Sort=A","Dates=H","DateFormat=P","Fill=—","Direction=H","UseDPDF=Y")</f>
        <v>—</v>
      </c>
      <c r="G53" s="25" t="str">
        <f>_xll.BDH("ITCI US Equity","LT_CAPITAL_LEASE_OBLIGATIONS","FQ4 2019","FQ4 2019","Currency=USD","Period=FQ","BEST_FPERIOD_OVERRIDE=FQ","FILING_STATUS=MR","SCALING_FORMAT=MLN","Sort=A","Dates=H","DateFormat=P","Fill=—","Direction=H","UseDPDF=Y")</f>
        <v>—</v>
      </c>
      <c r="H53" s="25" t="str">
        <f>_xll.BDH("ITCI US Equity","LT_CAPITAL_LEASE_OBLIGATIONS","FQ1 2020","FQ1 2020","Currency=USD","Period=FQ","BEST_FPERIOD_OVERRIDE=FQ","FILING_STATUS=MR","SCALING_FORMAT=MLN","Sort=A","Dates=H","DateFormat=P","Fill=—","Direction=H","UseDPDF=Y")</f>
        <v>—</v>
      </c>
      <c r="I53" s="25" t="str">
        <f>_xll.BDH("ITCI US Equity","LT_CAPITAL_LEASE_OBLIGATIONS","FQ2 2020","FQ2 2020","Currency=USD","Period=FQ","BEST_FPERIOD_OVERRIDE=FQ","FILING_STATUS=MR","SCALING_FORMAT=MLN","Sort=A","Dates=H","DateFormat=P","Fill=—","Direction=H","UseDPDF=Y")</f>
        <v>—</v>
      </c>
      <c r="J53" s="25" t="str">
        <f>_xll.BDH("ITCI US Equity","LT_CAPITAL_LEASE_OBLIGATIONS","FQ3 2020","FQ3 2020","Currency=USD","Period=FQ","BEST_FPERIOD_OVERRIDE=FQ","FILING_STATUS=MR","SCALING_FORMAT=MLN","Sort=A","Dates=H","DateFormat=P","Fill=—","Direction=H","UseDPDF=Y")</f>
        <v>—</v>
      </c>
      <c r="K53" s="25" t="str">
        <f>_xll.BDH("ITCI US Equity","LT_CAPITAL_LEASE_OBLIGATIONS","FQ4 2020","FQ4 2020","Currency=USD","Period=FQ","BEST_FPERIOD_OVERRIDE=FQ","FILING_STATUS=MR","SCALING_FORMAT=MLN","Sort=A","Dates=H","DateFormat=P","Fill=—","Direction=H","UseDPDF=Y")</f>
        <v>—</v>
      </c>
      <c r="L53" s="25" t="str">
        <f>_xll.BDH("ITCI US Equity","LT_CAPITAL_LEASE_OBLIGATIONS","FQ1 2021","FQ1 2021","Currency=USD","Period=FQ","BEST_FPERIOD_OVERRIDE=FQ","FILING_STATUS=MR","SCALING_FORMAT=MLN","Sort=A","Dates=H","DateFormat=P","Fill=—","Direction=H","UseDPDF=Y")</f>
        <v>—</v>
      </c>
      <c r="M53" s="25" t="str">
        <f>_xll.BDH("ITCI US Equity","LT_CAPITAL_LEASE_OBLIGATIONS","FQ2 2021","FQ2 2021","Currency=USD","Period=FQ","BEST_FPERIOD_OVERRIDE=FQ","FILING_STATUS=MR","SCALING_FORMAT=MLN","Sort=A","Dates=H","DateFormat=P","Fill=—","Direction=H","UseDPDF=Y")</f>
        <v>—</v>
      </c>
      <c r="N53" s="25" t="str">
        <f>_xll.BDH("ITCI US Equity","LT_CAPITAL_LEASE_OBLIGATIONS","FQ3 2021","FQ3 2021","Currency=USD","Period=FQ","BEST_FPERIOD_OVERRIDE=FQ","FILING_STATUS=MR","SCALING_FORMAT=MLN","Sort=A","Dates=H","DateFormat=P","Fill=—","Direction=H","UseDPDF=Y")</f>
        <v>—</v>
      </c>
      <c r="O53" s="25" t="str">
        <f>_xll.BDH("ITCI US Equity","LT_CAPITAL_LEASE_OBLIGATIONS","FQ4 2021","FQ4 2021","Currency=USD","Period=FQ","BEST_FPERIOD_OVERRIDE=FQ","FILING_STATUS=MR","SCALING_FORMAT=MLN","Sort=A","Dates=H","DateFormat=P","Fill=—","Direction=H","UseDPDF=Y")</f>
        <v>—</v>
      </c>
      <c r="P53" s="25" t="str">
        <f>_xll.BDH("ITCI US Equity","LT_CAPITAL_LEASE_OBLIGATIONS","FQ1 2022","FQ1 2022","Currency=USD","Period=FQ","BEST_FPERIOD_OVERRIDE=FQ","FILING_STATUS=MR","SCALING_FORMAT=MLN","Sort=A","Dates=H","DateFormat=P","Fill=—","Direction=H","UseDPDF=Y")</f>
        <v>—</v>
      </c>
      <c r="Q53" s="25" t="str">
        <f>_xll.BDH("ITCI US Equity","LT_CAPITAL_LEASE_OBLIGATIONS","FQ2 2022","FQ2 2022","Currency=USD","Period=FQ","BEST_FPERIOD_OVERRIDE=FQ","FILING_STATUS=MR","SCALING_FORMAT=MLN","Sort=A","Dates=H","DateFormat=P","Fill=—","Direction=H","UseDPDF=Y")</f>
        <v>—</v>
      </c>
      <c r="R53" s="25" t="str">
        <f>_xll.BDH("ITCI US Equity","LT_CAPITAL_LEASE_OBLIGATIONS","FQ3 2022","FQ3 2022","Currency=USD","Period=FQ","BEST_FPERIOD_OVERRIDE=FQ","FILING_STATUS=MR","SCALING_FORMAT=MLN","Sort=A","Dates=H","DateFormat=P","Fill=—","Direction=H","UseDPDF=Y")</f>
        <v>—</v>
      </c>
      <c r="S53" s="25" t="str">
        <f>_xll.BDH("ITCI US Equity","LT_CAPITAL_LEASE_OBLIGATIONS","FQ4 2022","FQ4 2022","Currency=USD","Period=FQ","BEST_FPERIOD_OVERRIDE=FQ","FILING_STATUS=MR","SCALING_FORMAT=MLN","Sort=A","Dates=H","DateFormat=P","Fill=—","Direction=H","UseDPDF=Y")</f>
        <v>—</v>
      </c>
      <c r="T53" s="25" t="str">
        <f>_xll.BDH("ITCI US Equity","LT_CAPITAL_LEASE_OBLIGATIONS","FQ1 2023","FQ1 2023","Currency=USD","Period=FQ","BEST_FPERIOD_OVERRIDE=FQ","FILING_STATUS=MR","SCALING_FORMAT=MLN","Sort=A","Dates=H","DateFormat=P","Fill=—","Direction=H","UseDPDF=Y")</f>
        <v>—</v>
      </c>
      <c r="U53" s="25" t="str">
        <f>_xll.BDH("ITCI US Equity","LT_CAPITAL_LEASE_OBLIGATIONS","FQ2 2023","FQ2 2023","Currency=USD","Period=FQ","BEST_FPERIOD_OVERRIDE=FQ","FILING_STATUS=MR","SCALING_FORMAT=MLN","Sort=A","Dates=H","DateFormat=P","Fill=—","Direction=H","UseDPDF=Y")</f>
        <v>—</v>
      </c>
      <c r="V53" s="25" t="str">
        <f>_xll.BDH("ITCI US Equity","LT_CAPITAL_LEASE_OBLIGATIONS","FQ3 2023","FQ3 2023","Currency=USD","Period=FQ","BEST_FPERIOD_OVERRIDE=FQ","FILING_STATUS=MR","SCALING_FORMAT=MLN","Sort=A","Dates=H","DateFormat=P","Fill=—","Direction=H","UseDPDF=Y")</f>
        <v>—</v>
      </c>
      <c r="W53" s="25" t="str">
        <f>_xll.BDH("ITCI US Equity","LT_CAPITAL_LEASE_OBLIGATIONS","FQ4 2023","FQ4 2023","Currency=USD","Period=FQ","BEST_FPERIOD_OVERRIDE=FQ","FILING_STATUS=MR","SCALING_FORMAT=MLN","Sort=A","Dates=H","DateFormat=P","Fill=—","Direction=H","UseDPDF=Y")</f>
        <v>—</v>
      </c>
      <c r="X53" s="25" t="str">
        <f>_xll.BDH("ITCI US Equity","LT_CAPITAL_LEASE_OBLIGATIONS","FQ1 2024","FQ1 2024","Currency=USD","Period=FQ","BEST_FPERIOD_OVERRIDE=FQ","FILING_STATUS=MR","SCALING_FORMAT=MLN","Sort=A","Dates=H","DateFormat=P","Fill=—","Direction=H","UseDPDF=Y")</f>
        <v>—</v>
      </c>
      <c r="Y53" s="25" t="str">
        <f>_xll.BDH("ITCI US Equity","LT_CAPITAL_LEASE_OBLIGATIONS","FQ2 2024","FQ2 2024","Currency=USD","Period=FQ","BEST_FPERIOD_OVERRIDE=FQ","FILING_STATUS=MR","SCALING_FORMAT=MLN","Sort=A","Dates=H","DateFormat=P","Fill=—","Direction=H","UseDPDF=Y")</f>
        <v>—</v>
      </c>
      <c r="Z53" s="25" t="str">
        <f>_xll.BDH("ITCI US Equity","LT_CAPITAL_LEASE_OBLIGATIONS","FQ3 2024","FQ3 2024","Currency=USD","Period=FQ","BEST_FPERIOD_OVERRIDE=FQ","FILING_STATUS=MR","SCALING_FORMAT=MLN","Sort=A","Dates=H","DateFormat=P","Fill=—","Direction=H","UseDPDF=Y")</f>
        <v>—</v>
      </c>
      <c r="AA53" s="25" t="str">
        <f>_xll.BDH("ITCI US Equity","LT_CAPITAL_LEASE_OBLIGATIONS","FQ4 2024","FQ4 2024","Currency=USD","Period=FQ","BEST_FPERIOD_OVERRIDE=FQ","FILING_STATUS=MR","SCALING_FORMAT=MLN","Sort=A","Dates=H","DateFormat=P","Fill=—","Direction=H","UseDPDF=Y")</f>
        <v>—</v>
      </c>
    </row>
    <row r="54" spans="1:27" x14ac:dyDescent="0.25">
      <c r="A54" s="11" t="s">
        <v>625</v>
      </c>
      <c r="B54" s="11" t="s">
        <v>626</v>
      </c>
      <c r="C54" s="25" t="str">
        <f>_xll.BDH("ITCI US Equity","BS_LT_OPERATING_LEASE_LIABS","FQ4 2018","FQ4 2018","Currency=USD","Period=FQ","BEST_FPERIOD_OVERRIDE=FQ","FILING_STATUS=MR","SCALING_FORMAT=MLN","Sort=A","Dates=H","DateFormat=P","Fill=—","Direction=H","UseDPDF=Y")</f>
        <v>—</v>
      </c>
      <c r="D54" s="25">
        <f>_xll.BDH("ITCI US Equity","BS_LT_OPERATING_LEASE_LIABS","FQ1 2019","FQ1 2019","Currency=USD","Period=FQ","BEST_FPERIOD_OVERRIDE=FQ","FILING_STATUS=MR","SCALING_FORMAT=MLN","Sort=A","Dates=H","DateFormat=P","Fill=—","Direction=H","UseDPDF=Y")</f>
        <v>20.859100000000002</v>
      </c>
      <c r="E54" s="25">
        <f>_xll.BDH("ITCI US Equity","BS_LT_OPERATING_LEASE_LIABS","FQ2 2019","FQ2 2019","Currency=USD","Period=FQ","BEST_FPERIOD_OVERRIDE=FQ","FILING_STATUS=MR","SCALING_FORMAT=MLN","Sort=A","Dates=H","DateFormat=P","Fill=—","Direction=H","UseDPDF=Y")</f>
        <v>20.567799999999998</v>
      </c>
      <c r="F54" s="25">
        <f>_xll.BDH("ITCI US Equity","BS_LT_OPERATING_LEASE_LIABS","FQ3 2019","FQ3 2019","Currency=USD","Period=FQ","BEST_FPERIOD_OVERRIDE=FQ","FILING_STATUS=MR","SCALING_FORMAT=MLN","Sort=A","Dates=H","DateFormat=P","Fill=—","Direction=H","UseDPDF=Y")</f>
        <v>20.269600000000001</v>
      </c>
      <c r="G54" s="25">
        <f>_xll.BDH("ITCI US Equity","BS_LT_OPERATING_LEASE_LIABS","FQ4 2019","FQ4 2019","Currency=USD","Period=FQ","BEST_FPERIOD_OVERRIDE=FQ","FILING_STATUS=MR","SCALING_FORMAT=MLN","Sort=A","Dates=H","DateFormat=P","Fill=—","Direction=H","UseDPDF=Y")</f>
        <v>19.955200000000001</v>
      </c>
      <c r="H54" s="25">
        <f>_xll.BDH("ITCI US Equity","BS_LT_OPERATING_LEASE_LIABS","FQ1 2020","FQ1 2020","Currency=USD","Period=FQ","BEST_FPERIOD_OVERRIDE=FQ","FILING_STATUS=MR","SCALING_FORMAT=MLN","Sort=A","Dates=H","DateFormat=P","Fill=—","Direction=H","UseDPDF=Y")</f>
        <v>19.718</v>
      </c>
      <c r="I54" s="25">
        <f>_xll.BDH("ITCI US Equity","BS_LT_OPERATING_LEASE_LIABS","FQ2 2020","FQ2 2020","Currency=USD","Period=FQ","BEST_FPERIOD_OVERRIDE=FQ","FILING_STATUS=MR","SCALING_FORMAT=MLN","Sort=A","Dates=H","DateFormat=P","Fill=—","Direction=H","UseDPDF=Y")</f>
        <v>21.158200000000001</v>
      </c>
      <c r="J54" s="25">
        <f>_xll.BDH("ITCI US Equity","BS_LT_OPERATING_LEASE_LIABS","FQ3 2020","FQ3 2020","Currency=USD","Period=FQ","BEST_FPERIOD_OVERRIDE=FQ","FILING_STATUS=MR","SCALING_FORMAT=MLN","Sort=A","Dates=H","DateFormat=P","Fill=—","Direction=H","UseDPDF=Y")</f>
        <v>23.869599999999998</v>
      </c>
      <c r="K54" s="25">
        <f>_xll.BDH("ITCI US Equity","BS_LT_OPERATING_LEASE_LIABS","FQ4 2020","FQ4 2020","Currency=USD","Period=FQ","BEST_FPERIOD_OVERRIDE=FQ","FILING_STATUS=MR","SCALING_FORMAT=MLN","Sort=A","Dates=H","DateFormat=P","Fill=—","Direction=H","UseDPDF=Y")</f>
        <v>23.600300000000001</v>
      </c>
      <c r="L54" s="25">
        <f>_xll.BDH("ITCI US Equity","BS_LT_OPERATING_LEASE_LIABS","FQ1 2021","FQ1 2021","Currency=USD","Period=FQ","BEST_FPERIOD_OVERRIDE=FQ","FILING_STATUS=MR","SCALING_FORMAT=MLN","Sort=A","Dates=H","DateFormat=P","Fill=—","Direction=H","UseDPDF=Y")</f>
        <v>22.6371</v>
      </c>
      <c r="M54" s="25">
        <f>_xll.BDH("ITCI US Equity","BS_LT_OPERATING_LEASE_LIABS","FQ2 2021","FQ2 2021","Currency=USD","Period=FQ","BEST_FPERIOD_OVERRIDE=FQ","FILING_STATUS=MR","SCALING_FORMAT=MLN","Sort=A","Dates=H","DateFormat=P","Fill=—","Direction=H","UseDPDF=Y")</f>
        <v>21.6889</v>
      </c>
      <c r="N54" s="25">
        <f>_xll.BDH("ITCI US Equity","BS_LT_OPERATING_LEASE_LIABS","FQ3 2021","FQ3 2021","Currency=USD","Period=FQ","BEST_FPERIOD_OVERRIDE=FQ","FILING_STATUS=MR","SCALING_FORMAT=MLN","Sort=A","Dates=H","DateFormat=P","Fill=—","Direction=H","UseDPDF=Y")</f>
        <v>20.323899999999998</v>
      </c>
      <c r="O54" s="25">
        <f>_xll.BDH("ITCI US Equity","BS_LT_OPERATING_LEASE_LIABS","FQ4 2021","FQ4 2021","Currency=USD","Period=FQ","BEST_FPERIOD_OVERRIDE=FQ","FILING_STATUS=MR","SCALING_FORMAT=MLN","Sort=A","Dates=H","DateFormat=P","Fill=—","Direction=H","UseDPDF=Y")</f>
        <v>18.674900000000001</v>
      </c>
      <c r="P54" s="25">
        <f>_xll.BDH("ITCI US Equity","BS_LT_OPERATING_LEASE_LIABS","FQ1 2022","FQ1 2022","Currency=USD","Period=FQ","BEST_FPERIOD_OVERRIDE=FQ","FILING_STATUS=MR","SCALING_FORMAT=MLN","Sort=A","Dates=H","DateFormat=P","Fill=—","Direction=H","UseDPDF=Y")</f>
        <v>16.756</v>
      </c>
      <c r="Q54" s="25">
        <f>_xll.BDH("ITCI US Equity","BS_LT_OPERATING_LEASE_LIABS","FQ2 2022","FQ2 2022","Currency=USD","Period=FQ","BEST_FPERIOD_OVERRIDE=FQ","FILING_STATUS=MR","SCALING_FORMAT=MLN","Sort=A","Dates=H","DateFormat=P","Fill=—","Direction=H","UseDPDF=Y")</f>
        <v>19.074999999999999</v>
      </c>
      <c r="R54" s="25">
        <f>_xll.BDH("ITCI US Equity","BS_LT_OPERATING_LEASE_LIABS","FQ3 2022","FQ3 2022","Currency=USD","Period=FQ","BEST_FPERIOD_OVERRIDE=FQ","FILING_STATUS=MR","SCALING_FORMAT=MLN","Sort=A","Dates=H","DateFormat=P","Fill=—","Direction=H","UseDPDF=Y")</f>
        <v>19.167000000000002</v>
      </c>
      <c r="S54" s="25">
        <f>_xll.BDH("ITCI US Equity","BS_LT_OPERATING_LEASE_LIABS","FQ4 2022","FQ4 2022","Currency=USD","Period=FQ","BEST_FPERIOD_OVERRIDE=FQ","FILING_STATUS=MR","SCALING_FORMAT=MLN","Sort=A","Dates=H","DateFormat=P","Fill=—","Direction=H","UseDPDF=Y")</f>
        <v>15.474</v>
      </c>
      <c r="T54" s="25">
        <f>_xll.BDH("ITCI US Equity","BS_LT_OPERATING_LEASE_LIABS","FQ1 2023","FQ1 2023","Currency=USD","Period=FQ","BEST_FPERIOD_OVERRIDE=FQ","FILING_STATUS=MR","SCALING_FORMAT=MLN","Sort=A","Dates=H","DateFormat=P","Fill=—","Direction=H","UseDPDF=Y")</f>
        <v>14.961</v>
      </c>
      <c r="U54" s="25">
        <f>_xll.BDH("ITCI US Equity","BS_LT_OPERATING_LEASE_LIABS","FQ2 2023","FQ2 2023","Currency=USD","Period=FQ","BEST_FPERIOD_OVERRIDE=FQ","FILING_STATUS=MR","SCALING_FORMAT=MLN","Sort=A","Dates=H","DateFormat=P","Fill=—","Direction=H","UseDPDF=Y")</f>
        <v>14.432</v>
      </c>
      <c r="V54" s="25">
        <f>_xll.BDH("ITCI US Equity","BS_LT_OPERATING_LEASE_LIABS","FQ3 2023","FQ3 2023","Currency=USD","Period=FQ","BEST_FPERIOD_OVERRIDE=FQ","FILING_STATUS=MR","SCALING_FORMAT=MLN","Sort=A","Dates=H","DateFormat=P","Fill=—","Direction=H","UseDPDF=Y")</f>
        <v>13.891</v>
      </c>
      <c r="W54" s="25">
        <f>_xll.BDH("ITCI US Equity","BS_LT_OPERATING_LEASE_LIABS","FQ4 2023","FQ4 2023","Currency=USD","Period=FQ","BEST_FPERIOD_OVERRIDE=FQ","FILING_STATUS=MR","SCALING_FORMAT=MLN","Sort=A","Dates=H","DateFormat=P","Fill=—","Direction=H","UseDPDF=Y")</f>
        <v>13.326000000000001</v>
      </c>
      <c r="X54" s="25">
        <f>_xll.BDH("ITCI US Equity","BS_LT_OPERATING_LEASE_LIABS","FQ1 2024","FQ1 2024","Currency=USD","Period=FQ","BEST_FPERIOD_OVERRIDE=FQ","FILING_STATUS=MR","SCALING_FORMAT=MLN","Sort=A","Dates=H","DateFormat=P","Fill=—","Direction=H","UseDPDF=Y")</f>
        <v>12.737</v>
      </c>
      <c r="Y54" s="25">
        <f>_xll.BDH("ITCI US Equity","BS_LT_OPERATING_LEASE_LIABS","FQ2 2024","FQ2 2024","Currency=USD","Period=FQ","BEST_FPERIOD_OVERRIDE=FQ","FILING_STATUS=MR","SCALING_FORMAT=MLN","Sort=A","Dates=H","DateFormat=P","Fill=—","Direction=H","UseDPDF=Y")</f>
        <v>14.117000000000001</v>
      </c>
      <c r="Z54" s="25">
        <f>_xll.BDH("ITCI US Equity","BS_LT_OPERATING_LEASE_LIABS","FQ3 2024","FQ3 2024","Currency=USD","Period=FQ","BEST_FPERIOD_OVERRIDE=FQ","FILING_STATUS=MR","SCALING_FORMAT=MLN","Sort=A","Dates=H","DateFormat=P","Fill=—","Direction=H","UseDPDF=Y")</f>
        <v>13.506</v>
      </c>
      <c r="AA54" s="25">
        <f>_xll.BDH("ITCI US Equity","BS_LT_OPERATING_LEASE_LIABS","FQ4 2024","FQ4 2024","Currency=USD","Period=FQ","BEST_FPERIOD_OVERRIDE=FQ","FILING_STATUS=MR","SCALING_FORMAT=MLN","Sort=A","Dates=H","DateFormat=P","Fill=—","Direction=H","UseDPDF=Y")</f>
        <v>12.747999999999999</v>
      </c>
    </row>
    <row r="55" spans="1:27" x14ac:dyDescent="0.25">
      <c r="A55" s="10" t="s">
        <v>627</v>
      </c>
      <c r="B55" s="10" t="s">
        <v>628</v>
      </c>
      <c r="C55" s="13">
        <f>_xll.BDH("ITCI US Equity","OTHER_NONCUR_LIABS_SUB_DETAILED","FQ4 2018","FQ4 2018","Currency=USD","Period=FQ","BEST_FPERIOD_OVERRIDE=FQ","FILING_STATUS=MR","SCALING_FORMAT=MLN","Sort=A","Dates=H","DateFormat=P","Fill=—","Direction=H","UseDPDF=Y")</f>
        <v>3.1924000000000001</v>
      </c>
      <c r="D55" s="13">
        <f>_xll.BDH("ITCI US Equity","OTHER_NONCUR_LIABS_SUB_DETAILED","FQ1 2019","FQ1 2019","Currency=USD","Period=FQ","BEST_FPERIOD_OVERRIDE=FQ","FILING_STATUS=MR","SCALING_FORMAT=MLN","Sort=A","Dates=H","DateFormat=P","Fill=—","Direction=H","UseDPDF=Y")</f>
        <v>0</v>
      </c>
      <c r="E55" s="13">
        <f>_xll.BDH("ITCI US Equity","OTHER_NONCUR_LIABS_SUB_DETAILED","FQ2 2019","FQ2 2019","Currency=USD","Period=FQ","BEST_FPERIOD_OVERRIDE=FQ","FILING_STATUS=MR","SCALING_FORMAT=MLN","Sort=A","Dates=H","DateFormat=P","Fill=—","Direction=H","UseDPDF=Y")</f>
        <v>0</v>
      </c>
      <c r="F55" s="13">
        <f>_xll.BDH("ITCI US Equity","OTHER_NONCUR_LIABS_SUB_DETAILED","FQ3 2019","FQ3 2019","Currency=USD","Period=FQ","BEST_FPERIOD_OVERRIDE=FQ","FILING_STATUS=MR","SCALING_FORMAT=MLN","Sort=A","Dates=H","DateFormat=P","Fill=—","Direction=H","UseDPDF=Y")</f>
        <v>0</v>
      </c>
      <c r="G55" s="13">
        <f>_xll.BDH("ITCI US Equity","OTHER_NONCUR_LIABS_SUB_DETAILED","FQ4 2019","FQ4 2019","Currency=USD","Period=FQ","BEST_FPERIOD_OVERRIDE=FQ","FILING_STATUS=MR","SCALING_FORMAT=MLN","Sort=A","Dates=H","DateFormat=P","Fill=—","Direction=H","UseDPDF=Y")</f>
        <v>0</v>
      </c>
      <c r="H55" s="13">
        <f>_xll.BDH("ITCI US Equity","OTHER_NONCUR_LIABS_SUB_DETAILED","FQ1 2020","FQ1 2020","Currency=USD","Period=FQ","BEST_FPERIOD_OVERRIDE=FQ","FILING_STATUS=MR","SCALING_FORMAT=MLN","Sort=A","Dates=H","DateFormat=P","Fill=—","Direction=H","UseDPDF=Y")</f>
        <v>0</v>
      </c>
      <c r="I55" s="13">
        <f>_xll.BDH("ITCI US Equity","OTHER_NONCUR_LIABS_SUB_DETAILED","FQ2 2020","FQ2 2020","Currency=USD","Period=FQ","BEST_FPERIOD_OVERRIDE=FQ","FILING_STATUS=MR","SCALING_FORMAT=MLN","Sort=A","Dates=H","DateFormat=P","Fill=—","Direction=H","UseDPDF=Y")</f>
        <v>0</v>
      </c>
      <c r="J55" s="13">
        <f>_xll.BDH("ITCI US Equity","OTHER_NONCUR_LIABS_SUB_DETAILED","FQ3 2020","FQ3 2020","Currency=USD","Period=FQ","BEST_FPERIOD_OVERRIDE=FQ","FILING_STATUS=MR","SCALING_FORMAT=MLN","Sort=A","Dates=H","DateFormat=P","Fill=—","Direction=H","UseDPDF=Y")</f>
        <v>0</v>
      </c>
      <c r="K55" s="13">
        <f>_xll.BDH("ITCI US Equity","OTHER_NONCUR_LIABS_SUB_DETAILED","FQ4 2020","FQ4 2020","Currency=USD","Period=FQ","BEST_FPERIOD_OVERRIDE=FQ","FILING_STATUS=MR","SCALING_FORMAT=MLN","Sort=A","Dates=H","DateFormat=P","Fill=—","Direction=H","UseDPDF=Y")</f>
        <v>0</v>
      </c>
      <c r="L55" s="13">
        <f>_xll.BDH("ITCI US Equity","OTHER_NONCUR_LIABS_SUB_DETAILED","FQ1 2021","FQ1 2021","Currency=USD","Period=FQ","BEST_FPERIOD_OVERRIDE=FQ","FILING_STATUS=MR","SCALING_FORMAT=MLN","Sort=A","Dates=H","DateFormat=P","Fill=—","Direction=H","UseDPDF=Y")</f>
        <v>0</v>
      </c>
      <c r="M55" s="13">
        <f>_xll.BDH("ITCI US Equity","OTHER_NONCUR_LIABS_SUB_DETAILED","FQ2 2021","FQ2 2021","Currency=USD","Period=FQ","BEST_FPERIOD_OVERRIDE=FQ","FILING_STATUS=MR","SCALING_FORMAT=MLN","Sort=A","Dates=H","DateFormat=P","Fill=—","Direction=H","UseDPDF=Y")</f>
        <v>0</v>
      </c>
      <c r="N55" s="13">
        <f>_xll.BDH("ITCI US Equity","OTHER_NONCUR_LIABS_SUB_DETAILED","FQ3 2021","FQ3 2021","Currency=USD","Period=FQ","BEST_FPERIOD_OVERRIDE=FQ","FILING_STATUS=MR","SCALING_FORMAT=MLN","Sort=A","Dates=H","DateFormat=P","Fill=—","Direction=H","UseDPDF=Y")</f>
        <v>0</v>
      </c>
      <c r="O55" s="13">
        <f>_xll.BDH("ITCI US Equity","OTHER_NONCUR_LIABS_SUB_DETAILED","FQ4 2021","FQ4 2021","Currency=USD","Period=FQ","BEST_FPERIOD_OVERRIDE=FQ","FILING_STATUS=MR","SCALING_FORMAT=MLN","Sort=A","Dates=H","DateFormat=P","Fill=—","Direction=H","UseDPDF=Y")</f>
        <v>0</v>
      </c>
      <c r="P55" s="13">
        <f>_xll.BDH("ITCI US Equity","OTHER_NONCUR_LIABS_SUB_DETAILED","FQ1 2022","FQ1 2022","Currency=USD","Period=FQ","BEST_FPERIOD_OVERRIDE=FQ","FILING_STATUS=MR","SCALING_FORMAT=MLN","Sort=A","Dates=H","DateFormat=P","Fill=—","Direction=H","UseDPDF=Y")</f>
        <v>0</v>
      </c>
      <c r="Q55" s="13">
        <f>_xll.BDH("ITCI US Equity","OTHER_NONCUR_LIABS_SUB_DETAILED","FQ2 2022","FQ2 2022","Currency=USD","Period=FQ","BEST_FPERIOD_OVERRIDE=FQ","FILING_STATUS=MR","SCALING_FORMAT=MLN","Sort=A","Dates=H","DateFormat=P","Fill=—","Direction=H","UseDPDF=Y")</f>
        <v>0</v>
      </c>
      <c r="R55" s="13">
        <f>_xll.BDH("ITCI US Equity","OTHER_NONCUR_LIABS_SUB_DETAILED","FQ3 2022","FQ3 2022","Currency=USD","Period=FQ","BEST_FPERIOD_OVERRIDE=FQ","FILING_STATUS=MR","SCALING_FORMAT=MLN","Sort=A","Dates=H","DateFormat=P","Fill=—","Direction=H","UseDPDF=Y")</f>
        <v>0</v>
      </c>
      <c r="S55" s="13">
        <f>_xll.BDH("ITCI US Equity","OTHER_NONCUR_LIABS_SUB_DETAILED","FQ4 2022","FQ4 2022","Currency=USD","Period=FQ","BEST_FPERIOD_OVERRIDE=FQ","FILING_STATUS=MR","SCALING_FORMAT=MLN","Sort=A","Dates=H","DateFormat=P","Fill=—","Direction=H","UseDPDF=Y")</f>
        <v>0</v>
      </c>
      <c r="T55" s="13">
        <f>_xll.BDH("ITCI US Equity","OTHER_NONCUR_LIABS_SUB_DETAILED","FQ1 2023","FQ1 2023","Currency=USD","Period=FQ","BEST_FPERIOD_OVERRIDE=FQ","FILING_STATUS=MR","SCALING_FORMAT=MLN","Sort=A","Dates=H","DateFormat=P","Fill=—","Direction=H","UseDPDF=Y")</f>
        <v>0</v>
      </c>
      <c r="U55" s="13">
        <f>_xll.BDH("ITCI US Equity","OTHER_NONCUR_LIABS_SUB_DETAILED","FQ2 2023","FQ2 2023","Currency=USD","Period=FQ","BEST_FPERIOD_OVERRIDE=FQ","FILING_STATUS=MR","SCALING_FORMAT=MLN","Sort=A","Dates=H","DateFormat=P","Fill=—","Direction=H","UseDPDF=Y")</f>
        <v>0</v>
      </c>
      <c r="V55" s="13">
        <f>_xll.BDH("ITCI US Equity","OTHER_NONCUR_LIABS_SUB_DETAILED","FQ3 2023","FQ3 2023","Currency=USD","Period=FQ","BEST_FPERIOD_OVERRIDE=FQ","FILING_STATUS=MR","SCALING_FORMAT=MLN","Sort=A","Dates=H","DateFormat=P","Fill=—","Direction=H","UseDPDF=Y")</f>
        <v>0</v>
      </c>
      <c r="W55" s="13">
        <f>_xll.BDH("ITCI US Equity","OTHER_NONCUR_LIABS_SUB_DETAILED","FQ4 2023","FQ4 2023","Currency=USD","Period=FQ","BEST_FPERIOD_OVERRIDE=FQ","FILING_STATUS=MR","SCALING_FORMAT=MLN","Sort=A","Dates=H","DateFormat=P","Fill=—","Direction=H","UseDPDF=Y")</f>
        <v>0</v>
      </c>
      <c r="X55" s="13">
        <f>_xll.BDH("ITCI US Equity","OTHER_NONCUR_LIABS_SUB_DETAILED","FQ1 2024","FQ1 2024","Currency=USD","Period=FQ","BEST_FPERIOD_OVERRIDE=FQ","FILING_STATUS=MR","SCALING_FORMAT=MLN","Sort=A","Dates=H","DateFormat=P","Fill=—","Direction=H","UseDPDF=Y")</f>
        <v>0</v>
      </c>
      <c r="Y55" s="13">
        <f>_xll.BDH("ITCI US Equity","OTHER_NONCUR_LIABS_SUB_DETAILED","FQ2 2024","FQ2 2024","Currency=USD","Period=FQ","BEST_FPERIOD_OVERRIDE=FQ","FILING_STATUS=MR","SCALING_FORMAT=MLN","Sort=A","Dates=H","DateFormat=P","Fill=—","Direction=H","UseDPDF=Y")</f>
        <v>0</v>
      </c>
      <c r="Z55" s="13">
        <f>_xll.BDH("ITCI US Equity","OTHER_NONCUR_LIABS_SUB_DETAILED","FQ3 2024","FQ3 2024","Currency=USD","Period=FQ","BEST_FPERIOD_OVERRIDE=FQ","FILING_STATUS=MR","SCALING_FORMAT=MLN","Sort=A","Dates=H","DateFormat=P","Fill=—","Direction=H","UseDPDF=Y")</f>
        <v>0</v>
      </c>
      <c r="AA55" s="13">
        <f>_xll.BDH("ITCI US Equity","OTHER_NONCUR_LIABS_SUB_DETAILED","FQ4 2024","FQ4 2024","Currency=USD","Period=FQ","BEST_FPERIOD_OVERRIDE=FQ","FILING_STATUS=MR","SCALING_FORMAT=MLN","Sort=A","Dates=H","DateFormat=P","Fill=—","Direction=H","UseDPDF=Y")</f>
        <v>0</v>
      </c>
    </row>
    <row r="56" spans="1:27" x14ac:dyDescent="0.25">
      <c r="A56" s="10" t="s">
        <v>629</v>
      </c>
      <c r="B56" s="10" t="s">
        <v>630</v>
      </c>
      <c r="C56" s="13">
        <f>_xll.BDH("ITCI US Equity","BS_ACCRUED_LIABILITIES","FQ4 2018","FQ4 2018","Currency=USD","Period=FQ","BEST_FPERIOD_OVERRIDE=FQ","FILING_STATUS=MR","SCALING_FORMAT=MLN","Sort=A","Dates=H","DateFormat=P","Fill=—","Direction=H","UseDPDF=Y")</f>
        <v>0</v>
      </c>
      <c r="D56" s="13" t="str">
        <f>_xll.BDH("ITCI US Equity","BS_ACCRUED_LIABILITIES","FQ1 2019","FQ1 2019","Currency=USD","Period=FQ","BEST_FPERIOD_OVERRIDE=FQ","FILING_STATUS=MR","SCALING_FORMAT=MLN","Sort=A","Dates=H","DateFormat=P","Fill=—","Direction=H","UseDPDF=Y")</f>
        <v>—</v>
      </c>
      <c r="E56" s="13" t="str">
        <f>_xll.BDH("ITCI US Equity","BS_ACCRUED_LIABILITIES","FQ2 2019","FQ2 2019","Currency=USD","Period=FQ","BEST_FPERIOD_OVERRIDE=FQ","FILING_STATUS=MR","SCALING_FORMAT=MLN","Sort=A","Dates=H","DateFormat=P","Fill=—","Direction=H","UseDPDF=Y")</f>
        <v>—</v>
      </c>
      <c r="F56" s="13" t="str">
        <f>_xll.BDH("ITCI US Equity","BS_ACCRUED_LIABILITIES","FQ3 2019","FQ3 2019","Currency=USD","Period=FQ","BEST_FPERIOD_OVERRIDE=FQ","FILING_STATUS=MR","SCALING_FORMAT=MLN","Sort=A","Dates=H","DateFormat=P","Fill=—","Direction=H","UseDPDF=Y")</f>
        <v>—</v>
      </c>
      <c r="G56" s="13">
        <f>_xll.BDH("ITCI US Equity","BS_ACCRUED_LIABILITIES","FQ4 2019","FQ4 2019","Currency=USD","Period=FQ","BEST_FPERIOD_OVERRIDE=FQ","FILING_STATUS=MR","SCALING_FORMAT=MLN","Sort=A","Dates=H","DateFormat=P","Fill=—","Direction=H","UseDPDF=Y")</f>
        <v>0</v>
      </c>
      <c r="H56" s="13" t="str">
        <f>_xll.BDH("ITCI US Equity","BS_ACCRUED_LIABILITIES","FQ1 2020","FQ1 2020","Currency=USD","Period=FQ","BEST_FPERIOD_OVERRIDE=FQ","FILING_STATUS=MR","SCALING_FORMAT=MLN","Sort=A","Dates=H","DateFormat=P","Fill=—","Direction=H","UseDPDF=Y")</f>
        <v>—</v>
      </c>
      <c r="I56" s="13" t="str">
        <f>_xll.BDH("ITCI US Equity","BS_ACCRUED_LIABILITIES","FQ2 2020","FQ2 2020","Currency=USD","Period=FQ","BEST_FPERIOD_OVERRIDE=FQ","FILING_STATUS=MR","SCALING_FORMAT=MLN","Sort=A","Dates=H","DateFormat=P","Fill=—","Direction=H","UseDPDF=Y")</f>
        <v>—</v>
      </c>
      <c r="J56" s="13" t="str">
        <f>_xll.BDH("ITCI US Equity","BS_ACCRUED_LIABILITIES","FQ3 2020","FQ3 2020","Currency=USD","Period=FQ","BEST_FPERIOD_OVERRIDE=FQ","FILING_STATUS=MR","SCALING_FORMAT=MLN","Sort=A","Dates=H","DateFormat=P","Fill=—","Direction=H","UseDPDF=Y")</f>
        <v>—</v>
      </c>
      <c r="K56" s="13">
        <f>_xll.BDH("ITCI US Equity","BS_ACCRUED_LIABILITIES","FQ4 2020","FQ4 2020","Currency=USD","Period=FQ","BEST_FPERIOD_OVERRIDE=FQ","FILING_STATUS=MR","SCALING_FORMAT=MLN","Sort=A","Dates=H","DateFormat=P","Fill=—","Direction=H","UseDPDF=Y")</f>
        <v>0</v>
      </c>
      <c r="L56" s="13" t="str">
        <f>_xll.BDH("ITCI US Equity","BS_ACCRUED_LIABILITIES","FQ1 2021","FQ1 2021","Currency=USD","Period=FQ","BEST_FPERIOD_OVERRIDE=FQ","FILING_STATUS=MR","SCALING_FORMAT=MLN","Sort=A","Dates=H","DateFormat=P","Fill=—","Direction=H","UseDPDF=Y")</f>
        <v>—</v>
      </c>
      <c r="M56" s="13" t="str">
        <f>_xll.BDH("ITCI US Equity","BS_ACCRUED_LIABILITIES","FQ2 2021","FQ2 2021","Currency=USD","Period=FQ","BEST_FPERIOD_OVERRIDE=FQ","FILING_STATUS=MR","SCALING_FORMAT=MLN","Sort=A","Dates=H","DateFormat=P","Fill=—","Direction=H","UseDPDF=Y")</f>
        <v>—</v>
      </c>
      <c r="N56" s="13" t="str">
        <f>_xll.BDH("ITCI US Equity","BS_ACCRUED_LIABILITIES","FQ3 2021","FQ3 2021","Currency=USD","Period=FQ","BEST_FPERIOD_OVERRIDE=FQ","FILING_STATUS=MR","SCALING_FORMAT=MLN","Sort=A","Dates=H","DateFormat=P","Fill=—","Direction=H","UseDPDF=Y")</f>
        <v>—</v>
      </c>
      <c r="O56" s="13" t="str">
        <f>_xll.BDH("ITCI US Equity","BS_ACCRUED_LIABILITIES","FQ4 2021","FQ4 2021","Currency=USD","Period=FQ","BEST_FPERIOD_OVERRIDE=FQ","FILING_STATUS=MR","SCALING_FORMAT=MLN","Sort=A","Dates=H","DateFormat=P","Fill=—","Direction=H","UseDPDF=Y")</f>
        <v>—</v>
      </c>
      <c r="P56" s="13" t="str">
        <f>_xll.BDH("ITCI US Equity","BS_ACCRUED_LIABILITIES","FQ1 2022","FQ1 2022","Currency=USD","Period=FQ","BEST_FPERIOD_OVERRIDE=FQ","FILING_STATUS=MR","SCALING_FORMAT=MLN","Sort=A","Dates=H","DateFormat=P","Fill=—","Direction=H","UseDPDF=Y")</f>
        <v>—</v>
      </c>
      <c r="Q56" s="13">
        <f>_xll.BDH("ITCI US Equity","BS_ACCRUED_LIABILITIES","FQ2 2022","FQ2 2022","Currency=USD","Period=FQ","BEST_FPERIOD_OVERRIDE=FQ","FILING_STATUS=MR","SCALING_FORMAT=MLN","Sort=A","Dates=H","DateFormat=P","Fill=—","Direction=H","UseDPDF=Y")</f>
        <v>0</v>
      </c>
      <c r="R56" s="13" t="str">
        <f>_xll.BDH("ITCI US Equity","BS_ACCRUED_LIABILITIES","FQ3 2022","FQ3 2022","Currency=USD","Period=FQ","BEST_FPERIOD_OVERRIDE=FQ","FILING_STATUS=MR","SCALING_FORMAT=MLN","Sort=A","Dates=H","DateFormat=P","Fill=—","Direction=H","UseDPDF=Y")</f>
        <v>—</v>
      </c>
      <c r="S56" s="13">
        <f>_xll.BDH("ITCI US Equity","BS_ACCRUED_LIABILITIES","FQ4 2022","FQ4 2022","Currency=USD","Period=FQ","BEST_FPERIOD_OVERRIDE=FQ","FILING_STATUS=MR","SCALING_FORMAT=MLN","Sort=A","Dates=H","DateFormat=P","Fill=—","Direction=H","UseDPDF=Y")</f>
        <v>0</v>
      </c>
      <c r="T56" s="13" t="str">
        <f>_xll.BDH("ITCI US Equity","BS_ACCRUED_LIABILITIES","FQ1 2023","FQ1 2023","Currency=USD","Period=FQ","BEST_FPERIOD_OVERRIDE=FQ","FILING_STATUS=MR","SCALING_FORMAT=MLN","Sort=A","Dates=H","DateFormat=P","Fill=—","Direction=H","UseDPDF=Y")</f>
        <v>—</v>
      </c>
      <c r="U56" s="13" t="str">
        <f>_xll.BDH("ITCI US Equity","BS_ACCRUED_LIABILITIES","FQ2 2023","FQ2 2023","Currency=USD","Period=FQ","BEST_FPERIOD_OVERRIDE=FQ","FILING_STATUS=MR","SCALING_FORMAT=MLN","Sort=A","Dates=H","DateFormat=P","Fill=—","Direction=H","UseDPDF=Y")</f>
        <v>—</v>
      </c>
      <c r="V56" s="13" t="str">
        <f>_xll.BDH("ITCI US Equity","BS_ACCRUED_LIABILITIES","FQ3 2023","FQ3 2023","Currency=USD","Period=FQ","BEST_FPERIOD_OVERRIDE=FQ","FILING_STATUS=MR","SCALING_FORMAT=MLN","Sort=A","Dates=H","DateFormat=P","Fill=—","Direction=H","UseDPDF=Y")</f>
        <v>—</v>
      </c>
      <c r="W56" s="13">
        <f>_xll.BDH("ITCI US Equity","BS_ACCRUED_LIABILITIES","FQ4 2023","FQ4 2023","Currency=USD","Period=FQ","BEST_FPERIOD_OVERRIDE=FQ","FILING_STATUS=MR","SCALING_FORMAT=MLN","Sort=A","Dates=H","DateFormat=P","Fill=—","Direction=H","UseDPDF=Y")</f>
        <v>0</v>
      </c>
      <c r="X56" s="13" t="str">
        <f>_xll.BDH("ITCI US Equity","BS_ACCRUED_LIABILITIES","FQ1 2024","FQ1 2024","Currency=USD","Period=FQ","BEST_FPERIOD_OVERRIDE=FQ","FILING_STATUS=MR","SCALING_FORMAT=MLN","Sort=A","Dates=H","DateFormat=P","Fill=—","Direction=H","UseDPDF=Y")</f>
        <v>—</v>
      </c>
      <c r="Y56" s="13" t="str">
        <f>_xll.BDH("ITCI US Equity","BS_ACCRUED_LIABILITIES","FQ2 2024","FQ2 2024","Currency=USD","Period=FQ","BEST_FPERIOD_OVERRIDE=FQ","FILING_STATUS=MR","SCALING_FORMAT=MLN","Sort=A","Dates=H","DateFormat=P","Fill=—","Direction=H","UseDPDF=Y")</f>
        <v>—</v>
      </c>
      <c r="Z56" s="13" t="str">
        <f>_xll.BDH("ITCI US Equity","BS_ACCRUED_LIABILITIES","FQ3 2024","FQ3 2024","Currency=USD","Period=FQ","BEST_FPERIOD_OVERRIDE=FQ","FILING_STATUS=MR","SCALING_FORMAT=MLN","Sort=A","Dates=H","DateFormat=P","Fill=—","Direction=H","UseDPDF=Y")</f>
        <v>—</v>
      </c>
      <c r="AA56" s="13">
        <f>_xll.BDH("ITCI US Equity","BS_ACCRUED_LIABILITIES","FQ4 2024","FQ4 2024","Currency=USD","Period=FQ","BEST_FPERIOD_OVERRIDE=FQ","FILING_STATUS=MR","SCALING_FORMAT=MLN","Sort=A","Dates=H","DateFormat=P","Fill=—","Direction=H","UseDPDF=Y")</f>
        <v>0</v>
      </c>
    </row>
    <row r="57" spans="1:27" x14ac:dyDescent="0.25">
      <c r="A57" s="10" t="s">
        <v>631</v>
      </c>
      <c r="B57" s="10" t="s">
        <v>632</v>
      </c>
      <c r="C57" s="13">
        <f>_xll.BDH("ITCI US Equity","PENSION_LIABILITIES","FQ4 2018","FQ4 2018","Currency=USD","Period=FQ","BEST_FPERIOD_OVERRIDE=FQ","FILING_STATUS=MR","SCALING_FORMAT=MLN","Sort=A","Dates=H","DateFormat=P","Fill=—","Direction=H","UseDPDF=Y")</f>
        <v>0</v>
      </c>
      <c r="D57" s="13" t="str">
        <f>_xll.BDH("ITCI US Equity","PENSION_LIABILITIES","FQ1 2019","FQ1 2019","Currency=USD","Period=FQ","BEST_FPERIOD_OVERRIDE=FQ","FILING_STATUS=MR","SCALING_FORMAT=MLN","Sort=A","Dates=H","DateFormat=P","Fill=—","Direction=H","UseDPDF=Y")</f>
        <v>—</v>
      </c>
      <c r="E57" s="13" t="str">
        <f>_xll.BDH("ITCI US Equity","PENSION_LIABILITIES","FQ2 2019","FQ2 2019","Currency=USD","Period=FQ","BEST_FPERIOD_OVERRIDE=FQ","FILING_STATUS=MR","SCALING_FORMAT=MLN","Sort=A","Dates=H","DateFormat=P","Fill=—","Direction=H","UseDPDF=Y")</f>
        <v>—</v>
      </c>
      <c r="F57" s="13" t="str">
        <f>_xll.BDH("ITCI US Equity","PENSION_LIABILITIES","FQ3 2019","FQ3 2019","Currency=USD","Period=FQ","BEST_FPERIOD_OVERRIDE=FQ","FILING_STATUS=MR","SCALING_FORMAT=MLN","Sort=A","Dates=H","DateFormat=P","Fill=—","Direction=H","UseDPDF=Y")</f>
        <v>—</v>
      </c>
      <c r="G57" s="13">
        <f>_xll.BDH("ITCI US Equity","PENSION_LIABILITIES","FQ4 2019","FQ4 2019","Currency=USD","Period=FQ","BEST_FPERIOD_OVERRIDE=FQ","FILING_STATUS=MR","SCALING_FORMAT=MLN","Sort=A","Dates=H","DateFormat=P","Fill=—","Direction=H","UseDPDF=Y")</f>
        <v>0</v>
      </c>
      <c r="H57" s="13" t="str">
        <f>_xll.BDH("ITCI US Equity","PENSION_LIABILITIES","FQ1 2020","FQ1 2020","Currency=USD","Period=FQ","BEST_FPERIOD_OVERRIDE=FQ","FILING_STATUS=MR","SCALING_FORMAT=MLN","Sort=A","Dates=H","DateFormat=P","Fill=—","Direction=H","UseDPDF=Y")</f>
        <v>—</v>
      </c>
      <c r="I57" s="13" t="str">
        <f>_xll.BDH("ITCI US Equity","PENSION_LIABILITIES","FQ2 2020","FQ2 2020","Currency=USD","Period=FQ","BEST_FPERIOD_OVERRIDE=FQ","FILING_STATUS=MR","SCALING_FORMAT=MLN","Sort=A","Dates=H","DateFormat=P","Fill=—","Direction=H","UseDPDF=Y")</f>
        <v>—</v>
      </c>
      <c r="J57" s="13" t="str">
        <f>_xll.BDH("ITCI US Equity","PENSION_LIABILITIES","FQ3 2020","FQ3 2020","Currency=USD","Period=FQ","BEST_FPERIOD_OVERRIDE=FQ","FILING_STATUS=MR","SCALING_FORMAT=MLN","Sort=A","Dates=H","DateFormat=P","Fill=—","Direction=H","UseDPDF=Y")</f>
        <v>—</v>
      </c>
      <c r="K57" s="13">
        <f>_xll.BDH("ITCI US Equity","PENSION_LIABILITIES","FQ4 2020","FQ4 2020","Currency=USD","Period=FQ","BEST_FPERIOD_OVERRIDE=FQ","FILING_STATUS=MR","SCALING_FORMAT=MLN","Sort=A","Dates=H","DateFormat=P","Fill=—","Direction=H","UseDPDF=Y")</f>
        <v>0</v>
      </c>
      <c r="L57" s="13" t="str">
        <f>_xll.BDH("ITCI US Equity","PENSION_LIABILITIES","FQ1 2021","FQ1 2021","Currency=USD","Period=FQ","BEST_FPERIOD_OVERRIDE=FQ","FILING_STATUS=MR","SCALING_FORMAT=MLN","Sort=A","Dates=H","DateFormat=P","Fill=—","Direction=H","UseDPDF=Y")</f>
        <v>—</v>
      </c>
      <c r="M57" s="13" t="str">
        <f>_xll.BDH("ITCI US Equity","PENSION_LIABILITIES","FQ2 2021","FQ2 2021","Currency=USD","Period=FQ","BEST_FPERIOD_OVERRIDE=FQ","FILING_STATUS=MR","SCALING_FORMAT=MLN","Sort=A","Dates=H","DateFormat=P","Fill=—","Direction=H","UseDPDF=Y")</f>
        <v>—</v>
      </c>
      <c r="N57" s="13" t="str">
        <f>_xll.BDH("ITCI US Equity","PENSION_LIABILITIES","FQ3 2021","FQ3 2021","Currency=USD","Period=FQ","BEST_FPERIOD_OVERRIDE=FQ","FILING_STATUS=MR","SCALING_FORMAT=MLN","Sort=A","Dates=H","DateFormat=P","Fill=—","Direction=H","UseDPDF=Y")</f>
        <v>—</v>
      </c>
      <c r="O57" s="13" t="str">
        <f>_xll.BDH("ITCI US Equity","PENSION_LIABILITIES","FQ4 2021","FQ4 2021","Currency=USD","Period=FQ","BEST_FPERIOD_OVERRIDE=FQ","FILING_STATUS=MR","SCALING_FORMAT=MLN","Sort=A","Dates=H","DateFormat=P","Fill=—","Direction=H","UseDPDF=Y")</f>
        <v>—</v>
      </c>
      <c r="P57" s="13" t="str">
        <f>_xll.BDH("ITCI US Equity","PENSION_LIABILITIES","FQ1 2022","FQ1 2022","Currency=USD","Period=FQ","BEST_FPERIOD_OVERRIDE=FQ","FILING_STATUS=MR","SCALING_FORMAT=MLN","Sort=A","Dates=H","DateFormat=P","Fill=—","Direction=H","UseDPDF=Y")</f>
        <v>—</v>
      </c>
      <c r="Q57" s="13" t="str">
        <f>_xll.BDH("ITCI US Equity","PENSION_LIABILITIES","FQ2 2022","FQ2 2022","Currency=USD","Period=FQ","BEST_FPERIOD_OVERRIDE=FQ","FILING_STATUS=MR","SCALING_FORMAT=MLN","Sort=A","Dates=H","DateFormat=P","Fill=—","Direction=H","UseDPDF=Y")</f>
        <v>—</v>
      </c>
      <c r="R57" s="13" t="str">
        <f>_xll.BDH("ITCI US Equity","PENSION_LIABILITIES","FQ3 2022","FQ3 2022","Currency=USD","Period=FQ","BEST_FPERIOD_OVERRIDE=FQ","FILING_STATUS=MR","SCALING_FORMAT=MLN","Sort=A","Dates=H","DateFormat=P","Fill=—","Direction=H","UseDPDF=Y")</f>
        <v>—</v>
      </c>
      <c r="S57" s="13">
        <f>_xll.BDH("ITCI US Equity","PENSION_LIABILITIES","FQ4 2022","FQ4 2022","Currency=USD","Period=FQ","BEST_FPERIOD_OVERRIDE=FQ","FILING_STATUS=MR","SCALING_FORMAT=MLN","Sort=A","Dates=H","DateFormat=P","Fill=—","Direction=H","UseDPDF=Y")</f>
        <v>0</v>
      </c>
      <c r="T57" s="13" t="str">
        <f>_xll.BDH("ITCI US Equity","PENSION_LIABILITIES","FQ1 2023","FQ1 2023","Currency=USD","Period=FQ","BEST_FPERIOD_OVERRIDE=FQ","FILING_STATUS=MR","SCALING_FORMAT=MLN","Sort=A","Dates=H","DateFormat=P","Fill=—","Direction=H","UseDPDF=Y")</f>
        <v>—</v>
      </c>
      <c r="U57" s="13" t="str">
        <f>_xll.BDH("ITCI US Equity","PENSION_LIABILITIES","FQ2 2023","FQ2 2023","Currency=USD","Period=FQ","BEST_FPERIOD_OVERRIDE=FQ","FILING_STATUS=MR","SCALING_FORMAT=MLN","Sort=A","Dates=H","DateFormat=P","Fill=—","Direction=H","UseDPDF=Y")</f>
        <v>—</v>
      </c>
      <c r="V57" s="13" t="str">
        <f>_xll.BDH("ITCI US Equity","PENSION_LIABILITIES","FQ3 2023","FQ3 2023","Currency=USD","Period=FQ","BEST_FPERIOD_OVERRIDE=FQ","FILING_STATUS=MR","SCALING_FORMAT=MLN","Sort=A","Dates=H","DateFormat=P","Fill=—","Direction=H","UseDPDF=Y")</f>
        <v>—</v>
      </c>
      <c r="W57" s="13">
        <f>_xll.BDH("ITCI US Equity","PENSION_LIABILITIES","FQ4 2023","FQ4 2023","Currency=USD","Period=FQ","BEST_FPERIOD_OVERRIDE=FQ","FILING_STATUS=MR","SCALING_FORMAT=MLN","Sort=A","Dates=H","DateFormat=P","Fill=—","Direction=H","UseDPDF=Y")</f>
        <v>0</v>
      </c>
      <c r="X57" s="13" t="str">
        <f>_xll.BDH("ITCI US Equity","PENSION_LIABILITIES","FQ1 2024","FQ1 2024","Currency=USD","Period=FQ","BEST_FPERIOD_OVERRIDE=FQ","FILING_STATUS=MR","SCALING_FORMAT=MLN","Sort=A","Dates=H","DateFormat=P","Fill=—","Direction=H","UseDPDF=Y")</f>
        <v>—</v>
      </c>
      <c r="Y57" s="13" t="str">
        <f>_xll.BDH("ITCI US Equity","PENSION_LIABILITIES","FQ2 2024","FQ2 2024","Currency=USD","Period=FQ","BEST_FPERIOD_OVERRIDE=FQ","FILING_STATUS=MR","SCALING_FORMAT=MLN","Sort=A","Dates=H","DateFormat=P","Fill=—","Direction=H","UseDPDF=Y")</f>
        <v>—</v>
      </c>
      <c r="Z57" s="13" t="str">
        <f>_xll.BDH("ITCI US Equity","PENSION_LIABILITIES","FQ3 2024","FQ3 2024","Currency=USD","Period=FQ","BEST_FPERIOD_OVERRIDE=FQ","FILING_STATUS=MR","SCALING_FORMAT=MLN","Sort=A","Dates=H","DateFormat=P","Fill=—","Direction=H","UseDPDF=Y")</f>
        <v>—</v>
      </c>
      <c r="AA57" s="13">
        <f>_xll.BDH("ITCI US Equity","PENSION_LIABILITIES","FQ4 2024","FQ4 2024","Currency=USD","Period=FQ","BEST_FPERIOD_OVERRIDE=FQ","FILING_STATUS=MR","SCALING_FORMAT=MLN","Sort=A","Dates=H","DateFormat=P","Fill=—","Direction=H","UseDPDF=Y")</f>
        <v>0</v>
      </c>
    </row>
    <row r="58" spans="1:27" x14ac:dyDescent="0.25">
      <c r="A58" s="11" t="s">
        <v>633</v>
      </c>
      <c r="B58" s="11" t="s">
        <v>634</v>
      </c>
      <c r="C58" s="25">
        <f>_xll.BDH("ITCI US Equity","BS_PENSIONS_LT_LIABS","FQ4 2018","FQ4 2018","Currency=USD","Period=FQ","BEST_FPERIOD_OVERRIDE=FQ","FILING_STATUS=MR","SCALING_FORMAT=MLN","Sort=A","Dates=H","DateFormat=P","Fill=—","Direction=H","UseDPDF=Y")</f>
        <v>0</v>
      </c>
      <c r="D58" s="25" t="str">
        <f>_xll.BDH("ITCI US Equity","BS_PENSIONS_LT_LIABS","FQ1 2019","FQ1 2019","Currency=USD","Period=FQ","BEST_FPERIOD_OVERRIDE=FQ","FILING_STATUS=MR","SCALING_FORMAT=MLN","Sort=A","Dates=H","DateFormat=P","Fill=—","Direction=H","UseDPDF=Y")</f>
        <v>—</v>
      </c>
      <c r="E58" s="25" t="str">
        <f>_xll.BDH("ITCI US Equity","BS_PENSIONS_LT_LIABS","FQ2 2019","FQ2 2019","Currency=USD","Period=FQ","BEST_FPERIOD_OVERRIDE=FQ","FILING_STATUS=MR","SCALING_FORMAT=MLN","Sort=A","Dates=H","DateFormat=P","Fill=—","Direction=H","UseDPDF=Y")</f>
        <v>—</v>
      </c>
      <c r="F58" s="25" t="str">
        <f>_xll.BDH("ITCI US Equity","BS_PENSIONS_LT_LIABS","FQ3 2019","FQ3 2019","Currency=USD","Period=FQ","BEST_FPERIOD_OVERRIDE=FQ","FILING_STATUS=MR","SCALING_FORMAT=MLN","Sort=A","Dates=H","DateFormat=P","Fill=—","Direction=H","UseDPDF=Y")</f>
        <v>—</v>
      </c>
      <c r="G58" s="25">
        <f>_xll.BDH("ITCI US Equity","BS_PENSIONS_LT_LIABS","FQ4 2019","FQ4 2019","Currency=USD","Period=FQ","BEST_FPERIOD_OVERRIDE=FQ","FILING_STATUS=MR","SCALING_FORMAT=MLN","Sort=A","Dates=H","DateFormat=P","Fill=—","Direction=H","UseDPDF=Y")</f>
        <v>0</v>
      </c>
      <c r="H58" s="25" t="str">
        <f>_xll.BDH("ITCI US Equity","BS_PENSIONS_LT_LIABS","FQ1 2020","FQ1 2020","Currency=USD","Period=FQ","BEST_FPERIOD_OVERRIDE=FQ","FILING_STATUS=MR","SCALING_FORMAT=MLN","Sort=A","Dates=H","DateFormat=P","Fill=—","Direction=H","UseDPDF=Y")</f>
        <v>—</v>
      </c>
      <c r="I58" s="25" t="str">
        <f>_xll.BDH("ITCI US Equity","BS_PENSIONS_LT_LIABS","FQ2 2020","FQ2 2020","Currency=USD","Period=FQ","BEST_FPERIOD_OVERRIDE=FQ","FILING_STATUS=MR","SCALING_FORMAT=MLN","Sort=A","Dates=H","DateFormat=P","Fill=—","Direction=H","UseDPDF=Y")</f>
        <v>—</v>
      </c>
      <c r="J58" s="25" t="str">
        <f>_xll.BDH("ITCI US Equity","BS_PENSIONS_LT_LIABS","FQ3 2020","FQ3 2020","Currency=USD","Period=FQ","BEST_FPERIOD_OVERRIDE=FQ","FILING_STATUS=MR","SCALING_FORMAT=MLN","Sort=A","Dates=H","DateFormat=P","Fill=—","Direction=H","UseDPDF=Y")</f>
        <v>—</v>
      </c>
      <c r="K58" s="25">
        <f>_xll.BDH("ITCI US Equity","BS_PENSIONS_LT_LIABS","FQ4 2020","FQ4 2020","Currency=USD","Period=FQ","BEST_FPERIOD_OVERRIDE=FQ","FILING_STATUS=MR","SCALING_FORMAT=MLN","Sort=A","Dates=H","DateFormat=P","Fill=—","Direction=H","UseDPDF=Y")</f>
        <v>0</v>
      </c>
      <c r="L58" s="25" t="str">
        <f>_xll.BDH("ITCI US Equity","BS_PENSIONS_LT_LIABS","FQ1 2021","FQ1 2021","Currency=USD","Period=FQ","BEST_FPERIOD_OVERRIDE=FQ","FILING_STATUS=MR","SCALING_FORMAT=MLN","Sort=A","Dates=H","DateFormat=P","Fill=—","Direction=H","UseDPDF=Y")</f>
        <v>—</v>
      </c>
      <c r="M58" s="25" t="str">
        <f>_xll.BDH("ITCI US Equity","BS_PENSIONS_LT_LIABS","FQ2 2021","FQ2 2021","Currency=USD","Period=FQ","BEST_FPERIOD_OVERRIDE=FQ","FILING_STATUS=MR","SCALING_FORMAT=MLN","Sort=A","Dates=H","DateFormat=P","Fill=—","Direction=H","UseDPDF=Y")</f>
        <v>—</v>
      </c>
      <c r="N58" s="25" t="str">
        <f>_xll.BDH("ITCI US Equity","BS_PENSIONS_LT_LIABS","FQ3 2021","FQ3 2021","Currency=USD","Period=FQ","BEST_FPERIOD_OVERRIDE=FQ","FILING_STATUS=MR","SCALING_FORMAT=MLN","Sort=A","Dates=H","DateFormat=P","Fill=—","Direction=H","UseDPDF=Y")</f>
        <v>—</v>
      </c>
      <c r="O58" s="25" t="str">
        <f>_xll.BDH("ITCI US Equity","BS_PENSIONS_LT_LIABS","FQ4 2021","FQ4 2021","Currency=USD","Period=FQ","BEST_FPERIOD_OVERRIDE=FQ","FILING_STATUS=MR","SCALING_FORMAT=MLN","Sort=A","Dates=H","DateFormat=P","Fill=—","Direction=H","UseDPDF=Y")</f>
        <v>—</v>
      </c>
      <c r="P58" s="25" t="str">
        <f>_xll.BDH("ITCI US Equity","BS_PENSIONS_LT_LIABS","FQ1 2022","FQ1 2022","Currency=USD","Period=FQ","BEST_FPERIOD_OVERRIDE=FQ","FILING_STATUS=MR","SCALING_FORMAT=MLN","Sort=A","Dates=H","DateFormat=P","Fill=—","Direction=H","UseDPDF=Y")</f>
        <v>—</v>
      </c>
      <c r="Q58" s="25" t="str">
        <f>_xll.BDH("ITCI US Equity","BS_PENSIONS_LT_LIABS","FQ2 2022","FQ2 2022","Currency=USD","Period=FQ","BEST_FPERIOD_OVERRIDE=FQ","FILING_STATUS=MR","SCALING_FORMAT=MLN","Sort=A","Dates=H","DateFormat=P","Fill=—","Direction=H","UseDPDF=Y")</f>
        <v>—</v>
      </c>
      <c r="R58" s="25" t="str">
        <f>_xll.BDH("ITCI US Equity","BS_PENSIONS_LT_LIABS","FQ3 2022","FQ3 2022","Currency=USD","Period=FQ","BEST_FPERIOD_OVERRIDE=FQ","FILING_STATUS=MR","SCALING_FORMAT=MLN","Sort=A","Dates=H","DateFormat=P","Fill=—","Direction=H","UseDPDF=Y")</f>
        <v>—</v>
      </c>
      <c r="S58" s="25">
        <f>_xll.BDH("ITCI US Equity","BS_PENSIONS_LT_LIABS","FQ4 2022","FQ4 2022","Currency=USD","Period=FQ","BEST_FPERIOD_OVERRIDE=FQ","FILING_STATUS=MR","SCALING_FORMAT=MLN","Sort=A","Dates=H","DateFormat=P","Fill=—","Direction=H","UseDPDF=Y")</f>
        <v>0</v>
      </c>
      <c r="T58" s="25" t="str">
        <f>_xll.BDH("ITCI US Equity","BS_PENSIONS_LT_LIABS","FQ1 2023","FQ1 2023","Currency=USD","Period=FQ","BEST_FPERIOD_OVERRIDE=FQ","FILING_STATUS=MR","SCALING_FORMAT=MLN","Sort=A","Dates=H","DateFormat=P","Fill=—","Direction=H","UseDPDF=Y")</f>
        <v>—</v>
      </c>
      <c r="U58" s="25" t="str">
        <f>_xll.BDH("ITCI US Equity","BS_PENSIONS_LT_LIABS","FQ2 2023","FQ2 2023","Currency=USD","Period=FQ","BEST_FPERIOD_OVERRIDE=FQ","FILING_STATUS=MR","SCALING_FORMAT=MLN","Sort=A","Dates=H","DateFormat=P","Fill=—","Direction=H","UseDPDF=Y")</f>
        <v>—</v>
      </c>
      <c r="V58" s="25" t="str">
        <f>_xll.BDH("ITCI US Equity","BS_PENSIONS_LT_LIABS","FQ3 2023","FQ3 2023","Currency=USD","Period=FQ","BEST_FPERIOD_OVERRIDE=FQ","FILING_STATUS=MR","SCALING_FORMAT=MLN","Sort=A","Dates=H","DateFormat=P","Fill=—","Direction=H","UseDPDF=Y")</f>
        <v>—</v>
      </c>
      <c r="W58" s="25">
        <f>_xll.BDH("ITCI US Equity","BS_PENSIONS_LT_LIABS","FQ4 2023","FQ4 2023","Currency=USD","Period=FQ","BEST_FPERIOD_OVERRIDE=FQ","FILING_STATUS=MR","SCALING_FORMAT=MLN","Sort=A","Dates=H","DateFormat=P","Fill=—","Direction=H","UseDPDF=Y")</f>
        <v>0</v>
      </c>
      <c r="X58" s="25" t="str">
        <f>_xll.BDH("ITCI US Equity","BS_PENSIONS_LT_LIABS","FQ1 2024","FQ1 2024","Currency=USD","Period=FQ","BEST_FPERIOD_OVERRIDE=FQ","FILING_STATUS=MR","SCALING_FORMAT=MLN","Sort=A","Dates=H","DateFormat=P","Fill=—","Direction=H","UseDPDF=Y")</f>
        <v>—</v>
      </c>
      <c r="Y58" s="25" t="str">
        <f>_xll.BDH("ITCI US Equity","BS_PENSIONS_LT_LIABS","FQ2 2024","FQ2 2024","Currency=USD","Period=FQ","BEST_FPERIOD_OVERRIDE=FQ","FILING_STATUS=MR","SCALING_FORMAT=MLN","Sort=A","Dates=H","DateFormat=P","Fill=—","Direction=H","UseDPDF=Y")</f>
        <v>—</v>
      </c>
      <c r="Z58" s="25" t="str">
        <f>_xll.BDH("ITCI US Equity","BS_PENSIONS_LT_LIABS","FQ3 2024","FQ3 2024","Currency=USD","Period=FQ","BEST_FPERIOD_OVERRIDE=FQ","FILING_STATUS=MR","SCALING_FORMAT=MLN","Sort=A","Dates=H","DateFormat=P","Fill=—","Direction=H","UseDPDF=Y")</f>
        <v>—</v>
      </c>
      <c r="AA58" s="25">
        <f>_xll.BDH("ITCI US Equity","BS_PENSIONS_LT_LIABS","FQ4 2024","FQ4 2024","Currency=USD","Period=FQ","BEST_FPERIOD_OVERRIDE=FQ","FILING_STATUS=MR","SCALING_FORMAT=MLN","Sort=A","Dates=H","DateFormat=P","Fill=—","Direction=H","UseDPDF=Y")</f>
        <v>0</v>
      </c>
    </row>
    <row r="59" spans="1:27" x14ac:dyDescent="0.25">
      <c r="A59" s="11" t="s">
        <v>635</v>
      </c>
      <c r="B59" s="11" t="s">
        <v>636</v>
      </c>
      <c r="C59" s="25">
        <f>_xll.BDH("ITCI US Equity","BS_OPRB_LT_LIABS","FQ4 2018","FQ4 2018","Currency=USD","Period=FQ","BEST_FPERIOD_OVERRIDE=FQ","FILING_STATUS=MR","SCALING_FORMAT=MLN","Sort=A","Dates=H","DateFormat=P","Fill=—","Direction=H","UseDPDF=Y")</f>
        <v>0</v>
      </c>
      <c r="D59" s="25" t="str">
        <f>_xll.BDH("ITCI US Equity","BS_OPRB_LT_LIABS","FQ1 2019","FQ1 2019","Currency=USD","Period=FQ","BEST_FPERIOD_OVERRIDE=FQ","FILING_STATUS=MR","SCALING_FORMAT=MLN","Sort=A","Dates=H","DateFormat=P","Fill=—","Direction=H","UseDPDF=Y")</f>
        <v>—</v>
      </c>
      <c r="E59" s="25" t="str">
        <f>_xll.BDH("ITCI US Equity","BS_OPRB_LT_LIABS","FQ2 2019","FQ2 2019","Currency=USD","Period=FQ","BEST_FPERIOD_OVERRIDE=FQ","FILING_STATUS=MR","SCALING_FORMAT=MLN","Sort=A","Dates=H","DateFormat=P","Fill=—","Direction=H","UseDPDF=Y")</f>
        <v>—</v>
      </c>
      <c r="F59" s="25" t="str">
        <f>_xll.BDH("ITCI US Equity","BS_OPRB_LT_LIABS","FQ3 2019","FQ3 2019","Currency=USD","Period=FQ","BEST_FPERIOD_OVERRIDE=FQ","FILING_STATUS=MR","SCALING_FORMAT=MLN","Sort=A","Dates=H","DateFormat=P","Fill=—","Direction=H","UseDPDF=Y")</f>
        <v>—</v>
      </c>
      <c r="G59" s="25">
        <f>_xll.BDH("ITCI US Equity","BS_OPRB_LT_LIABS","FQ4 2019","FQ4 2019","Currency=USD","Period=FQ","BEST_FPERIOD_OVERRIDE=FQ","FILING_STATUS=MR","SCALING_FORMAT=MLN","Sort=A","Dates=H","DateFormat=P","Fill=—","Direction=H","UseDPDF=Y")</f>
        <v>0</v>
      </c>
      <c r="H59" s="25" t="str">
        <f>_xll.BDH("ITCI US Equity","BS_OPRB_LT_LIABS","FQ1 2020","FQ1 2020","Currency=USD","Period=FQ","BEST_FPERIOD_OVERRIDE=FQ","FILING_STATUS=MR","SCALING_FORMAT=MLN","Sort=A","Dates=H","DateFormat=P","Fill=—","Direction=H","UseDPDF=Y")</f>
        <v>—</v>
      </c>
      <c r="I59" s="25" t="str">
        <f>_xll.BDH("ITCI US Equity","BS_OPRB_LT_LIABS","FQ2 2020","FQ2 2020","Currency=USD","Period=FQ","BEST_FPERIOD_OVERRIDE=FQ","FILING_STATUS=MR","SCALING_FORMAT=MLN","Sort=A","Dates=H","DateFormat=P","Fill=—","Direction=H","UseDPDF=Y")</f>
        <v>—</v>
      </c>
      <c r="J59" s="25" t="str">
        <f>_xll.BDH("ITCI US Equity","BS_OPRB_LT_LIABS","FQ3 2020","FQ3 2020","Currency=USD","Period=FQ","BEST_FPERIOD_OVERRIDE=FQ","FILING_STATUS=MR","SCALING_FORMAT=MLN","Sort=A","Dates=H","DateFormat=P","Fill=—","Direction=H","UseDPDF=Y")</f>
        <v>—</v>
      </c>
      <c r="K59" s="25">
        <f>_xll.BDH("ITCI US Equity","BS_OPRB_LT_LIABS","FQ4 2020","FQ4 2020","Currency=USD","Period=FQ","BEST_FPERIOD_OVERRIDE=FQ","FILING_STATUS=MR","SCALING_FORMAT=MLN","Sort=A","Dates=H","DateFormat=P","Fill=—","Direction=H","UseDPDF=Y")</f>
        <v>0</v>
      </c>
      <c r="L59" s="25" t="str">
        <f>_xll.BDH("ITCI US Equity","BS_OPRB_LT_LIABS","FQ1 2021","FQ1 2021","Currency=USD","Period=FQ","BEST_FPERIOD_OVERRIDE=FQ","FILING_STATUS=MR","SCALING_FORMAT=MLN","Sort=A","Dates=H","DateFormat=P","Fill=—","Direction=H","UseDPDF=Y")</f>
        <v>—</v>
      </c>
      <c r="M59" s="25" t="str">
        <f>_xll.BDH("ITCI US Equity","BS_OPRB_LT_LIABS","FQ2 2021","FQ2 2021","Currency=USD","Period=FQ","BEST_FPERIOD_OVERRIDE=FQ","FILING_STATUS=MR","SCALING_FORMAT=MLN","Sort=A","Dates=H","DateFormat=P","Fill=—","Direction=H","UseDPDF=Y")</f>
        <v>—</v>
      </c>
      <c r="N59" s="25" t="str">
        <f>_xll.BDH("ITCI US Equity","BS_OPRB_LT_LIABS","FQ3 2021","FQ3 2021","Currency=USD","Period=FQ","BEST_FPERIOD_OVERRIDE=FQ","FILING_STATUS=MR","SCALING_FORMAT=MLN","Sort=A","Dates=H","DateFormat=P","Fill=—","Direction=H","UseDPDF=Y")</f>
        <v>—</v>
      </c>
      <c r="O59" s="25" t="str">
        <f>_xll.BDH("ITCI US Equity","BS_OPRB_LT_LIABS","FQ4 2021","FQ4 2021","Currency=USD","Period=FQ","BEST_FPERIOD_OVERRIDE=FQ","FILING_STATUS=MR","SCALING_FORMAT=MLN","Sort=A","Dates=H","DateFormat=P","Fill=—","Direction=H","UseDPDF=Y")</f>
        <v>—</v>
      </c>
      <c r="P59" s="25" t="str">
        <f>_xll.BDH("ITCI US Equity","BS_OPRB_LT_LIABS","FQ1 2022","FQ1 2022","Currency=USD","Period=FQ","BEST_FPERIOD_OVERRIDE=FQ","FILING_STATUS=MR","SCALING_FORMAT=MLN","Sort=A","Dates=H","DateFormat=P","Fill=—","Direction=H","UseDPDF=Y")</f>
        <v>—</v>
      </c>
      <c r="Q59" s="25" t="str">
        <f>_xll.BDH("ITCI US Equity","BS_OPRB_LT_LIABS","FQ2 2022","FQ2 2022","Currency=USD","Period=FQ","BEST_FPERIOD_OVERRIDE=FQ","FILING_STATUS=MR","SCALING_FORMAT=MLN","Sort=A","Dates=H","DateFormat=P","Fill=—","Direction=H","UseDPDF=Y")</f>
        <v>—</v>
      </c>
      <c r="R59" s="25" t="str">
        <f>_xll.BDH("ITCI US Equity","BS_OPRB_LT_LIABS","FQ3 2022","FQ3 2022","Currency=USD","Period=FQ","BEST_FPERIOD_OVERRIDE=FQ","FILING_STATUS=MR","SCALING_FORMAT=MLN","Sort=A","Dates=H","DateFormat=P","Fill=—","Direction=H","UseDPDF=Y")</f>
        <v>—</v>
      </c>
      <c r="S59" s="25">
        <f>_xll.BDH("ITCI US Equity","BS_OPRB_LT_LIABS","FQ4 2022","FQ4 2022","Currency=USD","Period=FQ","BEST_FPERIOD_OVERRIDE=FQ","FILING_STATUS=MR","SCALING_FORMAT=MLN","Sort=A","Dates=H","DateFormat=P","Fill=—","Direction=H","UseDPDF=Y")</f>
        <v>0</v>
      </c>
      <c r="T59" s="25" t="str">
        <f>_xll.BDH("ITCI US Equity","BS_OPRB_LT_LIABS","FQ1 2023","FQ1 2023","Currency=USD","Period=FQ","BEST_FPERIOD_OVERRIDE=FQ","FILING_STATUS=MR","SCALING_FORMAT=MLN","Sort=A","Dates=H","DateFormat=P","Fill=—","Direction=H","UseDPDF=Y")</f>
        <v>—</v>
      </c>
      <c r="U59" s="25" t="str">
        <f>_xll.BDH("ITCI US Equity","BS_OPRB_LT_LIABS","FQ2 2023","FQ2 2023","Currency=USD","Period=FQ","BEST_FPERIOD_OVERRIDE=FQ","FILING_STATUS=MR","SCALING_FORMAT=MLN","Sort=A","Dates=H","DateFormat=P","Fill=—","Direction=H","UseDPDF=Y")</f>
        <v>—</v>
      </c>
      <c r="V59" s="25" t="str">
        <f>_xll.BDH("ITCI US Equity","BS_OPRB_LT_LIABS","FQ3 2023","FQ3 2023","Currency=USD","Period=FQ","BEST_FPERIOD_OVERRIDE=FQ","FILING_STATUS=MR","SCALING_FORMAT=MLN","Sort=A","Dates=H","DateFormat=P","Fill=—","Direction=H","UseDPDF=Y")</f>
        <v>—</v>
      </c>
      <c r="W59" s="25">
        <f>_xll.BDH("ITCI US Equity","BS_OPRB_LT_LIABS","FQ4 2023","FQ4 2023","Currency=USD","Period=FQ","BEST_FPERIOD_OVERRIDE=FQ","FILING_STATUS=MR","SCALING_FORMAT=MLN","Sort=A","Dates=H","DateFormat=P","Fill=—","Direction=H","UseDPDF=Y")</f>
        <v>0</v>
      </c>
      <c r="X59" s="25" t="str">
        <f>_xll.BDH("ITCI US Equity","BS_OPRB_LT_LIABS","FQ1 2024","FQ1 2024","Currency=USD","Period=FQ","BEST_FPERIOD_OVERRIDE=FQ","FILING_STATUS=MR","SCALING_FORMAT=MLN","Sort=A","Dates=H","DateFormat=P","Fill=—","Direction=H","UseDPDF=Y")</f>
        <v>—</v>
      </c>
      <c r="Y59" s="25" t="str">
        <f>_xll.BDH("ITCI US Equity","BS_OPRB_LT_LIABS","FQ2 2024","FQ2 2024","Currency=USD","Period=FQ","BEST_FPERIOD_OVERRIDE=FQ","FILING_STATUS=MR","SCALING_FORMAT=MLN","Sort=A","Dates=H","DateFormat=P","Fill=—","Direction=H","UseDPDF=Y")</f>
        <v>—</v>
      </c>
      <c r="Z59" s="25" t="str">
        <f>_xll.BDH("ITCI US Equity","BS_OPRB_LT_LIABS","FQ3 2024","FQ3 2024","Currency=USD","Period=FQ","BEST_FPERIOD_OVERRIDE=FQ","FILING_STATUS=MR","SCALING_FORMAT=MLN","Sort=A","Dates=H","DateFormat=P","Fill=—","Direction=H","UseDPDF=Y")</f>
        <v>—</v>
      </c>
      <c r="AA59" s="25">
        <f>_xll.BDH("ITCI US Equity","BS_OPRB_LT_LIABS","FQ4 2024","FQ4 2024","Currency=USD","Period=FQ","BEST_FPERIOD_OVERRIDE=FQ","FILING_STATUS=MR","SCALING_FORMAT=MLN","Sort=A","Dates=H","DateFormat=P","Fill=—","Direction=H","UseDPDF=Y")</f>
        <v>0</v>
      </c>
    </row>
    <row r="60" spans="1:27" x14ac:dyDescent="0.25">
      <c r="A60" s="10" t="s">
        <v>611</v>
      </c>
      <c r="B60" s="10" t="s">
        <v>637</v>
      </c>
      <c r="C60" s="13">
        <f>_xll.BDH("ITCI US Equity","LT_DEFERRED_REVENUE","FQ4 2018","FQ4 2018","Currency=USD","Period=FQ","BEST_FPERIOD_OVERRIDE=FQ","FILING_STATUS=MR","SCALING_FORMAT=MLN","Sort=A","Dates=H","DateFormat=P","Fill=—","Direction=H","UseDPDF=Y")</f>
        <v>3.1924000000000001</v>
      </c>
      <c r="D60" s="13">
        <f>_xll.BDH("ITCI US Equity","LT_DEFERRED_REVENUE","FQ1 2019","FQ1 2019","Currency=USD","Period=FQ","BEST_FPERIOD_OVERRIDE=FQ","FILING_STATUS=MR","SCALING_FORMAT=MLN","Sort=A","Dates=H","DateFormat=P","Fill=—","Direction=H","UseDPDF=Y")</f>
        <v>0</v>
      </c>
      <c r="E60" s="13">
        <f>_xll.BDH("ITCI US Equity","LT_DEFERRED_REVENUE","FQ2 2019","FQ2 2019","Currency=USD","Period=FQ","BEST_FPERIOD_OVERRIDE=FQ","FILING_STATUS=MR","SCALING_FORMAT=MLN","Sort=A","Dates=H","DateFormat=P","Fill=—","Direction=H","UseDPDF=Y")</f>
        <v>0</v>
      </c>
      <c r="F60" s="13">
        <f>_xll.BDH("ITCI US Equity","LT_DEFERRED_REVENUE","FQ3 2019","FQ3 2019","Currency=USD","Period=FQ","BEST_FPERIOD_OVERRIDE=FQ","FILING_STATUS=MR","SCALING_FORMAT=MLN","Sort=A","Dates=H","DateFormat=P","Fill=—","Direction=H","UseDPDF=Y")</f>
        <v>0</v>
      </c>
      <c r="G60" s="13">
        <f>_xll.BDH("ITCI US Equity","LT_DEFERRED_REVENUE","FQ4 2019","FQ4 2019","Currency=USD","Period=FQ","BEST_FPERIOD_OVERRIDE=FQ","FILING_STATUS=MR","SCALING_FORMAT=MLN","Sort=A","Dates=H","DateFormat=P","Fill=—","Direction=H","UseDPDF=Y")</f>
        <v>0</v>
      </c>
      <c r="H60" s="13" t="str">
        <f>_xll.BDH("ITCI US Equity","LT_DEFERRED_REVENUE","FQ1 2020","FQ1 2020","Currency=USD","Period=FQ","BEST_FPERIOD_OVERRIDE=FQ","FILING_STATUS=MR","SCALING_FORMAT=MLN","Sort=A","Dates=H","DateFormat=P","Fill=—","Direction=H","UseDPDF=Y")</f>
        <v>—</v>
      </c>
      <c r="I60" s="13" t="str">
        <f>_xll.BDH("ITCI US Equity","LT_DEFERRED_REVENUE","FQ2 2020","FQ2 2020","Currency=USD","Period=FQ","BEST_FPERIOD_OVERRIDE=FQ","FILING_STATUS=MR","SCALING_FORMAT=MLN","Sort=A","Dates=H","DateFormat=P","Fill=—","Direction=H","UseDPDF=Y")</f>
        <v>—</v>
      </c>
      <c r="J60" s="13" t="str">
        <f>_xll.BDH("ITCI US Equity","LT_DEFERRED_REVENUE","FQ3 2020","FQ3 2020","Currency=USD","Period=FQ","BEST_FPERIOD_OVERRIDE=FQ","FILING_STATUS=MR","SCALING_FORMAT=MLN","Sort=A","Dates=H","DateFormat=P","Fill=—","Direction=H","UseDPDF=Y")</f>
        <v>—</v>
      </c>
      <c r="K60" s="13" t="str">
        <f>_xll.BDH("ITCI US Equity","LT_DEFERRED_REVENUE","FQ4 2020","FQ4 2020","Currency=USD","Period=FQ","BEST_FPERIOD_OVERRIDE=FQ","FILING_STATUS=MR","SCALING_FORMAT=MLN","Sort=A","Dates=H","DateFormat=P","Fill=—","Direction=H","UseDPDF=Y")</f>
        <v>—</v>
      </c>
      <c r="L60" s="13" t="str">
        <f>_xll.BDH("ITCI US Equity","LT_DEFERRED_REVENUE","FQ1 2021","FQ1 2021","Currency=USD","Period=FQ","BEST_FPERIOD_OVERRIDE=FQ","FILING_STATUS=MR","SCALING_FORMAT=MLN","Sort=A","Dates=H","DateFormat=P","Fill=—","Direction=H","UseDPDF=Y")</f>
        <v>—</v>
      </c>
      <c r="M60" s="13" t="str">
        <f>_xll.BDH("ITCI US Equity","LT_DEFERRED_REVENUE","FQ2 2021","FQ2 2021","Currency=USD","Period=FQ","BEST_FPERIOD_OVERRIDE=FQ","FILING_STATUS=MR","SCALING_FORMAT=MLN","Sort=A","Dates=H","DateFormat=P","Fill=—","Direction=H","UseDPDF=Y")</f>
        <v>—</v>
      </c>
      <c r="N60" s="13" t="str">
        <f>_xll.BDH("ITCI US Equity","LT_DEFERRED_REVENUE","FQ3 2021","FQ3 2021","Currency=USD","Period=FQ","BEST_FPERIOD_OVERRIDE=FQ","FILING_STATUS=MR","SCALING_FORMAT=MLN","Sort=A","Dates=H","DateFormat=P","Fill=—","Direction=H","UseDPDF=Y")</f>
        <v>—</v>
      </c>
      <c r="O60" s="13" t="str">
        <f>_xll.BDH("ITCI US Equity","LT_DEFERRED_REVENUE","FQ4 2021","FQ4 2021","Currency=USD","Period=FQ","BEST_FPERIOD_OVERRIDE=FQ","FILING_STATUS=MR","SCALING_FORMAT=MLN","Sort=A","Dates=H","DateFormat=P","Fill=—","Direction=H","UseDPDF=Y")</f>
        <v>—</v>
      </c>
      <c r="P60" s="13" t="str">
        <f>_xll.BDH("ITCI US Equity","LT_DEFERRED_REVENUE","FQ1 2022","FQ1 2022","Currency=USD","Period=FQ","BEST_FPERIOD_OVERRIDE=FQ","FILING_STATUS=MR","SCALING_FORMAT=MLN","Sort=A","Dates=H","DateFormat=P","Fill=—","Direction=H","UseDPDF=Y")</f>
        <v>—</v>
      </c>
      <c r="Q60" s="13" t="str">
        <f>_xll.BDH("ITCI US Equity","LT_DEFERRED_REVENUE","FQ2 2022","FQ2 2022","Currency=USD","Period=FQ","BEST_FPERIOD_OVERRIDE=FQ","FILING_STATUS=MR","SCALING_FORMAT=MLN","Sort=A","Dates=H","DateFormat=P","Fill=—","Direction=H","UseDPDF=Y")</f>
        <v>—</v>
      </c>
      <c r="R60" s="13" t="str">
        <f>_xll.BDH("ITCI US Equity","LT_DEFERRED_REVENUE","FQ3 2022","FQ3 2022","Currency=USD","Period=FQ","BEST_FPERIOD_OVERRIDE=FQ","FILING_STATUS=MR","SCALING_FORMAT=MLN","Sort=A","Dates=H","DateFormat=P","Fill=—","Direction=H","UseDPDF=Y")</f>
        <v>—</v>
      </c>
      <c r="S60" s="13">
        <f>_xll.BDH("ITCI US Equity","LT_DEFERRED_REVENUE","FQ4 2022","FQ4 2022","Currency=USD","Period=FQ","BEST_FPERIOD_OVERRIDE=FQ","FILING_STATUS=MR","SCALING_FORMAT=MLN","Sort=A","Dates=H","DateFormat=P","Fill=—","Direction=H","UseDPDF=Y")</f>
        <v>0</v>
      </c>
      <c r="T60" s="13" t="str">
        <f>_xll.BDH("ITCI US Equity","LT_DEFERRED_REVENUE","FQ1 2023","FQ1 2023","Currency=USD","Period=FQ","BEST_FPERIOD_OVERRIDE=FQ","FILING_STATUS=MR","SCALING_FORMAT=MLN","Sort=A","Dates=H","DateFormat=P","Fill=—","Direction=H","UseDPDF=Y")</f>
        <v>—</v>
      </c>
      <c r="U60" s="13" t="str">
        <f>_xll.BDH("ITCI US Equity","LT_DEFERRED_REVENUE","FQ2 2023","FQ2 2023","Currency=USD","Period=FQ","BEST_FPERIOD_OVERRIDE=FQ","FILING_STATUS=MR","SCALING_FORMAT=MLN","Sort=A","Dates=H","DateFormat=P","Fill=—","Direction=H","UseDPDF=Y")</f>
        <v>—</v>
      </c>
      <c r="V60" s="13" t="str">
        <f>_xll.BDH("ITCI US Equity","LT_DEFERRED_REVENUE","FQ3 2023","FQ3 2023","Currency=USD","Period=FQ","BEST_FPERIOD_OVERRIDE=FQ","FILING_STATUS=MR","SCALING_FORMAT=MLN","Sort=A","Dates=H","DateFormat=P","Fill=—","Direction=H","UseDPDF=Y")</f>
        <v>—</v>
      </c>
      <c r="W60" s="13">
        <f>_xll.BDH("ITCI US Equity","LT_DEFERRED_REVENUE","FQ4 2023","FQ4 2023","Currency=USD","Period=FQ","BEST_FPERIOD_OVERRIDE=FQ","FILING_STATUS=MR","SCALING_FORMAT=MLN","Sort=A","Dates=H","DateFormat=P","Fill=—","Direction=H","UseDPDF=Y")</f>
        <v>0</v>
      </c>
      <c r="X60" s="13" t="str">
        <f>_xll.BDH("ITCI US Equity","LT_DEFERRED_REVENUE","FQ1 2024","FQ1 2024","Currency=USD","Period=FQ","BEST_FPERIOD_OVERRIDE=FQ","FILING_STATUS=MR","SCALING_FORMAT=MLN","Sort=A","Dates=H","DateFormat=P","Fill=—","Direction=H","UseDPDF=Y")</f>
        <v>—</v>
      </c>
      <c r="Y60" s="13" t="str">
        <f>_xll.BDH("ITCI US Equity","LT_DEFERRED_REVENUE","FQ2 2024","FQ2 2024","Currency=USD","Period=FQ","BEST_FPERIOD_OVERRIDE=FQ","FILING_STATUS=MR","SCALING_FORMAT=MLN","Sort=A","Dates=H","DateFormat=P","Fill=—","Direction=H","UseDPDF=Y")</f>
        <v>—</v>
      </c>
      <c r="Z60" s="13" t="str">
        <f>_xll.BDH("ITCI US Equity","LT_DEFERRED_REVENUE","FQ3 2024","FQ3 2024","Currency=USD","Period=FQ","BEST_FPERIOD_OVERRIDE=FQ","FILING_STATUS=MR","SCALING_FORMAT=MLN","Sort=A","Dates=H","DateFormat=P","Fill=—","Direction=H","UseDPDF=Y")</f>
        <v>—</v>
      </c>
      <c r="AA60" s="13">
        <f>_xll.BDH("ITCI US Equity","LT_DEFERRED_REVENUE","FQ4 2024","FQ4 2024","Currency=USD","Period=FQ","BEST_FPERIOD_OVERRIDE=FQ","FILING_STATUS=MR","SCALING_FORMAT=MLN","Sort=A","Dates=H","DateFormat=P","Fill=—","Direction=H","UseDPDF=Y")</f>
        <v>0</v>
      </c>
    </row>
    <row r="61" spans="1:27" x14ac:dyDescent="0.25">
      <c r="A61" s="10" t="s">
        <v>613</v>
      </c>
      <c r="B61" s="10" t="s">
        <v>638</v>
      </c>
      <c r="C61" s="13">
        <f>_xll.BDH("ITCI US Equity","BS_DERIV_HEDGING_LIAB_LT","FQ4 2018","FQ4 2018","Currency=USD","Period=FQ","BEST_FPERIOD_OVERRIDE=FQ","FILING_STATUS=MR","SCALING_FORMAT=MLN","Sort=A","Dates=H","DateFormat=P","Fill=—","Direction=H","UseDPDF=Y")</f>
        <v>0</v>
      </c>
      <c r="D61" s="13" t="str">
        <f>_xll.BDH("ITCI US Equity","BS_DERIV_HEDGING_LIAB_LT","FQ1 2019","FQ1 2019","Currency=USD","Period=FQ","BEST_FPERIOD_OVERRIDE=FQ","FILING_STATUS=MR","SCALING_FORMAT=MLN","Sort=A","Dates=H","DateFormat=P","Fill=—","Direction=H","UseDPDF=Y")</f>
        <v>—</v>
      </c>
      <c r="E61" s="13" t="str">
        <f>_xll.BDH("ITCI US Equity","BS_DERIV_HEDGING_LIAB_LT","FQ2 2019","FQ2 2019","Currency=USD","Period=FQ","BEST_FPERIOD_OVERRIDE=FQ","FILING_STATUS=MR","SCALING_FORMAT=MLN","Sort=A","Dates=H","DateFormat=P","Fill=—","Direction=H","UseDPDF=Y")</f>
        <v>—</v>
      </c>
      <c r="F61" s="13" t="str">
        <f>_xll.BDH("ITCI US Equity","BS_DERIV_HEDGING_LIAB_LT","FQ3 2019","FQ3 2019","Currency=USD","Period=FQ","BEST_FPERIOD_OVERRIDE=FQ","FILING_STATUS=MR","SCALING_FORMAT=MLN","Sort=A","Dates=H","DateFormat=P","Fill=—","Direction=H","UseDPDF=Y")</f>
        <v>—</v>
      </c>
      <c r="G61" s="13">
        <f>_xll.BDH("ITCI US Equity","BS_DERIV_HEDGING_LIAB_LT","FQ4 2019","FQ4 2019","Currency=USD","Period=FQ","BEST_FPERIOD_OVERRIDE=FQ","FILING_STATUS=MR","SCALING_FORMAT=MLN","Sort=A","Dates=H","DateFormat=P","Fill=—","Direction=H","UseDPDF=Y")</f>
        <v>0</v>
      </c>
      <c r="H61" s="13" t="str">
        <f>_xll.BDH("ITCI US Equity","BS_DERIV_HEDGING_LIAB_LT","FQ1 2020","FQ1 2020","Currency=USD","Period=FQ","BEST_FPERIOD_OVERRIDE=FQ","FILING_STATUS=MR","SCALING_FORMAT=MLN","Sort=A","Dates=H","DateFormat=P","Fill=—","Direction=H","UseDPDF=Y")</f>
        <v>—</v>
      </c>
      <c r="I61" s="13" t="str">
        <f>_xll.BDH("ITCI US Equity","BS_DERIV_HEDGING_LIAB_LT","FQ2 2020","FQ2 2020","Currency=USD","Period=FQ","BEST_FPERIOD_OVERRIDE=FQ","FILING_STATUS=MR","SCALING_FORMAT=MLN","Sort=A","Dates=H","DateFormat=P","Fill=—","Direction=H","UseDPDF=Y")</f>
        <v>—</v>
      </c>
      <c r="J61" s="13" t="str">
        <f>_xll.BDH("ITCI US Equity","BS_DERIV_HEDGING_LIAB_LT","FQ3 2020","FQ3 2020","Currency=USD","Period=FQ","BEST_FPERIOD_OVERRIDE=FQ","FILING_STATUS=MR","SCALING_FORMAT=MLN","Sort=A","Dates=H","DateFormat=P","Fill=—","Direction=H","UseDPDF=Y")</f>
        <v>—</v>
      </c>
      <c r="K61" s="13">
        <f>_xll.BDH("ITCI US Equity","BS_DERIV_HEDGING_LIAB_LT","FQ4 2020","FQ4 2020","Currency=USD","Period=FQ","BEST_FPERIOD_OVERRIDE=FQ","FILING_STATUS=MR","SCALING_FORMAT=MLN","Sort=A","Dates=H","DateFormat=P","Fill=—","Direction=H","UseDPDF=Y")</f>
        <v>0</v>
      </c>
      <c r="L61" s="13" t="str">
        <f>_xll.BDH("ITCI US Equity","BS_DERIV_HEDGING_LIAB_LT","FQ1 2021","FQ1 2021","Currency=USD","Period=FQ","BEST_FPERIOD_OVERRIDE=FQ","FILING_STATUS=MR","SCALING_FORMAT=MLN","Sort=A","Dates=H","DateFormat=P","Fill=—","Direction=H","UseDPDF=Y")</f>
        <v>—</v>
      </c>
      <c r="M61" s="13" t="str">
        <f>_xll.BDH("ITCI US Equity","BS_DERIV_HEDGING_LIAB_LT","FQ2 2021","FQ2 2021","Currency=USD","Period=FQ","BEST_FPERIOD_OVERRIDE=FQ","FILING_STATUS=MR","SCALING_FORMAT=MLN","Sort=A","Dates=H","DateFormat=P","Fill=—","Direction=H","UseDPDF=Y")</f>
        <v>—</v>
      </c>
      <c r="N61" s="13" t="str">
        <f>_xll.BDH("ITCI US Equity","BS_DERIV_HEDGING_LIAB_LT","FQ3 2021","FQ3 2021","Currency=USD","Period=FQ","BEST_FPERIOD_OVERRIDE=FQ","FILING_STATUS=MR","SCALING_FORMAT=MLN","Sort=A","Dates=H","DateFormat=P","Fill=—","Direction=H","UseDPDF=Y")</f>
        <v>—</v>
      </c>
      <c r="O61" s="13" t="str">
        <f>_xll.BDH("ITCI US Equity","BS_DERIV_HEDGING_LIAB_LT","FQ4 2021","FQ4 2021","Currency=USD","Period=FQ","BEST_FPERIOD_OVERRIDE=FQ","FILING_STATUS=MR","SCALING_FORMAT=MLN","Sort=A","Dates=H","DateFormat=P","Fill=—","Direction=H","UseDPDF=Y")</f>
        <v>—</v>
      </c>
      <c r="P61" s="13" t="str">
        <f>_xll.BDH("ITCI US Equity","BS_DERIV_HEDGING_LIAB_LT","FQ1 2022","FQ1 2022","Currency=USD","Period=FQ","BEST_FPERIOD_OVERRIDE=FQ","FILING_STATUS=MR","SCALING_FORMAT=MLN","Sort=A","Dates=H","DateFormat=P","Fill=—","Direction=H","UseDPDF=Y")</f>
        <v>—</v>
      </c>
      <c r="Q61" s="13" t="str">
        <f>_xll.BDH("ITCI US Equity","BS_DERIV_HEDGING_LIAB_LT","FQ2 2022","FQ2 2022","Currency=USD","Period=FQ","BEST_FPERIOD_OVERRIDE=FQ","FILING_STATUS=MR","SCALING_FORMAT=MLN","Sort=A","Dates=H","DateFormat=P","Fill=—","Direction=H","UseDPDF=Y")</f>
        <v>—</v>
      </c>
      <c r="R61" s="13" t="str">
        <f>_xll.BDH("ITCI US Equity","BS_DERIV_HEDGING_LIAB_LT","FQ3 2022","FQ3 2022","Currency=USD","Period=FQ","BEST_FPERIOD_OVERRIDE=FQ","FILING_STATUS=MR","SCALING_FORMAT=MLN","Sort=A","Dates=H","DateFormat=P","Fill=—","Direction=H","UseDPDF=Y")</f>
        <v>—</v>
      </c>
      <c r="S61" s="13">
        <f>_xll.BDH("ITCI US Equity","BS_DERIV_HEDGING_LIAB_LT","FQ4 2022","FQ4 2022","Currency=USD","Period=FQ","BEST_FPERIOD_OVERRIDE=FQ","FILING_STATUS=MR","SCALING_FORMAT=MLN","Sort=A","Dates=H","DateFormat=P","Fill=—","Direction=H","UseDPDF=Y")</f>
        <v>0</v>
      </c>
      <c r="T61" s="13" t="str">
        <f>_xll.BDH("ITCI US Equity","BS_DERIV_HEDGING_LIAB_LT","FQ1 2023","FQ1 2023","Currency=USD","Period=FQ","BEST_FPERIOD_OVERRIDE=FQ","FILING_STATUS=MR","SCALING_FORMAT=MLN","Sort=A","Dates=H","DateFormat=P","Fill=—","Direction=H","UseDPDF=Y")</f>
        <v>—</v>
      </c>
      <c r="U61" s="13" t="str">
        <f>_xll.BDH("ITCI US Equity","BS_DERIV_HEDGING_LIAB_LT","FQ2 2023","FQ2 2023","Currency=USD","Period=FQ","BEST_FPERIOD_OVERRIDE=FQ","FILING_STATUS=MR","SCALING_FORMAT=MLN","Sort=A","Dates=H","DateFormat=P","Fill=—","Direction=H","UseDPDF=Y")</f>
        <v>—</v>
      </c>
      <c r="V61" s="13" t="str">
        <f>_xll.BDH("ITCI US Equity","BS_DERIV_HEDGING_LIAB_LT","FQ3 2023","FQ3 2023","Currency=USD","Period=FQ","BEST_FPERIOD_OVERRIDE=FQ","FILING_STATUS=MR","SCALING_FORMAT=MLN","Sort=A","Dates=H","DateFormat=P","Fill=—","Direction=H","UseDPDF=Y")</f>
        <v>—</v>
      </c>
      <c r="W61" s="13">
        <f>_xll.BDH("ITCI US Equity","BS_DERIV_HEDGING_LIAB_LT","FQ4 2023","FQ4 2023","Currency=USD","Period=FQ","BEST_FPERIOD_OVERRIDE=FQ","FILING_STATUS=MR","SCALING_FORMAT=MLN","Sort=A","Dates=H","DateFormat=P","Fill=—","Direction=H","UseDPDF=Y")</f>
        <v>0</v>
      </c>
      <c r="X61" s="13" t="str">
        <f>_xll.BDH("ITCI US Equity","BS_DERIV_HEDGING_LIAB_LT","FQ1 2024","FQ1 2024","Currency=USD","Period=FQ","BEST_FPERIOD_OVERRIDE=FQ","FILING_STATUS=MR","SCALING_FORMAT=MLN","Sort=A","Dates=H","DateFormat=P","Fill=—","Direction=H","UseDPDF=Y")</f>
        <v>—</v>
      </c>
      <c r="Y61" s="13" t="str">
        <f>_xll.BDH("ITCI US Equity","BS_DERIV_HEDGING_LIAB_LT","FQ2 2024","FQ2 2024","Currency=USD","Period=FQ","BEST_FPERIOD_OVERRIDE=FQ","FILING_STATUS=MR","SCALING_FORMAT=MLN","Sort=A","Dates=H","DateFormat=P","Fill=—","Direction=H","UseDPDF=Y")</f>
        <v>—</v>
      </c>
      <c r="Z61" s="13" t="str">
        <f>_xll.BDH("ITCI US Equity","BS_DERIV_HEDGING_LIAB_LT","FQ3 2024","FQ3 2024","Currency=USD","Period=FQ","BEST_FPERIOD_OVERRIDE=FQ","FILING_STATUS=MR","SCALING_FORMAT=MLN","Sort=A","Dates=H","DateFormat=P","Fill=—","Direction=H","UseDPDF=Y")</f>
        <v>—</v>
      </c>
      <c r="AA61" s="13">
        <f>_xll.BDH("ITCI US Equity","BS_DERIV_HEDGING_LIAB_LT","FQ4 2024","FQ4 2024","Currency=USD","Period=FQ","BEST_FPERIOD_OVERRIDE=FQ","FILING_STATUS=MR","SCALING_FORMAT=MLN","Sort=A","Dates=H","DateFormat=P","Fill=—","Direction=H","UseDPDF=Y")</f>
        <v>0</v>
      </c>
    </row>
    <row r="62" spans="1:27" x14ac:dyDescent="0.25">
      <c r="A62" s="10" t="s">
        <v>639</v>
      </c>
      <c r="B62" s="10" t="s">
        <v>640</v>
      </c>
      <c r="C62" s="13">
        <f>_xll.BDH("ITCI US Equity","OTHER_NONCURRENT_LIABS_DETAILED","FQ4 2018","FQ4 2018","Currency=USD","Period=FQ","BEST_FPERIOD_OVERRIDE=FQ","FILING_STATUS=MR","SCALING_FORMAT=MLN","Sort=A","Dates=H","DateFormat=P","Fill=—","Direction=H","UseDPDF=Y")</f>
        <v>0</v>
      </c>
      <c r="D62" s="13">
        <f>_xll.BDH("ITCI US Equity","OTHER_NONCURRENT_LIABS_DETAILED","FQ1 2019","FQ1 2019","Currency=USD","Period=FQ","BEST_FPERIOD_OVERRIDE=FQ","FILING_STATUS=MR","SCALING_FORMAT=MLN","Sort=A","Dates=H","DateFormat=P","Fill=—","Direction=H","UseDPDF=Y")</f>
        <v>0</v>
      </c>
      <c r="E62" s="13">
        <f>_xll.BDH("ITCI US Equity","OTHER_NONCURRENT_LIABS_DETAILED","FQ2 2019","FQ2 2019","Currency=USD","Period=FQ","BEST_FPERIOD_OVERRIDE=FQ","FILING_STATUS=MR","SCALING_FORMAT=MLN","Sort=A","Dates=H","DateFormat=P","Fill=—","Direction=H","UseDPDF=Y")</f>
        <v>0</v>
      </c>
      <c r="F62" s="13">
        <f>_xll.BDH("ITCI US Equity","OTHER_NONCURRENT_LIABS_DETAILED","FQ3 2019","FQ3 2019","Currency=USD","Period=FQ","BEST_FPERIOD_OVERRIDE=FQ","FILING_STATUS=MR","SCALING_FORMAT=MLN","Sort=A","Dates=H","DateFormat=P","Fill=—","Direction=H","UseDPDF=Y")</f>
        <v>0</v>
      </c>
      <c r="G62" s="13">
        <f>_xll.BDH("ITCI US Equity","OTHER_NONCURRENT_LIABS_DETAILED","FQ4 2019","FQ4 2019","Currency=USD","Period=FQ","BEST_FPERIOD_OVERRIDE=FQ","FILING_STATUS=MR","SCALING_FORMAT=MLN","Sort=A","Dates=H","DateFormat=P","Fill=—","Direction=H","UseDPDF=Y")</f>
        <v>0</v>
      </c>
      <c r="H62" s="13">
        <f>_xll.BDH("ITCI US Equity","OTHER_NONCURRENT_LIABS_DETAILED","FQ1 2020","FQ1 2020","Currency=USD","Period=FQ","BEST_FPERIOD_OVERRIDE=FQ","FILING_STATUS=MR","SCALING_FORMAT=MLN","Sort=A","Dates=H","DateFormat=P","Fill=—","Direction=H","UseDPDF=Y")</f>
        <v>0</v>
      </c>
      <c r="I62" s="13">
        <f>_xll.BDH("ITCI US Equity","OTHER_NONCURRENT_LIABS_DETAILED","FQ2 2020","FQ2 2020","Currency=USD","Period=FQ","BEST_FPERIOD_OVERRIDE=FQ","FILING_STATUS=MR","SCALING_FORMAT=MLN","Sort=A","Dates=H","DateFormat=P","Fill=—","Direction=H","UseDPDF=Y")</f>
        <v>0</v>
      </c>
      <c r="J62" s="13">
        <f>_xll.BDH("ITCI US Equity","OTHER_NONCURRENT_LIABS_DETAILED","FQ3 2020","FQ3 2020","Currency=USD","Period=FQ","BEST_FPERIOD_OVERRIDE=FQ","FILING_STATUS=MR","SCALING_FORMAT=MLN","Sort=A","Dates=H","DateFormat=P","Fill=—","Direction=H","UseDPDF=Y")</f>
        <v>0</v>
      </c>
      <c r="K62" s="13">
        <f>_xll.BDH("ITCI US Equity","OTHER_NONCURRENT_LIABS_DETAILED","FQ4 2020","FQ4 2020","Currency=USD","Period=FQ","BEST_FPERIOD_OVERRIDE=FQ","FILING_STATUS=MR","SCALING_FORMAT=MLN","Sort=A","Dates=H","DateFormat=P","Fill=—","Direction=H","UseDPDF=Y")</f>
        <v>0</v>
      </c>
      <c r="L62" s="13">
        <f>_xll.BDH("ITCI US Equity","OTHER_NONCURRENT_LIABS_DETAILED","FQ1 2021","FQ1 2021","Currency=USD","Period=FQ","BEST_FPERIOD_OVERRIDE=FQ","FILING_STATUS=MR","SCALING_FORMAT=MLN","Sort=A","Dates=H","DateFormat=P","Fill=—","Direction=H","UseDPDF=Y")</f>
        <v>0</v>
      </c>
      <c r="M62" s="13">
        <f>_xll.BDH("ITCI US Equity","OTHER_NONCURRENT_LIABS_DETAILED","FQ2 2021","FQ2 2021","Currency=USD","Period=FQ","BEST_FPERIOD_OVERRIDE=FQ","FILING_STATUS=MR","SCALING_FORMAT=MLN","Sort=A","Dates=H","DateFormat=P","Fill=—","Direction=H","UseDPDF=Y")</f>
        <v>0</v>
      </c>
      <c r="N62" s="13">
        <f>_xll.BDH("ITCI US Equity","OTHER_NONCURRENT_LIABS_DETAILED","FQ3 2021","FQ3 2021","Currency=USD","Period=FQ","BEST_FPERIOD_OVERRIDE=FQ","FILING_STATUS=MR","SCALING_FORMAT=MLN","Sort=A","Dates=H","DateFormat=P","Fill=—","Direction=H","UseDPDF=Y")</f>
        <v>0</v>
      </c>
      <c r="O62" s="13">
        <f>_xll.BDH("ITCI US Equity","OTHER_NONCURRENT_LIABS_DETAILED","FQ4 2021","FQ4 2021","Currency=USD","Period=FQ","BEST_FPERIOD_OVERRIDE=FQ","FILING_STATUS=MR","SCALING_FORMAT=MLN","Sort=A","Dates=H","DateFormat=P","Fill=—","Direction=H","UseDPDF=Y")</f>
        <v>0</v>
      </c>
      <c r="P62" s="13">
        <f>_xll.BDH("ITCI US Equity","OTHER_NONCURRENT_LIABS_DETAILED","FQ1 2022","FQ1 2022","Currency=USD","Period=FQ","BEST_FPERIOD_OVERRIDE=FQ","FILING_STATUS=MR","SCALING_FORMAT=MLN","Sort=A","Dates=H","DateFormat=P","Fill=—","Direction=H","UseDPDF=Y")</f>
        <v>0</v>
      </c>
      <c r="Q62" s="13">
        <f>_xll.BDH("ITCI US Equity","OTHER_NONCURRENT_LIABS_DETAILED","FQ2 2022","FQ2 2022","Currency=USD","Period=FQ","BEST_FPERIOD_OVERRIDE=FQ","FILING_STATUS=MR","SCALING_FORMAT=MLN","Sort=A","Dates=H","DateFormat=P","Fill=—","Direction=H","UseDPDF=Y")</f>
        <v>0</v>
      </c>
      <c r="R62" s="13">
        <f>_xll.BDH("ITCI US Equity","OTHER_NONCURRENT_LIABS_DETAILED","FQ3 2022","FQ3 2022","Currency=USD","Period=FQ","BEST_FPERIOD_OVERRIDE=FQ","FILING_STATUS=MR","SCALING_FORMAT=MLN","Sort=A","Dates=H","DateFormat=P","Fill=—","Direction=H","UseDPDF=Y")</f>
        <v>0</v>
      </c>
      <c r="S62" s="13">
        <f>_xll.BDH("ITCI US Equity","OTHER_NONCURRENT_LIABS_DETAILED","FQ4 2022","FQ4 2022","Currency=USD","Period=FQ","BEST_FPERIOD_OVERRIDE=FQ","FILING_STATUS=MR","SCALING_FORMAT=MLN","Sort=A","Dates=H","DateFormat=P","Fill=—","Direction=H","UseDPDF=Y")</f>
        <v>0</v>
      </c>
      <c r="T62" s="13">
        <f>_xll.BDH("ITCI US Equity","OTHER_NONCURRENT_LIABS_DETAILED","FQ1 2023","FQ1 2023","Currency=USD","Period=FQ","BEST_FPERIOD_OVERRIDE=FQ","FILING_STATUS=MR","SCALING_FORMAT=MLN","Sort=A","Dates=H","DateFormat=P","Fill=—","Direction=H","UseDPDF=Y")</f>
        <v>0</v>
      </c>
      <c r="U62" s="13">
        <f>_xll.BDH("ITCI US Equity","OTHER_NONCURRENT_LIABS_DETAILED","FQ2 2023","FQ2 2023","Currency=USD","Period=FQ","BEST_FPERIOD_OVERRIDE=FQ","FILING_STATUS=MR","SCALING_FORMAT=MLN","Sort=A","Dates=H","DateFormat=P","Fill=—","Direction=H","UseDPDF=Y")</f>
        <v>0</v>
      </c>
      <c r="V62" s="13">
        <f>_xll.BDH("ITCI US Equity","OTHER_NONCURRENT_LIABS_DETAILED","FQ3 2023","FQ3 2023","Currency=USD","Period=FQ","BEST_FPERIOD_OVERRIDE=FQ","FILING_STATUS=MR","SCALING_FORMAT=MLN","Sort=A","Dates=H","DateFormat=P","Fill=—","Direction=H","UseDPDF=Y")</f>
        <v>0</v>
      </c>
      <c r="W62" s="13">
        <f>_xll.BDH("ITCI US Equity","OTHER_NONCURRENT_LIABS_DETAILED","FQ4 2023","FQ4 2023","Currency=USD","Period=FQ","BEST_FPERIOD_OVERRIDE=FQ","FILING_STATUS=MR","SCALING_FORMAT=MLN","Sort=A","Dates=H","DateFormat=P","Fill=—","Direction=H","UseDPDF=Y")</f>
        <v>0</v>
      </c>
      <c r="X62" s="13">
        <f>_xll.BDH("ITCI US Equity","OTHER_NONCURRENT_LIABS_DETAILED","FQ1 2024","FQ1 2024","Currency=USD","Period=FQ","BEST_FPERIOD_OVERRIDE=FQ","FILING_STATUS=MR","SCALING_FORMAT=MLN","Sort=A","Dates=H","DateFormat=P","Fill=—","Direction=H","UseDPDF=Y")</f>
        <v>0</v>
      </c>
      <c r="Y62" s="13">
        <f>_xll.BDH("ITCI US Equity","OTHER_NONCURRENT_LIABS_DETAILED","FQ2 2024","FQ2 2024","Currency=USD","Period=FQ","BEST_FPERIOD_OVERRIDE=FQ","FILING_STATUS=MR","SCALING_FORMAT=MLN","Sort=A","Dates=H","DateFormat=P","Fill=—","Direction=H","UseDPDF=Y")</f>
        <v>0</v>
      </c>
      <c r="Z62" s="13">
        <f>_xll.BDH("ITCI US Equity","OTHER_NONCURRENT_LIABS_DETAILED","FQ3 2024","FQ3 2024","Currency=USD","Period=FQ","BEST_FPERIOD_OVERRIDE=FQ","FILING_STATUS=MR","SCALING_FORMAT=MLN","Sort=A","Dates=H","DateFormat=P","Fill=—","Direction=H","UseDPDF=Y")</f>
        <v>0</v>
      </c>
      <c r="AA62" s="13">
        <f>_xll.BDH("ITCI US Equity","OTHER_NONCURRENT_LIABS_DETAILED","FQ4 2024","FQ4 2024","Currency=USD","Period=FQ","BEST_FPERIOD_OVERRIDE=FQ","FILING_STATUS=MR","SCALING_FORMAT=MLN","Sort=A","Dates=H","DateFormat=P","Fill=—","Direction=H","UseDPDF=Y")</f>
        <v>0</v>
      </c>
    </row>
    <row r="63" spans="1:27" x14ac:dyDescent="0.25">
      <c r="A63" s="6" t="s">
        <v>641</v>
      </c>
      <c r="B63" s="6" t="s">
        <v>642</v>
      </c>
      <c r="C63" s="19">
        <f>_xll.BDH("ITCI US Equity","NON_CUR_LIAB","FQ4 2018","FQ4 2018","Currency=USD","Period=FQ","BEST_FPERIOD_OVERRIDE=FQ","FILING_STATUS=MR","SCALING_FORMAT=MLN","Sort=A","Dates=H","DateFormat=P","Fill=—","Direction=H","UseDPDF=Y")</f>
        <v>3.1924000000000001</v>
      </c>
      <c r="D63" s="19">
        <f>_xll.BDH("ITCI US Equity","NON_CUR_LIAB","FQ1 2019","FQ1 2019","Currency=USD","Period=FQ","BEST_FPERIOD_OVERRIDE=FQ","FILING_STATUS=MR","SCALING_FORMAT=MLN","Sort=A","Dates=H","DateFormat=P","Fill=—","Direction=H","UseDPDF=Y")</f>
        <v>20.859100000000002</v>
      </c>
      <c r="E63" s="19">
        <f>_xll.BDH("ITCI US Equity","NON_CUR_LIAB","FQ2 2019","FQ2 2019","Currency=USD","Period=FQ","BEST_FPERIOD_OVERRIDE=FQ","FILING_STATUS=MR","SCALING_FORMAT=MLN","Sort=A","Dates=H","DateFormat=P","Fill=—","Direction=H","UseDPDF=Y")</f>
        <v>20.567799999999998</v>
      </c>
      <c r="F63" s="19">
        <f>_xll.BDH("ITCI US Equity","NON_CUR_LIAB","FQ3 2019","FQ3 2019","Currency=USD","Period=FQ","BEST_FPERIOD_OVERRIDE=FQ","FILING_STATUS=MR","SCALING_FORMAT=MLN","Sort=A","Dates=H","DateFormat=P","Fill=—","Direction=H","UseDPDF=Y")</f>
        <v>20.269600000000001</v>
      </c>
      <c r="G63" s="19">
        <f>_xll.BDH("ITCI US Equity","NON_CUR_LIAB","FQ4 2019","FQ4 2019","Currency=USD","Period=FQ","BEST_FPERIOD_OVERRIDE=FQ","FILING_STATUS=MR","SCALING_FORMAT=MLN","Sort=A","Dates=H","DateFormat=P","Fill=—","Direction=H","UseDPDF=Y")</f>
        <v>19.955200000000001</v>
      </c>
      <c r="H63" s="19">
        <f>_xll.BDH("ITCI US Equity","NON_CUR_LIAB","FQ1 2020","FQ1 2020","Currency=USD","Period=FQ","BEST_FPERIOD_OVERRIDE=FQ","FILING_STATUS=MR","SCALING_FORMAT=MLN","Sort=A","Dates=H","DateFormat=P","Fill=—","Direction=H","UseDPDF=Y")</f>
        <v>19.718</v>
      </c>
      <c r="I63" s="19">
        <f>_xll.BDH("ITCI US Equity","NON_CUR_LIAB","FQ2 2020","FQ2 2020","Currency=USD","Period=FQ","BEST_FPERIOD_OVERRIDE=FQ","FILING_STATUS=MR","SCALING_FORMAT=MLN","Sort=A","Dates=H","DateFormat=P","Fill=—","Direction=H","UseDPDF=Y")</f>
        <v>21.158200000000001</v>
      </c>
      <c r="J63" s="19">
        <f>_xll.BDH("ITCI US Equity","NON_CUR_LIAB","FQ3 2020","FQ3 2020","Currency=USD","Period=FQ","BEST_FPERIOD_OVERRIDE=FQ","FILING_STATUS=MR","SCALING_FORMAT=MLN","Sort=A","Dates=H","DateFormat=P","Fill=—","Direction=H","UseDPDF=Y")</f>
        <v>23.869599999999998</v>
      </c>
      <c r="K63" s="19">
        <f>_xll.BDH("ITCI US Equity","NON_CUR_LIAB","FQ4 2020","FQ4 2020","Currency=USD","Period=FQ","BEST_FPERIOD_OVERRIDE=FQ","FILING_STATUS=MR","SCALING_FORMAT=MLN","Sort=A","Dates=H","DateFormat=P","Fill=—","Direction=H","UseDPDF=Y")</f>
        <v>23.600300000000001</v>
      </c>
      <c r="L63" s="19">
        <f>_xll.BDH("ITCI US Equity","NON_CUR_LIAB","FQ1 2021","FQ1 2021","Currency=USD","Period=FQ","BEST_FPERIOD_OVERRIDE=FQ","FILING_STATUS=MR","SCALING_FORMAT=MLN","Sort=A","Dates=H","DateFormat=P","Fill=—","Direction=H","UseDPDF=Y")</f>
        <v>22.6371</v>
      </c>
      <c r="M63" s="19">
        <f>_xll.BDH("ITCI US Equity","NON_CUR_LIAB","FQ2 2021","FQ2 2021","Currency=USD","Period=FQ","BEST_FPERIOD_OVERRIDE=FQ","FILING_STATUS=MR","SCALING_FORMAT=MLN","Sort=A","Dates=H","DateFormat=P","Fill=—","Direction=H","UseDPDF=Y")</f>
        <v>21.6889</v>
      </c>
      <c r="N63" s="19">
        <f>_xll.BDH("ITCI US Equity","NON_CUR_LIAB","FQ3 2021","FQ3 2021","Currency=USD","Period=FQ","BEST_FPERIOD_OVERRIDE=FQ","FILING_STATUS=MR","SCALING_FORMAT=MLN","Sort=A","Dates=H","DateFormat=P","Fill=—","Direction=H","UseDPDF=Y")</f>
        <v>20.323899999999998</v>
      </c>
      <c r="O63" s="19">
        <f>_xll.BDH("ITCI US Equity","NON_CUR_LIAB","FQ4 2021","FQ4 2021","Currency=USD","Period=FQ","BEST_FPERIOD_OVERRIDE=FQ","FILING_STATUS=MR","SCALING_FORMAT=MLN","Sort=A","Dates=H","DateFormat=P","Fill=—","Direction=H","UseDPDF=Y")</f>
        <v>18.674900000000001</v>
      </c>
      <c r="P63" s="19">
        <f>_xll.BDH("ITCI US Equity","NON_CUR_LIAB","FQ1 2022","FQ1 2022","Currency=USD","Period=FQ","BEST_FPERIOD_OVERRIDE=FQ","FILING_STATUS=MR","SCALING_FORMAT=MLN","Sort=A","Dates=H","DateFormat=P","Fill=—","Direction=H","UseDPDF=Y")</f>
        <v>16.756</v>
      </c>
      <c r="Q63" s="19">
        <f>_xll.BDH("ITCI US Equity","NON_CUR_LIAB","FQ2 2022","FQ2 2022","Currency=USD","Period=FQ","BEST_FPERIOD_OVERRIDE=FQ","FILING_STATUS=MR","SCALING_FORMAT=MLN","Sort=A","Dates=H","DateFormat=P","Fill=—","Direction=H","UseDPDF=Y")</f>
        <v>19.074999999999999</v>
      </c>
      <c r="R63" s="19">
        <f>_xll.BDH("ITCI US Equity","NON_CUR_LIAB","FQ3 2022","FQ3 2022","Currency=USD","Period=FQ","BEST_FPERIOD_OVERRIDE=FQ","FILING_STATUS=MR","SCALING_FORMAT=MLN","Sort=A","Dates=H","DateFormat=P","Fill=—","Direction=H","UseDPDF=Y")</f>
        <v>19.167000000000002</v>
      </c>
      <c r="S63" s="19">
        <f>_xll.BDH("ITCI US Equity","NON_CUR_LIAB","FQ4 2022","FQ4 2022","Currency=USD","Period=FQ","BEST_FPERIOD_OVERRIDE=FQ","FILING_STATUS=MR","SCALING_FORMAT=MLN","Sort=A","Dates=H","DateFormat=P","Fill=—","Direction=H","UseDPDF=Y")</f>
        <v>15.474</v>
      </c>
      <c r="T63" s="19">
        <f>_xll.BDH("ITCI US Equity","NON_CUR_LIAB","FQ1 2023","FQ1 2023","Currency=USD","Period=FQ","BEST_FPERIOD_OVERRIDE=FQ","FILING_STATUS=MR","SCALING_FORMAT=MLN","Sort=A","Dates=H","DateFormat=P","Fill=—","Direction=H","UseDPDF=Y")</f>
        <v>14.961</v>
      </c>
      <c r="U63" s="19">
        <f>_xll.BDH("ITCI US Equity","NON_CUR_LIAB","FQ2 2023","FQ2 2023","Currency=USD","Period=FQ","BEST_FPERIOD_OVERRIDE=FQ","FILING_STATUS=MR","SCALING_FORMAT=MLN","Sort=A","Dates=H","DateFormat=P","Fill=—","Direction=H","UseDPDF=Y")</f>
        <v>14.432</v>
      </c>
      <c r="V63" s="19">
        <f>_xll.BDH("ITCI US Equity","NON_CUR_LIAB","FQ3 2023","FQ3 2023","Currency=USD","Period=FQ","BEST_FPERIOD_OVERRIDE=FQ","FILING_STATUS=MR","SCALING_FORMAT=MLN","Sort=A","Dates=H","DateFormat=P","Fill=—","Direction=H","UseDPDF=Y")</f>
        <v>13.891</v>
      </c>
      <c r="W63" s="19">
        <f>_xll.BDH("ITCI US Equity","NON_CUR_LIAB","FQ4 2023","FQ4 2023","Currency=USD","Period=FQ","BEST_FPERIOD_OVERRIDE=FQ","FILING_STATUS=MR","SCALING_FORMAT=MLN","Sort=A","Dates=H","DateFormat=P","Fill=—","Direction=H","UseDPDF=Y")</f>
        <v>13.326000000000001</v>
      </c>
      <c r="X63" s="19">
        <f>_xll.BDH("ITCI US Equity","NON_CUR_LIAB","FQ1 2024","FQ1 2024","Currency=USD","Period=FQ","BEST_FPERIOD_OVERRIDE=FQ","FILING_STATUS=MR","SCALING_FORMAT=MLN","Sort=A","Dates=H","DateFormat=P","Fill=—","Direction=H","UseDPDF=Y")</f>
        <v>12.737</v>
      </c>
      <c r="Y63" s="19">
        <f>_xll.BDH("ITCI US Equity","NON_CUR_LIAB","FQ2 2024","FQ2 2024","Currency=USD","Period=FQ","BEST_FPERIOD_OVERRIDE=FQ","FILING_STATUS=MR","SCALING_FORMAT=MLN","Sort=A","Dates=H","DateFormat=P","Fill=—","Direction=H","UseDPDF=Y")</f>
        <v>14.117000000000001</v>
      </c>
      <c r="Z63" s="19">
        <f>_xll.BDH("ITCI US Equity","NON_CUR_LIAB","FQ3 2024","FQ3 2024","Currency=USD","Period=FQ","BEST_FPERIOD_OVERRIDE=FQ","FILING_STATUS=MR","SCALING_FORMAT=MLN","Sort=A","Dates=H","DateFormat=P","Fill=—","Direction=H","UseDPDF=Y")</f>
        <v>13.506</v>
      </c>
      <c r="AA63" s="19">
        <f>_xll.BDH("ITCI US Equity","NON_CUR_LIAB","FQ4 2024","FQ4 2024","Currency=USD","Period=FQ","BEST_FPERIOD_OVERRIDE=FQ","FILING_STATUS=MR","SCALING_FORMAT=MLN","Sort=A","Dates=H","DateFormat=P","Fill=—","Direction=H","UseDPDF=Y")</f>
        <v>12.747999999999999</v>
      </c>
    </row>
    <row r="64" spans="1:27" x14ac:dyDescent="0.25">
      <c r="A64" s="6" t="s">
        <v>116</v>
      </c>
      <c r="B64" s="6" t="s">
        <v>117</v>
      </c>
      <c r="C64" s="19">
        <f>_xll.BDH("ITCI US Equity","BS_TOT_LIAB2","FQ4 2018","FQ4 2018","Currency=USD","Period=FQ","BEST_FPERIOD_OVERRIDE=FQ","FILING_STATUS=MR","SCALING_FORMAT=MLN","Sort=A","Dates=H","DateFormat=P","Fill=—","Direction=H","UseDPDF=Y")</f>
        <v>39.491599999999998</v>
      </c>
      <c r="D64" s="19">
        <f>_xll.BDH("ITCI US Equity","BS_TOT_LIAB2","FQ1 2019","FQ1 2019","Currency=USD","Period=FQ","BEST_FPERIOD_OVERRIDE=FQ","FILING_STATUS=MR","SCALING_FORMAT=MLN","Sort=A","Dates=H","DateFormat=P","Fill=—","Direction=H","UseDPDF=Y")</f>
        <v>54.358400000000003</v>
      </c>
      <c r="E64" s="19">
        <f>_xll.BDH("ITCI US Equity","BS_TOT_LIAB2","FQ2 2019","FQ2 2019","Currency=USD","Period=FQ","BEST_FPERIOD_OVERRIDE=FQ","FILING_STATUS=MR","SCALING_FORMAT=MLN","Sort=A","Dates=H","DateFormat=P","Fill=—","Direction=H","UseDPDF=Y")</f>
        <v>53.094299999999997</v>
      </c>
      <c r="F64" s="19">
        <f>_xll.BDH("ITCI US Equity","BS_TOT_LIAB2","FQ3 2019","FQ3 2019","Currency=USD","Period=FQ","BEST_FPERIOD_OVERRIDE=FQ","FILING_STATUS=MR","SCALING_FORMAT=MLN","Sort=A","Dates=H","DateFormat=P","Fill=—","Direction=H","UseDPDF=Y")</f>
        <v>53.642699999999998</v>
      </c>
      <c r="G64" s="19">
        <f>_xll.BDH("ITCI US Equity","BS_TOT_LIAB2","FQ4 2019","FQ4 2019","Currency=USD","Period=FQ","BEST_FPERIOD_OVERRIDE=FQ","FILING_STATUS=MR","SCALING_FORMAT=MLN","Sort=A","Dates=H","DateFormat=P","Fill=—","Direction=H","UseDPDF=Y")</f>
        <v>56.179200000000002</v>
      </c>
      <c r="H64" s="19">
        <f>_xll.BDH("ITCI US Equity","BS_TOT_LIAB2","FQ1 2020","FQ1 2020","Currency=USD","Period=FQ","BEST_FPERIOD_OVERRIDE=FQ","FILING_STATUS=MR","SCALING_FORMAT=MLN","Sort=A","Dates=H","DateFormat=P","Fill=—","Direction=H","UseDPDF=Y")</f>
        <v>50.794400000000003</v>
      </c>
      <c r="I64" s="19">
        <f>_xll.BDH("ITCI US Equity","BS_TOT_LIAB2","FQ2 2020","FQ2 2020","Currency=USD","Period=FQ","BEST_FPERIOD_OVERRIDE=FQ","FILING_STATUS=MR","SCALING_FORMAT=MLN","Sort=A","Dates=H","DateFormat=P","Fill=—","Direction=H","UseDPDF=Y")</f>
        <v>61.401000000000003</v>
      </c>
      <c r="J64" s="19">
        <f>_xll.BDH("ITCI US Equity","BS_TOT_LIAB2","FQ3 2020","FQ3 2020","Currency=USD","Period=FQ","BEST_FPERIOD_OVERRIDE=FQ","FILING_STATUS=MR","SCALING_FORMAT=MLN","Sort=A","Dates=H","DateFormat=P","Fill=—","Direction=H","UseDPDF=Y")</f>
        <v>61.898299999999999</v>
      </c>
      <c r="K64" s="19">
        <f>_xll.BDH("ITCI US Equity","BS_TOT_LIAB2","FQ4 2020","FQ4 2020","Currency=USD","Period=FQ","BEST_FPERIOD_OVERRIDE=FQ","FILING_STATUS=MR","SCALING_FORMAT=MLN","Sort=A","Dates=H","DateFormat=P","Fill=—","Direction=H","UseDPDF=Y")</f>
        <v>60.453600000000002</v>
      </c>
      <c r="L64" s="19">
        <f>_xll.BDH("ITCI US Equity","BS_TOT_LIAB2","FQ1 2021","FQ1 2021","Currency=USD","Period=FQ","BEST_FPERIOD_OVERRIDE=FQ","FILING_STATUS=MR","SCALING_FORMAT=MLN","Sort=A","Dates=H","DateFormat=P","Fill=—","Direction=H","UseDPDF=Y")</f>
        <v>62.338799999999999</v>
      </c>
      <c r="M64" s="19">
        <f>_xll.BDH("ITCI US Equity","BS_TOT_LIAB2","FQ2 2021","FQ2 2021","Currency=USD","Period=FQ","BEST_FPERIOD_OVERRIDE=FQ","FILING_STATUS=MR","SCALING_FORMAT=MLN","Sort=A","Dates=H","DateFormat=P","Fill=—","Direction=H","UseDPDF=Y")</f>
        <v>72.110799999999998</v>
      </c>
      <c r="N64" s="19">
        <f>_xll.BDH("ITCI US Equity","BS_TOT_LIAB2","FQ3 2021","FQ3 2021","Currency=USD","Period=FQ","BEST_FPERIOD_OVERRIDE=FQ","FILING_STATUS=MR","SCALING_FORMAT=MLN","Sort=A","Dates=H","DateFormat=P","Fill=—","Direction=H","UseDPDF=Y")</f>
        <v>70.219499999999996</v>
      </c>
      <c r="O64" s="19">
        <f>_xll.BDH("ITCI US Equity","BS_TOT_LIAB2","FQ4 2021","FQ4 2021","Currency=USD","Period=FQ","BEST_FPERIOD_OVERRIDE=FQ","FILING_STATUS=MR","SCALING_FORMAT=MLN","Sort=A","Dates=H","DateFormat=P","Fill=—","Direction=H","UseDPDF=Y")</f>
        <v>72.031400000000005</v>
      </c>
      <c r="P64" s="19">
        <f>_xll.BDH("ITCI US Equity","BS_TOT_LIAB2","FQ1 2022","FQ1 2022","Currency=USD","Period=FQ","BEST_FPERIOD_OVERRIDE=FQ","FILING_STATUS=MR","SCALING_FORMAT=MLN","Sort=A","Dates=H","DateFormat=P","Fill=—","Direction=H","UseDPDF=Y")</f>
        <v>75.83</v>
      </c>
      <c r="Q64" s="19">
        <f>_xll.BDH("ITCI US Equity","BS_TOT_LIAB2","FQ2 2022","FQ2 2022","Currency=USD","Period=FQ","BEST_FPERIOD_OVERRIDE=FQ","FILING_STATUS=MR","SCALING_FORMAT=MLN","Sort=A","Dates=H","DateFormat=P","Fill=—","Direction=H","UseDPDF=Y")</f>
        <v>89.709000000000003</v>
      </c>
      <c r="R64" s="19">
        <f>_xll.BDH("ITCI US Equity","BS_TOT_LIAB2","FQ3 2022","FQ3 2022","Currency=USD","Period=FQ","BEST_FPERIOD_OVERRIDE=FQ","FILING_STATUS=MR","SCALING_FORMAT=MLN","Sort=A","Dates=H","DateFormat=P","Fill=—","Direction=H","UseDPDF=Y")</f>
        <v>96.576999999999998</v>
      </c>
      <c r="S64" s="19">
        <f>_xll.BDH("ITCI US Equity","BS_TOT_LIAB2","FQ4 2022","FQ4 2022","Currency=USD","Period=FQ","BEST_FPERIOD_OVERRIDE=FQ","FILING_STATUS=MR","SCALING_FORMAT=MLN","Sort=A","Dates=H","DateFormat=P","Fill=—","Direction=H","UseDPDF=Y")</f>
        <v>98.71</v>
      </c>
      <c r="T64" s="19">
        <f>_xll.BDH("ITCI US Equity","BS_TOT_LIAB2","FQ1 2023","FQ1 2023","Currency=USD","Period=FQ","BEST_FPERIOD_OVERRIDE=FQ","FILING_STATUS=MR","SCALING_FORMAT=MLN","Sort=A","Dates=H","DateFormat=P","Fill=—","Direction=H","UseDPDF=Y")</f>
        <v>94.548000000000002</v>
      </c>
      <c r="U64" s="19">
        <f>_xll.BDH("ITCI US Equity","BS_TOT_LIAB2","FQ2 2023","FQ2 2023","Currency=USD","Period=FQ","BEST_FPERIOD_OVERRIDE=FQ","FILING_STATUS=MR","SCALING_FORMAT=MLN","Sort=A","Dates=H","DateFormat=P","Fill=—","Direction=H","UseDPDF=Y")</f>
        <v>106.512</v>
      </c>
      <c r="V64" s="19">
        <f>_xll.BDH("ITCI US Equity","BS_TOT_LIAB2","FQ3 2023","FQ3 2023","Currency=USD","Period=FQ","BEST_FPERIOD_OVERRIDE=FQ","FILING_STATUS=MR","SCALING_FORMAT=MLN","Sort=A","Dates=H","DateFormat=P","Fill=—","Direction=H","UseDPDF=Y")</f>
        <v>116.983</v>
      </c>
      <c r="W64" s="19">
        <f>_xll.BDH("ITCI US Equity","BS_TOT_LIAB2","FQ4 2023","FQ4 2023","Currency=USD","Period=FQ","BEST_FPERIOD_OVERRIDE=FQ","FILING_STATUS=MR","SCALING_FORMAT=MLN","Sort=A","Dates=H","DateFormat=P","Fill=—","Direction=H","UseDPDF=Y")</f>
        <v>136.87100000000001</v>
      </c>
      <c r="X64" s="19">
        <f>_xll.BDH("ITCI US Equity","BS_TOT_LIAB2","FQ1 2024","FQ1 2024","Currency=USD","Period=FQ","BEST_FPERIOD_OVERRIDE=FQ","FILING_STATUS=MR","SCALING_FORMAT=MLN","Sort=A","Dates=H","DateFormat=P","Fill=—","Direction=H","UseDPDF=Y")</f>
        <v>147.53800000000001</v>
      </c>
      <c r="Y64" s="19">
        <f>_xll.BDH("ITCI US Equity","BS_TOT_LIAB2","FQ2 2024","FQ2 2024","Currency=USD","Period=FQ","BEST_FPERIOD_OVERRIDE=FQ","FILING_STATUS=MR","SCALING_FORMAT=MLN","Sort=A","Dates=H","DateFormat=P","Fill=—","Direction=H","UseDPDF=Y")</f>
        <v>175.892</v>
      </c>
      <c r="Z64" s="19">
        <f>_xll.BDH("ITCI US Equity","BS_TOT_LIAB2","FQ3 2024","FQ3 2024","Currency=USD","Period=FQ","BEST_FPERIOD_OVERRIDE=FQ","FILING_STATUS=MR","SCALING_FORMAT=MLN","Sort=A","Dates=H","DateFormat=P","Fill=—","Direction=H","UseDPDF=Y")</f>
        <v>179.619</v>
      </c>
      <c r="AA64" s="19">
        <f>_xll.BDH("ITCI US Equity","BS_TOT_LIAB2","FQ4 2024","FQ4 2024","Currency=USD","Period=FQ","BEST_FPERIOD_OVERRIDE=FQ","FILING_STATUS=MR","SCALING_FORMAT=MLN","Sort=A","Dates=H","DateFormat=P","Fill=—","Direction=H","UseDPDF=Y")</f>
        <v>218.452</v>
      </c>
    </row>
    <row r="65" spans="1:27" x14ac:dyDescent="0.25">
      <c r="A65" s="10" t="s">
        <v>643</v>
      </c>
      <c r="B65" s="10" t="s">
        <v>167</v>
      </c>
      <c r="C65" s="13">
        <f>_xll.BDH("ITCI US Equity","PFD_EQTY_HYBRID_CAPITAL","FQ4 2018","FQ4 2018","Currency=USD","Period=FQ","BEST_FPERIOD_OVERRIDE=FQ","FILING_STATUS=MR","SCALING_FORMAT=MLN","Sort=A","Dates=H","DateFormat=P","Fill=—","Direction=H","UseDPDF=Y")</f>
        <v>0</v>
      </c>
      <c r="D65" s="13">
        <f>_xll.BDH("ITCI US Equity","PFD_EQTY_HYBRID_CAPITAL","FQ1 2019","FQ1 2019","Currency=USD","Period=FQ","BEST_FPERIOD_OVERRIDE=FQ","FILING_STATUS=MR","SCALING_FORMAT=MLN","Sort=A","Dates=H","DateFormat=P","Fill=—","Direction=H","UseDPDF=Y")</f>
        <v>0</v>
      </c>
      <c r="E65" s="13">
        <f>_xll.BDH("ITCI US Equity","PFD_EQTY_HYBRID_CAPITAL","FQ2 2019","FQ2 2019","Currency=USD","Period=FQ","BEST_FPERIOD_OVERRIDE=FQ","FILING_STATUS=MR","SCALING_FORMAT=MLN","Sort=A","Dates=H","DateFormat=P","Fill=—","Direction=H","UseDPDF=Y")</f>
        <v>0</v>
      </c>
      <c r="F65" s="13">
        <f>_xll.BDH("ITCI US Equity","PFD_EQTY_HYBRID_CAPITAL","FQ3 2019","FQ3 2019","Currency=USD","Period=FQ","BEST_FPERIOD_OVERRIDE=FQ","FILING_STATUS=MR","SCALING_FORMAT=MLN","Sort=A","Dates=H","DateFormat=P","Fill=—","Direction=H","UseDPDF=Y")</f>
        <v>0</v>
      </c>
      <c r="G65" s="13">
        <f>_xll.BDH("ITCI US Equity","PFD_EQTY_HYBRID_CAPITAL","FQ4 2019","FQ4 2019","Currency=USD","Period=FQ","BEST_FPERIOD_OVERRIDE=FQ","FILING_STATUS=MR","SCALING_FORMAT=MLN","Sort=A","Dates=H","DateFormat=P","Fill=—","Direction=H","UseDPDF=Y")</f>
        <v>0</v>
      </c>
      <c r="H65" s="13">
        <f>_xll.BDH("ITCI US Equity","PFD_EQTY_HYBRID_CAPITAL","FQ1 2020","FQ1 2020","Currency=USD","Period=FQ","BEST_FPERIOD_OVERRIDE=FQ","FILING_STATUS=MR","SCALING_FORMAT=MLN","Sort=A","Dates=H","DateFormat=P","Fill=—","Direction=H","UseDPDF=Y")</f>
        <v>0</v>
      </c>
      <c r="I65" s="13">
        <f>_xll.BDH("ITCI US Equity","PFD_EQTY_HYBRID_CAPITAL","FQ2 2020","FQ2 2020","Currency=USD","Period=FQ","BEST_FPERIOD_OVERRIDE=FQ","FILING_STATUS=MR","SCALING_FORMAT=MLN","Sort=A","Dates=H","DateFormat=P","Fill=—","Direction=H","UseDPDF=Y")</f>
        <v>0</v>
      </c>
      <c r="J65" s="13">
        <f>_xll.BDH("ITCI US Equity","PFD_EQTY_HYBRID_CAPITAL","FQ3 2020","FQ3 2020","Currency=USD","Period=FQ","BEST_FPERIOD_OVERRIDE=FQ","FILING_STATUS=MR","SCALING_FORMAT=MLN","Sort=A","Dates=H","DateFormat=P","Fill=—","Direction=H","UseDPDF=Y")</f>
        <v>0</v>
      </c>
      <c r="K65" s="13">
        <f>_xll.BDH("ITCI US Equity","PFD_EQTY_HYBRID_CAPITAL","FQ4 2020","FQ4 2020","Currency=USD","Period=FQ","BEST_FPERIOD_OVERRIDE=FQ","FILING_STATUS=MR","SCALING_FORMAT=MLN","Sort=A","Dates=H","DateFormat=P","Fill=—","Direction=H","UseDPDF=Y")</f>
        <v>0</v>
      </c>
      <c r="L65" s="13">
        <f>_xll.BDH("ITCI US Equity","PFD_EQTY_HYBRID_CAPITAL","FQ1 2021","FQ1 2021","Currency=USD","Period=FQ","BEST_FPERIOD_OVERRIDE=FQ","FILING_STATUS=MR","SCALING_FORMAT=MLN","Sort=A","Dates=H","DateFormat=P","Fill=—","Direction=H","UseDPDF=Y")</f>
        <v>0</v>
      </c>
      <c r="M65" s="13">
        <f>_xll.BDH("ITCI US Equity","PFD_EQTY_HYBRID_CAPITAL","FQ2 2021","FQ2 2021","Currency=USD","Period=FQ","BEST_FPERIOD_OVERRIDE=FQ","FILING_STATUS=MR","SCALING_FORMAT=MLN","Sort=A","Dates=H","DateFormat=P","Fill=—","Direction=H","UseDPDF=Y")</f>
        <v>0</v>
      </c>
      <c r="N65" s="13">
        <f>_xll.BDH("ITCI US Equity","PFD_EQTY_HYBRID_CAPITAL","FQ3 2021","FQ3 2021","Currency=USD","Period=FQ","BEST_FPERIOD_OVERRIDE=FQ","FILING_STATUS=MR","SCALING_FORMAT=MLN","Sort=A","Dates=H","DateFormat=P","Fill=—","Direction=H","UseDPDF=Y")</f>
        <v>0</v>
      </c>
      <c r="O65" s="13">
        <f>_xll.BDH("ITCI US Equity","PFD_EQTY_HYBRID_CAPITAL","FQ4 2021","FQ4 2021","Currency=USD","Period=FQ","BEST_FPERIOD_OVERRIDE=FQ","FILING_STATUS=MR","SCALING_FORMAT=MLN","Sort=A","Dates=H","DateFormat=P","Fill=—","Direction=H","UseDPDF=Y")</f>
        <v>0</v>
      </c>
      <c r="P65" s="13">
        <f>_xll.BDH("ITCI US Equity","PFD_EQTY_HYBRID_CAPITAL","FQ1 2022","FQ1 2022","Currency=USD","Period=FQ","BEST_FPERIOD_OVERRIDE=FQ","FILING_STATUS=MR","SCALING_FORMAT=MLN","Sort=A","Dates=H","DateFormat=P","Fill=—","Direction=H","UseDPDF=Y")</f>
        <v>0</v>
      </c>
      <c r="Q65" s="13">
        <f>_xll.BDH("ITCI US Equity","PFD_EQTY_HYBRID_CAPITAL","FQ2 2022","FQ2 2022","Currency=USD","Period=FQ","BEST_FPERIOD_OVERRIDE=FQ","FILING_STATUS=MR","SCALING_FORMAT=MLN","Sort=A","Dates=H","DateFormat=P","Fill=—","Direction=H","UseDPDF=Y")</f>
        <v>0</v>
      </c>
      <c r="R65" s="13">
        <f>_xll.BDH("ITCI US Equity","PFD_EQTY_HYBRID_CAPITAL","FQ3 2022","FQ3 2022","Currency=USD","Period=FQ","BEST_FPERIOD_OVERRIDE=FQ","FILING_STATUS=MR","SCALING_FORMAT=MLN","Sort=A","Dates=H","DateFormat=P","Fill=—","Direction=H","UseDPDF=Y")</f>
        <v>0</v>
      </c>
      <c r="S65" s="13">
        <f>_xll.BDH("ITCI US Equity","PFD_EQTY_HYBRID_CAPITAL","FQ4 2022","FQ4 2022","Currency=USD","Period=FQ","BEST_FPERIOD_OVERRIDE=FQ","FILING_STATUS=MR","SCALING_FORMAT=MLN","Sort=A","Dates=H","DateFormat=P","Fill=—","Direction=H","UseDPDF=Y")</f>
        <v>0</v>
      </c>
      <c r="T65" s="13">
        <f>_xll.BDH("ITCI US Equity","PFD_EQTY_HYBRID_CAPITAL","FQ1 2023","FQ1 2023","Currency=USD","Period=FQ","BEST_FPERIOD_OVERRIDE=FQ","FILING_STATUS=MR","SCALING_FORMAT=MLN","Sort=A","Dates=H","DateFormat=P","Fill=—","Direction=H","UseDPDF=Y")</f>
        <v>0</v>
      </c>
      <c r="U65" s="13">
        <f>_xll.BDH("ITCI US Equity","PFD_EQTY_HYBRID_CAPITAL","FQ2 2023","FQ2 2023","Currency=USD","Period=FQ","BEST_FPERIOD_OVERRIDE=FQ","FILING_STATUS=MR","SCALING_FORMAT=MLN","Sort=A","Dates=H","DateFormat=P","Fill=—","Direction=H","UseDPDF=Y")</f>
        <v>0</v>
      </c>
      <c r="V65" s="13">
        <f>_xll.BDH("ITCI US Equity","PFD_EQTY_HYBRID_CAPITAL","FQ3 2023","FQ3 2023","Currency=USD","Period=FQ","BEST_FPERIOD_OVERRIDE=FQ","FILING_STATUS=MR","SCALING_FORMAT=MLN","Sort=A","Dates=H","DateFormat=P","Fill=—","Direction=H","UseDPDF=Y")</f>
        <v>0</v>
      </c>
      <c r="W65" s="13">
        <f>_xll.BDH("ITCI US Equity","PFD_EQTY_HYBRID_CAPITAL","FQ4 2023","FQ4 2023","Currency=USD","Period=FQ","BEST_FPERIOD_OVERRIDE=FQ","FILING_STATUS=MR","SCALING_FORMAT=MLN","Sort=A","Dates=H","DateFormat=P","Fill=—","Direction=H","UseDPDF=Y")</f>
        <v>0</v>
      </c>
      <c r="X65" s="13">
        <f>_xll.BDH("ITCI US Equity","PFD_EQTY_HYBRID_CAPITAL","FQ1 2024","FQ1 2024","Currency=USD","Period=FQ","BEST_FPERIOD_OVERRIDE=FQ","FILING_STATUS=MR","SCALING_FORMAT=MLN","Sort=A","Dates=H","DateFormat=P","Fill=—","Direction=H","UseDPDF=Y")</f>
        <v>0</v>
      </c>
      <c r="Y65" s="13">
        <f>_xll.BDH("ITCI US Equity","PFD_EQTY_HYBRID_CAPITAL","FQ2 2024","FQ2 2024","Currency=USD","Period=FQ","BEST_FPERIOD_OVERRIDE=FQ","FILING_STATUS=MR","SCALING_FORMAT=MLN","Sort=A","Dates=H","DateFormat=P","Fill=—","Direction=H","UseDPDF=Y")</f>
        <v>0</v>
      </c>
      <c r="Z65" s="13">
        <f>_xll.BDH("ITCI US Equity","PFD_EQTY_HYBRID_CAPITAL","FQ3 2024","FQ3 2024","Currency=USD","Period=FQ","BEST_FPERIOD_OVERRIDE=FQ","FILING_STATUS=MR","SCALING_FORMAT=MLN","Sort=A","Dates=H","DateFormat=P","Fill=—","Direction=H","UseDPDF=Y")</f>
        <v>0</v>
      </c>
      <c r="AA65" s="13">
        <f>_xll.BDH("ITCI US Equity","PFD_EQTY_HYBRID_CAPITAL","FQ4 2024","FQ4 2024","Currency=USD","Period=FQ","BEST_FPERIOD_OVERRIDE=FQ","FILING_STATUS=MR","SCALING_FORMAT=MLN","Sort=A","Dates=H","DateFormat=P","Fill=—","Direction=H","UseDPDF=Y")</f>
        <v>0</v>
      </c>
    </row>
    <row r="66" spans="1:27" x14ac:dyDescent="0.25">
      <c r="A66" s="10" t="s">
        <v>644</v>
      </c>
      <c r="B66" s="10" t="s">
        <v>645</v>
      </c>
      <c r="C66" s="13">
        <f>_xll.BDH("ITCI US Equity","BS_SH_CAP_AND_APIC","FQ4 2018","FQ4 2018","Currency=USD","Period=FQ","BEST_FPERIOD_OVERRIDE=FQ","FILING_STATUS=MR","SCALING_FORMAT=MLN","Sort=A","Dates=H","DateFormat=P","Fill=—","Direction=H","UseDPDF=Y")</f>
        <v>880.75879999999995</v>
      </c>
      <c r="D66" s="13">
        <f>_xll.BDH("ITCI US Equity","BS_SH_CAP_AND_APIC","FQ1 2019","FQ1 2019","Currency=USD","Period=FQ","BEST_FPERIOD_OVERRIDE=FQ","FILING_STATUS=MR","SCALING_FORMAT=MLN","Sort=A","Dates=H","DateFormat=P","Fill=—","Direction=H","UseDPDF=Y")</f>
        <v>885.89380000000006</v>
      </c>
      <c r="E66" s="13">
        <f>_xll.BDH("ITCI US Equity","BS_SH_CAP_AND_APIC","FQ2 2019","FQ2 2019","Currency=USD","Period=FQ","BEST_FPERIOD_OVERRIDE=FQ","FILING_STATUS=MR","SCALING_FORMAT=MLN","Sort=A","Dates=H","DateFormat=P","Fill=—","Direction=H","UseDPDF=Y")</f>
        <v>891.18899999999996</v>
      </c>
      <c r="F66" s="13">
        <f>_xll.BDH("ITCI US Equity","BS_SH_CAP_AND_APIC","FQ3 2019","FQ3 2019","Currency=USD","Period=FQ","BEST_FPERIOD_OVERRIDE=FQ","FILING_STATUS=MR","SCALING_FORMAT=MLN","Sort=A","Dates=H","DateFormat=P","Fill=—","Direction=H","UseDPDF=Y")</f>
        <v>896.19680000000005</v>
      </c>
      <c r="G66" s="13">
        <f>_xll.BDH("ITCI US Equity","BS_SH_CAP_AND_APIC","FQ4 2019","FQ4 2019","Currency=USD","Period=FQ","BEST_FPERIOD_OVERRIDE=FQ","FILING_STATUS=MR","SCALING_FORMAT=MLN","Sort=A","Dates=H","DateFormat=P","Fill=—","Direction=H","UseDPDF=Y")</f>
        <v>904.97730000000001</v>
      </c>
      <c r="H66" s="13">
        <f>_xll.BDH("ITCI US Equity","BS_SH_CAP_AND_APIC","FQ1 2020","FQ1 2020","Currency=USD","Period=FQ","BEST_FPERIOD_OVERRIDE=FQ","FILING_STATUS=MR","SCALING_FORMAT=MLN","Sort=A","Dates=H","DateFormat=P","Fill=—","Direction=H","UseDPDF=Y")</f>
        <v>1188.1025</v>
      </c>
      <c r="I66" s="13">
        <f>_xll.BDH("ITCI US Equity","BS_SH_CAP_AND_APIC","FQ2 2020","FQ2 2020","Currency=USD","Period=FQ","BEST_FPERIOD_OVERRIDE=FQ","FILING_STATUS=MR","SCALING_FORMAT=MLN","Sort=A","Dates=H","DateFormat=P","Fill=—","Direction=H","UseDPDF=Y")</f>
        <v>1199.5830000000001</v>
      </c>
      <c r="J66" s="13">
        <f>_xll.BDH("ITCI US Equity","BS_SH_CAP_AND_APIC","FQ3 2020","FQ3 2020","Currency=USD","Period=FQ","BEST_FPERIOD_OVERRIDE=FQ","FILING_STATUS=MR","SCALING_FORMAT=MLN","Sort=A","Dates=H","DateFormat=P","Fill=—","Direction=H","UseDPDF=Y")</f>
        <v>1585.0317</v>
      </c>
      <c r="K66" s="13">
        <f>_xll.BDH("ITCI US Equity","BS_SH_CAP_AND_APIC","FQ4 2020","FQ4 2020","Currency=USD","Period=FQ","BEST_FPERIOD_OVERRIDE=FQ","FILING_STATUS=MR","SCALING_FORMAT=MLN","Sort=A","Dates=H","DateFormat=P","Fill=—","Direction=H","UseDPDF=Y")</f>
        <v>1593.4836</v>
      </c>
      <c r="L66" s="13">
        <f>_xll.BDH("ITCI US Equity","BS_SH_CAP_AND_APIC","FQ1 2021","FQ1 2021","Currency=USD","Period=FQ","BEST_FPERIOD_OVERRIDE=FQ","FILING_STATUS=MR","SCALING_FORMAT=MLN","Sort=A","Dates=H","DateFormat=P","Fill=—","Direction=H","UseDPDF=Y")</f>
        <v>1601.7472</v>
      </c>
      <c r="M66" s="13">
        <f>_xll.BDH("ITCI US Equity","BS_SH_CAP_AND_APIC","FQ2 2021","FQ2 2021","Currency=USD","Period=FQ","BEST_FPERIOD_OVERRIDE=FQ","FILING_STATUS=MR","SCALING_FORMAT=MLN","Sort=A","Dates=H","DateFormat=P","Fill=—","Direction=H","UseDPDF=Y")</f>
        <v>1611.9974999999999</v>
      </c>
      <c r="N66" s="13">
        <f>_xll.BDH("ITCI US Equity","BS_SH_CAP_AND_APIC","FQ3 2021","FQ3 2021","Currency=USD","Period=FQ","BEST_FPERIOD_OVERRIDE=FQ","FILING_STATUS=MR","SCALING_FORMAT=MLN","Sort=A","Dates=H","DateFormat=P","Fill=—","Direction=H","UseDPDF=Y")</f>
        <v>1622.1578</v>
      </c>
      <c r="O66" s="13">
        <f>_xll.BDH("ITCI US Equity","BS_SH_CAP_AND_APIC","FQ4 2021","FQ4 2021","Currency=USD","Period=FQ","BEST_FPERIOD_OVERRIDE=FQ","FILING_STATUS=MR","SCALING_FORMAT=MLN","Sort=A","Dates=H","DateFormat=P","Fill=—","Direction=H","UseDPDF=Y")</f>
        <v>1639.4839999999999</v>
      </c>
      <c r="P66" s="13">
        <f>_xll.BDH("ITCI US Equity","BS_SH_CAP_AND_APIC","FQ1 2022","FQ1 2022","Currency=USD","Period=FQ","BEST_FPERIOD_OVERRIDE=FQ","FILING_STATUS=MR","SCALING_FORMAT=MLN","Sort=A","Dates=H","DateFormat=P","Fill=—","Direction=H","UseDPDF=Y")</f>
        <v>2089.4270000000001</v>
      </c>
      <c r="Q66" s="13">
        <f>_xll.BDH("ITCI US Equity","BS_SH_CAP_AND_APIC","FQ2 2022","FQ2 2022","Currency=USD","Period=FQ","BEST_FPERIOD_OVERRIDE=FQ","FILING_STATUS=MR","SCALING_FORMAT=MLN","Sort=A","Dates=H","DateFormat=P","Fill=—","Direction=H","UseDPDF=Y")</f>
        <v>2106.951</v>
      </c>
      <c r="R66" s="13">
        <f>_xll.BDH("ITCI US Equity","BS_SH_CAP_AND_APIC","FQ3 2022","FQ3 2022","Currency=USD","Period=FQ","BEST_FPERIOD_OVERRIDE=FQ","FILING_STATUS=MR","SCALING_FORMAT=MLN","Sort=A","Dates=H","DateFormat=P","Fill=—","Direction=H","UseDPDF=Y")</f>
        <v>2124.3780000000002</v>
      </c>
      <c r="S66" s="13">
        <f>_xll.BDH("ITCI US Equity","BS_SH_CAP_AND_APIC","FQ4 2022","FQ4 2022","Currency=USD","Period=FQ","BEST_FPERIOD_OVERRIDE=FQ","FILING_STATUS=MR","SCALING_FORMAT=MLN","Sort=A","Dates=H","DateFormat=P","Fill=—","Direction=H","UseDPDF=Y")</f>
        <v>2137.7460000000001</v>
      </c>
      <c r="T66" s="13">
        <f>_xll.BDH("ITCI US Equity","BS_SH_CAP_AND_APIC","FQ1 2023","FQ1 2023","Currency=USD","Period=FQ","BEST_FPERIOD_OVERRIDE=FQ","FILING_STATUS=MR","SCALING_FORMAT=MLN","Sort=A","Dates=H","DateFormat=P","Fill=—","Direction=H","UseDPDF=Y")</f>
        <v>2151.8470000000002</v>
      </c>
      <c r="U66" s="13">
        <f>_xll.BDH("ITCI US Equity","BS_SH_CAP_AND_APIC","FQ2 2023","FQ2 2023","Currency=USD","Period=FQ","BEST_FPERIOD_OVERRIDE=FQ","FILING_STATUS=MR","SCALING_FORMAT=MLN","Sort=A","Dates=H","DateFormat=P","Fill=—","Direction=H","UseDPDF=Y")</f>
        <v>2173.681</v>
      </c>
      <c r="V66" s="13">
        <f>_xll.BDH("ITCI US Equity","BS_SH_CAP_AND_APIC","FQ3 2023","FQ3 2023","Currency=USD","Period=FQ","BEST_FPERIOD_OVERRIDE=FQ","FILING_STATUS=MR","SCALING_FORMAT=MLN","Sort=A","Dates=H","DateFormat=P","Fill=—","Direction=H","UseDPDF=Y")</f>
        <v>2190.5970000000002</v>
      </c>
      <c r="W66" s="13">
        <f>_xll.BDH("ITCI US Equity","BS_SH_CAP_AND_APIC","FQ4 2023","FQ4 2023","Currency=USD","Period=FQ","BEST_FPERIOD_OVERRIDE=FQ","FILING_STATUS=MR","SCALING_FORMAT=MLN","Sort=A","Dates=H","DateFormat=P","Fill=—","Direction=H","UseDPDF=Y")</f>
        <v>2208.48</v>
      </c>
      <c r="X66" s="13">
        <f>_xll.BDH("ITCI US Equity","BS_SH_CAP_AND_APIC","FQ1 2024","FQ1 2024","Currency=USD","Period=FQ","BEST_FPERIOD_OVERRIDE=FQ","FILING_STATUS=MR","SCALING_FORMAT=MLN","Sort=A","Dates=H","DateFormat=P","Fill=—","Direction=H","UseDPDF=Y")</f>
        <v>2232.335</v>
      </c>
      <c r="Y66" s="13">
        <f>_xll.BDH("ITCI US Equity","BS_SH_CAP_AND_APIC","FQ2 2024","FQ2 2024","Currency=USD","Period=FQ","BEST_FPERIOD_OVERRIDE=FQ","FILING_STATUS=MR","SCALING_FORMAT=MLN","Sort=A","Dates=H","DateFormat=P","Fill=—","Direction=H","UseDPDF=Y")</f>
        <v>2793.9070000000002</v>
      </c>
      <c r="Z66" s="13">
        <f>_xll.BDH("ITCI US Equity","BS_SH_CAP_AND_APIC","FQ3 2024","FQ3 2024","Currency=USD","Period=FQ","BEST_FPERIOD_OVERRIDE=FQ","FILING_STATUS=MR","SCALING_FORMAT=MLN","Sort=A","Dates=H","DateFormat=P","Fill=—","Direction=H","UseDPDF=Y")</f>
        <v>2818.1480000000001</v>
      </c>
      <c r="AA66" s="13">
        <f>_xll.BDH("ITCI US Equity","BS_SH_CAP_AND_APIC","FQ4 2024","FQ4 2024","Currency=USD","Period=FQ","BEST_FPERIOD_OVERRIDE=FQ","FILING_STATUS=MR","SCALING_FORMAT=MLN","Sort=A","Dates=H","DateFormat=P","Fill=—","Direction=H","UseDPDF=Y")</f>
        <v>2840.105</v>
      </c>
    </row>
    <row r="67" spans="1:27" x14ac:dyDescent="0.25">
      <c r="A67" s="10" t="s">
        <v>646</v>
      </c>
      <c r="B67" s="10" t="s">
        <v>647</v>
      </c>
      <c r="C67" s="13">
        <f>_xll.BDH("ITCI US Equity","BS_COMMON_STOCK","FQ4 2018","FQ4 2018","Currency=USD","Period=FQ","BEST_FPERIOD_OVERRIDE=FQ","FILING_STATUS=MR","SCALING_FORMAT=MLN","Sort=A","Dates=H","DateFormat=P","Fill=—","Direction=H","UseDPDF=Y")</f>
        <v>5.4999999999999997E-3</v>
      </c>
      <c r="D67" s="13">
        <f>_xll.BDH("ITCI US Equity","BS_COMMON_STOCK","FQ1 2019","FQ1 2019","Currency=USD","Period=FQ","BEST_FPERIOD_OVERRIDE=FQ","FILING_STATUS=MR","SCALING_FORMAT=MLN","Sort=A","Dates=H","DateFormat=P","Fill=—","Direction=H","UseDPDF=Y")</f>
        <v>5.4999999999999997E-3</v>
      </c>
      <c r="E67" s="13">
        <f>_xll.BDH("ITCI US Equity","BS_COMMON_STOCK","FQ2 2019","FQ2 2019","Currency=USD","Period=FQ","BEST_FPERIOD_OVERRIDE=FQ","FILING_STATUS=MR","SCALING_FORMAT=MLN","Sort=A","Dates=H","DateFormat=P","Fill=—","Direction=H","UseDPDF=Y")</f>
        <v>5.4999999999999997E-3</v>
      </c>
      <c r="F67" s="13">
        <f>_xll.BDH("ITCI US Equity","BS_COMMON_STOCK","FQ3 2019","FQ3 2019","Currency=USD","Period=FQ","BEST_FPERIOD_OVERRIDE=FQ","FILING_STATUS=MR","SCALING_FORMAT=MLN","Sort=A","Dates=H","DateFormat=P","Fill=—","Direction=H","UseDPDF=Y")</f>
        <v>5.4999999999999997E-3</v>
      </c>
      <c r="G67" s="13">
        <f>_xll.BDH("ITCI US Equity","BS_COMMON_STOCK","FQ4 2019","FQ4 2019","Currency=USD","Period=FQ","BEST_FPERIOD_OVERRIDE=FQ","FILING_STATUS=MR","SCALING_FORMAT=MLN","Sort=A","Dates=H","DateFormat=P","Fill=—","Direction=H","UseDPDF=Y")</f>
        <v>5.5999999999999999E-3</v>
      </c>
      <c r="H67" s="13">
        <f>_xll.BDH("ITCI US Equity","BS_COMMON_STOCK","FQ1 2020","FQ1 2020","Currency=USD","Period=FQ","BEST_FPERIOD_OVERRIDE=FQ","FILING_STATUS=MR","SCALING_FORMAT=MLN","Sort=A","Dates=H","DateFormat=P","Fill=—","Direction=H","UseDPDF=Y")</f>
        <v>6.6E-3</v>
      </c>
      <c r="I67" s="13">
        <f>_xll.BDH("ITCI US Equity","BS_COMMON_STOCK","FQ2 2020","FQ2 2020","Currency=USD","Period=FQ","BEST_FPERIOD_OVERRIDE=FQ","FILING_STATUS=MR","SCALING_FORMAT=MLN","Sort=A","Dates=H","DateFormat=P","Fill=—","Direction=H","UseDPDF=Y")</f>
        <v>6.7000000000000002E-3</v>
      </c>
      <c r="J67" s="13">
        <f>_xll.BDH("ITCI US Equity","BS_COMMON_STOCK","FQ3 2020","FQ3 2020","Currency=USD","Period=FQ","BEST_FPERIOD_OVERRIDE=FQ","FILING_STATUS=MR","SCALING_FORMAT=MLN","Sort=A","Dates=H","DateFormat=P","Fill=—","Direction=H","UseDPDF=Y")</f>
        <v>8.0000000000000002E-3</v>
      </c>
      <c r="K67" s="13">
        <f>_xll.BDH("ITCI US Equity","BS_COMMON_STOCK","FQ4 2020","FQ4 2020","Currency=USD","Period=FQ","BEST_FPERIOD_OVERRIDE=FQ","FILING_STATUS=MR","SCALING_FORMAT=MLN","Sort=A","Dates=H","DateFormat=P","Fill=—","Direction=H","UseDPDF=Y")</f>
        <v>8.0000000000000002E-3</v>
      </c>
      <c r="L67" s="13">
        <f>_xll.BDH("ITCI US Equity","BS_COMMON_STOCK","FQ1 2021","FQ1 2021","Currency=USD","Period=FQ","BEST_FPERIOD_OVERRIDE=FQ","FILING_STATUS=MR","SCALING_FORMAT=MLN","Sort=A","Dates=H","DateFormat=P","Fill=—","Direction=H","UseDPDF=Y")</f>
        <v>8.0999999999999996E-3</v>
      </c>
      <c r="M67" s="13">
        <f>_xll.BDH("ITCI US Equity","BS_COMMON_STOCK","FQ2 2021","FQ2 2021","Currency=USD","Period=FQ","BEST_FPERIOD_OVERRIDE=FQ","FILING_STATUS=MR","SCALING_FORMAT=MLN","Sort=A","Dates=H","DateFormat=P","Fill=—","Direction=H","UseDPDF=Y")</f>
        <v>8.0999999999999996E-3</v>
      </c>
      <c r="N67" s="13">
        <f>_xll.BDH("ITCI US Equity","BS_COMMON_STOCK","FQ3 2021","FQ3 2021","Currency=USD","Period=FQ","BEST_FPERIOD_OVERRIDE=FQ","FILING_STATUS=MR","SCALING_FORMAT=MLN","Sort=A","Dates=H","DateFormat=P","Fill=—","Direction=H","UseDPDF=Y")</f>
        <v>8.0999999999999996E-3</v>
      </c>
      <c r="O67" s="13">
        <f>_xll.BDH("ITCI US Equity","BS_COMMON_STOCK","FQ4 2021","FQ4 2021","Currency=USD","Period=FQ","BEST_FPERIOD_OVERRIDE=FQ","FILING_STATUS=MR","SCALING_FORMAT=MLN","Sort=A","Dates=H","DateFormat=P","Fill=—","Direction=H","UseDPDF=Y")</f>
        <v>8.2000000000000007E-3</v>
      </c>
      <c r="P67" s="13">
        <f>_xll.BDH("ITCI US Equity","BS_COMMON_STOCK","FQ1 2022","FQ1 2022","Currency=USD","Period=FQ","BEST_FPERIOD_OVERRIDE=FQ","FILING_STATUS=MR","SCALING_FORMAT=MLN","Sort=A","Dates=H","DateFormat=P","Fill=—","Direction=H","UseDPDF=Y")</f>
        <v>8.9999999999999993E-3</v>
      </c>
      <c r="Q67" s="13">
        <f>_xll.BDH("ITCI US Equity","BS_COMMON_STOCK","FQ2 2022","FQ2 2022","Currency=USD","Period=FQ","BEST_FPERIOD_OVERRIDE=FQ","FILING_STATUS=MR","SCALING_FORMAT=MLN","Sort=A","Dates=H","DateFormat=P","Fill=—","Direction=H","UseDPDF=Y")</f>
        <v>8.9999999999999993E-3</v>
      </c>
      <c r="R67" s="13">
        <f>_xll.BDH("ITCI US Equity","BS_COMMON_STOCK","FQ3 2022","FQ3 2022","Currency=USD","Period=FQ","BEST_FPERIOD_OVERRIDE=FQ","FILING_STATUS=MR","SCALING_FORMAT=MLN","Sort=A","Dates=H","DateFormat=P","Fill=—","Direction=H","UseDPDF=Y")</f>
        <v>8.9999999999999993E-3</v>
      </c>
      <c r="S67" s="13">
        <f>_xll.BDH("ITCI US Equity","BS_COMMON_STOCK","FQ4 2022","FQ4 2022","Currency=USD","Period=FQ","BEST_FPERIOD_OVERRIDE=FQ","FILING_STATUS=MR","SCALING_FORMAT=MLN","Sort=A","Dates=H","DateFormat=P","Fill=—","Direction=H","UseDPDF=Y")</f>
        <v>8.9999999999999993E-3</v>
      </c>
      <c r="T67" s="13">
        <f>_xll.BDH("ITCI US Equity","BS_COMMON_STOCK","FQ1 2023","FQ1 2023","Currency=USD","Period=FQ","BEST_FPERIOD_OVERRIDE=FQ","FILING_STATUS=MR","SCALING_FORMAT=MLN","Sort=A","Dates=H","DateFormat=P","Fill=—","Direction=H","UseDPDF=Y")</f>
        <v>0.01</v>
      </c>
      <c r="U67" s="13">
        <f>_xll.BDH("ITCI US Equity","BS_COMMON_STOCK","FQ2 2023","FQ2 2023","Currency=USD","Period=FQ","BEST_FPERIOD_OVERRIDE=FQ","FILING_STATUS=MR","SCALING_FORMAT=MLN","Sort=A","Dates=H","DateFormat=P","Fill=—","Direction=H","UseDPDF=Y")</f>
        <v>0.01</v>
      </c>
      <c r="V67" s="13">
        <f>_xll.BDH("ITCI US Equity","BS_COMMON_STOCK","FQ3 2023","FQ3 2023","Currency=USD","Period=FQ","BEST_FPERIOD_OVERRIDE=FQ","FILING_STATUS=MR","SCALING_FORMAT=MLN","Sort=A","Dates=H","DateFormat=P","Fill=—","Direction=H","UseDPDF=Y")</f>
        <v>0.01</v>
      </c>
      <c r="W67" s="13">
        <f>_xll.BDH("ITCI US Equity","BS_COMMON_STOCK","FQ4 2023","FQ4 2023","Currency=USD","Period=FQ","BEST_FPERIOD_OVERRIDE=FQ","FILING_STATUS=MR","SCALING_FORMAT=MLN","Sort=A","Dates=H","DateFormat=P","Fill=—","Direction=H","UseDPDF=Y")</f>
        <v>0.01</v>
      </c>
      <c r="X67" s="13">
        <f>_xll.BDH("ITCI US Equity","BS_COMMON_STOCK","FQ1 2024","FQ1 2024","Currency=USD","Period=FQ","BEST_FPERIOD_OVERRIDE=FQ","FILING_STATUS=MR","SCALING_FORMAT=MLN","Sort=A","Dates=H","DateFormat=P","Fill=—","Direction=H","UseDPDF=Y")</f>
        <v>0.01</v>
      </c>
      <c r="Y67" s="13">
        <f>_xll.BDH("ITCI US Equity","BS_COMMON_STOCK","FQ2 2024","FQ2 2024","Currency=USD","Period=FQ","BEST_FPERIOD_OVERRIDE=FQ","FILING_STATUS=MR","SCALING_FORMAT=MLN","Sort=A","Dates=H","DateFormat=P","Fill=—","Direction=H","UseDPDF=Y")</f>
        <v>1.0999999999999999E-2</v>
      </c>
      <c r="Z67" s="13">
        <f>_xll.BDH("ITCI US Equity","BS_COMMON_STOCK","FQ3 2024","FQ3 2024","Currency=USD","Period=FQ","BEST_FPERIOD_OVERRIDE=FQ","FILING_STATUS=MR","SCALING_FORMAT=MLN","Sort=A","Dates=H","DateFormat=P","Fill=—","Direction=H","UseDPDF=Y")</f>
        <v>1.0999999999999999E-2</v>
      </c>
      <c r="AA67" s="13">
        <f>_xll.BDH("ITCI US Equity","BS_COMMON_STOCK","FQ4 2024","FQ4 2024","Currency=USD","Period=FQ","BEST_FPERIOD_OVERRIDE=FQ","FILING_STATUS=MR","SCALING_FORMAT=MLN","Sort=A","Dates=H","DateFormat=P","Fill=—","Direction=H","UseDPDF=Y")</f>
        <v>1.0999999999999999E-2</v>
      </c>
    </row>
    <row r="68" spans="1:27" x14ac:dyDescent="0.25">
      <c r="A68" s="10" t="s">
        <v>648</v>
      </c>
      <c r="B68" s="10" t="s">
        <v>649</v>
      </c>
      <c r="C68" s="13">
        <f>_xll.BDH("ITCI US Equity","BS_ADD_PAID_IN_CAP","FQ4 2018","FQ4 2018","Currency=USD","Period=FQ","BEST_FPERIOD_OVERRIDE=FQ","FILING_STATUS=MR","SCALING_FORMAT=MLN","Sort=A","Dates=H","DateFormat=P","Fill=—","Direction=H","UseDPDF=Y")</f>
        <v>880.75329999999997</v>
      </c>
      <c r="D68" s="13">
        <f>_xll.BDH("ITCI US Equity","BS_ADD_PAID_IN_CAP","FQ1 2019","FQ1 2019","Currency=USD","Period=FQ","BEST_FPERIOD_OVERRIDE=FQ","FILING_STATUS=MR","SCALING_FORMAT=MLN","Sort=A","Dates=H","DateFormat=P","Fill=—","Direction=H","UseDPDF=Y")</f>
        <v>885.88829999999996</v>
      </c>
      <c r="E68" s="13">
        <f>_xll.BDH("ITCI US Equity","BS_ADD_PAID_IN_CAP","FQ2 2019","FQ2 2019","Currency=USD","Period=FQ","BEST_FPERIOD_OVERRIDE=FQ","FILING_STATUS=MR","SCALING_FORMAT=MLN","Sort=A","Dates=H","DateFormat=P","Fill=—","Direction=H","UseDPDF=Y")</f>
        <v>891.18349999999998</v>
      </c>
      <c r="F68" s="13">
        <f>_xll.BDH("ITCI US Equity","BS_ADD_PAID_IN_CAP","FQ3 2019","FQ3 2019","Currency=USD","Period=FQ","BEST_FPERIOD_OVERRIDE=FQ","FILING_STATUS=MR","SCALING_FORMAT=MLN","Sort=A","Dates=H","DateFormat=P","Fill=—","Direction=H","UseDPDF=Y")</f>
        <v>896.19119999999998</v>
      </c>
      <c r="G68" s="13">
        <f>_xll.BDH("ITCI US Equity","BS_ADD_PAID_IN_CAP","FQ4 2019","FQ4 2019","Currency=USD","Period=FQ","BEST_FPERIOD_OVERRIDE=FQ","FILING_STATUS=MR","SCALING_FORMAT=MLN","Sort=A","Dates=H","DateFormat=P","Fill=—","Direction=H","UseDPDF=Y")</f>
        <v>904.97180000000003</v>
      </c>
      <c r="H68" s="13">
        <f>_xll.BDH("ITCI US Equity","BS_ADD_PAID_IN_CAP","FQ1 2020","FQ1 2020","Currency=USD","Period=FQ","BEST_FPERIOD_OVERRIDE=FQ","FILING_STATUS=MR","SCALING_FORMAT=MLN","Sort=A","Dates=H","DateFormat=P","Fill=—","Direction=H","UseDPDF=Y")</f>
        <v>1188.0959</v>
      </c>
      <c r="I68" s="13">
        <f>_xll.BDH("ITCI US Equity","BS_ADD_PAID_IN_CAP","FQ2 2020","FQ2 2020","Currency=USD","Period=FQ","BEST_FPERIOD_OVERRIDE=FQ","FILING_STATUS=MR","SCALING_FORMAT=MLN","Sort=A","Dates=H","DateFormat=P","Fill=—","Direction=H","UseDPDF=Y")</f>
        <v>1199.5762999999999</v>
      </c>
      <c r="J68" s="13">
        <f>_xll.BDH("ITCI US Equity","BS_ADD_PAID_IN_CAP","FQ3 2020","FQ3 2020","Currency=USD","Period=FQ","BEST_FPERIOD_OVERRIDE=FQ","FILING_STATUS=MR","SCALING_FORMAT=MLN","Sort=A","Dates=H","DateFormat=P","Fill=—","Direction=H","UseDPDF=Y")</f>
        <v>1585.0236</v>
      </c>
      <c r="K68" s="13">
        <f>_xll.BDH("ITCI US Equity","BS_ADD_PAID_IN_CAP","FQ4 2020","FQ4 2020","Currency=USD","Period=FQ","BEST_FPERIOD_OVERRIDE=FQ","FILING_STATUS=MR","SCALING_FORMAT=MLN","Sort=A","Dates=H","DateFormat=P","Fill=—","Direction=H","UseDPDF=Y")</f>
        <v>1593.4755</v>
      </c>
      <c r="L68" s="13">
        <f>_xll.BDH("ITCI US Equity","BS_ADD_PAID_IN_CAP","FQ1 2021","FQ1 2021","Currency=USD","Period=FQ","BEST_FPERIOD_OVERRIDE=FQ","FILING_STATUS=MR","SCALING_FORMAT=MLN","Sort=A","Dates=H","DateFormat=P","Fill=—","Direction=H","UseDPDF=Y")</f>
        <v>1601.7391</v>
      </c>
      <c r="M68" s="13">
        <f>_xll.BDH("ITCI US Equity","BS_ADD_PAID_IN_CAP","FQ2 2021","FQ2 2021","Currency=USD","Period=FQ","BEST_FPERIOD_OVERRIDE=FQ","FILING_STATUS=MR","SCALING_FORMAT=MLN","Sort=A","Dates=H","DateFormat=P","Fill=—","Direction=H","UseDPDF=Y")</f>
        <v>1611.9893999999999</v>
      </c>
      <c r="N68" s="13">
        <f>_xll.BDH("ITCI US Equity","BS_ADD_PAID_IN_CAP","FQ3 2021","FQ3 2021","Currency=USD","Period=FQ","BEST_FPERIOD_OVERRIDE=FQ","FILING_STATUS=MR","SCALING_FORMAT=MLN","Sort=A","Dates=H","DateFormat=P","Fill=—","Direction=H","UseDPDF=Y")</f>
        <v>1622.1496999999999</v>
      </c>
      <c r="O68" s="13">
        <f>_xll.BDH("ITCI US Equity","BS_ADD_PAID_IN_CAP","FQ4 2021","FQ4 2021","Currency=USD","Period=FQ","BEST_FPERIOD_OVERRIDE=FQ","FILING_STATUS=MR","SCALING_FORMAT=MLN","Sort=A","Dates=H","DateFormat=P","Fill=—","Direction=H","UseDPDF=Y")</f>
        <v>1639.4757999999999</v>
      </c>
      <c r="P68" s="13">
        <f>_xll.BDH("ITCI US Equity","BS_ADD_PAID_IN_CAP","FQ1 2022","FQ1 2022","Currency=USD","Period=FQ","BEST_FPERIOD_OVERRIDE=FQ","FILING_STATUS=MR","SCALING_FORMAT=MLN","Sort=A","Dates=H","DateFormat=P","Fill=—","Direction=H","UseDPDF=Y")</f>
        <v>2089.4180000000001</v>
      </c>
      <c r="Q68" s="13">
        <f>_xll.BDH("ITCI US Equity","BS_ADD_PAID_IN_CAP","FQ2 2022","FQ2 2022","Currency=USD","Period=FQ","BEST_FPERIOD_OVERRIDE=FQ","FILING_STATUS=MR","SCALING_FORMAT=MLN","Sort=A","Dates=H","DateFormat=P","Fill=—","Direction=H","UseDPDF=Y")</f>
        <v>2106.942</v>
      </c>
      <c r="R68" s="13">
        <f>_xll.BDH("ITCI US Equity","BS_ADD_PAID_IN_CAP","FQ3 2022","FQ3 2022","Currency=USD","Period=FQ","BEST_FPERIOD_OVERRIDE=FQ","FILING_STATUS=MR","SCALING_FORMAT=MLN","Sort=A","Dates=H","DateFormat=P","Fill=—","Direction=H","UseDPDF=Y")</f>
        <v>2124.3690000000001</v>
      </c>
      <c r="S68" s="13">
        <f>_xll.BDH("ITCI US Equity","BS_ADD_PAID_IN_CAP","FQ4 2022","FQ4 2022","Currency=USD","Period=FQ","BEST_FPERIOD_OVERRIDE=FQ","FILING_STATUS=MR","SCALING_FORMAT=MLN","Sort=A","Dates=H","DateFormat=P","Fill=—","Direction=H","UseDPDF=Y")</f>
        <v>2137.7370000000001</v>
      </c>
      <c r="T68" s="13">
        <f>_xll.BDH("ITCI US Equity","BS_ADD_PAID_IN_CAP","FQ1 2023","FQ1 2023","Currency=USD","Period=FQ","BEST_FPERIOD_OVERRIDE=FQ","FILING_STATUS=MR","SCALING_FORMAT=MLN","Sort=A","Dates=H","DateFormat=P","Fill=—","Direction=H","UseDPDF=Y")</f>
        <v>2151.837</v>
      </c>
      <c r="U68" s="13">
        <f>_xll.BDH("ITCI US Equity","BS_ADD_PAID_IN_CAP","FQ2 2023","FQ2 2023","Currency=USD","Period=FQ","BEST_FPERIOD_OVERRIDE=FQ","FILING_STATUS=MR","SCALING_FORMAT=MLN","Sort=A","Dates=H","DateFormat=P","Fill=—","Direction=H","UseDPDF=Y")</f>
        <v>2173.6709999999998</v>
      </c>
      <c r="V68" s="13">
        <f>_xll.BDH("ITCI US Equity","BS_ADD_PAID_IN_CAP","FQ3 2023","FQ3 2023","Currency=USD","Period=FQ","BEST_FPERIOD_OVERRIDE=FQ","FILING_STATUS=MR","SCALING_FORMAT=MLN","Sort=A","Dates=H","DateFormat=P","Fill=—","Direction=H","UseDPDF=Y")</f>
        <v>2190.587</v>
      </c>
      <c r="W68" s="13">
        <f>_xll.BDH("ITCI US Equity","BS_ADD_PAID_IN_CAP","FQ4 2023","FQ4 2023","Currency=USD","Period=FQ","BEST_FPERIOD_OVERRIDE=FQ","FILING_STATUS=MR","SCALING_FORMAT=MLN","Sort=A","Dates=H","DateFormat=P","Fill=—","Direction=H","UseDPDF=Y")</f>
        <v>2208.4699999999998</v>
      </c>
      <c r="X68" s="13">
        <f>_xll.BDH("ITCI US Equity","BS_ADD_PAID_IN_CAP","FQ1 2024","FQ1 2024","Currency=USD","Period=FQ","BEST_FPERIOD_OVERRIDE=FQ","FILING_STATUS=MR","SCALING_FORMAT=MLN","Sort=A","Dates=H","DateFormat=P","Fill=—","Direction=H","UseDPDF=Y")</f>
        <v>2232.3249999999998</v>
      </c>
      <c r="Y68" s="13">
        <f>_xll.BDH("ITCI US Equity","BS_ADD_PAID_IN_CAP","FQ2 2024","FQ2 2024","Currency=USD","Period=FQ","BEST_FPERIOD_OVERRIDE=FQ","FILING_STATUS=MR","SCALING_FORMAT=MLN","Sort=A","Dates=H","DateFormat=P","Fill=—","Direction=H","UseDPDF=Y")</f>
        <v>2793.8960000000002</v>
      </c>
      <c r="Z68" s="13">
        <f>_xll.BDH("ITCI US Equity","BS_ADD_PAID_IN_CAP","FQ3 2024","FQ3 2024","Currency=USD","Period=FQ","BEST_FPERIOD_OVERRIDE=FQ","FILING_STATUS=MR","SCALING_FORMAT=MLN","Sort=A","Dates=H","DateFormat=P","Fill=—","Direction=H","UseDPDF=Y")</f>
        <v>2818.1370000000002</v>
      </c>
      <c r="AA68" s="13">
        <f>_xll.BDH("ITCI US Equity","BS_ADD_PAID_IN_CAP","FQ4 2024","FQ4 2024","Currency=USD","Period=FQ","BEST_FPERIOD_OVERRIDE=FQ","FILING_STATUS=MR","SCALING_FORMAT=MLN","Sort=A","Dates=H","DateFormat=P","Fill=—","Direction=H","UseDPDF=Y")</f>
        <v>2840.0940000000001</v>
      </c>
    </row>
    <row r="69" spans="1:27" x14ac:dyDescent="0.25">
      <c r="A69" s="10" t="s">
        <v>650</v>
      </c>
      <c r="B69" s="10" t="s">
        <v>651</v>
      </c>
      <c r="C69" s="13">
        <f>_xll.BDH("ITCI US Equity","BS_AMT_OF_TSY_STOCK","FQ4 2018","FQ4 2018","Currency=USD","Period=FQ","BEST_FPERIOD_OVERRIDE=FQ","FILING_STATUS=MR","SCALING_FORMAT=MLN","Sort=A","Dates=H","DateFormat=P","Fill=—","Direction=H","UseDPDF=Y")</f>
        <v>0</v>
      </c>
      <c r="D69" s="13">
        <f>_xll.BDH("ITCI US Equity","BS_AMT_OF_TSY_STOCK","FQ1 2019","FQ1 2019","Currency=USD","Period=FQ","BEST_FPERIOD_OVERRIDE=FQ","FILING_STATUS=MR","SCALING_FORMAT=MLN","Sort=A","Dates=H","DateFormat=P","Fill=—","Direction=H","UseDPDF=Y")</f>
        <v>0</v>
      </c>
      <c r="E69" s="13">
        <f>_xll.BDH("ITCI US Equity","BS_AMT_OF_TSY_STOCK","FQ2 2019","FQ2 2019","Currency=USD","Period=FQ","BEST_FPERIOD_OVERRIDE=FQ","FILING_STATUS=MR","SCALING_FORMAT=MLN","Sort=A","Dates=H","DateFormat=P","Fill=—","Direction=H","UseDPDF=Y")</f>
        <v>0</v>
      </c>
      <c r="F69" s="13">
        <f>_xll.BDH("ITCI US Equity","BS_AMT_OF_TSY_STOCK","FQ3 2019","FQ3 2019","Currency=USD","Period=FQ","BEST_FPERIOD_OVERRIDE=FQ","FILING_STATUS=MR","SCALING_FORMAT=MLN","Sort=A","Dates=H","DateFormat=P","Fill=—","Direction=H","UseDPDF=Y")</f>
        <v>0</v>
      </c>
      <c r="G69" s="13">
        <f>_xll.BDH("ITCI US Equity","BS_AMT_OF_TSY_STOCK","FQ4 2019","FQ4 2019","Currency=USD","Period=FQ","BEST_FPERIOD_OVERRIDE=FQ","FILING_STATUS=MR","SCALING_FORMAT=MLN","Sort=A","Dates=H","DateFormat=P","Fill=—","Direction=H","UseDPDF=Y")</f>
        <v>0</v>
      </c>
      <c r="H69" s="13">
        <f>_xll.BDH("ITCI US Equity","BS_AMT_OF_TSY_STOCK","FQ1 2020","FQ1 2020","Currency=USD","Period=FQ","BEST_FPERIOD_OVERRIDE=FQ","FILING_STATUS=MR","SCALING_FORMAT=MLN","Sort=A","Dates=H","DateFormat=P","Fill=—","Direction=H","UseDPDF=Y")</f>
        <v>0</v>
      </c>
      <c r="I69" s="13">
        <f>_xll.BDH("ITCI US Equity","BS_AMT_OF_TSY_STOCK","FQ2 2020","FQ2 2020","Currency=USD","Period=FQ","BEST_FPERIOD_OVERRIDE=FQ","FILING_STATUS=MR","SCALING_FORMAT=MLN","Sort=A","Dates=H","DateFormat=P","Fill=—","Direction=H","UseDPDF=Y")</f>
        <v>0</v>
      </c>
      <c r="J69" s="13">
        <f>_xll.BDH("ITCI US Equity","BS_AMT_OF_TSY_STOCK","FQ3 2020","FQ3 2020","Currency=USD","Period=FQ","BEST_FPERIOD_OVERRIDE=FQ","FILING_STATUS=MR","SCALING_FORMAT=MLN","Sort=A","Dates=H","DateFormat=P","Fill=—","Direction=H","UseDPDF=Y")</f>
        <v>0</v>
      </c>
      <c r="K69" s="13">
        <f>_xll.BDH("ITCI US Equity","BS_AMT_OF_TSY_STOCK","FQ4 2020","FQ4 2020","Currency=USD","Period=FQ","BEST_FPERIOD_OVERRIDE=FQ","FILING_STATUS=MR","SCALING_FORMAT=MLN","Sort=A","Dates=H","DateFormat=P","Fill=—","Direction=H","UseDPDF=Y")</f>
        <v>0</v>
      </c>
      <c r="L69" s="13">
        <f>_xll.BDH("ITCI US Equity","BS_AMT_OF_TSY_STOCK","FQ1 2021","FQ1 2021","Currency=USD","Period=FQ","BEST_FPERIOD_OVERRIDE=FQ","FILING_STATUS=MR","SCALING_FORMAT=MLN","Sort=A","Dates=H","DateFormat=P","Fill=—","Direction=H","UseDPDF=Y")</f>
        <v>0</v>
      </c>
      <c r="M69" s="13">
        <f>_xll.BDH("ITCI US Equity","BS_AMT_OF_TSY_STOCK","FQ2 2021","FQ2 2021","Currency=USD","Period=FQ","BEST_FPERIOD_OVERRIDE=FQ","FILING_STATUS=MR","SCALING_FORMAT=MLN","Sort=A","Dates=H","DateFormat=P","Fill=—","Direction=H","UseDPDF=Y")</f>
        <v>0</v>
      </c>
      <c r="N69" s="13">
        <f>_xll.BDH("ITCI US Equity","BS_AMT_OF_TSY_STOCK","FQ3 2021","FQ3 2021","Currency=USD","Period=FQ","BEST_FPERIOD_OVERRIDE=FQ","FILING_STATUS=MR","SCALING_FORMAT=MLN","Sort=A","Dates=H","DateFormat=P","Fill=—","Direction=H","UseDPDF=Y")</f>
        <v>0</v>
      </c>
      <c r="O69" s="13">
        <f>_xll.BDH("ITCI US Equity","BS_AMT_OF_TSY_STOCK","FQ4 2021","FQ4 2021","Currency=USD","Period=FQ","BEST_FPERIOD_OVERRIDE=FQ","FILING_STATUS=MR","SCALING_FORMAT=MLN","Sort=A","Dates=H","DateFormat=P","Fill=—","Direction=H","UseDPDF=Y")</f>
        <v>0</v>
      </c>
      <c r="P69" s="13">
        <f>_xll.BDH("ITCI US Equity","BS_AMT_OF_TSY_STOCK","FQ1 2022","FQ1 2022","Currency=USD","Period=FQ","BEST_FPERIOD_OVERRIDE=FQ","FILING_STATUS=MR","SCALING_FORMAT=MLN","Sort=A","Dates=H","DateFormat=P","Fill=—","Direction=H","UseDPDF=Y")</f>
        <v>0</v>
      </c>
      <c r="Q69" s="13">
        <f>_xll.BDH("ITCI US Equity","BS_AMT_OF_TSY_STOCK","FQ2 2022","FQ2 2022","Currency=USD","Period=FQ","BEST_FPERIOD_OVERRIDE=FQ","FILING_STATUS=MR","SCALING_FORMAT=MLN","Sort=A","Dates=H","DateFormat=P","Fill=—","Direction=H","UseDPDF=Y")</f>
        <v>0</v>
      </c>
      <c r="R69" s="13">
        <f>_xll.BDH("ITCI US Equity","BS_AMT_OF_TSY_STOCK","FQ3 2022","FQ3 2022","Currency=USD","Period=FQ","BEST_FPERIOD_OVERRIDE=FQ","FILING_STATUS=MR","SCALING_FORMAT=MLN","Sort=A","Dates=H","DateFormat=P","Fill=—","Direction=H","UseDPDF=Y")</f>
        <v>0</v>
      </c>
      <c r="S69" s="13">
        <f>_xll.BDH("ITCI US Equity","BS_AMT_OF_TSY_STOCK","FQ4 2022","FQ4 2022","Currency=USD","Period=FQ","BEST_FPERIOD_OVERRIDE=FQ","FILING_STATUS=MR","SCALING_FORMAT=MLN","Sort=A","Dates=H","DateFormat=P","Fill=—","Direction=H","UseDPDF=Y")</f>
        <v>0</v>
      </c>
      <c r="T69" s="13">
        <f>_xll.BDH("ITCI US Equity","BS_AMT_OF_TSY_STOCK","FQ1 2023","FQ1 2023","Currency=USD","Period=FQ","BEST_FPERIOD_OVERRIDE=FQ","FILING_STATUS=MR","SCALING_FORMAT=MLN","Sort=A","Dates=H","DateFormat=P","Fill=—","Direction=H","UseDPDF=Y")</f>
        <v>0</v>
      </c>
      <c r="U69" s="13">
        <f>_xll.BDH("ITCI US Equity","BS_AMT_OF_TSY_STOCK","FQ2 2023","FQ2 2023","Currency=USD","Period=FQ","BEST_FPERIOD_OVERRIDE=FQ","FILING_STATUS=MR","SCALING_FORMAT=MLN","Sort=A","Dates=H","DateFormat=P","Fill=—","Direction=H","UseDPDF=Y")</f>
        <v>0</v>
      </c>
      <c r="V69" s="13">
        <f>_xll.BDH("ITCI US Equity","BS_AMT_OF_TSY_STOCK","FQ3 2023","FQ3 2023","Currency=USD","Period=FQ","BEST_FPERIOD_OVERRIDE=FQ","FILING_STATUS=MR","SCALING_FORMAT=MLN","Sort=A","Dates=H","DateFormat=P","Fill=—","Direction=H","UseDPDF=Y")</f>
        <v>0</v>
      </c>
      <c r="W69" s="13">
        <f>_xll.BDH("ITCI US Equity","BS_AMT_OF_TSY_STOCK","FQ4 2023","FQ4 2023","Currency=USD","Period=FQ","BEST_FPERIOD_OVERRIDE=FQ","FILING_STATUS=MR","SCALING_FORMAT=MLN","Sort=A","Dates=H","DateFormat=P","Fill=—","Direction=H","UseDPDF=Y")</f>
        <v>0</v>
      </c>
      <c r="X69" s="13">
        <f>_xll.BDH("ITCI US Equity","BS_AMT_OF_TSY_STOCK","FQ1 2024","FQ1 2024","Currency=USD","Period=FQ","BEST_FPERIOD_OVERRIDE=FQ","FILING_STATUS=MR","SCALING_FORMAT=MLN","Sort=A","Dates=H","DateFormat=P","Fill=—","Direction=H","UseDPDF=Y")</f>
        <v>0</v>
      </c>
      <c r="Y69" s="13">
        <f>_xll.BDH("ITCI US Equity","BS_AMT_OF_TSY_STOCK","FQ2 2024","FQ2 2024","Currency=USD","Period=FQ","BEST_FPERIOD_OVERRIDE=FQ","FILING_STATUS=MR","SCALING_FORMAT=MLN","Sort=A","Dates=H","DateFormat=P","Fill=—","Direction=H","UseDPDF=Y")</f>
        <v>0</v>
      </c>
      <c r="Z69" s="13">
        <f>_xll.BDH("ITCI US Equity","BS_AMT_OF_TSY_STOCK","FQ3 2024","FQ3 2024","Currency=USD","Period=FQ","BEST_FPERIOD_OVERRIDE=FQ","FILING_STATUS=MR","SCALING_FORMAT=MLN","Sort=A","Dates=H","DateFormat=P","Fill=—","Direction=H","UseDPDF=Y")</f>
        <v>0</v>
      </c>
      <c r="AA69" s="13">
        <f>_xll.BDH("ITCI US Equity","BS_AMT_OF_TSY_STOCK","FQ4 2024","FQ4 2024","Currency=USD","Period=FQ","BEST_FPERIOD_OVERRIDE=FQ","FILING_STATUS=MR","SCALING_FORMAT=MLN","Sort=A","Dates=H","DateFormat=P","Fill=—","Direction=H","UseDPDF=Y")</f>
        <v>0</v>
      </c>
    </row>
    <row r="70" spans="1:27" x14ac:dyDescent="0.25">
      <c r="A70" s="10" t="s">
        <v>652</v>
      </c>
      <c r="B70" s="10" t="s">
        <v>653</v>
      </c>
      <c r="C70" s="13">
        <f>_xll.BDH("ITCI US Equity","BS_PURE_RETAINED_EARNINGS","FQ4 2018","FQ4 2018","Currency=USD","Period=FQ","BEST_FPERIOD_OVERRIDE=FQ","FILING_STATUS=MR","SCALING_FORMAT=MLN","Sort=A","Dates=H","DateFormat=P","Fill=—","Direction=H","UseDPDF=Y")</f>
        <v>-562.37620000000004</v>
      </c>
      <c r="D70" s="13">
        <f>_xll.BDH("ITCI US Equity","BS_PURE_RETAINED_EARNINGS","FQ1 2019","FQ1 2019","Currency=USD","Period=FQ","BEST_FPERIOD_OVERRIDE=FQ","FILING_STATUS=MR","SCALING_FORMAT=MLN","Sort=A","Dates=H","DateFormat=P","Fill=—","Direction=H","UseDPDF=Y")</f>
        <v>-597.21199999999999</v>
      </c>
      <c r="E70" s="13">
        <f>_xll.BDH("ITCI US Equity","BS_PURE_RETAINED_EARNINGS","FQ2 2019","FQ2 2019","Currency=USD","Period=FQ","BEST_FPERIOD_OVERRIDE=FQ","FILING_STATUS=MR","SCALING_FORMAT=MLN","Sort=A","Dates=H","DateFormat=P","Fill=—","Direction=H","UseDPDF=Y")</f>
        <v>-634.65309999999999</v>
      </c>
      <c r="F70" s="13">
        <f>_xll.BDH("ITCI US Equity","BS_PURE_RETAINED_EARNINGS","FQ3 2019","FQ3 2019","Currency=USD","Period=FQ","BEST_FPERIOD_OVERRIDE=FQ","FILING_STATUS=MR","SCALING_FORMAT=MLN","Sort=A","Dates=H","DateFormat=P","Fill=—","Direction=H","UseDPDF=Y")</f>
        <v>-669.51549999999997</v>
      </c>
      <c r="G70" s="13">
        <f>_xll.BDH("ITCI US Equity","BS_PURE_RETAINED_EARNINGS","FQ4 2019","FQ4 2019","Currency=USD","Period=FQ","BEST_FPERIOD_OVERRIDE=FQ","FILING_STATUS=MR","SCALING_FORMAT=MLN","Sort=A","Dates=H","DateFormat=P","Fill=—","Direction=H","UseDPDF=Y")</f>
        <v>-710.09839999999997</v>
      </c>
      <c r="H70" s="13">
        <f>_xll.BDH("ITCI US Equity","BS_PURE_RETAINED_EARNINGS","FQ1 2020","FQ1 2020","Currency=USD","Period=FQ","BEST_FPERIOD_OVERRIDE=FQ","FILING_STATUS=MR","SCALING_FORMAT=MLN","Sort=A","Dates=H","DateFormat=P","Fill=—","Direction=H","UseDPDF=Y")</f>
        <v>-757.50900000000001</v>
      </c>
      <c r="I70" s="13">
        <f>_xll.BDH("ITCI US Equity","BS_PURE_RETAINED_EARNINGS","FQ2 2020","FQ2 2020","Currency=USD","Period=FQ","BEST_FPERIOD_OVERRIDE=FQ","FILING_STATUS=MR","SCALING_FORMAT=MLN","Sort=A","Dates=H","DateFormat=P","Fill=—","Direction=H","UseDPDF=Y")</f>
        <v>-821.22119999999995</v>
      </c>
      <c r="J70" s="13">
        <f>_xll.BDH("ITCI US Equity","BS_PURE_RETAINED_EARNINGS","FQ3 2020","FQ3 2020","Currency=USD","Period=FQ","BEST_FPERIOD_OVERRIDE=FQ","FILING_STATUS=MR","SCALING_FORMAT=MLN","Sort=A","Dates=H","DateFormat=P","Fill=—","Direction=H","UseDPDF=Y")</f>
        <v>-876.4049</v>
      </c>
      <c r="K70" s="13">
        <f>_xll.BDH("ITCI US Equity","BS_PURE_RETAINED_EARNINGS","FQ4 2020","FQ4 2020","Currency=USD","Period=FQ","BEST_FPERIOD_OVERRIDE=FQ","FILING_STATUS=MR","SCALING_FORMAT=MLN","Sort=A","Dates=H","DateFormat=P","Fill=—","Direction=H","UseDPDF=Y")</f>
        <v>-937.10400000000004</v>
      </c>
      <c r="L70" s="13">
        <f>_xll.BDH("ITCI US Equity","BS_PURE_RETAINED_EARNINGS","FQ1 2021","FQ1 2021","Currency=USD","Period=FQ","BEST_FPERIOD_OVERRIDE=FQ","FILING_STATUS=MR","SCALING_FORMAT=MLN","Sort=A","Dates=H","DateFormat=P","Fill=—","Direction=H","UseDPDF=Y")</f>
        <v>-989.84400000000005</v>
      </c>
      <c r="M70" s="13">
        <f>_xll.BDH("ITCI US Equity","BS_PURE_RETAINED_EARNINGS","FQ2 2021","FQ2 2021","Currency=USD","Period=FQ","BEST_FPERIOD_OVERRIDE=FQ","FILING_STATUS=MR","SCALING_FORMAT=MLN","Sort=A","Dates=H","DateFormat=P","Fill=—","Direction=H","UseDPDF=Y")</f>
        <v>-1058.5878</v>
      </c>
      <c r="N70" s="13">
        <f>_xll.BDH("ITCI US Equity","BS_PURE_RETAINED_EARNINGS","FQ3 2021","FQ3 2021","Currency=USD","Period=FQ","BEST_FPERIOD_OVERRIDE=FQ","FILING_STATUS=MR","SCALING_FORMAT=MLN","Sort=A","Dates=H","DateFormat=P","Fill=—","Direction=H","UseDPDF=Y")</f>
        <v>-1135.4957999999999</v>
      </c>
      <c r="O70" s="13">
        <f>_xll.BDH("ITCI US Equity","BS_PURE_RETAINED_EARNINGS","FQ4 2021","FQ4 2021","Currency=USD","Period=FQ","BEST_FPERIOD_OVERRIDE=FQ","FILING_STATUS=MR","SCALING_FORMAT=MLN","Sort=A","Dates=H","DateFormat=P","Fill=—","Direction=H","UseDPDF=Y")</f>
        <v>-1221.2297000000001</v>
      </c>
      <c r="P70" s="13">
        <f>_xll.BDH("ITCI US Equity","BS_PURE_RETAINED_EARNINGS","FQ1 2022","FQ1 2022","Currency=USD","Period=FQ","BEST_FPERIOD_OVERRIDE=FQ","FILING_STATUS=MR","SCALING_FORMAT=MLN","Sort=A","Dates=H","DateFormat=P","Fill=—","Direction=H","UseDPDF=Y")</f>
        <v>-1293.3489999999999</v>
      </c>
      <c r="Q70" s="13">
        <f>_xll.BDH("ITCI US Equity","BS_PURE_RETAINED_EARNINGS","FQ2 2022","FQ2 2022","Currency=USD","Period=FQ","BEST_FPERIOD_OVERRIDE=FQ","FILING_STATUS=MR","SCALING_FORMAT=MLN","Sort=A","Dates=H","DateFormat=P","Fill=—","Direction=H","UseDPDF=Y")</f>
        <v>-1379.952</v>
      </c>
      <c r="R70" s="13">
        <f>_xll.BDH("ITCI US Equity","BS_PURE_RETAINED_EARNINGS","FQ3 2022","FQ3 2022","Currency=USD","Period=FQ","BEST_FPERIOD_OVERRIDE=FQ","FILING_STATUS=MR","SCALING_FORMAT=MLN","Sort=A","Dates=H","DateFormat=P","Fill=—","Direction=H","UseDPDF=Y")</f>
        <v>-1433.46</v>
      </c>
      <c r="S70" s="13">
        <f>_xll.BDH("ITCI US Equity","BS_PURE_RETAINED_EARNINGS","FQ4 2022","FQ4 2022","Currency=USD","Period=FQ","BEST_FPERIOD_OVERRIDE=FQ","FILING_STATUS=MR","SCALING_FORMAT=MLN","Sort=A","Dates=H","DateFormat=P","Fill=—","Direction=H","UseDPDF=Y")</f>
        <v>-1477.4860000000001</v>
      </c>
      <c r="T70" s="13">
        <f>_xll.BDH("ITCI US Equity","BS_PURE_RETAINED_EARNINGS","FQ1 2023","FQ1 2023","Currency=USD","Period=FQ","BEST_FPERIOD_OVERRIDE=FQ","FILING_STATUS=MR","SCALING_FORMAT=MLN","Sort=A","Dates=H","DateFormat=P","Fill=—","Direction=H","UseDPDF=Y")</f>
        <v>-1521.539</v>
      </c>
      <c r="U70" s="13">
        <f>_xll.BDH("ITCI US Equity","BS_PURE_RETAINED_EARNINGS","FQ2 2023","FQ2 2023","Currency=USD","Period=FQ","BEST_FPERIOD_OVERRIDE=FQ","FILING_STATUS=MR","SCALING_FORMAT=MLN","Sort=A","Dates=H","DateFormat=P","Fill=—","Direction=H","UseDPDF=Y")</f>
        <v>-1564.3230000000001</v>
      </c>
      <c r="V70" s="13">
        <f>_xll.BDH("ITCI US Equity","BS_PURE_RETAINED_EARNINGS","FQ3 2023","FQ3 2023","Currency=USD","Period=FQ","BEST_FPERIOD_OVERRIDE=FQ","FILING_STATUS=MR","SCALING_FORMAT=MLN","Sort=A","Dates=H","DateFormat=P","Fill=—","Direction=H","UseDPDF=Y")</f>
        <v>-1588.5809999999999</v>
      </c>
      <c r="W70" s="13">
        <f>_xll.BDH("ITCI US Equity","BS_PURE_RETAINED_EARNINGS","FQ4 2023","FQ4 2023","Currency=USD","Period=FQ","BEST_FPERIOD_OVERRIDE=FQ","FILING_STATUS=MR","SCALING_FORMAT=MLN","Sort=A","Dates=H","DateFormat=P","Fill=—","Direction=H","UseDPDF=Y")</f>
        <v>-1617.16</v>
      </c>
      <c r="X70" s="13">
        <f>_xll.BDH("ITCI US Equity","BS_PURE_RETAINED_EARNINGS","FQ1 2024","FQ1 2024","Currency=USD","Period=FQ","BEST_FPERIOD_OVERRIDE=FQ","FILING_STATUS=MR","SCALING_FORMAT=MLN","Sort=A","Dates=H","DateFormat=P","Fill=—","Direction=H","UseDPDF=Y")</f>
        <v>-1632.4069999999999</v>
      </c>
      <c r="Y70" s="13">
        <f>_xll.BDH("ITCI US Equity","BS_PURE_RETAINED_EARNINGS","FQ2 2024","FQ2 2024","Currency=USD","Period=FQ","BEST_FPERIOD_OVERRIDE=FQ","FILING_STATUS=MR","SCALING_FORMAT=MLN","Sort=A","Dates=H","DateFormat=P","Fill=—","Direction=H","UseDPDF=Y")</f>
        <v>-1648.627</v>
      </c>
      <c r="Z70" s="13">
        <f>_xll.BDH("ITCI US Equity","BS_PURE_RETAINED_EARNINGS","FQ3 2024","FQ3 2024","Currency=USD","Period=FQ","BEST_FPERIOD_OVERRIDE=FQ","FILING_STATUS=MR","SCALING_FORMAT=MLN","Sort=A","Dates=H","DateFormat=P","Fill=—","Direction=H","UseDPDF=Y")</f>
        <v>-1674.951</v>
      </c>
      <c r="AA70" s="13">
        <f>_xll.BDH("ITCI US Equity","BS_PURE_RETAINED_EARNINGS","FQ4 2024","FQ4 2024","Currency=USD","Period=FQ","BEST_FPERIOD_OVERRIDE=FQ","FILING_STATUS=MR","SCALING_FORMAT=MLN","Sort=A","Dates=H","DateFormat=P","Fill=—","Direction=H","UseDPDF=Y")</f>
        <v>-1691.836</v>
      </c>
    </row>
    <row r="71" spans="1:27" x14ac:dyDescent="0.25">
      <c r="A71" s="10" t="s">
        <v>654</v>
      </c>
      <c r="B71" s="10" t="s">
        <v>655</v>
      </c>
      <c r="C71" s="13">
        <f>_xll.BDH("ITCI US Equity","OTHER_EQUITY_RATIO","FQ4 2018","FQ4 2018","Currency=USD","Period=FQ","BEST_FPERIOD_OVERRIDE=FQ","FILING_STATUS=MR","SCALING_FORMAT=MLN","Sort=A","Dates=H","DateFormat=P","Fill=—","Direction=H","UseDPDF=Y")</f>
        <v>-0.66779999999999995</v>
      </c>
      <c r="D71" s="13">
        <f>_xll.BDH("ITCI US Equity","OTHER_EQUITY_RATIO","FQ1 2019","FQ1 2019","Currency=USD","Period=FQ","BEST_FPERIOD_OVERRIDE=FQ","FILING_STATUS=MR","SCALING_FORMAT=MLN","Sort=A","Dates=H","DateFormat=P","Fill=—","Direction=H","UseDPDF=Y")</f>
        <v>-6.7500000000000004E-2</v>
      </c>
      <c r="E71" s="13">
        <f>_xll.BDH("ITCI US Equity","OTHER_EQUITY_RATIO","FQ2 2019","FQ2 2019","Currency=USD","Period=FQ","BEST_FPERIOD_OVERRIDE=FQ","FILING_STATUS=MR","SCALING_FORMAT=MLN","Sort=A","Dates=H","DateFormat=P","Fill=—","Direction=H","UseDPDF=Y")</f>
        <v>0.2324</v>
      </c>
      <c r="F71" s="13">
        <f>_xll.BDH("ITCI US Equity","OTHER_EQUITY_RATIO","FQ3 2019","FQ3 2019","Currency=USD","Period=FQ","BEST_FPERIOD_OVERRIDE=FQ","FILING_STATUS=MR","SCALING_FORMAT=MLN","Sort=A","Dates=H","DateFormat=P","Fill=—","Direction=H","UseDPDF=Y")</f>
        <v>0.19900000000000001</v>
      </c>
      <c r="G71" s="13">
        <f>_xll.BDH("ITCI US Equity","OTHER_EQUITY_RATIO","FQ4 2019","FQ4 2019","Currency=USD","Period=FQ","BEST_FPERIOD_OVERRIDE=FQ","FILING_STATUS=MR","SCALING_FORMAT=MLN","Sort=A","Dates=H","DateFormat=P","Fill=—","Direction=H","UseDPDF=Y")</f>
        <v>0.1283</v>
      </c>
      <c r="H71" s="13">
        <f>_xll.BDH("ITCI US Equity","OTHER_EQUITY_RATIO","FQ1 2020","FQ1 2020","Currency=USD","Period=FQ","BEST_FPERIOD_OVERRIDE=FQ","FILING_STATUS=MR","SCALING_FORMAT=MLN","Sort=A","Dates=H","DateFormat=P","Fill=—","Direction=H","UseDPDF=Y")</f>
        <v>-0.1452</v>
      </c>
      <c r="I71" s="13">
        <f>_xll.BDH("ITCI US Equity","OTHER_EQUITY_RATIO","FQ2 2020","FQ2 2020","Currency=USD","Period=FQ","BEST_FPERIOD_OVERRIDE=FQ","FILING_STATUS=MR","SCALING_FORMAT=MLN","Sort=A","Dates=H","DateFormat=P","Fill=—","Direction=H","UseDPDF=Y")</f>
        <v>1.1680999999999999</v>
      </c>
      <c r="J71" s="13">
        <f>_xll.BDH("ITCI US Equity","OTHER_EQUITY_RATIO","FQ3 2020","FQ3 2020","Currency=USD","Period=FQ","BEST_FPERIOD_OVERRIDE=FQ","FILING_STATUS=MR","SCALING_FORMAT=MLN","Sort=A","Dates=H","DateFormat=P","Fill=—","Direction=H","UseDPDF=Y")</f>
        <v>0.76870000000000005</v>
      </c>
      <c r="K71" s="13">
        <f>_xll.BDH("ITCI US Equity","OTHER_EQUITY_RATIO","FQ4 2020","FQ4 2020","Currency=USD","Period=FQ","BEST_FPERIOD_OVERRIDE=FQ","FILING_STATUS=MR","SCALING_FORMAT=MLN","Sort=A","Dates=H","DateFormat=P","Fill=—","Direction=H","UseDPDF=Y")</f>
        <v>0.48060000000000003</v>
      </c>
      <c r="L71" s="13">
        <f>_xll.BDH("ITCI US Equity","OTHER_EQUITY_RATIO","FQ1 2021","FQ1 2021","Currency=USD","Period=FQ","BEST_FPERIOD_OVERRIDE=FQ","FILING_STATUS=MR","SCALING_FORMAT=MLN","Sort=A","Dates=H","DateFormat=P","Fill=—","Direction=H","UseDPDF=Y")</f>
        <v>0.2465</v>
      </c>
      <c r="M71" s="13">
        <f>_xll.BDH("ITCI US Equity","OTHER_EQUITY_RATIO","FQ2 2021","FQ2 2021","Currency=USD","Period=FQ","BEST_FPERIOD_OVERRIDE=FQ","FILING_STATUS=MR","SCALING_FORMAT=MLN","Sort=A","Dates=H","DateFormat=P","Fill=—","Direction=H","UseDPDF=Y")</f>
        <v>0.17610000000000001</v>
      </c>
      <c r="N71" s="13">
        <f>_xll.BDH("ITCI US Equity","OTHER_EQUITY_RATIO","FQ3 2021","FQ3 2021","Currency=USD","Period=FQ","BEST_FPERIOD_OVERRIDE=FQ","FILING_STATUS=MR","SCALING_FORMAT=MLN","Sort=A","Dates=H","DateFormat=P","Fill=—","Direction=H","UseDPDF=Y")</f>
        <v>9.4200000000000006E-2</v>
      </c>
      <c r="O71" s="13">
        <f>_xll.BDH("ITCI US Equity","OTHER_EQUITY_RATIO","FQ4 2021","FQ4 2021","Currency=USD","Period=FQ","BEST_FPERIOD_OVERRIDE=FQ","FILING_STATUS=MR","SCALING_FORMAT=MLN","Sort=A","Dates=H","DateFormat=P","Fill=—","Direction=H","UseDPDF=Y")</f>
        <v>-0.36370000000000002</v>
      </c>
      <c r="P71" s="13">
        <f>_xll.BDH("ITCI US Equity","OTHER_EQUITY_RATIO","FQ1 2022","FQ1 2022","Currency=USD","Period=FQ","BEST_FPERIOD_OVERRIDE=FQ","FILING_STATUS=MR","SCALING_FORMAT=MLN","Sort=A","Dates=H","DateFormat=P","Fill=—","Direction=H","UseDPDF=Y")</f>
        <v>-3.3279999999999998</v>
      </c>
      <c r="Q71" s="13">
        <f>_xll.BDH("ITCI US Equity","OTHER_EQUITY_RATIO","FQ2 2022","FQ2 2022","Currency=USD","Period=FQ","BEST_FPERIOD_OVERRIDE=FQ","FILING_STATUS=MR","SCALING_FORMAT=MLN","Sort=A","Dates=H","DateFormat=P","Fill=—","Direction=H","UseDPDF=Y")</f>
        <v>-4.8019999999999996</v>
      </c>
      <c r="R71" s="13">
        <f>_xll.BDH("ITCI US Equity","OTHER_EQUITY_RATIO","FQ3 2022","FQ3 2022","Currency=USD","Period=FQ","BEST_FPERIOD_OVERRIDE=FQ","FILING_STATUS=MR","SCALING_FORMAT=MLN","Sort=A","Dates=H","DateFormat=P","Fill=—","Direction=H","UseDPDF=Y")</f>
        <v>-5.4960000000000004</v>
      </c>
      <c r="S71" s="13">
        <f>_xll.BDH("ITCI US Equity","OTHER_EQUITY_RATIO","FQ4 2022","FQ4 2022","Currency=USD","Period=FQ","BEST_FPERIOD_OVERRIDE=FQ","FILING_STATUS=MR","SCALING_FORMAT=MLN","Sort=A","Dates=H","DateFormat=P","Fill=—","Direction=H","UseDPDF=Y")</f>
        <v>-4.1900000000000004</v>
      </c>
      <c r="T71" s="13">
        <f>_xll.BDH("ITCI US Equity","OTHER_EQUITY_RATIO","FQ1 2023","FQ1 2023","Currency=USD","Period=FQ","BEST_FPERIOD_OVERRIDE=FQ","FILING_STATUS=MR","SCALING_FORMAT=MLN","Sort=A","Dates=H","DateFormat=P","Fill=—","Direction=H","UseDPDF=Y")</f>
        <v>-2.698</v>
      </c>
      <c r="U71" s="13">
        <f>_xll.BDH("ITCI US Equity","OTHER_EQUITY_RATIO","FQ2 2023","FQ2 2023","Currency=USD","Period=FQ","BEST_FPERIOD_OVERRIDE=FQ","FILING_STATUS=MR","SCALING_FORMAT=MLN","Sort=A","Dates=H","DateFormat=P","Fill=—","Direction=H","UseDPDF=Y")</f>
        <v>-2.2679999999999998</v>
      </c>
      <c r="V71" s="13">
        <f>_xll.BDH("ITCI US Equity","OTHER_EQUITY_RATIO","FQ3 2023","FQ3 2023","Currency=USD","Period=FQ","BEST_FPERIOD_OVERRIDE=FQ","FILING_STATUS=MR","SCALING_FORMAT=MLN","Sort=A","Dates=H","DateFormat=P","Fill=—","Direction=H","UseDPDF=Y")</f>
        <v>-1.335</v>
      </c>
      <c r="W71" s="13">
        <f>_xll.BDH("ITCI US Equity","OTHER_EQUITY_RATIO","FQ4 2023","FQ4 2023","Currency=USD","Period=FQ","BEST_FPERIOD_OVERRIDE=FQ","FILING_STATUS=MR","SCALING_FORMAT=MLN","Sort=A","Dates=H","DateFormat=P","Fill=—","Direction=H","UseDPDF=Y")</f>
        <v>0.104</v>
      </c>
      <c r="X71" s="13">
        <f>_xll.BDH("ITCI US Equity","OTHER_EQUITY_RATIO","FQ1 2024","FQ1 2024","Currency=USD","Period=FQ","BEST_FPERIOD_OVERRIDE=FQ","FILING_STATUS=MR","SCALING_FORMAT=MLN","Sort=A","Dates=H","DateFormat=P","Fill=—","Direction=H","UseDPDF=Y")</f>
        <v>-0.43</v>
      </c>
      <c r="Y71" s="13">
        <f>_xll.BDH("ITCI US Equity","OTHER_EQUITY_RATIO","FQ2 2024","FQ2 2024","Currency=USD","Period=FQ","BEST_FPERIOD_OVERRIDE=FQ","FILING_STATUS=MR","SCALING_FORMAT=MLN","Sort=A","Dates=H","DateFormat=P","Fill=—","Direction=H","UseDPDF=Y")</f>
        <v>-0.66800000000000004</v>
      </c>
      <c r="Z71" s="13">
        <f>_xll.BDH("ITCI US Equity","OTHER_EQUITY_RATIO","FQ3 2024","FQ3 2024","Currency=USD","Period=FQ","BEST_FPERIOD_OVERRIDE=FQ","FILING_STATUS=MR","SCALING_FORMAT=MLN","Sort=A","Dates=H","DateFormat=P","Fill=—","Direction=H","UseDPDF=Y")</f>
        <v>1.629</v>
      </c>
      <c r="AA71" s="13">
        <f>_xll.BDH("ITCI US Equity","OTHER_EQUITY_RATIO","FQ4 2024","FQ4 2024","Currency=USD","Period=FQ","BEST_FPERIOD_OVERRIDE=FQ","FILING_STATUS=MR","SCALING_FORMAT=MLN","Sort=A","Dates=H","DateFormat=P","Fill=—","Direction=H","UseDPDF=Y")</f>
        <v>0.191</v>
      </c>
    </row>
    <row r="72" spans="1:27" x14ac:dyDescent="0.25">
      <c r="A72" s="6" t="s">
        <v>656</v>
      </c>
      <c r="B72" s="6" t="s">
        <v>657</v>
      </c>
      <c r="C72" s="19">
        <f>_xll.BDH("ITCI US Equity","EQTY_BEF_MINORITY_INT_DETAILED","FQ4 2018","FQ4 2018","Currency=USD","Period=FQ","BEST_FPERIOD_OVERRIDE=FQ","FILING_STATUS=MR","SCALING_FORMAT=MLN","Sort=A","Dates=H","DateFormat=P","Fill=—","Direction=H","UseDPDF=Y")</f>
        <v>317.7149</v>
      </c>
      <c r="D72" s="19">
        <f>_xll.BDH("ITCI US Equity","EQTY_BEF_MINORITY_INT_DETAILED","FQ1 2019","FQ1 2019","Currency=USD","Period=FQ","BEST_FPERIOD_OVERRIDE=FQ","FILING_STATUS=MR","SCALING_FORMAT=MLN","Sort=A","Dates=H","DateFormat=P","Fill=—","Direction=H","UseDPDF=Y")</f>
        <v>288.61439999999999</v>
      </c>
      <c r="E72" s="19">
        <f>_xll.BDH("ITCI US Equity","EQTY_BEF_MINORITY_INT_DETAILED","FQ2 2019","FQ2 2019","Currency=USD","Period=FQ","BEST_FPERIOD_OVERRIDE=FQ","FILING_STATUS=MR","SCALING_FORMAT=MLN","Sort=A","Dates=H","DateFormat=P","Fill=—","Direction=H","UseDPDF=Y")</f>
        <v>256.76839999999999</v>
      </c>
      <c r="F72" s="19">
        <f>_xll.BDH("ITCI US Equity","EQTY_BEF_MINORITY_INT_DETAILED","FQ3 2019","FQ3 2019","Currency=USD","Period=FQ","BEST_FPERIOD_OVERRIDE=FQ","FILING_STATUS=MR","SCALING_FORMAT=MLN","Sort=A","Dates=H","DateFormat=P","Fill=—","Direction=H","UseDPDF=Y")</f>
        <v>226.88030000000001</v>
      </c>
      <c r="G72" s="19">
        <f>_xll.BDH("ITCI US Equity","EQTY_BEF_MINORITY_INT_DETAILED","FQ4 2019","FQ4 2019","Currency=USD","Period=FQ","BEST_FPERIOD_OVERRIDE=FQ","FILING_STATUS=MR","SCALING_FORMAT=MLN","Sort=A","Dates=H","DateFormat=P","Fill=—","Direction=H","UseDPDF=Y")</f>
        <v>195.00729999999999</v>
      </c>
      <c r="H72" s="19">
        <f>_xll.BDH("ITCI US Equity","EQTY_BEF_MINORITY_INT_DETAILED","FQ1 2020","FQ1 2020","Currency=USD","Period=FQ","BEST_FPERIOD_OVERRIDE=FQ","FILING_STATUS=MR","SCALING_FORMAT=MLN","Sort=A","Dates=H","DateFormat=P","Fill=—","Direction=H","UseDPDF=Y")</f>
        <v>430.44830000000002</v>
      </c>
      <c r="I72" s="19">
        <f>_xll.BDH("ITCI US Equity","EQTY_BEF_MINORITY_INT_DETAILED","FQ2 2020","FQ2 2020","Currency=USD","Period=FQ","BEST_FPERIOD_OVERRIDE=FQ","FILING_STATUS=MR","SCALING_FORMAT=MLN","Sort=A","Dates=H","DateFormat=P","Fill=—","Direction=H","UseDPDF=Y")</f>
        <v>379.5299</v>
      </c>
      <c r="J72" s="19">
        <f>_xll.BDH("ITCI US Equity","EQTY_BEF_MINORITY_INT_DETAILED","FQ3 2020","FQ3 2020","Currency=USD","Period=FQ","BEST_FPERIOD_OVERRIDE=FQ","FILING_STATUS=MR","SCALING_FORMAT=MLN","Sort=A","Dates=H","DateFormat=P","Fill=—","Direction=H","UseDPDF=Y")</f>
        <v>709.39549999999997</v>
      </c>
      <c r="K72" s="19">
        <f>_xll.BDH("ITCI US Equity","EQTY_BEF_MINORITY_INT_DETAILED","FQ4 2020","FQ4 2020","Currency=USD","Period=FQ","BEST_FPERIOD_OVERRIDE=FQ","FILING_STATUS=MR","SCALING_FORMAT=MLN","Sort=A","Dates=H","DateFormat=P","Fill=—","Direction=H","UseDPDF=Y")</f>
        <v>656.86009999999999</v>
      </c>
      <c r="L72" s="19">
        <f>_xll.BDH("ITCI US Equity","EQTY_BEF_MINORITY_INT_DETAILED","FQ1 2021","FQ1 2021","Currency=USD","Period=FQ","BEST_FPERIOD_OVERRIDE=FQ","FILING_STATUS=MR","SCALING_FORMAT=MLN","Sort=A","Dates=H","DateFormat=P","Fill=—","Direction=H","UseDPDF=Y")</f>
        <v>612.14980000000003</v>
      </c>
      <c r="M72" s="19">
        <f>_xll.BDH("ITCI US Equity","EQTY_BEF_MINORITY_INT_DETAILED","FQ2 2021","FQ2 2021","Currency=USD","Period=FQ","BEST_FPERIOD_OVERRIDE=FQ","FILING_STATUS=MR","SCALING_FORMAT=MLN","Sort=A","Dates=H","DateFormat=P","Fill=—","Direction=H","UseDPDF=Y")</f>
        <v>553.58590000000004</v>
      </c>
      <c r="N72" s="19">
        <f>_xll.BDH("ITCI US Equity","EQTY_BEF_MINORITY_INT_DETAILED","FQ3 2021","FQ3 2021","Currency=USD","Period=FQ","BEST_FPERIOD_OVERRIDE=FQ","FILING_STATUS=MR","SCALING_FORMAT=MLN","Sort=A","Dates=H","DateFormat=P","Fill=—","Direction=H","UseDPDF=Y")</f>
        <v>486.75630000000001</v>
      </c>
      <c r="O72" s="19">
        <f>_xll.BDH("ITCI US Equity","EQTY_BEF_MINORITY_INT_DETAILED","FQ4 2021","FQ4 2021","Currency=USD","Period=FQ","BEST_FPERIOD_OVERRIDE=FQ","FILING_STATUS=MR","SCALING_FORMAT=MLN","Sort=A","Dates=H","DateFormat=P","Fill=—","Direction=H","UseDPDF=Y")</f>
        <v>417.89069999999998</v>
      </c>
      <c r="P72" s="19">
        <f>_xll.BDH("ITCI US Equity","EQTY_BEF_MINORITY_INT_DETAILED","FQ1 2022","FQ1 2022","Currency=USD","Period=FQ","BEST_FPERIOD_OVERRIDE=FQ","FILING_STATUS=MR","SCALING_FORMAT=MLN","Sort=A","Dates=H","DateFormat=P","Fill=—","Direction=H","UseDPDF=Y")</f>
        <v>792.75</v>
      </c>
      <c r="Q72" s="19">
        <f>_xll.BDH("ITCI US Equity","EQTY_BEF_MINORITY_INT_DETAILED","FQ2 2022","FQ2 2022","Currency=USD","Period=FQ","BEST_FPERIOD_OVERRIDE=FQ","FILING_STATUS=MR","SCALING_FORMAT=MLN","Sort=A","Dates=H","DateFormat=P","Fill=—","Direction=H","UseDPDF=Y")</f>
        <v>722.197</v>
      </c>
      <c r="R72" s="19">
        <f>_xll.BDH("ITCI US Equity","EQTY_BEF_MINORITY_INT_DETAILED","FQ3 2022","FQ3 2022","Currency=USD","Period=FQ","BEST_FPERIOD_OVERRIDE=FQ","FILING_STATUS=MR","SCALING_FORMAT=MLN","Sort=A","Dates=H","DateFormat=P","Fill=—","Direction=H","UseDPDF=Y")</f>
        <v>685.42200000000003</v>
      </c>
      <c r="S72" s="19">
        <f>_xll.BDH("ITCI US Equity","EQTY_BEF_MINORITY_INT_DETAILED","FQ4 2022","FQ4 2022","Currency=USD","Period=FQ","BEST_FPERIOD_OVERRIDE=FQ","FILING_STATUS=MR","SCALING_FORMAT=MLN","Sort=A","Dates=H","DateFormat=P","Fill=—","Direction=H","UseDPDF=Y")</f>
        <v>656.07</v>
      </c>
      <c r="T72" s="19">
        <f>_xll.BDH("ITCI US Equity","EQTY_BEF_MINORITY_INT_DETAILED","FQ1 2023","FQ1 2023","Currency=USD","Period=FQ","BEST_FPERIOD_OVERRIDE=FQ","FILING_STATUS=MR","SCALING_FORMAT=MLN","Sort=A","Dates=H","DateFormat=P","Fill=—","Direction=H","UseDPDF=Y")</f>
        <v>627.61</v>
      </c>
      <c r="U72" s="19">
        <f>_xll.BDH("ITCI US Equity","EQTY_BEF_MINORITY_INT_DETAILED","FQ2 2023","FQ2 2023","Currency=USD","Period=FQ","BEST_FPERIOD_OVERRIDE=FQ","FILING_STATUS=MR","SCALING_FORMAT=MLN","Sort=A","Dates=H","DateFormat=P","Fill=—","Direction=H","UseDPDF=Y")</f>
        <v>607.09</v>
      </c>
      <c r="V72" s="19">
        <f>_xll.BDH("ITCI US Equity","EQTY_BEF_MINORITY_INT_DETAILED","FQ3 2023","FQ3 2023","Currency=USD","Period=FQ","BEST_FPERIOD_OVERRIDE=FQ","FILING_STATUS=MR","SCALING_FORMAT=MLN","Sort=A","Dates=H","DateFormat=P","Fill=—","Direction=H","UseDPDF=Y")</f>
        <v>600.68100000000004</v>
      </c>
      <c r="W72" s="19">
        <f>_xll.BDH("ITCI US Equity","EQTY_BEF_MINORITY_INT_DETAILED","FQ4 2023","FQ4 2023","Currency=USD","Period=FQ","BEST_FPERIOD_OVERRIDE=FQ","FILING_STATUS=MR","SCALING_FORMAT=MLN","Sort=A","Dates=H","DateFormat=P","Fill=—","Direction=H","UseDPDF=Y")</f>
        <v>591.42399999999998</v>
      </c>
      <c r="X72" s="19">
        <f>_xll.BDH("ITCI US Equity","EQTY_BEF_MINORITY_INT_DETAILED","FQ1 2024","FQ1 2024","Currency=USD","Period=FQ","BEST_FPERIOD_OVERRIDE=FQ","FILING_STATUS=MR","SCALING_FORMAT=MLN","Sort=A","Dates=H","DateFormat=P","Fill=—","Direction=H","UseDPDF=Y")</f>
        <v>599.49800000000005</v>
      </c>
      <c r="Y72" s="19">
        <f>_xll.BDH("ITCI US Equity","EQTY_BEF_MINORITY_INT_DETAILED","FQ2 2024","FQ2 2024","Currency=USD","Period=FQ","BEST_FPERIOD_OVERRIDE=FQ","FILING_STATUS=MR","SCALING_FORMAT=MLN","Sort=A","Dates=H","DateFormat=P","Fill=—","Direction=H","UseDPDF=Y")</f>
        <v>1144.6120000000001</v>
      </c>
      <c r="Z72" s="19">
        <f>_xll.BDH("ITCI US Equity","EQTY_BEF_MINORITY_INT_DETAILED","FQ3 2024","FQ3 2024","Currency=USD","Period=FQ","BEST_FPERIOD_OVERRIDE=FQ","FILING_STATUS=MR","SCALING_FORMAT=MLN","Sort=A","Dates=H","DateFormat=P","Fill=—","Direction=H","UseDPDF=Y")</f>
        <v>1144.826</v>
      </c>
      <c r="AA72" s="19">
        <f>_xll.BDH("ITCI US Equity","EQTY_BEF_MINORITY_INT_DETAILED","FQ4 2024","FQ4 2024","Currency=USD","Period=FQ","BEST_FPERIOD_OVERRIDE=FQ","FILING_STATUS=MR","SCALING_FORMAT=MLN","Sort=A","Dates=H","DateFormat=P","Fill=—","Direction=H","UseDPDF=Y")</f>
        <v>1148.46</v>
      </c>
    </row>
    <row r="73" spans="1:27" x14ac:dyDescent="0.25">
      <c r="A73" s="10" t="s">
        <v>658</v>
      </c>
      <c r="B73" s="10" t="s">
        <v>169</v>
      </c>
      <c r="C73" s="13">
        <f>_xll.BDH("ITCI US Equity","MINORITY_NONCONTROLLING_INTEREST","FQ4 2018","FQ4 2018","Currency=USD","Period=FQ","BEST_FPERIOD_OVERRIDE=FQ","FILING_STATUS=MR","SCALING_FORMAT=MLN","Sort=A","Dates=H","DateFormat=P","Fill=—","Direction=H","UseDPDF=Y")</f>
        <v>0</v>
      </c>
      <c r="D73" s="13">
        <f>_xll.BDH("ITCI US Equity","MINORITY_NONCONTROLLING_INTEREST","FQ1 2019","FQ1 2019","Currency=USD","Period=FQ","BEST_FPERIOD_OVERRIDE=FQ","FILING_STATUS=MR","SCALING_FORMAT=MLN","Sort=A","Dates=H","DateFormat=P","Fill=—","Direction=H","UseDPDF=Y")</f>
        <v>0</v>
      </c>
      <c r="E73" s="13">
        <f>_xll.BDH("ITCI US Equity","MINORITY_NONCONTROLLING_INTEREST","FQ2 2019","FQ2 2019","Currency=USD","Period=FQ","BEST_FPERIOD_OVERRIDE=FQ","FILING_STATUS=MR","SCALING_FORMAT=MLN","Sort=A","Dates=H","DateFormat=P","Fill=—","Direction=H","UseDPDF=Y")</f>
        <v>0</v>
      </c>
      <c r="F73" s="13">
        <f>_xll.BDH("ITCI US Equity","MINORITY_NONCONTROLLING_INTEREST","FQ3 2019","FQ3 2019","Currency=USD","Period=FQ","BEST_FPERIOD_OVERRIDE=FQ","FILING_STATUS=MR","SCALING_FORMAT=MLN","Sort=A","Dates=H","DateFormat=P","Fill=—","Direction=H","UseDPDF=Y")</f>
        <v>0</v>
      </c>
      <c r="G73" s="13">
        <f>_xll.BDH("ITCI US Equity","MINORITY_NONCONTROLLING_INTEREST","FQ4 2019","FQ4 2019","Currency=USD","Period=FQ","BEST_FPERIOD_OVERRIDE=FQ","FILING_STATUS=MR","SCALING_FORMAT=MLN","Sort=A","Dates=H","DateFormat=P","Fill=—","Direction=H","UseDPDF=Y")</f>
        <v>0</v>
      </c>
      <c r="H73" s="13">
        <f>_xll.BDH("ITCI US Equity","MINORITY_NONCONTROLLING_INTEREST","FQ1 2020","FQ1 2020","Currency=USD","Period=FQ","BEST_FPERIOD_OVERRIDE=FQ","FILING_STATUS=MR","SCALING_FORMAT=MLN","Sort=A","Dates=H","DateFormat=P","Fill=—","Direction=H","UseDPDF=Y")</f>
        <v>0</v>
      </c>
      <c r="I73" s="13">
        <f>_xll.BDH("ITCI US Equity","MINORITY_NONCONTROLLING_INTEREST","FQ2 2020","FQ2 2020","Currency=USD","Period=FQ","BEST_FPERIOD_OVERRIDE=FQ","FILING_STATUS=MR","SCALING_FORMAT=MLN","Sort=A","Dates=H","DateFormat=P","Fill=—","Direction=H","UseDPDF=Y")</f>
        <v>0</v>
      </c>
      <c r="J73" s="13">
        <f>_xll.BDH("ITCI US Equity","MINORITY_NONCONTROLLING_INTEREST","FQ3 2020","FQ3 2020","Currency=USD","Period=FQ","BEST_FPERIOD_OVERRIDE=FQ","FILING_STATUS=MR","SCALING_FORMAT=MLN","Sort=A","Dates=H","DateFormat=P","Fill=—","Direction=H","UseDPDF=Y")</f>
        <v>0</v>
      </c>
      <c r="K73" s="13">
        <f>_xll.BDH("ITCI US Equity","MINORITY_NONCONTROLLING_INTEREST","FQ4 2020","FQ4 2020","Currency=USD","Period=FQ","BEST_FPERIOD_OVERRIDE=FQ","FILING_STATUS=MR","SCALING_FORMAT=MLN","Sort=A","Dates=H","DateFormat=P","Fill=—","Direction=H","UseDPDF=Y")</f>
        <v>0</v>
      </c>
      <c r="L73" s="13">
        <f>_xll.BDH("ITCI US Equity","MINORITY_NONCONTROLLING_INTEREST","FQ1 2021","FQ1 2021","Currency=USD","Period=FQ","BEST_FPERIOD_OVERRIDE=FQ","FILING_STATUS=MR","SCALING_FORMAT=MLN","Sort=A","Dates=H","DateFormat=P","Fill=—","Direction=H","UseDPDF=Y")</f>
        <v>0</v>
      </c>
      <c r="M73" s="13">
        <f>_xll.BDH("ITCI US Equity","MINORITY_NONCONTROLLING_INTEREST","FQ2 2021","FQ2 2021","Currency=USD","Period=FQ","BEST_FPERIOD_OVERRIDE=FQ","FILING_STATUS=MR","SCALING_FORMAT=MLN","Sort=A","Dates=H","DateFormat=P","Fill=—","Direction=H","UseDPDF=Y")</f>
        <v>0</v>
      </c>
      <c r="N73" s="13">
        <f>_xll.BDH("ITCI US Equity","MINORITY_NONCONTROLLING_INTEREST","FQ3 2021","FQ3 2021","Currency=USD","Period=FQ","BEST_FPERIOD_OVERRIDE=FQ","FILING_STATUS=MR","SCALING_FORMAT=MLN","Sort=A","Dates=H","DateFormat=P","Fill=—","Direction=H","UseDPDF=Y")</f>
        <v>0</v>
      </c>
      <c r="O73" s="13">
        <f>_xll.BDH("ITCI US Equity","MINORITY_NONCONTROLLING_INTEREST","FQ4 2021","FQ4 2021","Currency=USD","Period=FQ","BEST_FPERIOD_OVERRIDE=FQ","FILING_STATUS=MR","SCALING_FORMAT=MLN","Sort=A","Dates=H","DateFormat=P","Fill=—","Direction=H","UseDPDF=Y")</f>
        <v>0</v>
      </c>
      <c r="P73" s="13">
        <f>_xll.BDH("ITCI US Equity","MINORITY_NONCONTROLLING_INTEREST","FQ1 2022","FQ1 2022","Currency=USD","Period=FQ","BEST_FPERIOD_OVERRIDE=FQ","FILING_STATUS=MR","SCALING_FORMAT=MLN","Sort=A","Dates=H","DateFormat=P","Fill=—","Direction=H","UseDPDF=Y")</f>
        <v>0</v>
      </c>
      <c r="Q73" s="13">
        <f>_xll.BDH("ITCI US Equity","MINORITY_NONCONTROLLING_INTEREST","FQ2 2022","FQ2 2022","Currency=USD","Period=FQ","BEST_FPERIOD_OVERRIDE=FQ","FILING_STATUS=MR","SCALING_FORMAT=MLN","Sort=A","Dates=H","DateFormat=P","Fill=—","Direction=H","UseDPDF=Y")</f>
        <v>0</v>
      </c>
      <c r="R73" s="13">
        <f>_xll.BDH("ITCI US Equity","MINORITY_NONCONTROLLING_INTEREST","FQ3 2022","FQ3 2022","Currency=USD","Period=FQ","BEST_FPERIOD_OVERRIDE=FQ","FILING_STATUS=MR","SCALING_FORMAT=MLN","Sort=A","Dates=H","DateFormat=P","Fill=—","Direction=H","UseDPDF=Y")</f>
        <v>0</v>
      </c>
      <c r="S73" s="13">
        <f>_xll.BDH("ITCI US Equity","MINORITY_NONCONTROLLING_INTEREST","FQ4 2022","FQ4 2022","Currency=USD","Period=FQ","BEST_FPERIOD_OVERRIDE=FQ","FILING_STATUS=MR","SCALING_FORMAT=MLN","Sort=A","Dates=H","DateFormat=P","Fill=—","Direction=H","UseDPDF=Y")</f>
        <v>0</v>
      </c>
      <c r="T73" s="13">
        <f>_xll.BDH("ITCI US Equity","MINORITY_NONCONTROLLING_INTEREST","FQ1 2023","FQ1 2023","Currency=USD","Period=FQ","BEST_FPERIOD_OVERRIDE=FQ","FILING_STATUS=MR","SCALING_FORMAT=MLN","Sort=A","Dates=H","DateFormat=P","Fill=—","Direction=H","UseDPDF=Y")</f>
        <v>0</v>
      </c>
      <c r="U73" s="13">
        <f>_xll.BDH("ITCI US Equity","MINORITY_NONCONTROLLING_INTEREST","FQ2 2023","FQ2 2023","Currency=USD","Period=FQ","BEST_FPERIOD_OVERRIDE=FQ","FILING_STATUS=MR","SCALING_FORMAT=MLN","Sort=A","Dates=H","DateFormat=P","Fill=—","Direction=H","UseDPDF=Y")</f>
        <v>0</v>
      </c>
      <c r="V73" s="13">
        <f>_xll.BDH("ITCI US Equity","MINORITY_NONCONTROLLING_INTEREST","FQ3 2023","FQ3 2023","Currency=USD","Period=FQ","BEST_FPERIOD_OVERRIDE=FQ","FILING_STATUS=MR","SCALING_FORMAT=MLN","Sort=A","Dates=H","DateFormat=P","Fill=—","Direction=H","UseDPDF=Y")</f>
        <v>0</v>
      </c>
      <c r="W73" s="13">
        <f>_xll.BDH("ITCI US Equity","MINORITY_NONCONTROLLING_INTEREST","FQ4 2023","FQ4 2023","Currency=USD","Period=FQ","BEST_FPERIOD_OVERRIDE=FQ","FILING_STATUS=MR","SCALING_FORMAT=MLN","Sort=A","Dates=H","DateFormat=P","Fill=—","Direction=H","UseDPDF=Y")</f>
        <v>0</v>
      </c>
      <c r="X73" s="13">
        <f>_xll.BDH("ITCI US Equity","MINORITY_NONCONTROLLING_INTEREST","FQ1 2024","FQ1 2024","Currency=USD","Period=FQ","BEST_FPERIOD_OVERRIDE=FQ","FILING_STATUS=MR","SCALING_FORMAT=MLN","Sort=A","Dates=H","DateFormat=P","Fill=—","Direction=H","UseDPDF=Y")</f>
        <v>0</v>
      </c>
      <c r="Y73" s="13">
        <f>_xll.BDH("ITCI US Equity","MINORITY_NONCONTROLLING_INTEREST","FQ2 2024","FQ2 2024","Currency=USD","Period=FQ","BEST_FPERIOD_OVERRIDE=FQ","FILING_STATUS=MR","SCALING_FORMAT=MLN","Sort=A","Dates=H","DateFormat=P","Fill=—","Direction=H","UseDPDF=Y")</f>
        <v>0</v>
      </c>
      <c r="Z73" s="13">
        <f>_xll.BDH("ITCI US Equity","MINORITY_NONCONTROLLING_INTEREST","FQ3 2024","FQ3 2024","Currency=USD","Period=FQ","BEST_FPERIOD_OVERRIDE=FQ","FILING_STATUS=MR","SCALING_FORMAT=MLN","Sort=A","Dates=H","DateFormat=P","Fill=—","Direction=H","UseDPDF=Y")</f>
        <v>0</v>
      </c>
      <c r="AA73" s="13">
        <f>_xll.BDH("ITCI US Equity","MINORITY_NONCONTROLLING_INTEREST","FQ4 2024","FQ4 2024","Currency=USD","Period=FQ","BEST_FPERIOD_OVERRIDE=FQ","FILING_STATUS=MR","SCALING_FORMAT=MLN","Sort=A","Dates=H","DateFormat=P","Fill=—","Direction=H","UseDPDF=Y")</f>
        <v>0</v>
      </c>
    </row>
    <row r="74" spans="1:27" x14ac:dyDescent="0.25">
      <c r="A74" s="6" t="s">
        <v>118</v>
      </c>
      <c r="B74" s="6" t="s">
        <v>119</v>
      </c>
      <c r="C74" s="19">
        <f>_xll.BDH("ITCI US Equity","TOTAL_EQUITY","FQ4 2018","FQ4 2018","Currency=USD","Period=FQ","BEST_FPERIOD_OVERRIDE=FQ","FILING_STATUS=MR","SCALING_FORMAT=MLN","Sort=A","Dates=H","DateFormat=P","Fill=—","Direction=H","UseDPDF=Y")</f>
        <v>317.7149</v>
      </c>
      <c r="D74" s="19">
        <f>_xll.BDH("ITCI US Equity","TOTAL_EQUITY","FQ1 2019","FQ1 2019","Currency=USD","Period=FQ","BEST_FPERIOD_OVERRIDE=FQ","FILING_STATUS=MR","SCALING_FORMAT=MLN","Sort=A","Dates=H","DateFormat=P","Fill=—","Direction=H","UseDPDF=Y")</f>
        <v>288.61439999999999</v>
      </c>
      <c r="E74" s="19">
        <f>_xll.BDH("ITCI US Equity","TOTAL_EQUITY","FQ2 2019","FQ2 2019","Currency=USD","Period=FQ","BEST_FPERIOD_OVERRIDE=FQ","FILING_STATUS=MR","SCALING_FORMAT=MLN","Sort=A","Dates=H","DateFormat=P","Fill=—","Direction=H","UseDPDF=Y")</f>
        <v>256.76839999999999</v>
      </c>
      <c r="F74" s="19">
        <f>_xll.BDH("ITCI US Equity","TOTAL_EQUITY","FQ3 2019","FQ3 2019","Currency=USD","Period=FQ","BEST_FPERIOD_OVERRIDE=FQ","FILING_STATUS=MR","SCALING_FORMAT=MLN","Sort=A","Dates=H","DateFormat=P","Fill=—","Direction=H","UseDPDF=Y")</f>
        <v>226.88030000000001</v>
      </c>
      <c r="G74" s="19">
        <f>_xll.BDH("ITCI US Equity","TOTAL_EQUITY","FQ4 2019","FQ4 2019","Currency=USD","Period=FQ","BEST_FPERIOD_OVERRIDE=FQ","FILING_STATUS=MR","SCALING_FORMAT=MLN","Sort=A","Dates=H","DateFormat=P","Fill=—","Direction=H","UseDPDF=Y")</f>
        <v>195.00729999999999</v>
      </c>
      <c r="H74" s="19">
        <f>_xll.BDH("ITCI US Equity","TOTAL_EQUITY","FQ1 2020","FQ1 2020","Currency=USD","Period=FQ","BEST_FPERIOD_OVERRIDE=FQ","FILING_STATUS=MR","SCALING_FORMAT=MLN","Sort=A","Dates=H","DateFormat=P","Fill=—","Direction=H","UseDPDF=Y")</f>
        <v>430.44830000000002</v>
      </c>
      <c r="I74" s="19">
        <f>_xll.BDH("ITCI US Equity","TOTAL_EQUITY","FQ2 2020","FQ2 2020","Currency=USD","Period=FQ","BEST_FPERIOD_OVERRIDE=FQ","FILING_STATUS=MR","SCALING_FORMAT=MLN","Sort=A","Dates=H","DateFormat=P","Fill=—","Direction=H","UseDPDF=Y")</f>
        <v>379.5299</v>
      </c>
      <c r="J74" s="19">
        <f>_xll.BDH("ITCI US Equity","TOTAL_EQUITY","FQ3 2020","FQ3 2020","Currency=USD","Period=FQ","BEST_FPERIOD_OVERRIDE=FQ","FILING_STATUS=MR","SCALING_FORMAT=MLN","Sort=A","Dates=H","DateFormat=P","Fill=—","Direction=H","UseDPDF=Y")</f>
        <v>709.39549999999997</v>
      </c>
      <c r="K74" s="19">
        <f>_xll.BDH("ITCI US Equity","TOTAL_EQUITY","FQ4 2020","FQ4 2020","Currency=USD","Period=FQ","BEST_FPERIOD_OVERRIDE=FQ","FILING_STATUS=MR","SCALING_FORMAT=MLN","Sort=A","Dates=H","DateFormat=P","Fill=—","Direction=H","UseDPDF=Y")</f>
        <v>656.86009999999999</v>
      </c>
      <c r="L74" s="19">
        <f>_xll.BDH("ITCI US Equity","TOTAL_EQUITY","FQ1 2021","FQ1 2021","Currency=USD","Period=FQ","BEST_FPERIOD_OVERRIDE=FQ","FILING_STATUS=MR","SCALING_FORMAT=MLN","Sort=A","Dates=H","DateFormat=P","Fill=—","Direction=H","UseDPDF=Y")</f>
        <v>612.14980000000003</v>
      </c>
      <c r="M74" s="19">
        <f>_xll.BDH("ITCI US Equity","TOTAL_EQUITY","FQ2 2021","FQ2 2021","Currency=USD","Period=FQ","BEST_FPERIOD_OVERRIDE=FQ","FILING_STATUS=MR","SCALING_FORMAT=MLN","Sort=A","Dates=H","DateFormat=P","Fill=—","Direction=H","UseDPDF=Y")</f>
        <v>553.58590000000004</v>
      </c>
      <c r="N74" s="19">
        <f>_xll.BDH("ITCI US Equity","TOTAL_EQUITY","FQ3 2021","FQ3 2021","Currency=USD","Period=FQ","BEST_FPERIOD_OVERRIDE=FQ","FILING_STATUS=MR","SCALING_FORMAT=MLN","Sort=A","Dates=H","DateFormat=P","Fill=—","Direction=H","UseDPDF=Y")</f>
        <v>486.75630000000001</v>
      </c>
      <c r="O74" s="19">
        <f>_xll.BDH("ITCI US Equity","TOTAL_EQUITY","FQ4 2021","FQ4 2021","Currency=USD","Period=FQ","BEST_FPERIOD_OVERRIDE=FQ","FILING_STATUS=MR","SCALING_FORMAT=MLN","Sort=A","Dates=H","DateFormat=P","Fill=—","Direction=H","UseDPDF=Y")</f>
        <v>417.89069999999998</v>
      </c>
      <c r="P74" s="19">
        <f>_xll.BDH("ITCI US Equity","TOTAL_EQUITY","FQ1 2022","FQ1 2022","Currency=USD","Period=FQ","BEST_FPERIOD_OVERRIDE=FQ","FILING_STATUS=MR","SCALING_FORMAT=MLN","Sort=A","Dates=H","DateFormat=P","Fill=—","Direction=H","UseDPDF=Y")</f>
        <v>792.75</v>
      </c>
      <c r="Q74" s="19">
        <f>_xll.BDH("ITCI US Equity","TOTAL_EQUITY","FQ2 2022","FQ2 2022","Currency=USD","Period=FQ","BEST_FPERIOD_OVERRIDE=FQ","FILING_STATUS=MR","SCALING_FORMAT=MLN","Sort=A","Dates=H","DateFormat=P","Fill=—","Direction=H","UseDPDF=Y")</f>
        <v>722.197</v>
      </c>
      <c r="R74" s="19">
        <f>_xll.BDH("ITCI US Equity","TOTAL_EQUITY","FQ3 2022","FQ3 2022","Currency=USD","Period=FQ","BEST_FPERIOD_OVERRIDE=FQ","FILING_STATUS=MR","SCALING_FORMAT=MLN","Sort=A","Dates=H","DateFormat=P","Fill=—","Direction=H","UseDPDF=Y")</f>
        <v>685.42200000000003</v>
      </c>
      <c r="S74" s="19">
        <f>_xll.BDH("ITCI US Equity","TOTAL_EQUITY","FQ4 2022","FQ4 2022","Currency=USD","Period=FQ","BEST_FPERIOD_OVERRIDE=FQ","FILING_STATUS=MR","SCALING_FORMAT=MLN","Sort=A","Dates=H","DateFormat=P","Fill=—","Direction=H","UseDPDF=Y")</f>
        <v>656.07</v>
      </c>
      <c r="T74" s="19">
        <f>_xll.BDH("ITCI US Equity","TOTAL_EQUITY","FQ1 2023","FQ1 2023","Currency=USD","Period=FQ","BEST_FPERIOD_OVERRIDE=FQ","FILING_STATUS=MR","SCALING_FORMAT=MLN","Sort=A","Dates=H","DateFormat=P","Fill=—","Direction=H","UseDPDF=Y")</f>
        <v>627.61</v>
      </c>
      <c r="U74" s="19">
        <f>_xll.BDH("ITCI US Equity","TOTAL_EQUITY","FQ2 2023","FQ2 2023","Currency=USD","Period=FQ","BEST_FPERIOD_OVERRIDE=FQ","FILING_STATUS=MR","SCALING_FORMAT=MLN","Sort=A","Dates=H","DateFormat=P","Fill=—","Direction=H","UseDPDF=Y")</f>
        <v>607.09</v>
      </c>
      <c r="V74" s="19">
        <f>_xll.BDH("ITCI US Equity","TOTAL_EQUITY","FQ3 2023","FQ3 2023","Currency=USD","Period=FQ","BEST_FPERIOD_OVERRIDE=FQ","FILING_STATUS=MR","SCALING_FORMAT=MLN","Sort=A","Dates=H","DateFormat=P","Fill=—","Direction=H","UseDPDF=Y")</f>
        <v>600.68100000000004</v>
      </c>
      <c r="W74" s="19">
        <f>_xll.BDH("ITCI US Equity","TOTAL_EQUITY","FQ4 2023","FQ4 2023","Currency=USD","Period=FQ","BEST_FPERIOD_OVERRIDE=FQ","FILING_STATUS=MR","SCALING_FORMAT=MLN","Sort=A","Dates=H","DateFormat=P","Fill=—","Direction=H","UseDPDF=Y")</f>
        <v>591.42399999999998</v>
      </c>
      <c r="X74" s="19">
        <f>_xll.BDH("ITCI US Equity","TOTAL_EQUITY","FQ1 2024","FQ1 2024","Currency=USD","Period=FQ","BEST_FPERIOD_OVERRIDE=FQ","FILING_STATUS=MR","SCALING_FORMAT=MLN","Sort=A","Dates=H","DateFormat=P","Fill=—","Direction=H","UseDPDF=Y")</f>
        <v>599.49800000000005</v>
      </c>
      <c r="Y74" s="19">
        <f>_xll.BDH("ITCI US Equity","TOTAL_EQUITY","FQ2 2024","FQ2 2024","Currency=USD","Period=FQ","BEST_FPERIOD_OVERRIDE=FQ","FILING_STATUS=MR","SCALING_FORMAT=MLN","Sort=A","Dates=H","DateFormat=P","Fill=—","Direction=H","UseDPDF=Y")</f>
        <v>1144.6120000000001</v>
      </c>
      <c r="Z74" s="19">
        <f>_xll.BDH("ITCI US Equity","TOTAL_EQUITY","FQ3 2024","FQ3 2024","Currency=USD","Period=FQ","BEST_FPERIOD_OVERRIDE=FQ","FILING_STATUS=MR","SCALING_FORMAT=MLN","Sort=A","Dates=H","DateFormat=P","Fill=—","Direction=H","UseDPDF=Y")</f>
        <v>1144.826</v>
      </c>
      <c r="AA74" s="19">
        <f>_xll.BDH("ITCI US Equity","TOTAL_EQUITY","FQ4 2024","FQ4 2024","Currency=USD","Period=FQ","BEST_FPERIOD_OVERRIDE=FQ","FILING_STATUS=MR","SCALING_FORMAT=MLN","Sort=A","Dates=H","DateFormat=P","Fill=—","Direction=H","UseDPDF=Y")</f>
        <v>1148.46</v>
      </c>
    </row>
    <row r="75" spans="1:27" x14ac:dyDescent="0.25">
      <c r="A75" s="6" t="s">
        <v>659</v>
      </c>
      <c r="B75" s="6" t="s">
        <v>660</v>
      </c>
      <c r="C75" s="19">
        <f>_xll.BDH("ITCI US Equity","TOT_LIAB_AND_EQY","FQ4 2018","FQ4 2018","Currency=USD","Period=FQ","BEST_FPERIOD_OVERRIDE=FQ","FILING_STATUS=MR","SCALING_FORMAT=MLN","Sort=A","Dates=H","DateFormat=P","Fill=—","Direction=H","UseDPDF=Y")</f>
        <v>357.20650000000001</v>
      </c>
      <c r="D75" s="19">
        <f>_xll.BDH("ITCI US Equity","TOT_LIAB_AND_EQY","FQ1 2019","FQ1 2019","Currency=USD","Period=FQ","BEST_FPERIOD_OVERRIDE=FQ","FILING_STATUS=MR","SCALING_FORMAT=MLN","Sort=A","Dates=H","DateFormat=P","Fill=—","Direction=H","UseDPDF=Y")</f>
        <v>342.97280000000001</v>
      </c>
      <c r="E75" s="19">
        <f>_xll.BDH("ITCI US Equity","TOT_LIAB_AND_EQY","FQ2 2019","FQ2 2019","Currency=USD","Period=FQ","BEST_FPERIOD_OVERRIDE=FQ","FILING_STATUS=MR","SCALING_FORMAT=MLN","Sort=A","Dates=H","DateFormat=P","Fill=—","Direction=H","UseDPDF=Y")</f>
        <v>309.86259999999999</v>
      </c>
      <c r="F75" s="19">
        <f>_xll.BDH("ITCI US Equity","TOT_LIAB_AND_EQY","FQ3 2019","FQ3 2019","Currency=USD","Period=FQ","BEST_FPERIOD_OVERRIDE=FQ","FILING_STATUS=MR","SCALING_FORMAT=MLN","Sort=A","Dates=H","DateFormat=P","Fill=—","Direction=H","UseDPDF=Y")</f>
        <v>280.52300000000002</v>
      </c>
      <c r="G75" s="19">
        <f>_xll.BDH("ITCI US Equity","TOT_LIAB_AND_EQY","FQ4 2019","FQ4 2019","Currency=USD","Period=FQ","BEST_FPERIOD_OVERRIDE=FQ","FILING_STATUS=MR","SCALING_FORMAT=MLN","Sort=A","Dates=H","DateFormat=P","Fill=—","Direction=H","UseDPDF=Y")</f>
        <v>251.1865</v>
      </c>
      <c r="H75" s="19">
        <f>_xll.BDH("ITCI US Equity","TOT_LIAB_AND_EQY","FQ1 2020","FQ1 2020","Currency=USD","Period=FQ","BEST_FPERIOD_OVERRIDE=FQ","FILING_STATUS=MR","SCALING_FORMAT=MLN","Sort=A","Dates=H","DateFormat=P","Fill=—","Direction=H","UseDPDF=Y")</f>
        <v>481.24270000000001</v>
      </c>
      <c r="I75" s="19">
        <f>_xll.BDH("ITCI US Equity","TOT_LIAB_AND_EQY","FQ2 2020","FQ2 2020","Currency=USD","Period=FQ","BEST_FPERIOD_OVERRIDE=FQ","FILING_STATUS=MR","SCALING_FORMAT=MLN","Sort=A","Dates=H","DateFormat=P","Fill=—","Direction=H","UseDPDF=Y")</f>
        <v>440.93079999999998</v>
      </c>
      <c r="J75" s="19">
        <f>_xll.BDH("ITCI US Equity","TOT_LIAB_AND_EQY","FQ3 2020","FQ3 2020","Currency=USD","Period=FQ","BEST_FPERIOD_OVERRIDE=FQ","FILING_STATUS=MR","SCALING_FORMAT=MLN","Sort=A","Dates=H","DateFormat=P","Fill=—","Direction=H","UseDPDF=Y")</f>
        <v>771.29380000000003</v>
      </c>
      <c r="K75" s="19">
        <f>_xll.BDH("ITCI US Equity","TOT_LIAB_AND_EQY","FQ4 2020","FQ4 2020","Currency=USD","Period=FQ","BEST_FPERIOD_OVERRIDE=FQ","FILING_STATUS=MR","SCALING_FORMAT=MLN","Sort=A","Dates=H","DateFormat=P","Fill=—","Direction=H","UseDPDF=Y")</f>
        <v>717.31370000000004</v>
      </c>
      <c r="L75" s="19">
        <f>_xll.BDH("ITCI US Equity","TOT_LIAB_AND_EQY","FQ1 2021","FQ1 2021","Currency=USD","Period=FQ","BEST_FPERIOD_OVERRIDE=FQ","FILING_STATUS=MR","SCALING_FORMAT=MLN","Sort=A","Dates=H","DateFormat=P","Fill=—","Direction=H","UseDPDF=Y")</f>
        <v>674.48860000000002</v>
      </c>
      <c r="M75" s="19">
        <f>_xll.BDH("ITCI US Equity","TOT_LIAB_AND_EQY","FQ2 2021","FQ2 2021","Currency=USD","Period=FQ","BEST_FPERIOD_OVERRIDE=FQ","FILING_STATUS=MR","SCALING_FORMAT=MLN","Sort=A","Dates=H","DateFormat=P","Fill=—","Direction=H","UseDPDF=Y")</f>
        <v>625.69669999999996</v>
      </c>
      <c r="N75" s="19">
        <f>_xll.BDH("ITCI US Equity","TOT_LIAB_AND_EQY","FQ3 2021","FQ3 2021","Currency=USD","Period=FQ","BEST_FPERIOD_OVERRIDE=FQ","FILING_STATUS=MR","SCALING_FORMAT=MLN","Sort=A","Dates=H","DateFormat=P","Fill=—","Direction=H","UseDPDF=Y")</f>
        <v>556.97569999999996</v>
      </c>
      <c r="O75" s="19">
        <f>_xll.BDH("ITCI US Equity","TOT_LIAB_AND_EQY","FQ4 2021","FQ4 2021","Currency=USD","Period=FQ","BEST_FPERIOD_OVERRIDE=FQ","FILING_STATUS=MR","SCALING_FORMAT=MLN","Sort=A","Dates=H","DateFormat=P","Fill=—","Direction=H","UseDPDF=Y")</f>
        <v>489.9221</v>
      </c>
      <c r="P75" s="19">
        <f>_xll.BDH("ITCI US Equity","TOT_LIAB_AND_EQY","FQ1 2022","FQ1 2022","Currency=USD","Period=FQ","BEST_FPERIOD_OVERRIDE=FQ","FILING_STATUS=MR","SCALING_FORMAT=MLN","Sort=A","Dates=H","DateFormat=P","Fill=—","Direction=H","UseDPDF=Y")</f>
        <v>868.58</v>
      </c>
      <c r="Q75" s="19">
        <f>_xll.BDH("ITCI US Equity","TOT_LIAB_AND_EQY","FQ2 2022","FQ2 2022","Currency=USD","Period=FQ","BEST_FPERIOD_OVERRIDE=FQ","FILING_STATUS=MR","SCALING_FORMAT=MLN","Sort=A","Dates=H","DateFormat=P","Fill=—","Direction=H","UseDPDF=Y")</f>
        <v>811.90599999999995</v>
      </c>
      <c r="R75" s="19">
        <f>_xll.BDH("ITCI US Equity","TOT_LIAB_AND_EQY","FQ3 2022","FQ3 2022","Currency=USD","Period=FQ","BEST_FPERIOD_OVERRIDE=FQ","FILING_STATUS=MR","SCALING_FORMAT=MLN","Sort=A","Dates=H","DateFormat=P","Fill=—","Direction=H","UseDPDF=Y")</f>
        <v>781.99900000000002</v>
      </c>
      <c r="S75" s="19">
        <f>_xll.BDH("ITCI US Equity","TOT_LIAB_AND_EQY","FQ4 2022","FQ4 2022","Currency=USD","Period=FQ","BEST_FPERIOD_OVERRIDE=FQ","FILING_STATUS=MR","SCALING_FORMAT=MLN","Sort=A","Dates=H","DateFormat=P","Fill=—","Direction=H","UseDPDF=Y")</f>
        <v>754.78</v>
      </c>
      <c r="T75" s="19">
        <f>_xll.BDH("ITCI US Equity","TOT_LIAB_AND_EQY","FQ1 2023","FQ1 2023","Currency=USD","Period=FQ","BEST_FPERIOD_OVERRIDE=FQ","FILING_STATUS=MR","SCALING_FORMAT=MLN","Sort=A","Dates=H","DateFormat=P","Fill=—","Direction=H","UseDPDF=Y")</f>
        <v>722.15800000000002</v>
      </c>
      <c r="U75" s="19">
        <f>_xll.BDH("ITCI US Equity","TOT_LIAB_AND_EQY","FQ2 2023","FQ2 2023","Currency=USD","Period=FQ","BEST_FPERIOD_OVERRIDE=FQ","FILING_STATUS=MR","SCALING_FORMAT=MLN","Sort=A","Dates=H","DateFormat=P","Fill=—","Direction=H","UseDPDF=Y")</f>
        <v>713.60199999999998</v>
      </c>
      <c r="V75" s="19">
        <f>_xll.BDH("ITCI US Equity","TOT_LIAB_AND_EQY","FQ3 2023","FQ3 2023","Currency=USD","Period=FQ","BEST_FPERIOD_OVERRIDE=FQ","FILING_STATUS=MR","SCALING_FORMAT=MLN","Sort=A","Dates=H","DateFormat=P","Fill=—","Direction=H","UseDPDF=Y")</f>
        <v>717.66399999999999</v>
      </c>
      <c r="W75" s="19">
        <f>_xll.BDH("ITCI US Equity","TOT_LIAB_AND_EQY","FQ4 2023","FQ4 2023","Currency=USD","Period=FQ","BEST_FPERIOD_OVERRIDE=FQ","FILING_STATUS=MR","SCALING_FORMAT=MLN","Sort=A","Dates=H","DateFormat=P","Fill=—","Direction=H","UseDPDF=Y")</f>
        <v>728.29499999999996</v>
      </c>
      <c r="X75" s="19">
        <f>_xll.BDH("ITCI US Equity","TOT_LIAB_AND_EQY","FQ1 2024","FQ1 2024","Currency=USD","Period=FQ","BEST_FPERIOD_OVERRIDE=FQ","FILING_STATUS=MR","SCALING_FORMAT=MLN","Sort=A","Dates=H","DateFormat=P","Fill=—","Direction=H","UseDPDF=Y")</f>
        <v>747.03599999999994</v>
      </c>
      <c r="Y75" s="19">
        <f>_xll.BDH("ITCI US Equity","TOT_LIAB_AND_EQY","FQ2 2024","FQ2 2024","Currency=USD","Period=FQ","BEST_FPERIOD_OVERRIDE=FQ","FILING_STATUS=MR","SCALING_FORMAT=MLN","Sort=A","Dates=H","DateFormat=P","Fill=—","Direction=H","UseDPDF=Y")</f>
        <v>1320.5039999999999</v>
      </c>
      <c r="Z75" s="19">
        <f>_xll.BDH("ITCI US Equity","TOT_LIAB_AND_EQY","FQ3 2024","FQ3 2024","Currency=USD","Period=FQ","BEST_FPERIOD_OVERRIDE=FQ","FILING_STATUS=MR","SCALING_FORMAT=MLN","Sort=A","Dates=H","DateFormat=P","Fill=—","Direction=H","UseDPDF=Y")</f>
        <v>1324.4449999999999</v>
      </c>
      <c r="AA75" s="19">
        <f>_xll.BDH("ITCI US Equity","TOT_LIAB_AND_EQY","FQ4 2024","FQ4 2024","Currency=USD","Period=FQ","BEST_FPERIOD_OVERRIDE=FQ","FILING_STATUS=MR","SCALING_FORMAT=MLN","Sort=A","Dates=H","DateFormat=P","Fill=—","Direction=H","UseDPDF=Y")</f>
        <v>1366.912</v>
      </c>
    </row>
    <row r="76" spans="1:27" x14ac:dyDescent="0.25">
      <c r="A76" s="6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 x14ac:dyDescent="0.25">
      <c r="A77" s="6" t="s">
        <v>4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 x14ac:dyDescent="0.25">
      <c r="A78" s="10" t="s">
        <v>350</v>
      </c>
      <c r="B78" s="10" t="s">
        <v>351</v>
      </c>
      <c r="C78" s="12" t="s">
        <v>352</v>
      </c>
      <c r="D78" s="12" t="s">
        <v>352</v>
      </c>
      <c r="E78" s="12" t="s">
        <v>352</v>
      </c>
      <c r="F78" s="12" t="s">
        <v>352</v>
      </c>
      <c r="G78" s="12" t="s">
        <v>352</v>
      </c>
      <c r="H78" s="12" t="s">
        <v>352</v>
      </c>
      <c r="I78" s="12" t="s">
        <v>352</v>
      </c>
      <c r="J78" s="12" t="s">
        <v>352</v>
      </c>
      <c r="K78" s="12" t="s">
        <v>352</v>
      </c>
      <c r="L78" s="12" t="s">
        <v>352</v>
      </c>
      <c r="M78" s="12" t="s">
        <v>352</v>
      </c>
      <c r="N78" s="12" t="s">
        <v>352</v>
      </c>
      <c r="O78" s="12" t="s">
        <v>352</v>
      </c>
      <c r="P78" s="12" t="s">
        <v>352</v>
      </c>
      <c r="Q78" s="12" t="s">
        <v>352</v>
      </c>
      <c r="R78" s="12" t="s">
        <v>352</v>
      </c>
      <c r="S78" s="12" t="s">
        <v>352</v>
      </c>
      <c r="T78" s="12" t="s">
        <v>352</v>
      </c>
      <c r="U78" s="12" t="s">
        <v>352</v>
      </c>
      <c r="V78" s="12" t="s">
        <v>352</v>
      </c>
      <c r="W78" s="12" t="s">
        <v>352</v>
      </c>
      <c r="X78" s="12" t="s">
        <v>352</v>
      </c>
      <c r="Y78" s="12" t="s">
        <v>352</v>
      </c>
      <c r="Z78" s="12" t="s">
        <v>352</v>
      </c>
      <c r="AA78" s="12" t="s">
        <v>352</v>
      </c>
    </row>
    <row r="79" spans="1:27" x14ac:dyDescent="0.25">
      <c r="A79" s="10" t="s">
        <v>661</v>
      </c>
      <c r="B79" s="10" t="s">
        <v>121</v>
      </c>
      <c r="C79" s="13">
        <f>_xll.BDH("ITCI US Equity","BS_SH_OUT","FQ4 2018","FQ4 2018","Currency=USD","Period=FQ","BEST_FPERIOD_OVERRIDE=FQ","FILING_STATUS=MR","Sort=A","Dates=H","DateFormat=P","Fill=—","Direction=H","UseDPDF=Y")</f>
        <v>54.895299999999999</v>
      </c>
      <c r="D79" s="13">
        <f>_xll.BDH("ITCI US Equity","BS_SH_OUT","FQ1 2019","FQ1 2019","Currency=USD","Period=FQ","BEST_FPERIOD_OVERRIDE=FQ","FILING_STATUS=MR","Sort=A","Dates=H","DateFormat=P","Fill=—","Direction=H","UseDPDF=Y")</f>
        <v>55.131100000000004</v>
      </c>
      <c r="E79" s="13">
        <f>_xll.BDH("ITCI US Equity","BS_SH_OUT","FQ2 2019","FQ2 2019","Currency=USD","Period=FQ","BEST_FPERIOD_OVERRIDE=FQ","FILING_STATUS=MR","Sort=A","Dates=H","DateFormat=P","Fill=—","Direction=H","UseDPDF=Y")</f>
        <v>55.186700000000002</v>
      </c>
      <c r="F79" s="13">
        <f>_xll.BDH("ITCI US Equity","BS_SH_OUT","FQ3 2019","FQ3 2019","Currency=USD","Period=FQ","BEST_FPERIOD_OVERRIDE=FQ","FILING_STATUS=MR","Sort=A","Dates=H","DateFormat=P","Fill=—","Direction=H","UseDPDF=Y")</f>
        <v>55.247599999999998</v>
      </c>
      <c r="G79" s="13">
        <f>_xll.BDH("ITCI US Equity","BS_SH_OUT","FQ4 2019","FQ4 2019","Currency=USD","Period=FQ","BEST_FPERIOD_OVERRIDE=FQ","FILING_STATUS=MR","Sort=A","Dates=H","DateFormat=P","Fill=—","Direction=H","UseDPDF=Y")</f>
        <v>55.5075</v>
      </c>
      <c r="H79" s="13">
        <f>_xll.BDH("ITCI US Equity","BS_SH_OUT","FQ1 2020","FQ1 2020","Currency=USD","Period=FQ","BEST_FPERIOD_OVERRIDE=FQ","FILING_STATUS=MR","Sort=A","Dates=H","DateFormat=P","Fill=—","Direction=H","UseDPDF=Y")</f>
        <v>66.200800000000001</v>
      </c>
      <c r="I79" s="13">
        <f>_xll.BDH("ITCI US Equity","BS_SH_OUT","FQ2 2020","FQ2 2020","Currency=USD","Period=FQ","BEST_FPERIOD_OVERRIDE=FQ","FILING_STATUS=MR","Sort=A","Dates=H","DateFormat=P","Fill=—","Direction=H","UseDPDF=Y")</f>
        <v>66.777699999999996</v>
      </c>
      <c r="J79" s="13">
        <f>_xll.BDH("ITCI US Equity","BS_SH_OUT","FQ3 2020","FQ3 2020","Currency=USD","Period=FQ","BEST_FPERIOD_OVERRIDE=FQ","FILING_STATUS=MR","Sort=A","Dates=H","DateFormat=P","Fill=—","Direction=H","UseDPDF=Y")</f>
        <v>80.142799999999994</v>
      </c>
      <c r="K79" s="13">
        <f>_xll.BDH("ITCI US Equity","BS_SH_OUT","FQ4 2020","FQ4 2020","Currency=USD","Period=FQ","BEST_FPERIOD_OVERRIDE=FQ","FILING_STATUS=MR","Sort=A","Dates=H","DateFormat=P","Fill=—","Direction=H","UseDPDF=Y")</f>
        <v>80.463099999999997</v>
      </c>
      <c r="L79" s="13">
        <f>_xll.BDH("ITCI US Equity","BS_SH_OUT","FQ1 2021","FQ1 2021","Currency=USD","Period=FQ","BEST_FPERIOD_OVERRIDE=FQ","FILING_STATUS=MR","Sort=A","Dates=H","DateFormat=P","Fill=—","Direction=H","UseDPDF=Y")</f>
        <v>81.133799999999994</v>
      </c>
      <c r="M79" s="13">
        <f>_xll.BDH("ITCI US Equity","BS_SH_OUT","FQ2 2021","FQ2 2021","Currency=USD","Period=FQ","BEST_FPERIOD_OVERRIDE=FQ","FILING_STATUS=MR","Sort=A","Dates=H","DateFormat=P","Fill=—","Direction=H","UseDPDF=Y")</f>
        <v>81.311899999999994</v>
      </c>
      <c r="N79" s="13">
        <f>_xll.BDH("ITCI US Equity","BS_SH_OUT","FQ3 2021","FQ3 2021","Currency=USD","Period=FQ","BEST_FPERIOD_OVERRIDE=FQ","FILING_STATUS=MR","Sort=A","Dates=H","DateFormat=P","Fill=—","Direction=H","UseDPDF=Y")</f>
        <v>81.377399999999994</v>
      </c>
      <c r="O79" s="13">
        <f>_xll.BDH("ITCI US Equity","BS_SH_OUT","FQ4 2021","FQ4 2021","Currency=USD","Period=FQ","BEST_FPERIOD_OVERRIDE=FQ","FILING_STATUS=MR","Sort=A","Dates=H","DateFormat=P","Fill=—","Direction=H","UseDPDF=Y")</f>
        <v>81.887</v>
      </c>
      <c r="P79" s="13">
        <f>_xll.BDH("ITCI US Equity","BS_SH_OUT","FQ1 2022","FQ1 2022","Currency=USD","Period=FQ","BEST_FPERIOD_OVERRIDE=FQ","FILING_STATUS=MR","Sort=A","Dates=H","DateFormat=P","Fill=—","Direction=H","UseDPDF=Y")</f>
        <v>94.020399999999995</v>
      </c>
      <c r="Q79" s="13">
        <f>_xll.BDH("ITCI US Equity","BS_SH_OUT","FQ2 2022","FQ2 2022","Currency=USD","Period=FQ","BEST_FPERIOD_OVERRIDE=FQ","FILING_STATUS=MR","Sort=A","Dates=H","DateFormat=P","Fill=—","Direction=H","UseDPDF=Y")</f>
        <v>94.367199999999997</v>
      </c>
      <c r="R79" s="13">
        <f>_xll.BDH("ITCI US Equity","BS_SH_OUT","FQ3 2022","FQ3 2022","Currency=USD","Period=FQ","BEST_FPERIOD_OVERRIDE=FQ","FILING_STATUS=MR","Sort=A","Dates=H","DateFormat=P","Fill=—","Direction=H","UseDPDF=Y")</f>
        <v>94.701700000000002</v>
      </c>
      <c r="S79" s="13">
        <f>_xll.BDH("ITCI US Equity","BS_SH_OUT","FQ4 2022","FQ4 2022","Currency=USD","Period=FQ","BEST_FPERIOD_OVERRIDE=FQ","FILING_STATUS=MR","Sort=A","Dates=H","DateFormat=P","Fill=—","Direction=H","UseDPDF=Y")</f>
        <v>94.829800000000006</v>
      </c>
      <c r="T79" s="13">
        <f>_xll.BDH("ITCI US Equity","BS_SH_OUT","FQ1 2023","FQ1 2023","Currency=USD","Period=FQ","BEST_FPERIOD_OVERRIDE=FQ","FILING_STATUS=MR","Sort=A","Dates=H","DateFormat=P","Fill=—","Direction=H","UseDPDF=Y")</f>
        <v>95.68</v>
      </c>
      <c r="U79" s="13">
        <f>_xll.BDH("ITCI US Equity","BS_SH_OUT","FQ2 2023","FQ2 2023","Currency=USD","Period=FQ","BEST_FPERIOD_OVERRIDE=FQ","FILING_STATUS=MR","Sort=A","Dates=H","DateFormat=P","Fill=—","Direction=H","UseDPDF=Y")</f>
        <v>96.083399999999997</v>
      </c>
      <c r="V79" s="13">
        <f>_xll.BDH("ITCI US Equity","BS_SH_OUT","FQ3 2023","FQ3 2023","Currency=USD","Period=FQ","BEST_FPERIOD_OVERRIDE=FQ","FILING_STATUS=MR","Sort=A","Dates=H","DateFormat=P","Fill=—","Direction=H","UseDPDF=Y")</f>
        <v>96.2256</v>
      </c>
      <c r="W79" s="13">
        <f>_xll.BDH("ITCI US Equity","BS_SH_OUT","FQ4 2023","FQ4 2023","Currency=USD","Period=FQ","BEST_FPERIOD_OVERRIDE=FQ","FILING_STATUS=MR","Sort=A","Dates=H","DateFormat=P","Fill=—","Direction=H","UseDPDF=Y")</f>
        <v>96.379800000000003</v>
      </c>
      <c r="X79" s="13">
        <f>_xll.BDH("ITCI US Equity","BS_SH_OUT","FQ1 2024","FQ1 2024","Currency=USD","Period=FQ","BEST_FPERIOD_OVERRIDE=FQ","FILING_STATUS=MR","Sort=A","Dates=H","DateFormat=P","Fill=—","Direction=H","UseDPDF=Y")</f>
        <v>97.477800000000002</v>
      </c>
      <c r="Y79" s="13">
        <f>_xll.BDH("ITCI US Equity","BS_SH_OUT","FQ2 2024","FQ2 2024","Currency=USD","Period=FQ","BEST_FPERIOD_OVERRIDE=FQ","FILING_STATUS=MR","Sort=A","Dates=H","DateFormat=P","Fill=—","Direction=H","UseDPDF=Y")</f>
        <v>105.6249</v>
      </c>
      <c r="Z79" s="13">
        <f>_xll.BDH("ITCI US Equity","BS_SH_OUT","FQ3 2024","FQ3 2024","Currency=USD","Period=FQ","BEST_FPERIOD_OVERRIDE=FQ","FILING_STATUS=MR","Sort=A","Dates=H","DateFormat=P","Fill=—","Direction=H","UseDPDF=Y")</f>
        <v>105.9988</v>
      </c>
      <c r="AA79" s="13">
        <f>_xll.BDH("ITCI US Equity","BS_SH_OUT","FQ4 2024","FQ4 2024","Currency=USD","Period=FQ","BEST_FPERIOD_OVERRIDE=FQ","FILING_STATUS=MR","Sort=A","Dates=H","DateFormat=P","Fill=—","Direction=H","UseDPDF=Y")</f>
        <v>106.24</v>
      </c>
    </row>
    <row r="80" spans="1:27" x14ac:dyDescent="0.25">
      <c r="A80" s="10" t="s">
        <v>662</v>
      </c>
      <c r="B80" s="10" t="s">
        <v>663</v>
      </c>
      <c r="C80" s="13">
        <f>_xll.BDH("ITCI US Equity","BS_NUM_OF_TSY_SH","FQ4 2018","FQ4 2018","Currency=USD","Period=FQ","BEST_FPERIOD_OVERRIDE=FQ","FILING_STATUS=MR","Sort=A","Dates=H","DateFormat=P","Fill=—","Direction=H","UseDPDF=Y")</f>
        <v>0</v>
      </c>
      <c r="D80" s="13">
        <f>_xll.BDH("ITCI US Equity","BS_NUM_OF_TSY_SH","FQ1 2019","FQ1 2019","Currency=USD","Period=FQ","BEST_FPERIOD_OVERRIDE=FQ","FILING_STATUS=MR","Sort=A","Dates=H","DateFormat=P","Fill=—","Direction=H","UseDPDF=Y")</f>
        <v>0</v>
      </c>
      <c r="E80" s="13">
        <f>_xll.BDH("ITCI US Equity","BS_NUM_OF_TSY_SH","FQ2 2019","FQ2 2019","Currency=USD","Period=FQ","BEST_FPERIOD_OVERRIDE=FQ","FILING_STATUS=MR","Sort=A","Dates=H","DateFormat=P","Fill=—","Direction=H","UseDPDF=Y")</f>
        <v>0</v>
      </c>
      <c r="F80" s="13">
        <f>_xll.BDH("ITCI US Equity","BS_NUM_OF_TSY_SH","FQ3 2019","FQ3 2019","Currency=USD","Period=FQ","BEST_FPERIOD_OVERRIDE=FQ","FILING_STATUS=MR","Sort=A","Dates=H","DateFormat=P","Fill=—","Direction=H","UseDPDF=Y")</f>
        <v>0</v>
      </c>
      <c r="G80" s="13">
        <f>_xll.BDH("ITCI US Equity","BS_NUM_OF_TSY_SH","FQ4 2019","FQ4 2019","Currency=USD","Period=FQ","BEST_FPERIOD_OVERRIDE=FQ","FILING_STATUS=MR","Sort=A","Dates=H","DateFormat=P","Fill=—","Direction=H","UseDPDF=Y")</f>
        <v>0</v>
      </c>
      <c r="H80" s="13">
        <f>_xll.BDH("ITCI US Equity","BS_NUM_OF_TSY_SH","FQ1 2020","FQ1 2020","Currency=USD","Period=FQ","BEST_FPERIOD_OVERRIDE=FQ","FILING_STATUS=MR","Sort=A","Dates=H","DateFormat=P","Fill=—","Direction=H","UseDPDF=Y")</f>
        <v>0</v>
      </c>
      <c r="I80" s="13">
        <f>_xll.BDH("ITCI US Equity","BS_NUM_OF_TSY_SH","FQ2 2020","FQ2 2020","Currency=USD","Period=FQ","BEST_FPERIOD_OVERRIDE=FQ","FILING_STATUS=MR","Sort=A","Dates=H","DateFormat=P","Fill=—","Direction=H","UseDPDF=Y")</f>
        <v>0</v>
      </c>
      <c r="J80" s="13">
        <f>_xll.BDH("ITCI US Equity","BS_NUM_OF_TSY_SH","FQ3 2020","FQ3 2020","Currency=USD","Period=FQ","BEST_FPERIOD_OVERRIDE=FQ","FILING_STATUS=MR","Sort=A","Dates=H","DateFormat=P","Fill=—","Direction=H","UseDPDF=Y")</f>
        <v>0</v>
      </c>
      <c r="K80" s="13">
        <f>_xll.BDH("ITCI US Equity","BS_NUM_OF_TSY_SH","FQ4 2020","FQ4 2020","Currency=USD","Period=FQ","BEST_FPERIOD_OVERRIDE=FQ","FILING_STATUS=MR","Sort=A","Dates=H","DateFormat=P","Fill=—","Direction=H","UseDPDF=Y")</f>
        <v>0</v>
      </c>
      <c r="L80" s="13">
        <f>_xll.BDH("ITCI US Equity","BS_NUM_OF_TSY_SH","FQ1 2021","FQ1 2021","Currency=USD","Period=FQ","BEST_FPERIOD_OVERRIDE=FQ","FILING_STATUS=MR","Sort=A","Dates=H","DateFormat=P","Fill=—","Direction=H","UseDPDF=Y")</f>
        <v>0</v>
      </c>
      <c r="M80" s="13">
        <f>_xll.BDH("ITCI US Equity","BS_NUM_OF_TSY_SH","FQ2 2021","FQ2 2021","Currency=USD","Period=FQ","BEST_FPERIOD_OVERRIDE=FQ","FILING_STATUS=MR","Sort=A","Dates=H","DateFormat=P","Fill=—","Direction=H","UseDPDF=Y")</f>
        <v>0</v>
      </c>
      <c r="N80" s="13">
        <f>_xll.BDH("ITCI US Equity","BS_NUM_OF_TSY_SH","FQ3 2021","FQ3 2021","Currency=USD","Period=FQ","BEST_FPERIOD_OVERRIDE=FQ","FILING_STATUS=MR","Sort=A","Dates=H","DateFormat=P","Fill=—","Direction=H","UseDPDF=Y")</f>
        <v>0</v>
      </c>
      <c r="O80" s="13">
        <f>_xll.BDH("ITCI US Equity","BS_NUM_OF_TSY_SH","FQ4 2021","FQ4 2021","Currency=USD","Period=FQ","BEST_FPERIOD_OVERRIDE=FQ","FILING_STATUS=MR","Sort=A","Dates=H","DateFormat=P","Fill=—","Direction=H","UseDPDF=Y")</f>
        <v>0</v>
      </c>
      <c r="P80" s="13">
        <f>_xll.BDH("ITCI US Equity","BS_NUM_OF_TSY_SH","FQ1 2022","FQ1 2022","Currency=USD","Period=FQ","BEST_FPERIOD_OVERRIDE=FQ","FILING_STATUS=MR","Sort=A","Dates=H","DateFormat=P","Fill=—","Direction=H","UseDPDF=Y")</f>
        <v>0</v>
      </c>
      <c r="Q80" s="13">
        <f>_xll.BDH("ITCI US Equity","BS_NUM_OF_TSY_SH","FQ2 2022","FQ2 2022","Currency=USD","Period=FQ","BEST_FPERIOD_OVERRIDE=FQ","FILING_STATUS=MR","Sort=A","Dates=H","DateFormat=P","Fill=—","Direction=H","UseDPDF=Y")</f>
        <v>0</v>
      </c>
      <c r="R80" s="13">
        <f>_xll.BDH("ITCI US Equity","BS_NUM_OF_TSY_SH","FQ3 2022","FQ3 2022","Currency=USD","Period=FQ","BEST_FPERIOD_OVERRIDE=FQ","FILING_STATUS=MR","Sort=A","Dates=H","DateFormat=P","Fill=—","Direction=H","UseDPDF=Y")</f>
        <v>0</v>
      </c>
      <c r="S80" s="13">
        <f>_xll.BDH("ITCI US Equity","BS_NUM_OF_TSY_SH","FQ4 2022","FQ4 2022","Currency=USD","Period=FQ","BEST_FPERIOD_OVERRIDE=FQ","FILING_STATUS=MR","Sort=A","Dates=H","DateFormat=P","Fill=—","Direction=H","UseDPDF=Y")</f>
        <v>0</v>
      </c>
      <c r="T80" s="13">
        <f>_xll.BDH("ITCI US Equity","BS_NUM_OF_TSY_SH","FQ1 2023","FQ1 2023","Currency=USD","Period=FQ","BEST_FPERIOD_OVERRIDE=FQ","FILING_STATUS=MR","Sort=A","Dates=H","DateFormat=P","Fill=—","Direction=H","UseDPDF=Y")</f>
        <v>0</v>
      </c>
      <c r="U80" s="13">
        <f>_xll.BDH("ITCI US Equity","BS_NUM_OF_TSY_SH","FQ2 2023","FQ2 2023","Currency=USD","Period=FQ","BEST_FPERIOD_OVERRIDE=FQ","FILING_STATUS=MR","Sort=A","Dates=H","DateFormat=P","Fill=—","Direction=H","UseDPDF=Y")</f>
        <v>0</v>
      </c>
      <c r="V80" s="13">
        <f>_xll.BDH("ITCI US Equity","BS_NUM_OF_TSY_SH","FQ3 2023","FQ3 2023","Currency=USD","Period=FQ","BEST_FPERIOD_OVERRIDE=FQ","FILING_STATUS=MR","Sort=A","Dates=H","DateFormat=P","Fill=—","Direction=H","UseDPDF=Y")</f>
        <v>0</v>
      </c>
      <c r="W80" s="13">
        <f>_xll.BDH("ITCI US Equity","BS_NUM_OF_TSY_SH","FQ4 2023","FQ4 2023","Currency=USD","Period=FQ","BEST_FPERIOD_OVERRIDE=FQ","FILING_STATUS=MR","Sort=A","Dates=H","DateFormat=P","Fill=—","Direction=H","UseDPDF=Y")</f>
        <v>0</v>
      </c>
      <c r="X80" s="13">
        <f>_xll.BDH("ITCI US Equity","BS_NUM_OF_TSY_SH","FQ1 2024","FQ1 2024","Currency=USD","Period=FQ","BEST_FPERIOD_OVERRIDE=FQ","FILING_STATUS=MR","Sort=A","Dates=H","DateFormat=P","Fill=—","Direction=H","UseDPDF=Y")</f>
        <v>0</v>
      </c>
      <c r="Y80" s="13">
        <f>_xll.BDH("ITCI US Equity","BS_NUM_OF_TSY_SH","FQ2 2024","FQ2 2024","Currency=USD","Period=FQ","BEST_FPERIOD_OVERRIDE=FQ","FILING_STATUS=MR","Sort=A","Dates=H","DateFormat=P","Fill=—","Direction=H","UseDPDF=Y")</f>
        <v>0</v>
      </c>
      <c r="Z80" s="13">
        <f>_xll.BDH("ITCI US Equity","BS_NUM_OF_TSY_SH","FQ3 2024","FQ3 2024","Currency=USD","Period=FQ","BEST_FPERIOD_OVERRIDE=FQ","FILING_STATUS=MR","Sort=A","Dates=H","DateFormat=P","Fill=—","Direction=H","UseDPDF=Y")</f>
        <v>0</v>
      </c>
      <c r="AA80" s="13">
        <f>_xll.BDH("ITCI US Equity","BS_NUM_OF_TSY_SH","FQ4 2024","FQ4 2024","Currency=USD","Period=FQ","BEST_FPERIOD_OVERRIDE=FQ","FILING_STATUS=MR","Sort=A","Dates=H","DateFormat=P","Fill=—","Direction=H","UseDPDF=Y")</f>
        <v>0</v>
      </c>
    </row>
    <row r="81" spans="1:27" x14ac:dyDescent="0.25">
      <c r="A81" s="10" t="s">
        <v>664</v>
      </c>
      <c r="B81" s="10" t="s">
        <v>665</v>
      </c>
      <c r="C81" s="13">
        <f>_xll.BDH("ITCI US Equity","BS_PENSION_RSRV","FQ4 2018","FQ4 2018","Currency=USD","Period=FQ","BEST_FPERIOD_OVERRIDE=FQ","FILING_STATUS=MR","SCALING_FORMAT=MLN","Sort=A","Dates=H","DateFormat=P","Fill=—","Direction=H","UseDPDF=Y")</f>
        <v>0</v>
      </c>
      <c r="D81" s="13">
        <f>_xll.BDH("ITCI US Equity","BS_PENSION_RSRV","FQ1 2019","FQ1 2019","Currency=USD","Period=FQ","BEST_FPERIOD_OVERRIDE=FQ","FILING_STATUS=MR","SCALING_FORMAT=MLN","Sort=A","Dates=H","DateFormat=P","Fill=—","Direction=H","UseDPDF=Y")</f>
        <v>0</v>
      </c>
      <c r="E81" s="13">
        <f>_xll.BDH("ITCI US Equity","BS_PENSION_RSRV","FQ2 2019","FQ2 2019","Currency=USD","Period=FQ","BEST_FPERIOD_OVERRIDE=FQ","FILING_STATUS=MR","SCALING_FORMAT=MLN","Sort=A","Dates=H","DateFormat=P","Fill=—","Direction=H","UseDPDF=Y")</f>
        <v>0</v>
      </c>
      <c r="F81" s="13">
        <f>_xll.BDH("ITCI US Equity","BS_PENSION_RSRV","FQ3 2019","FQ3 2019","Currency=USD","Period=FQ","BEST_FPERIOD_OVERRIDE=FQ","FILING_STATUS=MR","SCALING_FORMAT=MLN","Sort=A","Dates=H","DateFormat=P","Fill=—","Direction=H","UseDPDF=Y")</f>
        <v>0</v>
      </c>
      <c r="G81" s="13">
        <f>_xll.BDH("ITCI US Equity","BS_PENSION_RSRV","FQ4 2019","FQ4 2019","Currency=USD","Period=FQ","BEST_FPERIOD_OVERRIDE=FQ","FILING_STATUS=MR","SCALING_FORMAT=MLN","Sort=A","Dates=H","DateFormat=P","Fill=—","Direction=H","UseDPDF=Y")</f>
        <v>0</v>
      </c>
      <c r="H81" s="13">
        <f>_xll.BDH("ITCI US Equity","BS_PENSION_RSRV","FQ1 2020","FQ1 2020","Currency=USD","Period=FQ","BEST_FPERIOD_OVERRIDE=FQ","FILING_STATUS=MR","SCALING_FORMAT=MLN","Sort=A","Dates=H","DateFormat=P","Fill=—","Direction=H","UseDPDF=Y")</f>
        <v>0</v>
      </c>
      <c r="I81" s="13">
        <f>_xll.BDH("ITCI US Equity","BS_PENSION_RSRV","FQ2 2020","FQ2 2020","Currency=USD","Period=FQ","BEST_FPERIOD_OVERRIDE=FQ","FILING_STATUS=MR","SCALING_FORMAT=MLN","Sort=A","Dates=H","DateFormat=P","Fill=—","Direction=H","UseDPDF=Y")</f>
        <v>0</v>
      </c>
      <c r="J81" s="13">
        <f>_xll.BDH("ITCI US Equity","BS_PENSION_RSRV","FQ3 2020","FQ3 2020","Currency=USD","Period=FQ","BEST_FPERIOD_OVERRIDE=FQ","FILING_STATUS=MR","SCALING_FORMAT=MLN","Sort=A","Dates=H","DateFormat=P","Fill=—","Direction=H","UseDPDF=Y")</f>
        <v>0</v>
      </c>
      <c r="K81" s="13">
        <f>_xll.BDH("ITCI US Equity","BS_PENSION_RSRV","FQ4 2020","FQ4 2020","Currency=USD","Period=FQ","BEST_FPERIOD_OVERRIDE=FQ","FILING_STATUS=MR","SCALING_FORMAT=MLN","Sort=A","Dates=H","DateFormat=P","Fill=—","Direction=H","UseDPDF=Y")</f>
        <v>0</v>
      </c>
      <c r="L81" s="13">
        <f>_xll.BDH("ITCI US Equity","BS_PENSION_RSRV","FQ1 2021","FQ1 2021","Currency=USD","Period=FQ","BEST_FPERIOD_OVERRIDE=FQ","FILING_STATUS=MR","SCALING_FORMAT=MLN","Sort=A","Dates=H","DateFormat=P","Fill=—","Direction=H","UseDPDF=Y")</f>
        <v>0</v>
      </c>
      <c r="M81" s="13">
        <f>_xll.BDH("ITCI US Equity","BS_PENSION_RSRV","FQ2 2021","FQ2 2021","Currency=USD","Period=FQ","BEST_FPERIOD_OVERRIDE=FQ","FILING_STATUS=MR","SCALING_FORMAT=MLN","Sort=A","Dates=H","DateFormat=P","Fill=—","Direction=H","UseDPDF=Y")</f>
        <v>0</v>
      </c>
      <c r="N81" s="13">
        <f>_xll.BDH("ITCI US Equity","BS_PENSION_RSRV","FQ3 2021","FQ3 2021","Currency=USD","Period=FQ","BEST_FPERIOD_OVERRIDE=FQ","FILING_STATUS=MR","SCALING_FORMAT=MLN","Sort=A","Dates=H","DateFormat=P","Fill=—","Direction=H","UseDPDF=Y")</f>
        <v>0</v>
      </c>
      <c r="O81" s="13">
        <f>_xll.BDH("ITCI US Equity","BS_PENSION_RSRV","FQ4 2021","FQ4 2021","Currency=USD","Period=FQ","BEST_FPERIOD_OVERRIDE=FQ","FILING_STATUS=MR","SCALING_FORMAT=MLN","Sort=A","Dates=H","DateFormat=P","Fill=—","Direction=H","UseDPDF=Y")</f>
        <v>0</v>
      </c>
      <c r="P81" s="13">
        <f>_xll.BDH("ITCI US Equity","BS_PENSION_RSRV","FQ1 2022","FQ1 2022","Currency=USD","Period=FQ","BEST_FPERIOD_OVERRIDE=FQ","FILING_STATUS=MR","SCALING_FORMAT=MLN","Sort=A","Dates=H","DateFormat=P","Fill=—","Direction=H","UseDPDF=Y")</f>
        <v>0</v>
      </c>
      <c r="Q81" s="13">
        <f>_xll.BDH("ITCI US Equity","BS_PENSION_RSRV","FQ2 2022","FQ2 2022","Currency=USD","Period=FQ","BEST_FPERIOD_OVERRIDE=FQ","FILING_STATUS=MR","SCALING_FORMAT=MLN","Sort=A","Dates=H","DateFormat=P","Fill=—","Direction=H","UseDPDF=Y")</f>
        <v>0</v>
      </c>
      <c r="R81" s="13">
        <f>_xll.BDH("ITCI US Equity","BS_PENSION_RSRV","FQ3 2022","FQ3 2022","Currency=USD","Period=FQ","BEST_FPERIOD_OVERRIDE=FQ","FILING_STATUS=MR","SCALING_FORMAT=MLN","Sort=A","Dates=H","DateFormat=P","Fill=—","Direction=H","UseDPDF=Y")</f>
        <v>0</v>
      </c>
      <c r="S81" s="13">
        <f>_xll.BDH("ITCI US Equity","BS_PENSION_RSRV","FQ4 2022","FQ4 2022","Currency=USD","Period=FQ","BEST_FPERIOD_OVERRIDE=FQ","FILING_STATUS=MR","SCALING_FORMAT=MLN","Sort=A","Dates=H","DateFormat=P","Fill=—","Direction=H","UseDPDF=Y")</f>
        <v>0</v>
      </c>
      <c r="T81" s="13">
        <f>_xll.BDH("ITCI US Equity","BS_PENSION_RSRV","FQ1 2023","FQ1 2023","Currency=USD","Period=FQ","BEST_FPERIOD_OVERRIDE=FQ","FILING_STATUS=MR","SCALING_FORMAT=MLN","Sort=A","Dates=H","DateFormat=P","Fill=—","Direction=H","UseDPDF=Y")</f>
        <v>0</v>
      </c>
      <c r="U81" s="13">
        <f>_xll.BDH("ITCI US Equity","BS_PENSION_RSRV","FQ2 2023","FQ2 2023","Currency=USD","Period=FQ","BEST_FPERIOD_OVERRIDE=FQ","FILING_STATUS=MR","SCALING_FORMAT=MLN","Sort=A","Dates=H","DateFormat=P","Fill=—","Direction=H","UseDPDF=Y")</f>
        <v>0</v>
      </c>
      <c r="V81" s="13">
        <f>_xll.BDH("ITCI US Equity","BS_PENSION_RSRV","FQ3 2023","FQ3 2023","Currency=USD","Period=FQ","BEST_FPERIOD_OVERRIDE=FQ","FILING_STATUS=MR","SCALING_FORMAT=MLN","Sort=A","Dates=H","DateFormat=P","Fill=—","Direction=H","UseDPDF=Y")</f>
        <v>0</v>
      </c>
      <c r="W81" s="13">
        <f>_xll.BDH("ITCI US Equity","BS_PENSION_RSRV","FQ4 2023","FQ4 2023","Currency=USD","Period=FQ","BEST_FPERIOD_OVERRIDE=FQ","FILING_STATUS=MR","SCALING_FORMAT=MLN","Sort=A","Dates=H","DateFormat=P","Fill=—","Direction=H","UseDPDF=Y")</f>
        <v>0</v>
      </c>
      <c r="X81" s="13">
        <f>_xll.BDH("ITCI US Equity","BS_PENSION_RSRV","FQ1 2024","FQ1 2024","Currency=USD","Period=FQ","BEST_FPERIOD_OVERRIDE=FQ","FILING_STATUS=MR","SCALING_FORMAT=MLN","Sort=A","Dates=H","DateFormat=P","Fill=—","Direction=H","UseDPDF=Y")</f>
        <v>0</v>
      </c>
      <c r="Y81" s="13">
        <f>_xll.BDH("ITCI US Equity","BS_PENSION_RSRV","FQ2 2024","FQ2 2024","Currency=USD","Period=FQ","BEST_FPERIOD_OVERRIDE=FQ","FILING_STATUS=MR","SCALING_FORMAT=MLN","Sort=A","Dates=H","DateFormat=P","Fill=—","Direction=H","UseDPDF=Y")</f>
        <v>0</v>
      </c>
      <c r="Z81" s="13">
        <f>_xll.BDH("ITCI US Equity","BS_PENSION_RSRV","FQ3 2024","FQ3 2024","Currency=USD","Period=FQ","BEST_FPERIOD_OVERRIDE=FQ","FILING_STATUS=MR","SCALING_FORMAT=MLN","Sort=A","Dates=H","DateFormat=P","Fill=—","Direction=H","UseDPDF=Y")</f>
        <v>0</v>
      </c>
      <c r="AA81" s="13">
        <f>_xll.BDH("ITCI US Equity","BS_PENSION_RSRV","FQ4 2024","FQ4 2024","Currency=USD","Period=FQ","BEST_FPERIOD_OVERRIDE=FQ","FILING_STATUS=MR","SCALING_FORMAT=MLN","Sort=A","Dates=H","DateFormat=P","Fill=—","Direction=H","UseDPDF=Y")</f>
        <v>0</v>
      </c>
    </row>
    <row r="82" spans="1:27" x14ac:dyDescent="0.25">
      <c r="A82" s="10" t="s">
        <v>666</v>
      </c>
      <c r="B82" s="10" t="s">
        <v>667</v>
      </c>
      <c r="C82" s="13">
        <f>_xll.BDH("ITCI US Equity","BS_FUTURE_MIN_OPER_LEASE_OBLIG","FQ4 2018","FQ4 2018","Currency=USD","Period=FQ","BEST_FPERIOD_OVERRIDE=FQ","FILING_STATUS=MR","SCALING_FORMAT=MLN","Sort=A","Dates=H","DateFormat=P","Fill=—","Direction=H","UseDPDF=Y")</f>
        <v>33.406399999999998</v>
      </c>
      <c r="D82" s="13">
        <f>_xll.BDH("ITCI US Equity","BS_FUTURE_MIN_OPER_LEASE_OBLIG","FQ1 2019","FQ1 2019","Currency=USD","Period=FQ","BEST_FPERIOD_OVERRIDE=FQ","FILING_STATUS=MR","SCALING_FORMAT=MLN","Sort=A","Dates=H","DateFormat=P","Fill=—","Direction=H","UseDPDF=Y")</f>
        <v>37.349800000000002</v>
      </c>
      <c r="E82" s="13">
        <f>_xll.BDH("ITCI US Equity","BS_FUTURE_MIN_OPER_LEASE_OBLIG","FQ2 2019","FQ2 2019","Currency=USD","Period=FQ","BEST_FPERIOD_OVERRIDE=FQ","FILING_STATUS=MR","SCALING_FORMAT=MLN","Sort=A","Dates=H","DateFormat=P","Fill=—","Direction=H","UseDPDF=Y")</f>
        <v>35.908900000000003</v>
      </c>
      <c r="F82" s="13">
        <f>_xll.BDH("ITCI US Equity","BS_FUTURE_MIN_OPER_LEASE_OBLIG","FQ3 2019","FQ3 2019","Currency=USD","Period=FQ","BEST_FPERIOD_OVERRIDE=FQ","FILING_STATUS=MR","SCALING_FORMAT=MLN","Sort=A","Dates=H","DateFormat=P","Fill=—","Direction=H","UseDPDF=Y")</f>
        <v>35.098399999999998</v>
      </c>
      <c r="G82" s="13">
        <f>_xll.BDH("ITCI US Equity","BS_FUTURE_MIN_OPER_LEASE_OBLIG","FQ4 2019","FQ4 2019","Currency=USD","Period=FQ","BEST_FPERIOD_OVERRIDE=FQ","FILING_STATUS=MR","SCALING_FORMAT=MLN","Sort=A","Dates=H","DateFormat=P","Fill=—","Direction=H","UseDPDF=Y")</f>
        <v>35.154600000000002</v>
      </c>
      <c r="H82" s="13">
        <f>_xll.BDH("ITCI US Equity","BS_FUTURE_MIN_OPER_LEASE_OBLIG","FQ1 2020","FQ1 2020","Currency=USD","Period=FQ","BEST_FPERIOD_OVERRIDE=FQ","FILING_STATUS=MR","SCALING_FORMAT=MLN","Sort=A","Dates=H","DateFormat=P","Fill=—","Direction=H","UseDPDF=Y")</f>
        <v>34.421599999999998</v>
      </c>
      <c r="I82" s="13">
        <f>_xll.BDH("ITCI US Equity","BS_FUTURE_MIN_OPER_LEASE_OBLIG","FQ2 2020","FQ2 2020","Currency=USD","Period=FQ","BEST_FPERIOD_OVERRIDE=FQ","FILING_STATUS=MR","SCALING_FORMAT=MLN","Sort=A","Dates=H","DateFormat=P","Fill=—","Direction=H","UseDPDF=Y")</f>
        <v>36.196800000000003</v>
      </c>
      <c r="J82" s="13">
        <f>_xll.BDH("ITCI US Equity","BS_FUTURE_MIN_OPER_LEASE_OBLIG","FQ3 2020","FQ3 2020","Currency=USD","Period=FQ","BEST_FPERIOD_OVERRIDE=FQ","FILING_STATUS=MR","SCALING_FORMAT=MLN","Sort=A","Dates=H","DateFormat=P","Fill=—","Direction=H","UseDPDF=Y")</f>
        <v>39.778799999999997</v>
      </c>
      <c r="K82" s="13">
        <f>_xll.BDH("ITCI US Equity","BS_FUTURE_MIN_OPER_LEASE_OBLIG","FQ4 2020","FQ4 2020","Currency=USD","Period=FQ","BEST_FPERIOD_OVERRIDE=FQ","FILING_STATUS=MR","SCALING_FORMAT=MLN","Sort=A","Dates=H","DateFormat=P","Fill=—","Direction=H","UseDPDF=Y")</f>
        <v>39.270000000000003</v>
      </c>
      <c r="L82" s="13">
        <f>_xll.BDH("ITCI US Equity","BS_FUTURE_MIN_OPER_LEASE_OBLIG","FQ1 2021","FQ1 2021","Currency=USD","Period=FQ","BEST_FPERIOD_OVERRIDE=FQ","FILING_STATUS=MR","SCALING_FORMAT=MLN","Sort=A","Dates=H","DateFormat=P","Fill=—","Direction=H","UseDPDF=Y")</f>
        <v>37.823900000000002</v>
      </c>
      <c r="M82" s="13">
        <f>_xll.BDH("ITCI US Equity","BS_FUTURE_MIN_OPER_LEASE_OBLIG","FQ2 2021","FQ2 2021","Currency=USD","Period=FQ","BEST_FPERIOD_OVERRIDE=FQ","FILING_STATUS=MR","SCALING_FORMAT=MLN","Sort=A","Dates=H","DateFormat=P","Fill=—","Direction=H","UseDPDF=Y")</f>
        <v>36.383899999999997</v>
      </c>
      <c r="N82" s="13">
        <f>_xll.BDH("ITCI US Equity","BS_FUTURE_MIN_OPER_LEASE_OBLIG","FQ3 2021","FQ3 2021","Currency=USD","Period=FQ","BEST_FPERIOD_OVERRIDE=FQ","FILING_STATUS=MR","SCALING_FORMAT=MLN","Sort=A","Dates=H","DateFormat=P","Fill=—","Direction=H","UseDPDF=Y")</f>
        <v>34.999200000000002</v>
      </c>
      <c r="O82" s="13">
        <f>_xll.BDH("ITCI US Equity","BS_FUTURE_MIN_OPER_LEASE_OBLIG","FQ4 2021","FQ4 2021","Currency=USD","Period=FQ","BEST_FPERIOD_OVERRIDE=FQ","FILING_STATUS=MR","SCALING_FORMAT=MLN","Sort=A","Dates=H","DateFormat=P","Fill=—","Direction=H","UseDPDF=Y")</f>
        <v>33.512599999999999</v>
      </c>
      <c r="P82" s="13">
        <f>_xll.BDH("ITCI US Equity","BS_FUTURE_MIN_OPER_LEASE_OBLIG","FQ1 2022","FQ1 2022","Currency=USD","Period=FQ","BEST_FPERIOD_OVERRIDE=FQ","FILING_STATUS=MR","SCALING_FORMAT=MLN","Sort=A","Dates=H","DateFormat=P","Fill=—","Direction=H","UseDPDF=Y")</f>
        <v>4.54</v>
      </c>
      <c r="Q82" s="13">
        <f>_xll.BDH("ITCI US Equity","BS_FUTURE_MIN_OPER_LEASE_OBLIG","FQ2 2022","FQ2 2022","Currency=USD","Period=FQ","BEST_FPERIOD_OVERRIDE=FQ","FILING_STATUS=MR","SCALING_FORMAT=MLN","Sort=A","Dates=H","DateFormat=P","Fill=—","Direction=H","UseDPDF=Y")</f>
        <v>7.1689999999999996</v>
      </c>
      <c r="R82" s="13">
        <f>_xll.BDH("ITCI US Equity","BS_FUTURE_MIN_OPER_LEASE_OBLIG","FQ3 2022","FQ3 2022","Currency=USD","Period=FQ","BEST_FPERIOD_OVERRIDE=FQ","FILING_STATUS=MR","SCALING_FORMAT=MLN","Sort=A","Dates=H","DateFormat=P","Fill=—","Direction=H","UseDPDF=Y")</f>
        <v>7.2439999999999998</v>
      </c>
      <c r="S82" s="13">
        <f>_xll.BDH("ITCI US Equity","BS_FUTURE_MIN_OPER_LEASE_OBLIG","FQ4 2022","FQ4 2022","Currency=USD","Period=FQ","BEST_FPERIOD_OVERRIDE=FQ","FILING_STATUS=MR","SCALING_FORMAT=MLN","Sort=A","Dates=H","DateFormat=P","Fill=—","Direction=H","UseDPDF=Y")</f>
        <v>26.350999999999999</v>
      </c>
      <c r="T82" s="13">
        <f>_xll.BDH("ITCI US Equity","BS_FUTURE_MIN_OPER_LEASE_OBLIG","FQ1 2023","FQ1 2023","Currency=USD","Period=FQ","BEST_FPERIOD_OVERRIDE=FQ","FILING_STATUS=MR","SCALING_FORMAT=MLN","Sort=A","Dates=H","DateFormat=P","Fill=—","Direction=H","UseDPDF=Y")</f>
        <v>24.376000000000001</v>
      </c>
      <c r="U82" s="13">
        <f>_xll.BDH("ITCI US Equity","BS_FUTURE_MIN_OPER_LEASE_OBLIG","FQ2 2023","FQ2 2023","Currency=USD","Period=FQ","BEST_FPERIOD_OVERRIDE=FQ","FILING_STATUS=MR","SCALING_FORMAT=MLN","Sort=A","Dates=H","DateFormat=P","Fill=—","Direction=H","UseDPDF=Y")</f>
        <v>23.457999999999998</v>
      </c>
      <c r="V82" s="13">
        <f>_xll.BDH("ITCI US Equity","BS_FUTURE_MIN_OPER_LEASE_OBLIG","FQ3 2023","FQ3 2023","Currency=USD","Period=FQ","BEST_FPERIOD_OVERRIDE=FQ","FILING_STATUS=MR","SCALING_FORMAT=MLN","Sort=A","Dates=H","DateFormat=P","Fill=—","Direction=H","UseDPDF=Y")</f>
        <v>22.54</v>
      </c>
      <c r="W82" s="13">
        <f>_xll.BDH("ITCI US Equity","BS_FUTURE_MIN_OPER_LEASE_OBLIG","FQ4 2023","FQ4 2023","Currency=USD","Period=FQ","BEST_FPERIOD_OVERRIDE=FQ","FILING_STATUS=MR","SCALING_FORMAT=MLN","Sort=A","Dates=H","DateFormat=P","Fill=—","Direction=H","UseDPDF=Y")</f>
        <v>21.61</v>
      </c>
      <c r="X82" s="13">
        <f>_xll.BDH("ITCI US Equity","BS_FUTURE_MIN_OPER_LEASE_OBLIG","FQ1 2024","FQ1 2024","Currency=USD","Period=FQ","BEST_FPERIOD_OVERRIDE=FQ","FILING_STATUS=MR","SCALING_FORMAT=MLN","Sort=A","Dates=H","DateFormat=P","Fill=—","Direction=H","UseDPDF=Y")</f>
        <v>20.667999999999999</v>
      </c>
      <c r="Y82" s="13">
        <f>_xll.BDH("ITCI US Equity","BS_FUTURE_MIN_OPER_LEASE_OBLIG","FQ2 2024","FQ2 2024","Currency=USD","Period=FQ","BEST_FPERIOD_OVERRIDE=FQ","FILING_STATUS=MR","SCALING_FORMAT=MLN","Sort=A","Dates=H","DateFormat=P","Fill=—","Direction=H","UseDPDF=Y")</f>
        <v>22.745000000000001</v>
      </c>
      <c r="Z82" s="13">
        <f>_xll.BDH("ITCI US Equity","BS_FUTURE_MIN_OPER_LEASE_OBLIG","FQ3 2024","FQ3 2024","Currency=USD","Period=FQ","BEST_FPERIOD_OVERRIDE=FQ","FILING_STATUS=MR","SCALING_FORMAT=MLN","Sort=A","Dates=H","DateFormat=P","Fill=—","Direction=H","UseDPDF=Y")</f>
        <v>21.797999999999998</v>
      </c>
      <c r="AA82" s="13">
        <f>_xll.BDH("ITCI US Equity","BS_FUTURE_MIN_OPER_LEASE_OBLIG","FQ4 2024","FQ4 2024","Currency=USD","Period=FQ","BEST_FPERIOD_OVERRIDE=FQ","FILING_STATUS=MR","SCALING_FORMAT=MLN","Sort=A","Dates=H","DateFormat=P","Fill=—","Direction=H","UseDPDF=Y")</f>
        <v>20.684999999999999</v>
      </c>
    </row>
    <row r="83" spans="1:27" x14ac:dyDescent="0.25">
      <c r="A83" s="10" t="s">
        <v>668</v>
      </c>
      <c r="B83" s="10" t="s">
        <v>669</v>
      </c>
      <c r="C83" s="13">
        <f>_xll.BDH("ITCI US Equity","BS_TOTAL_CAPITAL_LEASES","FQ4 2018","FQ4 2018","Currency=USD","Period=FQ","BEST_FPERIOD_OVERRIDE=FQ","FILING_STATUS=MR","SCALING_FORMAT=MLN","Sort=A","Dates=H","DateFormat=P","Fill=—","Direction=H","UseDPDF=Y")</f>
        <v>0</v>
      </c>
      <c r="D83" s="13" t="str">
        <f>_xll.BDH("ITCI US Equity","BS_TOTAL_CAPITAL_LEASES","FQ1 2019","FQ1 2019","Currency=USD","Period=FQ","BEST_FPERIOD_OVERRIDE=FQ","FILING_STATUS=MR","SCALING_FORMAT=MLN","Sort=A","Dates=H","DateFormat=P","Fill=—","Direction=H","UseDPDF=Y")</f>
        <v>—</v>
      </c>
      <c r="E83" s="13" t="str">
        <f>_xll.BDH("ITCI US Equity","BS_TOTAL_CAPITAL_LEASES","FQ2 2019","FQ2 2019","Currency=USD","Period=FQ","BEST_FPERIOD_OVERRIDE=FQ","FILING_STATUS=MR","SCALING_FORMAT=MLN","Sort=A","Dates=H","DateFormat=P","Fill=—","Direction=H","UseDPDF=Y")</f>
        <v>—</v>
      </c>
      <c r="F83" s="13" t="str">
        <f>_xll.BDH("ITCI US Equity","BS_TOTAL_CAPITAL_LEASES","FQ3 2019","FQ3 2019","Currency=USD","Period=FQ","BEST_FPERIOD_OVERRIDE=FQ","FILING_STATUS=MR","SCALING_FORMAT=MLN","Sort=A","Dates=H","DateFormat=P","Fill=—","Direction=H","UseDPDF=Y")</f>
        <v>—</v>
      </c>
      <c r="G83" s="13" t="str">
        <f>_xll.BDH("ITCI US Equity","BS_TOTAL_CAPITAL_LEASES","FQ4 2019","FQ4 2019","Currency=USD","Period=FQ","BEST_FPERIOD_OVERRIDE=FQ","FILING_STATUS=MR","SCALING_FORMAT=MLN","Sort=A","Dates=H","DateFormat=P","Fill=—","Direction=H","UseDPDF=Y")</f>
        <v>—</v>
      </c>
      <c r="H83" s="13" t="str">
        <f>_xll.BDH("ITCI US Equity","BS_TOTAL_CAPITAL_LEASES","FQ1 2020","FQ1 2020","Currency=USD","Period=FQ","BEST_FPERIOD_OVERRIDE=FQ","FILING_STATUS=MR","SCALING_FORMAT=MLN","Sort=A","Dates=H","DateFormat=P","Fill=—","Direction=H","UseDPDF=Y")</f>
        <v>—</v>
      </c>
      <c r="I83" s="13" t="str">
        <f>_xll.BDH("ITCI US Equity","BS_TOTAL_CAPITAL_LEASES","FQ2 2020","FQ2 2020","Currency=USD","Period=FQ","BEST_FPERIOD_OVERRIDE=FQ","FILING_STATUS=MR","SCALING_FORMAT=MLN","Sort=A","Dates=H","DateFormat=P","Fill=—","Direction=H","UseDPDF=Y")</f>
        <v>—</v>
      </c>
      <c r="J83" s="13" t="str">
        <f>_xll.BDH("ITCI US Equity","BS_TOTAL_CAPITAL_LEASES","FQ3 2020","FQ3 2020","Currency=USD","Period=FQ","BEST_FPERIOD_OVERRIDE=FQ","FILING_STATUS=MR","SCALING_FORMAT=MLN","Sort=A","Dates=H","DateFormat=P","Fill=—","Direction=H","UseDPDF=Y")</f>
        <v>—</v>
      </c>
      <c r="K83" s="13" t="str">
        <f>_xll.BDH("ITCI US Equity","BS_TOTAL_CAPITAL_LEASES","FQ4 2020","FQ4 2020","Currency=USD","Period=FQ","BEST_FPERIOD_OVERRIDE=FQ","FILING_STATUS=MR","SCALING_FORMAT=MLN","Sort=A","Dates=H","DateFormat=P","Fill=—","Direction=H","UseDPDF=Y")</f>
        <v>—</v>
      </c>
      <c r="L83" s="13" t="str">
        <f>_xll.BDH("ITCI US Equity","BS_TOTAL_CAPITAL_LEASES","FQ1 2021","FQ1 2021","Currency=USD","Period=FQ","BEST_FPERIOD_OVERRIDE=FQ","FILING_STATUS=MR","SCALING_FORMAT=MLN","Sort=A","Dates=H","DateFormat=P","Fill=—","Direction=H","UseDPDF=Y")</f>
        <v>—</v>
      </c>
      <c r="M83" s="13" t="str">
        <f>_xll.BDH("ITCI US Equity","BS_TOTAL_CAPITAL_LEASES","FQ2 2021","FQ2 2021","Currency=USD","Period=FQ","BEST_FPERIOD_OVERRIDE=FQ","FILING_STATUS=MR","SCALING_FORMAT=MLN","Sort=A","Dates=H","DateFormat=P","Fill=—","Direction=H","UseDPDF=Y")</f>
        <v>—</v>
      </c>
      <c r="N83" s="13" t="str">
        <f>_xll.BDH("ITCI US Equity","BS_TOTAL_CAPITAL_LEASES","FQ3 2021","FQ3 2021","Currency=USD","Period=FQ","BEST_FPERIOD_OVERRIDE=FQ","FILING_STATUS=MR","SCALING_FORMAT=MLN","Sort=A","Dates=H","DateFormat=P","Fill=—","Direction=H","UseDPDF=Y")</f>
        <v>—</v>
      </c>
      <c r="O83" s="13" t="str">
        <f>_xll.BDH("ITCI US Equity","BS_TOTAL_CAPITAL_LEASES","FQ4 2021","FQ4 2021","Currency=USD","Period=FQ","BEST_FPERIOD_OVERRIDE=FQ","FILING_STATUS=MR","SCALING_FORMAT=MLN","Sort=A","Dates=H","DateFormat=P","Fill=—","Direction=H","UseDPDF=Y")</f>
        <v>—</v>
      </c>
      <c r="P83" s="13" t="str">
        <f>_xll.BDH("ITCI US Equity","BS_TOTAL_CAPITAL_LEASES","FQ1 2022","FQ1 2022","Currency=USD","Period=FQ","BEST_FPERIOD_OVERRIDE=FQ","FILING_STATUS=MR","SCALING_FORMAT=MLN","Sort=A","Dates=H","DateFormat=P","Fill=—","Direction=H","UseDPDF=Y")</f>
        <v>—</v>
      </c>
      <c r="Q83" s="13" t="str">
        <f>_xll.BDH("ITCI US Equity","BS_TOTAL_CAPITAL_LEASES","FQ2 2022","FQ2 2022","Currency=USD","Period=FQ","BEST_FPERIOD_OVERRIDE=FQ","FILING_STATUS=MR","SCALING_FORMAT=MLN","Sort=A","Dates=H","DateFormat=P","Fill=—","Direction=H","UseDPDF=Y")</f>
        <v>—</v>
      </c>
      <c r="R83" s="13" t="str">
        <f>_xll.BDH("ITCI US Equity","BS_TOTAL_CAPITAL_LEASES","FQ3 2022","FQ3 2022","Currency=USD","Period=FQ","BEST_FPERIOD_OVERRIDE=FQ","FILING_STATUS=MR","SCALING_FORMAT=MLN","Sort=A","Dates=H","DateFormat=P","Fill=—","Direction=H","UseDPDF=Y")</f>
        <v>—</v>
      </c>
      <c r="S83" s="13" t="str">
        <f>_xll.BDH("ITCI US Equity","BS_TOTAL_CAPITAL_LEASES","FQ4 2022","FQ4 2022","Currency=USD","Period=FQ","BEST_FPERIOD_OVERRIDE=FQ","FILING_STATUS=MR","SCALING_FORMAT=MLN","Sort=A","Dates=H","DateFormat=P","Fill=—","Direction=H","UseDPDF=Y")</f>
        <v>—</v>
      </c>
      <c r="T83" s="13" t="str">
        <f>_xll.BDH("ITCI US Equity","BS_TOTAL_CAPITAL_LEASES","FQ1 2023","FQ1 2023","Currency=USD","Period=FQ","BEST_FPERIOD_OVERRIDE=FQ","FILING_STATUS=MR","SCALING_FORMAT=MLN","Sort=A","Dates=H","DateFormat=P","Fill=—","Direction=H","UseDPDF=Y")</f>
        <v>—</v>
      </c>
      <c r="U83" s="13" t="str">
        <f>_xll.BDH("ITCI US Equity","BS_TOTAL_CAPITAL_LEASES","FQ2 2023","FQ2 2023","Currency=USD","Period=FQ","BEST_FPERIOD_OVERRIDE=FQ","FILING_STATUS=MR","SCALING_FORMAT=MLN","Sort=A","Dates=H","DateFormat=P","Fill=—","Direction=H","UseDPDF=Y")</f>
        <v>—</v>
      </c>
      <c r="V83" s="13" t="str">
        <f>_xll.BDH("ITCI US Equity","BS_TOTAL_CAPITAL_LEASES","FQ3 2023","FQ3 2023","Currency=USD","Period=FQ","BEST_FPERIOD_OVERRIDE=FQ","FILING_STATUS=MR","SCALING_FORMAT=MLN","Sort=A","Dates=H","DateFormat=P","Fill=—","Direction=H","UseDPDF=Y")</f>
        <v>—</v>
      </c>
      <c r="W83" s="13" t="str">
        <f>_xll.BDH("ITCI US Equity","BS_TOTAL_CAPITAL_LEASES","FQ4 2023","FQ4 2023","Currency=USD","Period=FQ","BEST_FPERIOD_OVERRIDE=FQ","FILING_STATUS=MR","SCALING_FORMAT=MLN","Sort=A","Dates=H","DateFormat=P","Fill=—","Direction=H","UseDPDF=Y")</f>
        <v>—</v>
      </c>
      <c r="X83" s="13" t="str">
        <f>_xll.BDH("ITCI US Equity","BS_TOTAL_CAPITAL_LEASES","FQ1 2024","FQ1 2024","Currency=USD","Period=FQ","BEST_FPERIOD_OVERRIDE=FQ","FILING_STATUS=MR","SCALING_FORMAT=MLN","Sort=A","Dates=H","DateFormat=P","Fill=—","Direction=H","UseDPDF=Y")</f>
        <v>—</v>
      </c>
      <c r="Y83" s="13" t="str">
        <f>_xll.BDH("ITCI US Equity","BS_TOTAL_CAPITAL_LEASES","FQ2 2024","FQ2 2024","Currency=USD","Period=FQ","BEST_FPERIOD_OVERRIDE=FQ","FILING_STATUS=MR","SCALING_FORMAT=MLN","Sort=A","Dates=H","DateFormat=P","Fill=—","Direction=H","UseDPDF=Y")</f>
        <v>—</v>
      </c>
      <c r="Z83" s="13" t="str">
        <f>_xll.BDH("ITCI US Equity","BS_TOTAL_CAPITAL_LEASES","FQ3 2024","FQ3 2024","Currency=USD","Period=FQ","BEST_FPERIOD_OVERRIDE=FQ","FILING_STATUS=MR","SCALING_FORMAT=MLN","Sort=A","Dates=H","DateFormat=P","Fill=—","Direction=H","UseDPDF=Y")</f>
        <v>—</v>
      </c>
      <c r="AA83" s="13" t="str">
        <f>_xll.BDH("ITCI US Equity","BS_TOTAL_CAPITAL_LEASES","FQ4 2024","FQ4 2024","Currency=USD","Period=FQ","BEST_FPERIOD_OVERRIDE=FQ","FILING_STATUS=MR","SCALING_FORMAT=MLN","Sort=A","Dates=H","DateFormat=P","Fill=—","Direction=H","UseDPDF=Y")</f>
        <v>—</v>
      </c>
    </row>
    <row r="84" spans="1:27" x14ac:dyDescent="0.25">
      <c r="A84" s="10" t="s">
        <v>670</v>
      </c>
      <c r="B84" s="10" t="s">
        <v>671</v>
      </c>
      <c r="C84" s="13">
        <f>_xll.BDH("ITCI US Equity","BS_OPTIONS_GRANTED","FQ4 2018","FQ4 2018","Currency=USD","Period=FQ","BEST_FPERIOD_OVERRIDE=FQ","FILING_STATUS=MR","Sort=A","Dates=H","DateFormat=P","Fill=—","Direction=H","UseDPDF=Y")</f>
        <v>0.3387</v>
      </c>
      <c r="D84" s="13">
        <f>_xll.BDH("ITCI US Equity","BS_OPTIONS_GRANTED","FQ1 2019","FQ1 2019","Currency=USD","Period=FQ","BEST_FPERIOD_OVERRIDE=FQ","FILING_STATUS=MR","Sort=A","Dates=H","DateFormat=P","Fill=—","Direction=H","UseDPDF=Y")</f>
        <v>1.3043</v>
      </c>
      <c r="E84" s="13">
        <f>_xll.BDH("ITCI US Equity","BS_OPTIONS_GRANTED","FQ2 2019","FQ2 2019","Currency=USD","Period=FQ","BEST_FPERIOD_OVERRIDE=FQ","FILING_STATUS=MR","Sort=A","Dates=H","DateFormat=P","Fill=—","Direction=H","UseDPDF=Y")</f>
        <v>0.46689999999999998</v>
      </c>
      <c r="F84" s="13">
        <f>_xll.BDH("ITCI US Equity","BS_OPTIONS_GRANTED","FQ3 2019","FQ3 2019","Currency=USD","Period=FQ","BEST_FPERIOD_OVERRIDE=FQ","FILING_STATUS=MR","Sort=A","Dates=H","DateFormat=P","Fill=—","Direction=H","UseDPDF=Y")</f>
        <v>5.0099999999999999E-2</v>
      </c>
      <c r="G84" s="13">
        <f>_xll.BDH("ITCI US Equity","BS_OPTIONS_GRANTED","FQ4 2019","FQ4 2019","Currency=USD","Period=FQ","BEST_FPERIOD_OVERRIDE=FQ","FILING_STATUS=MR","Sort=A","Dates=H","DateFormat=P","Fill=—","Direction=H","UseDPDF=Y")</f>
        <v>1.18E-2</v>
      </c>
      <c r="H84" s="13">
        <f>_xll.BDH("ITCI US Equity","BS_OPTIONS_GRANTED","FQ1 2020","FQ1 2020","Currency=USD","Period=FQ","BEST_FPERIOD_OVERRIDE=FQ","FILING_STATUS=MR","Sort=A","Dates=H","DateFormat=P","Fill=—","Direction=H","UseDPDF=Y")</f>
        <v>0.69620000000000004</v>
      </c>
      <c r="I84" s="13">
        <f>_xll.BDH("ITCI US Equity","BS_OPTIONS_GRANTED","FQ2 2020","FQ2 2020","Currency=USD","Period=FQ","BEST_FPERIOD_OVERRIDE=FQ","FILING_STATUS=MR","Sort=A","Dates=H","DateFormat=P","Fill=—","Direction=H","UseDPDF=Y")</f>
        <v>4.6300000000000001E-2</v>
      </c>
      <c r="J84" s="13">
        <f>_xll.BDH("ITCI US Equity","BS_OPTIONS_GRANTED","FQ3 2020","FQ3 2020","Currency=USD","Period=FQ","BEST_FPERIOD_OVERRIDE=FQ","FILING_STATUS=MR","Sort=A","Dates=H","DateFormat=P","Fill=—","Direction=H","UseDPDF=Y")</f>
        <v>3.9699999999999999E-2</v>
      </c>
      <c r="K84" s="13">
        <f>_xll.BDH("ITCI US Equity","BS_OPTIONS_GRANTED","FQ4 2020","FQ4 2020","Currency=USD","Period=FQ","BEST_FPERIOD_OVERRIDE=FQ","FILING_STATUS=MR","Sort=A","Dates=H","DateFormat=P","Fill=—","Direction=H","UseDPDF=Y")</f>
        <v>1.7999999999999999E-2</v>
      </c>
      <c r="L84" s="13">
        <f>_xll.BDH("ITCI US Equity","BS_OPTIONS_GRANTED","FQ1 2021","FQ1 2021","Currency=USD","Period=FQ","BEST_FPERIOD_OVERRIDE=FQ","FILING_STATUS=MR","Sort=A","Dates=H","DateFormat=P","Fill=—","Direction=H","UseDPDF=Y")</f>
        <v>0.51190000000000002</v>
      </c>
      <c r="M84" s="13">
        <f>_xll.BDH("ITCI US Equity","BS_OPTIONS_GRANTED","FQ2 2021","FQ2 2021","Currency=USD","Period=FQ","BEST_FPERIOD_OVERRIDE=FQ","FILING_STATUS=MR","Sort=A","Dates=H","DateFormat=P","Fill=—","Direction=H","UseDPDF=Y")</f>
        <v>0.16239999999999999</v>
      </c>
      <c r="N84" s="13">
        <f>_xll.BDH("ITCI US Equity","BS_OPTIONS_GRANTED","FQ3 2021","FQ3 2021","Currency=USD","Period=FQ","BEST_FPERIOD_OVERRIDE=FQ","FILING_STATUS=MR","Sort=A","Dates=H","DateFormat=P","Fill=—","Direction=H","UseDPDF=Y")</f>
        <v>0</v>
      </c>
      <c r="O84" s="13">
        <f>_xll.BDH("ITCI US Equity","BS_OPTIONS_GRANTED","FQ4 2021","FQ4 2021","Currency=USD","Period=FQ","BEST_FPERIOD_OVERRIDE=FQ","FILING_STATUS=MR","Sort=A","Dates=H","DateFormat=P","Fill=—","Direction=H","UseDPDF=Y")</f>
        <v>0.68359999999999999</v>
      </c>
      <c r="P84" s="13">
        <f>_xll.BDH("ITCI US Equity","BS_OPTIONS_GRANTED","FQ1 2022","FQ1 2022","Currency=USD","Period=FQ","BEST_FPERIOD_OVERRIDE=FQ","FILING_STATUS=MR","Sort=A","Dates=H","DateFormat=P","Fill=—","Direction=H","UseDPDF=Y")</f>
        <v>0.45739999999999997</v>
      </c>
      <c r="Q84" s="13">
        <f>_xll.BDH("ITCI US Equity","BS_OPTIONS_GRANTED","FQ2 2022","FQ2 2022","Currency=USD","Period=FQ","BEST_FPERIOD_OVERRIDE=FQ","FILING_STATUS=MR","Sort=A","Dates=H","DateFormat=P","Fill=—","Direction=H","UseDPDF=Y")</f>
        <v>0.59230000000000005</v>
      </c>
      <c r="R84" s="13">
        <f>_xll.BDH("ITCI US Equity","BS_OPTIONS_GRANTED","FQ3 2022","FQ3 2022","Currency=USD","Period=FQ","BEST_FPERIOD_OVERRIDE=FQ","FILING_STATUS=MR","Sort=A","Dates=H","DateFormat=P","Fill=—","Direction=H","UseDPDF=Y")</f>
        <v>1.24E-2</v>
      </c>
      <c r="S84" s="13">
        <f>_xll.BDH("ITCI US Equity","BS_OPTIONS_GRANTED","FQ4 2022","FQ4 2022","Currency=USD","Period=FQ","BEST_FPERIOD_OVERRIDE=FQ","FILING_STATUS=MR","Sort=A","Dates=H","DateFormat=P","Fill=—","Direction=H","UseDPDF=Y")</f>
        <v>8.2000000000000007E-3</v>
      </c>
      <c r="T84" s="13">
        <f>_xll.BDH("ITCI US Equity","BS_OPTIONS_GRANTED","FQ1 2023","FQ1 2023","Currency=USD","Period=FQ","BEST_FPERIOD_OVERRIDE=FQ","FILING_STATUS=MR","Sort=A","Dates=H","DateFormat=P","Fill=—","Direction=H","UseDPDF=Y")</f>
        <v>0.23980000000000001</v>
      </c>
      <c r="U84" s="13">
        <f>_xll.BDH("ITCI US Equity","BS_OPTIONS_GRANTED","FQ2 2023","FQ2 2023","Currency=USD","Period=FQ","BEST_FPERIOD_OVERRIDE=FQ","FILING_STATUS=MR","Sort=A","Dates=H","DateFormat=P","Fill=—","Direction=H","UseDPDF=Y")</f>
        <v>3.5700000000000003E-2</v>
      </c>
      <c r="V84" s="13">
        <f>_xll.BDH("ITCI US Equity","BS_OPTIONS_GRANTED","FQ3 2023","FQ3 2023","Currency=USD","Period=FQ","BEST_FPERIOD_OVERRIDE=FQ","FILING_STATUS=MR","Sort=A","Dates=H","DateFormat=P","Fill=—","Direction=H","UseDPDF=Y")</f>
        <v>8.8000000000000005E-3</v>
      </c>
      <c r="W84" s="13">
        <f>_xll.BDH("ITCI US Equity","BS_OPTIONS_GRANTED","FQ4 2023","FQ4 2023","Currency=USD","Period=FQ","BEST_FPERIOD_OVERRIDE=FQ","FILING_STATUS=MR","Sort=A","Dates=H","DateFormat=P","Fill=—","Direction=H","UseDPDF=Y")</f>
        <v>4.8999999999999998E-3</v>
      </c>
      <c r="X84" s="13">
        <f>_xll.BDH("ITCI US Equity","BS_OPTIONS_GRANTED","FQ1 2024","FQ1 2024","Currency=USD","Period=FQ","BEST_FPERIOD_OVERRIDE=FQ","FILING_STATUS=MR","Sort=A","Dates=H","DateFormat=P","Fill=—","Direction=H","UseDPDF=Y")</f>
        <v>0</v>
      </c>
      <c r="Y84" s="13">
        <f>_xll.BDH("ITCI US Equity","BS_OPTIONS_GRANTED","FQ2 2024","FQ2 2024","Currency=USD","Period=FQ","BEST_FPERIOD_OVERRIDE=FQ","FILING_STATUS=MR","Sort=A","Dates=H","DateFormat=P","Fill=—","Direction=H","UseDPDF=Y")</f>
        <v>1.7299999999999999E-2</v>
      </c>
      <c r="Z84" s="13">
        <f>_xll.BDH("ITCI US Equity","BS_OPTIONS_GRANTED","FQ3 2024","FQ3 2024","Currency=USD","Period=FQ","BEST_FPERIOD_OVERRIDE=FQ","FILING_STATUS=MR","Sort=A","Dates=H","DateFormat=P","Fill=—","Direction=H","UseDPDF=Y")</f>
        <v>1.7299999999999999E-2</v>
      </c>
      <c r="AA84" s="13">
        <f>_xll.BDH("ITCI US Equity","BS_OPTIONS_GRANTED","FQ4 2024","FQ4 2024","Currency=USD","Period=FQ","BEST_FPERIOD_OVERRIDE=FQ","FILING_STATUS=MR","Sort=A","Dates=H","DateFormat=P","Fill=—","Direction=H","UseDPDF=Y")</f>
        <v>0</v>
      </c>
    </row>
    <row r="85" spans="1:27" x14ac:dyDescent="0.25">
      <c r="A85" s="10" t="s">
        <v>672</v>
      </c>
      <c r="B85" s="10" t="s">
        <v>673</v>
      </c>
      <c r="C85" s="13">
        <f>_xll.BDH("ITCI US Equity","BS_OPTIONS_OUTSTANDING","FQ4 2018","FQ4 2018","Currency=USD","Period=FQ","BEST_FPERIOD_OVERRIDE=FQ","FILING_STATUS=MR","Sort=A","Dates=H","DateFormat=P","Fill=—","Direction=H","UseDPDF=Y")</f>
        <v>4.7484000000000002</v>
      </c>
      <c r="D85" s="13">
        <f>_xll.BDH("ITCI US Equity","BS_OPTIONS_OUTSTANDING","FQ1 2019","FQ1 2019","Currency=USD","Period=FQ","BEST_FPERIOD_OVERRIDE=FQ","FILING_STATUS=MR","Sort=A","Dates=H","DateFormat=P","Fill=—","Direction=H","UseDPDF=Y")</f>
        <v>6.0121000000000002</v>
      </c>
      <c r="E85" s="13">
        <f>_xll.BDH("ITCI US Equity","BS_OPTIONS_OUTSTANDING","FQ2 2019","FQ2 2019","Currency=USD","Period=FQ","BEST_FPERIOD_OVERRIDE=FQ","FILING_STATUS=MR","Sort=A","Dates=H","DateFormat=P","Fill=—","Direction=H","UseDPDF=Y")</f>
        <v>6.4062000000000001</v>
      </c>
      <c r="F85" s="13">
        <f>_xll.BDH("ITCI US Equity","BS_OPTIONS_OUTSTANDING","FQ3 2019","FQ3 2019","Currency=USD","Period=FQ","BEST_FPERIOD_OVERRIDE=FQ","FILING_STATUS=MR","Sort=A","Dates=H","DateFormat=P","Fill=—","Direction=H","UseDPDF=Y")</f>
        <v>6.3308999999999997</v>
      </c>
      <c r="G85" s="13">
        <f>_xll.BDH("ITCI US Equity","BS_OPTIONS_OUTSTANDING","FQ4 2019","FQ4 2019","Currency=USD","Period=FQ","BEST_FPERIOD_OVERRIDE=FQ","FILING_STATUS=MR","Sort=A","Dates=H","DateFormat=P","Fill=—","Direction=H","UseDPDF=Y")</f>
        <v>6.0399000000000003</v>
      </c>
      <c r="H85" s="13">
        <f>_xll.BDH("ITCI US Equity","BS_OPTIONS_OUTSTANDING","FQ1 2020","FQ1 2020","Currency=USD","Period=FQ","BEST_FPERIOD_OVERRIDE=FQ","FILING_STATUS=MR","Sort=A","Dates=H","DateFormat=P","Fill=—","Direction=H","UseDPDF=Y")</f>
        <v>6.4084000000000003</v>
      </c>
      <c r="I85" s="13">
        <f>_xll.BDH("ITCI US Equity","BS_OPTIONS_OUTSTANDING","FQ2 2020","FQ2 2020","Currency=USD","Period=FQ","BEST_FPERIOD_OVERRIDE=FQ","FILING_STATUS=MR","Sort=A","Dates=H","DateFormat=P","Fill=—","Direction=H","UseDPDF=Y")</f>
        <v>6.1121999999999996</v>
      </c>
      <c r="J85" s="13">
        <f>_xll.BDH("ITCI US Equity","BS_OPTIONS_OUTSTANDING","FQ3 2020","FQ3 2020","Currency=USD","Period=FQ","BEST_FPERIOD_OVERRIDE=FQ","FILING_STATUS=MR","Sort=A","Dates=H","DateFormat=P","Fill=—","Direction=H","UseDPDF=Y")</f>
        <v>5.9641000000000002</v>
      </c>
      <c r="K85" s="13">
        <f>_xll.BDH("ITCI US Equity","BS_OPTIONS_OUTSTANDING","FQ4 2020","FQ4 2020","Currency=USD","Period=FQ","BEST_FPERIOD_OVERRIDE=FQ","FILING_STATUS=MR","Sort=A","Dates=H","DateFormat=P","Fill=—","Direction=H","UseDPDF=Y")</f>
        <v>5.5175999999999998</v>
      </c>
      <c r="L85" s="13">
        <f>_xll.BDH("ITCI US Equity","BS_OPTIONS_OUTSTANDING","FQ1 2021","FQ1 2021","Currency=USD","Period=FQ","BEST_FPERIOD_OVERRIDE=FQ","FILING_STATUS=MR","Sort=A","Dates=H","DateFormat=P","Fill=—","Direction=H","UseDPDF=Y")</f>
        <v>5.9298999999999999</v>
      </c>
      <c r="M85" s="13">
        <f>_xll.BDH("ITCI US Equity","BS_OPTIONS_OUTSTANDING","FQ2 2021","FQ2 2021","Currency=USD","Period=FQ","BEST_FPERIOD_OVERRIDE=FQ","FILING_STATUS=MR","Sort=A","Dates=H","DateFormat=P","Fill=—","Direction=H","UseDPDF=Y")</f>
        <v>6.0140000000000002</v>
      </c>
      <c r="N85" s="13">
        <f>_xll.BDH("ITCI US Equity","BS_OPTIONS_OUTSTANDING","FQ3 2021","FQ3 2021","Currency=USD","Period=FQ","BEST_FPERIOD_OVERRIDE=FQ","FILING_STATUS=MR","Sort=A","Dates=H","DateFormat=P","Fill=—","Direction=H","UseDPDF=Y")</f>
        <v>5.9523000000000001</v>
      </c>
      <c r="O85" s="13">
        <f>_xll.BDH("ITCI US Equity","BS_OPTIONS_OUTSTANDING","FQ4 2021","FQ4 2021","Currency=USD","Period=FQ","BEST_FPERIOD_OVERRIDE=FQ","FILING_STATUS=MR","Sort=A","Dates=H","DateFormat=P","Fill=—","Direction=H","UseDPDF=Y")</f>
        <v>5.4513999999999996</v>
      </c>
      <c r="P85" s="13">
        <f>_xll.BDH("ITCI US Equity","BS_OPTIONS_OUTSTANDING","FQ1 2022","FQ1 2022","Currency=USD","Period=FQ","BEST_FPERIOD_OVERRIDE=FQ","FILING_STATUS=MR","Sort=A","Dates=H","DateFormat=P","Fill=—","Direction=H","UseDPDF=Y")</f>
        <v>5.4770000000000003</v>
      </c>
      <c r="Q85" s="13">
        <f>_xll.BDH("ITCI US Equity","BS_OPTIONS_OUTSTANDING","FQ2 2022","FQ2 2022","Currency=USD","Period=FQ","BEST_FPERIOD_OVERRIDE=FQ","FILING_STATUS=MR","Sort=A","Dates=H","DateFormat=P","Fill=—","Direction=H","UseDPDF=Y")</f>
        <v>5.2417999999999996</v>
      </c>
      <c r="R85" s="13">
        <f>_xll.BDH("ITCI US Equity","BS_OPTIONS_OUTSTANDING","FQ3 2022","FQ3 2022","Currency=USD","Period=FQ","BEST_FPERIOD_OVERRIDE=FQ","FILING_STATUS=MR","Sort=A","Dates=H","DateFormat=P","Fill=—","Direction=H","UseDPDF=Y")</f>
        <v>4.9260999999999999</v>
      </c>
      <c r="S85" s="13">
        <f>_xll.BDH("ITCI US Equity","BS_OPTIONS_OUTSTANDING","FQ4 2022","FQ4 2022","Currency=USD","Period=FQ","BEST_FPERIOD_OVERRIDE=FQ","FILING_STATUS=MR","Sort=A","Dates=H","DateFormat=P","Fill=—","Direction=H","UseDPDF=Y")</f>
        <v>4.7859999999999996</v>
      </c>
      <c r="T85" s="13">
        <f>_xll.BDH("ITCI US Equity","BS_OPTIONS_OUTSTANDING","FQ1 2023","FQ1 2023","Currency=USD","Period=FQ","BEST_FPERIOD_OVERRIDE=FQ","FILING_STATUS=MR","Sort=A","Dates=H","DateFormat=P","Fill=—","Direction=H","UseDPDF=Y")</f>
        <v>4.7380000000000004</v>
      </c>
      <c r="U85" s="13">
        <f>_xll.BDH("ITCI US Equity","BS_OPTIONS_OUTSTANDING","FQ2 2023","FQ2 2023","Currency=USD","Period=FQ","BEST_FPERIOD_OVERRIDE=FQ","FILING_STATUS=MR","Sort=A","Dates=H","DateFormat=P","Fill=—","Direction=H","UseDPDF=Y")</f>
        <v>4.5152000000000001</v>
      </c>
      <c r="V85" s="13">
        <f>_xll.BDH("ITCI US Equity","BS_OPTIONS_OUTSTANDING","FQ3 2023","FQ3 2023","Currency=USD","Period=FQ","BEST_FPERIOD_OVERRIDE=FQ","FILING_STATUS=MR","Sort=A","Dates=H","DateFormat=P","Fill=—","Direction=H","UseDPDF=Y")</f>
        <v>4.3856000000000002</v>
      </c>
      <c r="W85" s="13">
        <f>_xll.BDH("ITCI US Equity","BS_OPTIONS_OUTSTANDING","FQ4 2023","FQ4 2023","Currency=USD","Period=FQ","BEST_FPERIOD_OVERRIDE=FQ","FILING_STATUS=MR","Sort=A","Dates=H","DateFormat=P","Fill=—","Direction=H","UseDPDF=Y")</f>
        <v>4.24</v>
      </c>
      <c r="X85" s="13">
        <f>_xll.BDH("ITCI US Equity","BS_OPTIONS_OUTSTANDING","FQ1 2024","FQ1 2024","Currency=USD","Period=FQ","BEST_FPERIOD_OVERRIDE=FQ","FILING_STATUS=MR","Sort=A","Dates=H","DateFormat=P","Fill=—","Direction=H","UseDPDF=Y")</f>
        <v>3.7730999999999999</v>
      </c>
      <c r="Y85" s="13">
        <f>_xll.BDH("ITCI US Equity","BS_OPTIONS_OUTSTANDING","FQ2 2024","FQ2 2024","Currency=USD","Period=FQ","BEST_FPERIOD_OVERRIDE=FQ","FILING_STATUS=MR","Sort=A","Dates=H","DateFormat=P","Fill=—","Direction=H","UseDPDF=Y")</f>
        <v>3.6736</v>
      </c>
      <c r="Z85" s="13">
        <f>_xll.BDH("ITCI US Equity","BS_OPTIONS_OUTSTANDING","FQ3 2024","FQ3 2024","Currency=USD","Period=FQ","BEST_FPERIOD_OVERRIDE=FQ","FILING_STATUS=MR","Sort=A","Dates=H","DateFormat=P","Fill=—","Direction=H","UseDPDF=Y")</f>
        <v>3.3294999999999999</v>
      </c>
      <c r="AA85" s="13">
        <f>_xll.BDH("ITCI US Equity","BS_OPTIONS_OUTSTANDING","FQ4 2024","FQ4 2024","Currency=USD","Period=FQ","BEST_FPERIOD_OVERRIDE=FQ","FILING_STATUS=MR","Sort=A","Dates=H","DateFormat=P","Fill=—","Direction=H","UseDPDF=Y")</f>
        <v>3.0979999999999999</v>
      </c>
    </row>
    <row r="86" spans="1:27" x14ac:dyDescent="0.25">
      <c r="A86" s="10" t="s">
        <v>674</v>
      </c>
      <c r="B86" s="10" t="s">
        <v>675</v>
      </c>
      <c r="C86" s="13">
        <f>_xll.BDH("ITCI US Equity","NET_DEBT","FQ4 2018","FQ4 2018","Currency=USD","Period=FQ","BEST_FPERIOD_OVERRIDE=FQ","FILING_STATUS=MR","SCALING_FORMAT=MLN","Sort=A","Dates=H","DateFormat=P","Fill=—","Direction=H","UseDPDF=Y")</f>
        <v>-347.53050000000002</v>
      </c>
      <c r="D86" s="13">
        <f>_xll.BDH("ITCI US Equity","NET_DEBT","FQ1 2019","FQ1 2019","Currency=USD","Period=FQ","BEST_FPERIOD_OVERRIDE=FQ","FILING_STATUS=MR","SCALING_FORMAT=MLN","Sort=A","Dates=H","DateFormat=P","Fill=—","Direction=H","UseDPDF=Y")</f>
        <v>-289.09030000000001</v>
      </c>
      <c r="E86" s="13">
        <f>_xll.BDH("ITCI US Equity","NET_DEBT","FQ2 2019","FQ2 2019","Currency=USD","Period=FQ","BEST_FPERIOD_OVERRIDE=FQ","FILING_STATUS=MR","SCALING_FORMAT=MLN","Sort=A","Dates=H","DateFormat=P","Fill=—","Direction=H","UseDPDF=Y")</f>
        <v>-262.46940000000001</v>
      </c>
      <c r="F86" s="13">
        <f>_xll.BDH("ITCI US Equity","NET_DEBT","FQ3 2019","FQ3 2019","Currency=USD","Period=FQ","BEST_FPERIOD_OVERRIDE=FQ","FILING_STATUS=MR","SCALING_FORMAT=MLN","Sort=A","Dates=H","DateFormat=P","Fill=—","Direction=H","UseDPDF=Y")</f>
        <v>-232.87700000000001</v>
      </c>
      <c r="G86" s="13">
        <f>_xll.BDH("ITCI US Equity","NET_DEBT","FQ4 2019","FQ4 2019","Currency=USD","Period=FQ","BEST_FPERIOD_OVERRIDE=FQ","FILING_STATUS=MR","SCALING_FORMAT=MLN","Sort=A","Dates=H","DateFormat=P","Fill=—","Direction=H","UseDPDF=Y")</f>
        <v>-200.86760000000001</v>
      </c>
      <c r="H86" s="13">
        <f>_xll.BDH("ITCI US Equity","NET_DEBT","FQ1 2020","FQ1 2020","Currency=USD","Period=FQ","BEST_FPERIOD_OVERRIDE=FQ","FILING_STATUS=MR","SCALING_FORMAT=MLN","Sort=A","Dates=H","DateFormat=P","Fill=—","Direction=H","UseDPDF=Y")</f>
        <v>-426.0247</v>
      </c>
      <c r="I86" s="13">
        <f>_xll.BDH("ITCI US Equity","NET_DEBT","FQ2 2020","FQ2 2020","Currency=USD","Period=FQ","BEST_FPERIOD_OVERRIDE=FQ","FILING_STATUS=MR","SCALING_FORMAT=MLN","Sort=A","Dates=H","DateFormat=P","Fill=—","Direction=H","UseDPDF=Y")</f>
        <v>-382.6268</v>
      </c>
      <c r="J86" s="13">
        <f>_xll.BDH("ITCI US Equity","NET_DEBT","FQ3 2020","FQ3 2020","Currency=USD","Period=FQ","BEST_FPERIOD_OVERRIDE=FQ","FILING_STATUS=MR","SCALING_FORMAT=MLN","Sort=A","Dates=H","DateFormat=P","Fill=—","Direction=H","UseDPDF=Y")</f>
        <v>-692.8107</v>
      </c>
      <c r="K86" s="13">
        <f>_xll.BDH("ITCI US Equity","NET_DEBT","FQ4 2020","FQ4 2020","Currency=USD","Period=FQ","BEST_FPERIOD_OVERRIDE=FQ","FILING_STATUS=MR","SCALING_FORMAT=MLN","Sort=A","Dates=H","DateFormat=P","Fill=—","Direction=H","UseDPDF=Y")</f>
        <v>-628.30589999999995</v>
      </c>
      <c r="L86" s="13">
        <f>_xll.BDH("ITCI US Equity","NET_DEBT","FQ1 2021","FQ1 2021","Currency=USD","Period=FQ","BEST_FPERIOD_OVERRIDE=FQ","FILING_STATUS=MR","SCALING_FORMAT=MLN","Sort=A","Dates=H","DateFormat=P","Fill=—","Direction=H","UseDPDF=Y")</f>
        <v>-583.75429999999994</v>
      </c>
      <c r="M86" s="13">
        <f>_xll.BDH("ITCI US Equity","NET_DEBT","FQ2 2021","FQ2 2021","Currency=USD","Period=FQ","BEST_FPERIOD_OVERRIDE=FQ","FILING_STATUS=MR","SCALING_FORMAT=MLN","Sort=A","Dates=H","DateFormat=P","Fill=—","Direction=H","UseDPDF=Y")</f>
        <v>-527.47349999999994</v>
      </c>
      <c r="N86" s="13">
        <f>_xll.BDH("ITCI US Equity","NET_DEBT","FQ3 2021","FQ3 2021","Currency=USD","Period=FQ","BEST_FPERIOD_OVERRIDE=FQ","FILING_STATUS=MR","SCALING_FORMAT=MLN","Sort=A","Dates=H","DateFormat=P","Fill=—","Direction=H","UseDPDF=Y")</f>
        <v>-450.87799999999999</v>
      </c>
      <c r="O86" s="13">
        <f>_xll.BDH("ITCI US Equity","NET_DEBT","FQ4 2021","FQ4 2021","Currency=USD","Period=FQ","BEST_FPERIOD_OVERRIDE=FQ","FILING_STATUS=MR","SCALING_FORMAT=MLN","Sort=A","Dates=H","DateFormat=P","Fill=—","Direction=H","UseDPDF=Y")</f>
        <v>-386.92660000000001</v>
      </c>
      <c r="P86" s="13">
        <f>_xll.BDH("ITCI US Equity","NET_DEBT","FQ1 2022","FQ1 2022","Currency=USD","Period=FQ","BEST_FPERIOD_OVERRIDE=FQ","FILING_STATUS=MR","SCALING_FORMAT=MLN","Sort=A","Dates=H","DateFormat=P","Fill=—","Direction=H","UseDPDF=Y")</f>
        <v>-747.45600000000002</v>
      </c>
      <c r="Q86" s="13">
        <f>_xll.BDH("ITCI US Equity","NET_DEBT","FQ2 2022","FQ2 2022","Currency=USD","Period=FQ","BEST_FPERIOD_OVERRIDE=FQ","FILING_STATUS=MR","SCALING_FORMAT=MLN","Sort=A","Dates=H","DateFormat=P","Fill=—","Direction=H","UseDPDF=Y")</f>
        <v>-651.01099999999997</v>
      </c>
      <c r="R86" s="13">
        <f>_xll.BDH("ITCI US Equity","NET_DEBT","FQ3 2022","FQ3 2022","Currency=USD","Period=FQ","BEST_FPERIOD_OVERRIDE=FQ","FILING_STATUS=MR","SCALING_FORMAT=MLN","Sort=A","Dates=H","DateFormat=P","Fill=—","Direction=H","UseDPDF=Y")</f>
        <v>-602.32899999999995</v>
      </c>
      <c r="S86" s="13">
        <f>_xll.BDH("ITCI US Equity","NET_DEBT","FQ4 2022","FQ4 2022","Currency=USD","Period=FQ","BEST_FPERIOD_OVERRIDE=FQ","FILING_STATUS=MR","SCALING_FORMAT=MLN","Sort=A","Dates=H","DateFormat=P","Fill=—","Direction=H","UseDPDF=Y")</f>
        <v>-571.86400000000003</v>
      </c>
      <c r="T86" s="13">
        <f>_xll.BDH("ITCI US Equity","NET_DEBT","FQ1 2023","FQ1 2023","Currency=USD","Period=FQ","BEST_FPERIOD_OVERRIDE=FQ","FILING_STATUS=MR","SCALING_FORMAT=MLN","Sort=A","Dates=H","DateFormat=P","Fill=—","Direction=H","UseDPDF=Y")</f>
        <v>-520.21600000000001</v>
      </c>
      <c r="U86" s="13">
        <f>_xll.BDH("ITCI US Equity","NET_DEBT","FQ2 2023","FQ2 2023","Currency=USD","Period=FQ","BEST_FPERIOD_OVERRIDE=FQ","FILING_STATUS=MR","SCALING_FORMAT=MLN","Sort=A","Dates=H","DateFormat=P","Fill=—","Direction=H","UseDPDF=Y")</f>
        <v>-494.86399999999998</v>
      </c>
      <c r="V86" s="13">
        <f>_xll.BDH("ITCI US Equity","NET_DEBT","FQ3 2023","FQ3 2023","Currency=USD","Period=FQ","BEST_FPERIOD_OVERRIDE=FQ","FILING_STATUS=MR","SCALING_FORMAT=MLN","Sort=A","Dates=H","DateFormat=P","Fill=—","Direction=H","UseDPDF=Y")</f>
        <v>-475.54599999999999</v>
      </c>
      <c r="W86" s="13">
        <f>_xll.BDH("ITCI US Equity","NET_DEBT","FQ4 2023","FQ4 2023","Currency=USD","Period=FQ","BEST_FPERIOD_OVERRIDE=FQ","FILING_STATUS=MR","SCALING_FORMAT=MLN","Sort=A","Dates=H","DateFormat=P","Fill=—","Direction=H","UseDPDF=Y")</f>
        <v>-481.00299999999999</v>
      </c>
      <c r="X86" s="13">
        <f>_xll.BDH("ITCI US Equity","NET_DEBT","FQ1 2024","FQ1 2024","Currency=USD","Period=FQ","BEST_FPERIOD_OVERRIDE=FQ","FILING_STATUS=MR","SCALING_FORMAT=MLN","Sort=A","Dates=H","DateFormat=P","Fill=—","Direction=H","UseDPDF=Y")</f>
        <v>-459.24700000000001</v>
      </c>
      <c r="Y86" s="13">
        <f>_xll.BDH("ITCI US Equity","NET_DEBT","FQ2 2024","FQ2 2024","Currency=USD","Period=FQ","BEST_FPERIOD_OVERRIDE=FQ","FILING_STATUS=MR","SCALING_FORMAT=MLN","Sort=A","Dates=H","DateFormat=P","Fill=—","Direction=H","UseDPDF=Y")</f>
        <v>-1004.619</v>
      </c>
      <c r="Z86" s="13">
        <f>_xll.BDH("ITCI US Equity","NET_DEBT","FQ3 2024","FQ3 2024","Currency=USD","Period=FQ","BEST_FPERIOD_OVERRIDE=FQ","FILING_STATUS=MR","SCALING_FORMAT=MLN","Sort=A","Dates=H","DateFormat=P","Fill=—","Direction=H","UseDPDF=Y")</f>
        <v>-988.85299999999995</v>
      </c>
      <c r="AA86" s="13">
        <f>_xll.BDH("ITCI US Equity","NET_DEBT","FQ4 2024","FQ4 2024","Currency=USD","Period=FQ","BEST_FPERIOD_OVERRIDE=FQ","FILING_STATUS=MR","SCALING_FORMAT=MLN","Sort=A","Dates=H","DateFormat=P","Fill=—","Direction=H","UseDPDF=Y")</f>
        <v>-984.08500000000004</v>
      </c>
    </row>
    <row r="87" spans="1:27" x14ac:dyDescent="0.25">
      <c r="A87" s="10" t="s">
        <v>676</v>
      </c>
      <c r="B87" s="10" t="s">
        <v>677</v>
      </c>
      <c r="C87" s="14">
        <f>_xll.BDH("ITCI US Equity","NET_DEBT_TO_SHRHLDR_EQTY","FQ4 2018","FQ4 2018","Currency=USD","Period=FQ","BEST_FPERIOD_OVERRIDE=FQ","FILING_STATUS=MR","Sort=A","Dates=H","DateFormat=P","Fill=—","Direction=H","UseDPDF=Y")</f>
        <v>-109.3844</v>
      </c>
      <c r="D87" s="14">
        <f>_xll.BDH("ITCI US Equity","NET_DEBT_TO_SHRHLDR_EQTY","FQ1 2019","FQ1 2019","Currency=USD","Period=FQ","BEST_FPERIOD_OVERRIDE=FQ","FILING_STATUS=MR","Sort=A","Dates=H","DateFormat=P","Fill=—","Direction=H","UseDPDF=Y")</f>
        <v>-100.1649</v>
      </c>
      <c r="E87" s="14">
        <f>_xll.BDH("ITCI US Equity","NET_DEBT_TO_SHRHLDR_EQTY","FQ2 2019","FQ2 2019","Currency=USD","Period=FQ","BEST_FPERIOD_OVERRIDE=FQ","FILING_STATUS=MR","Sort=A","Dates=H","DateFormat=P","Fill=—","Direction=H","UseDPDF=Y")</f>
        <v>-102.22029999999999</v>
      </c>
      <c r="F87" s="14">
        <f>_xll.BDH("ITCI US Equity","NET_DEBT_TO_SHRHLDR_EQTY","FQ3 2019","FQ3 2019","Currency=USD","Period=FQ","BEST_FPERIOD_OVERRIDE=FQ","FILING_STATUS=MR","Sort=A","Dates=H","DateFormat=P","Fill=—","Direction=H","UseDPDF=Y")</f>
        <v>-102.6431</v>
      </c>
      <c r="G87" s="14">
        <f>_xll.BDH("ITCI US Equity","NET_DEBT_TO_SHRHLDR_EQTY","FQ4 2019","FQ4 2019","Currency=USD","Period=FQ","BEST_FPERIOD_OVERRIDE=FQ","FILING_STATUS=MR","Sort=A","Dates=H","DateFormat=P","Fill=—","Direction=H","UseDPDF=Y")</f>
        <v>-103.0052</v>
      </c>
      <c r="H87" s="14">
        <f>_xll.BDH("ITCI US Equity","NET_DEBT_TO_SHRHLDR_EQTY","FQ1 2020","FQ1 2020","Currency=USD","Period=FQ","BEST_FPERIOD_OVERRIDE=FQ","FILING_STATUS=MR","Sort=A","Dates=H","DateFormat=P","Fill=—","Direction=H","UseDPDF=Y")</f>
        <v>-98.972300000000004</v>
      </c>
      <c r="I87" s="14">
        <f>_xll.BDH("ITCI US Equity","NET_DEBT_TO_SHRHLDR_EQTY","FQ2 2020","FQ2 2020","Currency=USD","Period=FQ","BEST_FPERIOD_OVERRIDE=FQ","FILING_STATUS=MR","Sort=A","Dates=H","DateFormat=P","Fill=—","Direction=H","UseDPDF=Y")</f>
        <v>-100.816</v>
      </c>
      <c r="J87" s="14">
        <f>_xll.BDH("ITCI US Equity","NET_DEBT_TO_SHRHLDR_EQTY","FQ3 2020","FQ3 2020","Currency=USD","Period=FQ","BEST_FPERIOD_OVERRIDE=FQ","FILING_STATUS=MR","Sort=A","Dates=H","DateFormat=P","Fill=—","Direction=H","UseDPDF=Y")</f>
        <v>-97.662099999999995</v>
      </c>
      <c r="K87" s="14">
        <f>_xll.BDH("ITCI US Equity","NET_DEBT_TO_SHRHLDR_EQTY","FQ4 2020","FQ4 2020","Currency=USD","Period=FQ","BEST_FPERIOD_OVERRIDE=FQ","FILING_STATUS=MR","Sort=A","Dates=H","DateFormat=P","Fill=—","Direction=H","UseDPDF=Y")</f>
        <v>-95.652900000000002</v>
      </c>
      <c r="L87" s="14">
        <f>_xll.BDH("ITCI US Equity","NET_DEBT_TO_SHRHLDR_EQTY","FQ1 2021","FQ1 2021","Currency=USD","Period=FQ","BEST_FPERIOD_OVERRIDE=FQ","FILING_STATUS=MR","Sort=A","Dates=H","DateFormat=P","Fill=—","Direction=H","UseDPDF=Y")</f>
        <v>-95.361400000000003</v>
      </c>
      <c r="M87" s="14">
        <f>_xll.BDH("ITCI US Equity","NET_DEBT_TO_SHRHLDR_EQTY","FQ2 2021","FQ2 2021","Currency=USD","Period=FQ","BEST_FPERIOD_OVERRIDE=FQ","FILING_STATUS=MR","Sort=A","Dates=H","DateFormat=P","Fill=—","Direction=H","UseDPDF=Y")</f>
        <v>-95.283000000000001</v>
      </c>
      <c r="N87" s="14">
        <f>_xll.BDH("ITCI US Equity","NET_DEBT_TO_SHRHLDR_EQTY","FQ3 2021","FQ3 2021","Currency=USD","Period=FQ","BEST_FPERIOD_OVERRIDE=FQ","FILING_STATUS=MR","Sort=A","Dates=H","DateFormat=P","Fill=—","Direction=H","UseDPDF=Y")</f>
        <v>-92.629099999999994</v>
      </c>
      <c r="O87" s="14">
        <f>_xll.BDH("ITCI US Equity","NET_DEBT_TO_SHRHLDR_EQTY","FQ4 2021","FQ4 2021","Currency=USD","Period=FQ","BEST_FPERIOD_OVERRIDE=FQ","FILING_STATUS=MR","Sort=A","Dates=H","DateFormat=P","Fill=—","Direction=H","UseDPDF=Y")</f>
        <v>-92.590400000000002</v>
      </c>
      <c r="P87" s="14">
        <f>_xll.BDH("ITCI US Equity","NET_DEBT_TO_SHRHLDR_EQTY","FQ1 2022","FQ1 2022","Currency=USD","Period=FQ","BEST_FPERIOD_OVERRIDE=FQ","FILING_STATUS=MR","Sort=A","Dates=H","DateFormat=P","Fill=—","Direction=H","UseDPDF=Y")</f>
        <v>-94.286500000000004</v>
      </c>
      <c r="Q87" s="14">
        <f>_xll.BDH("ITCI US Equity","NET_DEBT_TO_SHRHLDR_EQTY","FQ2 2022","FQ2 2022","Currency=USD","Period=FQ","BEST_FPERIOD_OVERRIDE=FQ","FILING_STATUS=MR","Sort=A","Dates=H","DateFormat=P","Fill=—","Direction=H","UseDPDF=Y")</f>
        <v>-90.143100000000004</v>
      </c>
      <c r="R87" s="14">
        <f>_xll.BDH("ITCI US Equity","NET_DEBT_TO_SHRHLDR_EQTY","FQ3 2022","FQ3 2022","Currency=USD","Period=FQ","BEST_FPERIOD_OVERRIDE=FQ","FILING_STATUS=MR","Sort=A","Dates=H","DateFormat=P","Fill=—","Direction=H","UseDPDF=Y")</f>
        <v>-87.877099999999999</v>
      </c>
      <c r="S87" s="14">
        <f>_xll.BDH("ITCI US Equity","NET_DEBT_TO_SHRHLDR_EQTY","FQ4 2022","FQ4 2022","Currency=USD","Period=FQ","BEST_FPERIOD_OVERRIDE=FQ","FILING_STATUS=MR","Sort=A","Dates=H","DateFormat=P","Fill=—","Direction=H","UseDPDF=Y")</f>
        <v>-87.165099999999995</v>
      </c>
      <c r="T87" s="14">
        <f>_xll.BDH("ITCI US Equity","NET_DEBT_TO_SHRHLDR_EQTY","FQ1 2023","FQ1 2023","Currency=USD","Period=FQ","BEST_FPERIOD_OVERRIDE=FQ","FILING_STATUS=MR","Sort=A","Dates=H","DateFormat=P","Fill=—","Direction=H","UseDPDF=Y")</f>
        <v>-82.888400000000004</v>
      </c>
      <c r="U87" s="14">
        <f>_xll.BDH("ITCI US Equity","NET_DEBT_TO_SHRHLDR_EQTY","FQ2 2023","FQ2 2023","Currency=USD","Period=FQ","BEST_FPERIOD_OVERRIDE=FQ","FILING_STATUS=MR","Sort=A","Dates=H","DateFormat=P","Fill=—","Direction=H","UseDPDF=Y")</f>
        <v>-81.514099999999999</v>
      </c>
      <c r="V87" s="14">
        <f>_xll.BDH("ITCI US Equity","NET_DEBT_TO_SHRHLDR_EQTY","FQ3 2023","FQ3 2023","Currency=USD","Period=FQ","BEST_FPERIOD_OVERRIDE=FQ","FILING_STATUS=MR","Sort=A","Dates=H","DateFormat=P","Fill=—","Direction=H","UseDPDF=Y")</f>
        <v>-79.1678</v>
      </c>
      <c r="W87" s="14">
        <f>_xll.BDH("ITCI US Equity","NET_DEBT_TO_SHRHLDR_EQTY","FQ4 2023","FQ4 2023","Currency=USD","Period=FQ","BEST_FPERIOD_OVERRIDE=FQ","FILING_STATUS=MR","Sort=A","Dates=H","DateFormat=P","Fill=—","Direction=H","UseDPDF=Y")</f>
        <v>-81.329599999999999</v>
      </c>
      <c r="X87" s="14">
        <f>_xll.BDH("ITCI US Equity","NET_DEBT_TO_SHRHLDR_EQTY","FQ1 2024","FQ1 2024","Currency=USD","Period=FQ","BEST_FPERIOD_OVERRIDE=FQ","FILING_STATUS=MR","Sort=A","Dates=H","DateFormat=P","Fill=—","Direction=H","UseDPDF=Y")</f>
        <v>-76.6053</v>
      </c>
      <c r="Y87" s="14">
        <f>_xll.BDH("ITCI US Equity","NET_DEBT_TO_SHRHLDR_EQTY","FQ2 2024","FQ2 2024","Currency=USD","Period=FQ","BEST_FPERIOD_OVERRIDE=FQ","FILING_STATUS=MR","Sort=A","Dates=H","DateFormat=P","Fill=—","Direction=H","UseDPDF=Y")</f>
        <v>-87.769400000000005</v>
      </c>
      <c r="Z87" s="14">
        <f>_xll.BDH("ITCI US Equity","NET_DEBT_TO_SHRHLDR_EQTY","FQ3 2024","FQ3 2024","Currency=USD","Period=FQ","BEST_FPERIOD_OVERRIDE=FQ","FILING_STATUS=MR","Sort=A","Dates=H","DateFormat=P","Fill=—","Direction=H","UseDPDF=Y")</f>
        <v>-86.375799999999998</v>
      </c>
      <c r="AA87" s="14">
        <f>_xll.BDH("ITCI US Equity","NET_DEBT_TO_SHRHLDR_EQTY","FQ4 2024","FQ4 2024","Currency=USD","Period=FQ","BEST_FPERIOD_OVERRIDE=FQ","FILING_STATUS=MR","Sort=A","Dates=H","DateFormat=P","Fill=—","Direction=H","UseDPDF=Y")</f>
        <v>-85.687399999999997</v>
      </c>
    </row>
    <row r="88" spans="1:27" x14ac:dyDescent="0.25">
      <c r="A88" s="10" t="s">
        <v>678</v>
      </c>
      <c r="B88" s="10" t="s">
        <v>679</v>
      </c>
      <c r="C88" s="14">
        <f>_xll.BDH("ITCI US Equity","TCE_RATIO","FQ4 2018","FQ4 2018","Currency=USD","Period=FQ","BEST_FPERIOD_OVERRIDE=FQ","FILING_STATUS=MR","Sort=A","Dates=H","DateFormat=P","Fill=—","Direction=H","UseDPDF=Y")</f>
        <v>88.944299999999998</v>
      </c>
      <c r="D88" s="14">
        <f>_xll.BDH("ITCI US Equity","TCE_RATIO","FQ1 2019","FQ1 2019","Currency=USD","Period=FQ","BEST_FPERIOD_OVERRIDE=FQ","FILING_STATUS=MR","Sort=A","Dates=H","DateFormat=P","Fill=—","Direction=H","UseDPDF=Y")</f>
        <v>84.150800000000004</v>
      </c>
      <c r="E88" s="14">
        <f>_xll.BDH("ITCI US Equity","TCE_RATIO","FQ2 2019","FQ2 2019","Currency=USD","Period=FQ","BEST_FPERIOD_OVERRIDE=FQ","FILING_STATUS=MR","Sort=A","Dates=H","DateFormat=P","Fill=—","Direction=H","UseDPDF=Y")</f>
        <v>82.865200000000002</v>
      </c>
      <c r="F88" s="14">
        <f>_xll.BDH("ITCI US Equity","TCE_RATIO","FQ3 2019","FQ3 2019","Currency=USD","Period=FQ","BEST_FPERIOD_OVERRIDE=FQ","FILING_STATUS=MR","Sort=A","Dates=H","DateFormat=P","Fill=—","Direction=H","UseDPDF=Y")</f>
        <v>80.877600000000001</v>
      </c>
      <c r="G88" s="14">
        <f>_xll.BDH("ITCI US Equity","TCE_RATIO","FQ4 2019","FQ4 2019","Currency=USD","Period=FQ","BEST_FPERIOD_OVERRIDE=FQ","FILING_STATUS=MR","Sort=A","Dates=H","DateFormat=P","Fill=—","Direction=H","UseDPDF=Y")</f>
        <v>77.634500000000003</v>
      </c>
      <c r="H88" s="14">
        <f>_xll.BDH("ITCI US Equity","TCE_RATIO","FQ1 2020","FQ1 2020","Currency=USD","Period=FQ","BEST_FPERIOD_OVERRIDE=FQ","FILING_STATUS=MR","Sort=A","Dates=H","DateFormat=P","Fill=—","Direction=H","UseDPDF=Y")</f>
        <v>89.4452</v>
      </c>
      <c r="I88" s="14">
        <f>_xll.BDH("ITCI US Equity","TCE_RATIO","FQ2 2020","FQ2 2020","Currency=USD","Period=FQ","BEST_FPERIOD_OVERRIDE=FQ","FILING_STATUS=MR","Sort=A","Dates=H","DateFormat=P","Fill=—","Direction=H","UseDPDF=Y")</f>
        <v>86.074700000000007</v>
      </c>
      <c r="J88" s="14">
        <f>_xll.BDH("ITCI US Equity","TCE_RATIO","FQ3 2020","FQ3 2020","Currency=USD","Period=FQ","BEST_FPERIOD_OVERRIDE=FQ","FILING_STATUS=MR","Sort=A","Dates=H","DateFormat=P","Fill=—","Direction=H","UseDPDF=Y")</f>
        <v>91.974699999999999</v>
      </c>
      <c r="K88" s="14">
        <f>_xll.BDH("ITCI US Equity","TCE_RATIO","FQ4 2020","FQ4 2020","Currency=USD","Period=FQ","BEST_FPERIOD_OVERRIDE=FQ","FILING_STATUS=MR","Sort=A","Dates=H","DateFormat=P","Fill=—","Direction=H","UseDPDF=Y")</f>
        <v>91.572199999999995</v>
      </c>
      <c r="L88" s="14">
        <f>_xll.BDH("ITCI US Equity","TCE_RATIO","FQ1 2021","FQ1 2021","Currency=USD","Period=FQ","BEST_FPERIOD_OVERRIDE=FQ","FILING_STATUS=MR","Sort=A","Dates=H","DateFormat=P","Fill=—","Direction=H","UseDPDF=Y")</f>
        <v>90.757599999999996</v>
      </c>
      <c r="M88" s="14">
        <f>_xll.BDH("ITCI US Equity","TCE_RATIO","FQ2 2021","FQ2 2021","Currency=USD","Period=FQ","BEST_FPERIOD_OVERRIDE=FQ","FILING_STATUS=MR","Sort=A","Dates=H","DateFormat=P","Fill=—","Direction=H","UseDPDF=Y")</f>
        <v>88.475099999999998</v>
      </c>
      <c r="N88" s="14">
        <f>_xll.BDH("ITCI US Equity","TCE_RATIO","FQ3 2021","FQ3 2021","Currency=USD","Period=FQ","BEST_FPERIOD_OVERRIDE=FQ","FILING_STATUS=MR","Sort=A","Dates=H","DateFormat=P","Fill=—","Direction=H","UseDPDF=Y")</f>
        <v>87.392700000000005</v>
      </c>
      <c r="O88" s="14">
        <f>_xll.BDH("ITCI US Equity","TCE_RATIO","FQ4 2021","FQ4 2021","Currency=USD","Period=FQ","BEST_FPERIOD_OVERRIDE=FQ","FILING_STATUS=MR","Sort=A","Dates=H","DateFormat=P","Fill=—","Direction=H","UseDPDF=Y")</f>
        <v>85.297399999999996</v>
      </c>
      <c r="P88" s="14">
        <f>_xll.BDH("ITCI US Equity","TCE_RATIO","FQ1 2022","FQ1 2022","Currency=USD","Period=FQ","BEST_FPERIOD_OVERRIDE=FQ","FILING_STATUS=MR","Sort=A","Dates=H","DateFormat=P","Fill=—","Direction=H","UseDPDF=Y")</f>
        <v>91.2697</v>
      </c>
      <c r="Q88" s="14">
        <f>_xll.BDH("ITCI US Equity","TCE_RATIO","FQ2 2022","FQ2 2022","Currency=USD","Period=FQ","BEST_FPERIOD_OVERRIDE=FQ","FILING_STATUS=MR","Sort=A","Dates=H","DateFormat=P","Fill=—","Direction=H","UseDPDF=Y")</f>
        <v>88.950800000000001</v>
      </c>
      <c r="R88" s="14">
        <f>_xll.BDH("ITCI US Equity","TCE_RATIO","FQ3 2022","FQ3 2022","Currency=USD","Period=FQ","BEST_FPERIOD_OVERRIDE=FQ","FILING_STATUS=MR","Sort=A","Dates=H","DateFormat=P","Fill=—","Direction=H","UseDPDF=Y")</f>
        <v>87.65</v>
      </c>
      <c r="S88" s="14">
        <f>_xll.BDH("ITCI US Equity","TCE_RATIO","FQ4 2022","FQ4 2022","Currency=USD","Period=FQ","BEST_FPERIOD_OVERRIDE=FQ","FILING_STATUS=MR","Sort=A","Dates=H","DateFormat=P","Fill=—","Direction=H","UseDPDF=Y")</f>
        <v>86.921999999999997</v>
      </c>
      <c r="T88" s="14">
        <f>_xll.BDH("ITCI US Equity","TCE_RATIO","FQ1 2023","FQ1 2023","Currency=USD","Period=FQ","BEST_FPERIOD_OVERRIDE=FQ","FILING_STATUS=MR","Sort=A","Dates=H","DateFormat=P","Fill=—","Direction=H","UseDPDF=Y")</f>
        <v>86.907600000000002</v>
      </c>
      <c r="U88" s="14">
        <f>_xll.BDH("ITCI US Equity","TCE_RATIO","FQ2 2023","FQ2 2023","Currency=USD","Period=FQ","BEST_FPERIOD_OVERRIDE=FQ","FILING_STATUS=MR","Sort=A","Dates=H","DateFormat=P","Fill=—","Direction=H","UseDPDF=Y")</f>
        <v>85.073999999999998</v>
      </c>
      <c r="V88" s="14">
        <f>_xll.BDH("ITCI US Equity","TCE_RATIO","FQ3 2023","FQ3 2023","Currency=USD","Period=FQ","BEST_FPERIOD_OVERRIDE=FQ","FILING_STATUS=MR","Sort=A","Dates=H","DateFormat=P","Fill=—","Direction=H","UseDPDF=Y")</f>
        <v>83.6995</v>
      </c>
      <c r="W88" s="14">
        <f>_xll.BDH("ITCI US Equity","TCE_RATIO","FQ4 2023","FQ4 2023","Currency=USD","Period=FQ","BEST_FPERIOD_OVERRIDE=FQ","FILING_STATUS=MR","Sort=A","Dates=H","DateFormat=P","Fill=—","Direction=H","UseDPDF=Y")</f>
        <v>81.206699999999998</v>
      </c>
      <c r="X88" s="14">
        <f>_xll.BDH("ITCI US Equity","TCE_RATIO","FQ1 2024","FQ1 2024","Currency=USD","Period=FQ","BEST_FPERIOD_OVERRIDE=FQ","FILING_STATUS=MR","Sort=A","Dates=H","DateFormat=P","Fill=—","Direction=H","UseDPDF=Y")</f>
        <v>80.250200000000007</v>
      </c>
      <c r="Y88" s="14">
        <f>_xll.BDH("ITCI US Equity","TCE_RATIO","FQ2 2024","FQ2 2024","Currency=USD","Period=FQ","BEST_FPERIOD_OVERRIDE=FQ","FILING_STATUS=MR","Sort=A","Dates=H","DateFormat=P","Fill=—","Direction=H","UseDPDF=Y")</f>
        <v>86.679900000000004</v>
      </c>
      <c r="Z88" s="14">
        <f>_xll.BDH("ITCI US Equity","TCE_RATIO","FQ3 2024","FQ3 2024","Currency=USD","Period=FQ","BEST_FPERIOD_OVERRIDE=FQ","FILING_STATUS=MR","Sort=A","Dates=H","DateFormat=P","Fill=—","Direction=H","UseDPDF=Y")</f>
        <v>86.438199999999995</v>
      </c>
      <c r="AA88" s="14">
        <f>_xll.BDH("ITCI US Equity","TCE_RATIO","FQ4 2024","FQ4 2024","Currency=USD","Period=FQ","BEST_FPERIOD_OVERRIDE=FQ","FILING_STATUS=MR","Sort=A","Dates=H","DateFormat=P","Fill=—","Direction=H","UseDPDF=Y")</f>
        <v>84.018600000000006</v>
      </c>
    </row>
    <row r="89" spans="1:27" x14ac:dyDescent="0.25">
      <c r="A89" s="10" t="s">
        <v>680</v>
      </c>
      <c r="B89" s="10" t="s">
        <v>681</v>
      </c>
      <c r="C89" s="14">
        <f>_xll.BDH("ITCI US Equity","CUR_RATIO","FQ4 2018","FQ4 2018","Currency=USD","Period=FQ","BEST_FPERIOD_OVERRIDE=FQ","FILING_STATUS=MR","Sort=A","Dates=H","DateFormat=P","Fill=—","Direction=H","UseDPDF=Y")</f>
        <v>9.7919</v>
      </c>
      <c r="D89" s="14">
        <f>_xll.BDH("ITCI US Equity","CUR_RATIO","FQ1 2019","FQ1 2019","Currency=USD","Period=FQ","BEST_FPERIOD_OVERRIDE=FQ","FILING_STATUS=MR","Sort=A","Dates=H","DateFormat=P","Fill=—","Direction=H","UseDPDF=Y")</f>
        <v>9.5861000000000001</v>
      </c>
      <c r="E89" s="14">
        <f>_xll.BDH("ITCI US Equity","CUR_RATIO","FQ2 2019","FQ2 2019","Currency=USD","Period=FQ","BEST_FPERIOD_OVERRIDE=FQ","FILING_STATUS=MR","Sort=A","Dates=H","DateFormat=P","Fill=—","Direction=H","UseDPDF=Y")</f>
        <v>8.8648000000000007</v>
      </c>
      <c r="F89" s="14">
        <f>_xll.BDH("ITCI US Equity","CUR_RATIO","FQ3 2019","FQ3 2019","Currency=USD","Period=FQ","BEST_FPERIOD_OVERRIDE=FQ","FILING_STATUS=MR","Sort=A","Dates=H","DateFormat=P","Fill=—","Direction=H","UseDPDF=Y")</f>
        <v>7.7744</v>
      </c>
      <c r="G89" s="14">
        <f>_xll.BDH("ITCI US Equity","CUR_RATIO","FQ4 2019","FQ4 2019","Currency=USD","Period=FQ","BEST_FPERIOD_OVERRIDE=FQ","FILING_STATUS=MR","Sort=A","Dates=H","DateFormat=P","Fill=—","Direction=H","UseDPDF=Y")</f>
        <v>6.3582999999999998</v>
      </c>
      <c r="H89" s="14">
        <f>_xll.BDH("ITCI US Equity","CUR_RATIO","FQ1 2020","FQ1 2020","Currency=USD","Period=FQ","BEST_FPERIOD_OVERRIDE=FQ","FILING_STATUS=MR","Sort=A","Dates=H","DateFormat=P","Fill=—","Direction=H","UseDPDF=Y")</f>
        <v>14.833500000000001</v>
      </c>
      <c r="I89" s="14">
        <f>_xll.BDH("ITCI US Equity","CUR_RATIO","FQ2 2020","FQ2 2020","Currency=USD","Period=FQ","BEST_FPERIOD_OVERRIDE=FQ","FILING_STATUS=MR","Sort=A","Dates=H","DateFormat=P","Fill=—","Direction=H","UseDPDF=Y")</f>
        <v>10.401199999999999</v>
      </c>
      <c r="J89" s="14">
        <f>_xll.BDH("ITCI US Equity","CUR_RATIO","FQ3 2020","FQ3 2020","Currency=USD","Period=FQ","BEST_FPERIOD_OVERRIDE=FQ","FILING_STATUS=MR","Sort=A","Dates=H","DateFormat=P","Fill=—","Direction=H","UseDPDF=Y")</f>
        <v>19.5869</v>
      </c>
      <c r="K89" s="14">
        <f>_xll.BDH("ITCI US Equity","CUR_RATIO","FQ4 2020","FQ4 2020","Currency=USD","Period=FQ","BEST_FPERIOD_OVERRIDE=FQ","FILING_STATUS=MR","Sort=A","Dates=H","DateFormat=P","Fill=—","Direction=H","UseDPDF=Y")</f>
        <v>18.747499999999999</v>
      </c>
      <c r="L89" s="14">
        <f>_xll.BDH("ITCI US Equity","CUR_RATIO","FQ1 2021","FQ1 2021","Currency=USD","Period=FQ","BEST_FPERIOD_OVERRIDE=FQ","FILING_STATUS=MR","Sort=A","Dates=H","DateFormat=P","Fill=—","Direction=H","UseDPDF=Y")</f>
        <v>16.349399999999999</v>
      </c>
      <c r="M89" s="14">
        <f>_xll.BDH("ITCI US Equity","CUR_RATIO","FQ2 2021","FQ2 2021","Currency=USD","Period=FQ","BEST_FPERIOD_OVERRIDE=FQ","FILING_STATUS=MR","Sort=A","Dates=H","DateFormat=P","Fill=—","Direction=H","UseDPDF=Y")</f>
        <v>11.9254</v>
      </c>
      <c r="N89" s="14">
        <f>_xll.BDH("ITCI US Equity","CUR_RATIO","FQ3 2021","FQ3 2021","Currency=USD","Period=FQ","BEST_FPERIOD_OVERRIDE=FQ","FILING_STATUS=MR","Sort=A","Dates=H","DateFormat=P","Fill=—","Direction=H","UseDPDF=Y")</f>
        <v>10.687200000000001</v>
      </c>
      <c r="O89" s="14">
        <f>_xll.BDH("ITCI US Equity","CUR_RATIO","FQ4 2021","FQ4 2021","Currency=USD","Period=FQ","BEST_FPERIOD_OVERRIDE=FQ","FILING_STATUS=MR","Sort=A","Dates=H","DateFormat=P","Fill=—","Direction=H","UseDPDF=Y")</f>
        <v>8.7576999999999998</v>
      </c>
      <c r="P89" s="14">
        <f>_xll.BDH("ITCI US Equity","CUR_RATIO","FQ1 2022","FQ1 2022","Currency=USD","Period=FQ","BEST_FPERIOD_OVERRIDE=FQ","FILING_STATUS=MR","Sort=A","Dates=H","DateFormat=P","Fill=—","Direction=H","UseDPDF=Y")</f>
        <v>14.3607</v>
      </c>
      <c r="Q89" s="14">
        <f>_xll.BDH("ITCI US Equity","CUR_RATIO","FQ2 2022","FQ2 2022","Currency=USD","Period=FQ","BEST_FPERIOD_OVERRIDE=FQ","FILING_STATUS=MR","Sort=A","Dates=H","DateFormat=P","Fill=—","Direction=H","UseDPDF=Y")</f>
        <v>11.1732</v>
      </c>
      <c r="R89" s="14">
        <f>_xll.BDH("ITCI US Equity","CUR_RATIO","FQ3 2022","FQ3 2022","Currency=USD","Period=FQ","BEST_FPERIOD_OVERRIDE=FQ","FILING_STATUS=MR","Sort=A","Dates=H","DateFormat=P","Fill=—","Direction=H","UseDPDF=Y")</f>
        <v>9.8147000000000002</v>
      </c>
      <c r="S89" s="14">
        <f>_xll.BDH("ITCI US Equity","CUR_RATIO","FQ4 2022","FQ4 2022","Currency=USD","Period=FQ","BEST_FPERIOD_OVERRIDE=FQ","FILING_STATUS=MR","Sort=A","Dates=H","DateFormat=P","Fill=—","Direction=H","UseDPDF=Y")</f>
        <v>8.8658000000000001</v>
      </c>
      <c r="T89" s="14">
        <f>_xll.BDH("ITCI US Equity","CUR_RATIO","FQ1 2023","FQ1 2023","Currency=USD","Period=FQ","BEST_FPERIOD_OVERRIDE=FQ","FILING_STATUS=MR","Sort=A","Dates=H","DateFormat=P","Fill=—","Direction=H","UseDPDF=Y")</f>
        <v>8.8719999999999999</v>
      </c>
      <c r="U89" s="14">
        <f>_xll.BDH("ITCI US Equity","CUR_RATIO","FQ2 2023","FQ2 2023","Currency=USD","Period=FQ","BEST_FPERIOD_OVERRIDE=FQ","FILING_STATUS=MR","Sort=A","Dates=H","DateFormat=P","Fill=—","Direction=H","UseDPDF=Y")</f>
        <v>7.5811999999999999</v>
      </c>
      <c r="V89" s="14">
        <f>_xll.BDH("ITCI US Equity","CUR_RATIO","FQ3 2023","FQ3 2023","Currency=USD","Period=FQ","BEST_FPERIOD_OVERRIDE=FQ","FILING_STATUS=MR","Sort=A","Dates=H","DateFormat=P","Fill=—","Direction=H","UseDPDF=Y")</f>
        <v>6.8136000000000001</v>
      </c>
      <c r="W89" s="14">
        <f>_xll.BDH("ITCI US Equity","CUR_RATIO","FQ4 2023","FQ4 2023","Currency=USD","Period=FQ","BEST_FPERIOD_OVERRIDE=FQ","FILING_STATUS=MR","Sort=A","Dates=H","DateFormat=P","Fill=—","Direction=H","UseDPDF=Y")</f>
        <v>5.4053000000000004</v>
      </c>
      <c r="X89" s="14">
        <f>_xll.BDH("ITCI US Equity","CUR_RATIO","FQ1 2024","FQ1 2024","Currency=USD","Period=FQ","BEST_FPERIOD_OVERRIDE=FQ","FILING_STATUS=MR","Sort=A","Dates=H","DateFormat=P","Fill=—","Direction=H","UseDPDF=Y")</f>
        <v>5.1226000000000003</v>
      </c>
      <c r="Y89" s="14">
        <f>_xll.BDH("ITCI US Equity","CUR_RATIO","FQ2 2024","FQ2 2024","Currency=USD","Period=FQ","BEST_FPERIOD_OVERRIDE=FQ","FILING_STATUS=MR","Sort=A","Dates=H","DateFormat=P","Fill=—","Direction=H","UseDPDF=Y")</f>
        <v>7.8148999999999997</v>
      </c>
      <c r="Z89" s="14">
        <f>_xll.BDH("ITCI US Equity","CUR_RATIO","FQ3 2024","FQ3 2024","Currency=USD","Period=FQ","BEST_FPERIOD_OVERRIDE=FQ","FILING_STATUS=MR","Sort=A","Dates=H","DateFormat=P","Fill=—","Direction=H","UseDPDF=Y")</f>
        <v>7.6558000000000002</v>
      </c>
      <c r="AA89" s="14">
        <f>_xll.BDH("ITCI US Equity","CUR_RATIO","FQ4 2024","FQ4 2024","Currency=USD","Period=FQ","BEST_FPERIOD_OVERRIDE=FQ","FILING_STATUS=MR","Sort=A","Dates=H","DateFormat=P","Fill=—","Direction=H","UseDPDF=Y")</f>
        <v>6.3555999999999999</v>
      </c>
    </row>
    <row r="90" spans="1:27" x14ac:dyDescent="0.25">
      <c r="A90" s="10" t="s">
        <v>682</v>
      </c>
      <c r="B90" s="10" t="s">
        <v>683</v>
      </c>
      <c r="C90" s="14" t="str">
        <f>_xll.BDH("ITCI US Equity","CASH_CONVERSION_CYCLE","FQ4 2018","FQ4 2018","Currency=USD","Period=FQ","BEST_FPERIOD_OVERRIDE=FQ","FILING_STATUS=MR","FA_ADJUSTED=GAAP","Sort=A","Dates=H","DateFormat=P","Fill=—","Direction=H","UseDPDF=Y")</f>
        <v>—</v>
      </c>
      <c r="D90" s="14" t="str">
        <f>_xll.BDH("ITCI US Equity","CASH_CONVERSION_CYCLE","FQ1 2019","FQ1 2019","Currency=USD","Period=FQ","BEST_FPERIOD_OVERRIDE=FQ","FILING_STATUS=MR","FA_ADJUSTED=GAAP","Sort=A","Dates=H","DateFormat=P","Fill=—","Direction=H","UseDPDF=Y")</f>
        <v>—</v>
      </c>
      <c r="E90" s="14" t="str">
        <f>_xll.BDH("ITCI US Equity","CASH_CONVERSION_CYCLE","FQ2 2019","FQ2 2019","Currency=USD","Period=FQ","BEST_FPERIOD_OVERRIDE=FQ","FILING_STATUS=MR","FA_ADJUSTED=GAAP","Sort=A","Dates=H","DateFormat=P","Fill=—","Direction=H","UseDPDF=Y")</f>
        <v>—</v>
      </c>
      <c r="F90" s="14" t="str">
        <f>_xll.BDH("ITCI US Equity","CASH_CONVERSION_CYCLE","FQ3 2019","FQ3 2019","Currency=USD","Period=FQ","BEST_FPERIOD_OVERRIDE=FQ","FILING_STATUS=MR","FA_ADJUSTED=GAAP","Sort=A","Dates=H","DateFormat=P","Fill=—","Direction=H","UseDPDF=Y")</f>
        <v>—</v>
      </c>
      <c r="G90" s="14" t="str">
        <f>_xll.BDH("ITCI US Equity","CASH_CONVERSION_CYCLE","FQ4 2019","FQ4 2019","Currency=USD","Period=FQ","BEST_FPERIOD_OVERRIDE=FQ","FILING_STATUS=MR","FA_ADJUSTED=GAAP","Sort=A","Dates=H","DateFormat=P","Fill=—","Direction=H","UseDPDF=Y")</f>
        <v>—</v>
      </c>
      <c r="H90" s="14" t="str">
        <f>_xll.BDH("ITCI US Equity","CASH_CONVERSION_CYCLE","FQ1 2020","FQ1 2020","Currency=USD","Period=FQ","BEST_FPERIOD_OVERRIDE=FQ","FILING_STATUS=MR","FA_ADJUSTED=GAAP","Sort=A","Dates=H","DateFormat=P","Fill=—","Direction=H","UseDPDF=Y")</f>
        <v>—</v>
      </c>
      <c r="I90" s="14" t="str">
        <f>_xll.BDH("ITCI US Equity","CASH_CONVERSION_CYCLE","FQ2 2020","FQ2 2020","Currency=USD","Period=FQ","BEST_FPERIOD_OVERRIDE=FQ","FILING_STATUS=MR","FA_ADJUSTED=GAAP","Sort=A","Dates=H","DateFormat=P","Fill=—","Direction=H","UseDPDF=Y")</f>
        <v>—</v>
      </c>
      <c r="J90" s="14" t="str">
        <f>_xll.BDH("ITCI US Equity","CASH_CONVERSION_CYCLE","FQ3 2020","FQ3 2020","Currency=USD","Period=FQ","BEST_FPERIOD_OVERRIDE=FQ","FILING_STATUS=MR","FA_ADJUSTED=GAAP","Sort=A","Dates=H","DateFormat=P","Fill=—","Direction=H","UseDPDF=Y")</f>
        <v>—</v>
      </c>
      <c r="K90" s="14">
        <f>_xll.BDH("ITCI US Equity","CASH_CONVERSION_CYCLE","FQ4 2020","FQ4 2020","Currency=USD","Period=FQ","BEST_FPERIOD_OVERRIDE=FQ","FILING_STATUS=MR","FA_ADJUSTED=GAAP","Sort=A","Dates=H","DateFormat=P","Fill=—","Direction=H","UseDPDF=Y")</f>
        <v>503.50229999999999</v>
      </c>
      <c r="L90" s="14">
        <f>_xll.BDH("ITCI US Equity","CASH_CONVERSION_CYCLE","FQ1 2021","FQ1 2021","Currency=USD","Period=FQ","BEST_FPERIOD_OVERRIDE=FQ","FILING_STATUS=MR","FA_ADJUSTED=GAAP","Sort=A","Dates=H","DateFormat=P","Fill=—","Direction=H","UseDPDF=Y")</f>
        <v>191.8655</v>
      </c>
      <c r="M90" s="14">
        <f>_xll.BDH("ITCI US Equity","CASH_CONVERSION_CYCLE","FQ2 2021","FQ2 2021","Currency=USD","Period=FQ","BEST_FPERIOD_OVERRIDE=FQ","FILING_STATUS=MR","FA_ADJUSTED=GAAP","Sort=A","Dates=H","DateFormat=P","Fill=—","Direction=H","UseDPDF=Y")</f>
        <v>44.778799999999997</v>
      </c>
      <c r="N90" s="14">
        <f>_xll.BDH("ITCI US Equity","CASH_CONVERSION_CYCLE","FQ3 2021","FQ3 2021","Currency=USD","Period=FQ","BEST_FPERIOD_OVERRIDE=FQ","FILING_STATUS=MR","FA_ADJUSTED=GAAP","Sort=A","Dates=H","DateFormat=P","Fill=—","Direction=H","UseDPDF=Y")</f>
        <v>51.648099999999999</v>
      </c>
      <c r="O90" s="14">
        <f>_xll.BDH("ITCI US Equity","CASH_CONVERSION_CYCLE","FQ4 2021","FQ4 2021","Currency=USD","Period=FQ","BEST_FPERIOD_OVERRIDE=FQ","FILING_STATUS=MR","FA_ADJUSTED=GAAP","Sort=A","Dates=H","DateFormat=P","Fill=—","Direction=H","UseDPDF=Y")</f>
        <v>117.9747</v>
      </c>
      <c r="P90" s="14">
        <f>_xll.BDH("ITCI US Equity","CASH_CONVERSION_CYCLE","FQ1 2022","FQ1 2022","Currency=USD","Period=FQ","BEST_FPERIOD_OVERRIDE=FQ","FILING_STATUS=MR","FA_ADJUSTED=GAAP","Sort=A","Dates=H","DateFormat=P","Fill=—","Direction=H","UseDPDF=Y")</f>
        <v>2.5434000000000001</v>
      </c>
      <c r="Q90" s="14">
        <f>_xll.BDH("ITCI US Equity","CASH_CONVERSION_CYCLE","FQ2 2022","FQ2 2022","Currency=USD","Period=FQ","BEST_FPERIOD_OVERRIDE=FQ","FILING_STATUS=MR","FA_ADJUSTED=GAAP","Sort=A","Dates=H","DateFormat=P","Fill=—","Direction=H","UseDPDF=Y")</f>
        <v>402.15280000000001</v>
      </c>
      <c r="R90" s="14">
        <f>_xll.BDH("ITCI US Equity","CASH_CONVERSION_CYCLE","FQ3 2022","FQ3 2022","Currency=USD","Period=FQ","BEST_FPERIOD_OVERRIDE=FQ","FILING_STATUS=MR","FA_ADJUSTED=GAAP","Sort=A","Dates=H","DateFormat=P","Fill=—","Direction=H","UseDPDF=Y")</f>
        <v>282.62909999999999</v>
      </c>
      <c r="S90" s="14">
        <f>_xll.BDH("ITCI US Equity","CASH_CONVERSION_CYCLE","FQ4 2022","FQ4 2022","Currency=USD","Period=FQ","BEST_FPERIOD_OVERRIDE=FQ","FILING_STATUS=MR","FA_ADJUSTED=GAAP","Sort=A","Dates=H","DateFormat=P","Fill=—","Direction=H","UseDPDF=Y")</f>
        <v>258.35539999999997</v>
      </c>
      <c r="T90" s="14">
        <f>_xll.BDH("ITCI US Equity","CASH_CONVERSION_CYCLE","FQ1 2023","FQ1 2023","Currency=USD","Period=FQ","BEST_FPERIOD_OVERRIDE=FQ","FILING_STATUS=MR","FA_ADJUSTED=GAAP","Sort=A","Dates=H","DateFormat=P","Fill=—","Direction=H","UseDPDF=Y")</f>
        <v>259.86630000000002</v>
      </c>
      <c r="U90" s="14">
        <f>_xll.BDH("ITCI US Equity","CASH_CONVERSION_CYCLE","FQ2 2023","FQ2 2023","Currency=USD","Period=FQ","BEST_FPERIOD_OVERRIDE=FQ","FILING_STATUS=MR","FA_ADJUSTED=GAAP","Sort=A","Dates=H","DateFormat=P","Fill=—","Direction=H","UseDPDF=Y")</f>
        <v>453.57409999999999</v>
      </c>
      <c r="V90" s="14">
        <f>_xll.BDH("ITCI US Equity","CASH_CONVERSION_CYCLE","FQ3 2023","FQ3 2023","Currency=USD","Period=FQ","BEST_FPERIOD_OVERRIDE=FQ","FILING_STATUS=MR","FA_ADJUSTED=GAAP","Sort=A","Dates=H","DateFormat=P","Fill=—","Direction=H","UseDPDF=Y")</f>
        <v>386.59660000000002</v>
      </c>
      <c r="W90" s="14">
        <f>_xll.BDH("ITCI US Equity","CASH_CONVERSION_CYCLE","FQ4 2023","FQ4 2023","Currency=USD","Period=FQ","BEST_FPERIOD_OVERRIDE=FQ","FILING_STATUS=MR","FA_ADJUSTED=GAAP","Sort=A","Dates=H","DateFormat=P","Fill=—","Direction=H","UseDPDF=Y")</f>
        <v>81.025899999999993</v>
      </c>
      <c r="X90" s="14">
        <f>_xll.BDH("ITCI US Equity","CASH_CONVERSION_CYCLE","FQ1 2024","FQ1 2024","Currency=USD","Period=FQ","BEST_FPERIOD_OVERRIDE=FQ","FILING_STATUS=MR","FA_ADJUSTED=GAAP","Sort=A","Dates=H","DateFormat=P","Fill=—","Direction=H","UseDPDF=Y")</f>
        <v>146.25030000000001</v>
      </c>
      <c r="Y90" s="14">
        <f>_xll.BDH("ITCI US Equity","CASH_CONVERSION_CYCLE","FQ2 2024","FQ2 2024","Currency=USD","Period=FQ","BEST_FPERIOD_OVERRIDE=FQ","FILING_STATUS=MR","FA_ADJUSTED=GAAP","Sort=A","Dates=H","DateFormat=P","Fill=—","Direction=H","UseDPDF=Y")</f>
        <v>114.3412</v>
      </c>
      <c r="Z90" s="14">
        <f>_xll.BDH("ITCI US Equity","CASH_CONVERSION_CYCLE","FQ3 2024","FQ3 2024","Currency=USD","Period=FQ","BEST_FPERIOD_OVERRIDE=FQ","FILING_STATUS=MR","FA_ADJUSTED=GAAP","Sort=A","Dates=H","DateFormat=P","Fill=—","Direction=H","UseDPDF=Y")</f>
        <v>193.7784</v>
      </c>
      <c r="AA90" s="14">
        <f>_xll.BDH("ITCI US Equity","CASH_CONVERSION_CYCLE","FQ4 2024","FQ4 2024","Currency=USD","Period=FQ","BEST_FPERIOD_OVERRIDE=FQ","FILING_STATUS=MR","FA_ADJUSTED=GAAP","Sort=A","Dates=H","DateFormat=P","Fill=—","Direction=H","UseDPDF=Y")</f>
        <v>101.3395</v>
      </c>
    </row>
    <row r="91" spans="1:27" x14ac:dyDescent="0.25">
      <c r="A91" s="10" t="s">
        <v>684</v>
      </c>
      <c r="B91" s="10" t="s">
        <v>685</v>
      </c>
      <c r="C91" s="14">
        <f>_xll.BDH("ITCI US Equity","NUM_OF_EMPLOYEES","FQ4 2018","FQ4 2018","Currency=USD","Period=FQ","BEST_FPERIOD_OVERRIDE=FQ","FILING_STATUS=MR","Sort=A","Dates=H","DateFormat=P","Fill=—","Direction=H","UseDPDF=Y")</f>
        <v>73</v>
      </c>
      <c r="D91" s="14" t="str">
        <f>_xll.BDH("ITCI US Equity","NUM_OF_EMPLOYEES","FQ1 2019","FQ1 2019","Currency=USD","Period=FQ","BEST_FPERIOD_OVERRIDE=FQ","FILING_STATUS=MR","Sort=A","Dates=H","DateFormat=P","Fill=—","Direction=H","UseDPDF=Y")</f>
        <v>—</v>
      </c>
      <c r="E91" s="14" t="str">
        <f>_xll.BDH("ITCI US Equity","NUM_OF_EMPLOYEES","FQ2 2019","FQ2 2019","Currency=USD","Period=FQ","BEST_FPERIOD_OVERRIDE=FQ","FILING_STATUS=MR","Sort=A","Dates=H","DateFormat=P","Fill=—","Direction=H","UseDPDF=Y")</f>
        <v>—</v>
      </c>
      <c r="F91" s="14" t="str">
        <f>_xll.BDH("ITCI US Equity","NUM_OF_EMPLOYEES","FQ3 2019","FQ3 2019","Currency=USD","Period=FQ","BEST_FPERIOD_OVERRIDE=FQ","FILING_STATUS=MR","Sort=A","Dates=H","DateFormat=P","Fill=—","Direction=H","UseDPDF=Y")</f>
        <v>—</v>
      </c>
      <c r="G91" s="14">
        <f>_xll.BDH("ITCI US Equity","NUM_OF_EMPLOYEES","FQ4 2019","FQ4 2019","Currency=USD","Period=FQ","BEST_FPERIOD_OVERRIDE=FQ","FILING_STATUS=MR","Sort=A","Dates=H","DateFormat=P","Fill=—","Direction=H","UseDPDF=Y")</f>
        <v>300</v>
      </c>
      <c r="H91" s="14" t="str">
        <f>_xll.BDH("ITCI US Equity","NUM_OF_EMPLOYEES","FQ1 2020","FQ1 2020","Currency=USD","Period=FQ","BEST_FPERIOD_OVERRIDE=FQ","FILING_STATUS=MR","Sort=A","Dates=H","DateFormat=P","Fill=—","Direction=H","UseDPDF=Y")</f>
        <v>—</v>
      </c>
      <c r="I91" s="14" t="str">
        <f>_xll.BDH("ITCI US Equity","NUM_OF_EMPLOYEES","FQ2 2020","FQ2 2020","Currency=USD","Period=FQ","BEST_FPERIOD_OVERRIDE=FQ","FILING_STATUS=MR","Sort=A","Dates=H","DateFormat=P","Fill=—","Direction=H","UseDPDF=Y")</f>
        <v>—</v>
      </c>
      <c r="J91" s="14" t="str">
        <f>_xll.BDH("ITCI US Equity","NUM_OF_EMPLOYEES","FQ3 2020","FQ3 2020","Currency=USD","Period=FQ","BEST_FPERIOD_OVERRIDE=FQ","FILING_STATUS=MR","Sort=A","Dates=H","DateFormat=P","Fill=—","Direction=H","UseDPDF=Y")</f>
        <v>—</v>
      </c>
      <c r="K91" s="14">
        <f>_xll.BDH("ITCI US Equity","NUM_OF_EMPLOYEES","FQ4 2020","FQ4 2020","Currency=USD","Period=FQ","BEST_FPERIOD_OVERRIDE=FQ","FILING_STATUS=MR","Sort=A","Dates=H","DateFormat=P","Fill=—","Direction=H","UseDPDF=Y")</f>
        <v>383</v>
      </c>
      <c r="L91" s="14" t="str">
        <f>_xll.BDH("ITCI US Equity","NUM_OF_EMPLOYEES","FQ1 2021","FQ1 2021","Currency=USD","Period=FQ","BEST_FPERIOD_OVERRIDE=FQ","FILING_STATUS=MR","Sort=A","Dates=H","DateFormat=P","Fill=—","Direction=H","UseDPDF=Y")</f>
        <v>—</v>
      </c>
      <c r="M91" s="14" t="str">
        <f>_xll.BDH("ITCI US Equity","NUM_OF_EMPLOYEES","FQ2 2021","FQ2 2021","Currency=USD","Period=FQ","BEST_FPERIOD_OVERRIDE=FQ","FILING_STATUS=MR","Sort=A","Dates=H","DateFormat=P","Fill=—","Direction=H","UseDPDF=Y")</f>
        <v>—</v>
      </c>
      <c r="N91" s="14" t="str">
        <f>_xll.BDH("ITCI US Equity","NUM_OF_EMPLOYEES","FQ3 2021","FQ3 2021","Currency=USD","Period=FQ","BEST_FPERIOD_OVERRIDE=FQ","FILING_STATUS=MR","Sort=A","Dates=H","DateFormat=P","Fill=—","Direction=H","UseDPDF=Y")</f>
        <v>—</v>
      </c>
      <c r="O91" s="14">
        <f>_xll.BDH("ITCI US Equity","NUM_OF_EMPLOYEES","FQ4 2021","FQ4 2021","Currency=USD","Period=FQ","BEST_FPERIOD_OVERRIDE=FQ","FILING_STATUS=MR","Sort=A","Dates=H","DateFormat=P","Fill=—","Direction=H","UseDPDF=Y")</f>
        <v>512</v>
      </c>
      <c r="P91" s="14" t="str">
        <f>_xll.BDH("ITCI US Equity","NUM_OF_EMPLOYEES","FQ1 2022","FQ1 2022","Currency=USD","Period=FQ","BEST_FPERIOD_OVERRIDE=FQ","FILING_STATUS=MR","Sort=A","Dates=H","DateFormat=P","Fill=—","Direction=H","UseDPDF=Y")</f>
        <v>—</v>
      </c>
      <c r="Q91" s="14" t="str">
        <f>_xll.BDH("ITCI US Equity","NUM_OF_EMPLOYEES","FQ2 2022","FQ2 2022","Currency=USD","Period=FQ","BEST_FPERIOD_OVERRIDE=FQ","FILING_STATUS=MR","Sort=A","Dates=H","DateFormat=P","Fill=—","Direction=H","UseDPDF=Y")</f>
        <v>—</v>
      </c>
      <c r="R91" s="14" t="str">
        <f>_xll.BDH("ITCI US Equity","NUM_OF_EMPLOYEES","FQ3 2022","FQ3 2022","Currency=USD","Period=FQ","BEST_FPERIOD_OVERRIDE=FQ","FILING_STATUS=MR","Sort=A","Dates=H","DateFormat=P","Fill=—","Direction=H","UseDPDF=Y")</f>
        <v>—</v>
      </c>
      <c r="S91" s="14">
        <f>_xll.BDH("ITCI US Equity","NUM_OF_EMPLOYEES","FQ4 2022","FQ4 2022","Currency=USD","Period=FQ","BEST_FPERIOD_OVERRIDE=FQ","FILING_STATUS=MR","Sort=A","Dates=H","DateFormat=P","Fill=—","Direction=H","UseDPDF=Y")</f>
        <v>561</v>
      </c>
      <c r="T91" s="14" t="str">
        <f>_xll.BDH("ITCI US Equity","NUM_OF_EMPLOYEES","FQ1 2023","FQ1 2023","Currency=USD","Period=FQ","BEST_FPERIOD_OVERRIDE=FQ","FILING_STATUS=MR","Sort=A","Dates=H","DateFormat=P","Fill=—","Direction=H","UseDPDF=Y")</f>
        <v>—</v>
      </c>
      <c r="U91" s="14" t="str">
        <f>_xll.BDH("ITCI US Equity","NUM_OF_EMPLOYEES","FQ2 2023","FQ2 2023","Currency=USD","Period=FQ","BEST_FPERIOD_OVERRIDE=FQ","FILING_STATUS=MR","Sort=A","Dates=H","DateFormat=P","Fill=—","Direction=H","UseDPDF=Y")</f>
        <v>—</v>
      </c>
      <c r="V91" s="14" t="str">
        <f>_xll.BDH("ITCI US Equity","NUM_OF_EMPLOYEES","FQ3 2023","FQ3 2023","Currency=USD","Period=FQ","BEST_FPERIOD_OVERRIDE=FQ","FILING_STATUS=MR","Sort=A","Dates=H","DateFormat=P","Fill=—","Direction=H","UseDPDF=Y")</f>
        <v>—</v>
      </c>
      <c r="W91" s="14" t="str">
        <f>_xll.BDH("ITCI US Equity","NUM_OF_EMPLOYEES","FQ4 2023","FQ4 2023","Currency=USD","Period=FQ","BEST_FPERIOD_OVERRIDE=FQ","FILING_STATUS=MR","Sort=A","Dates=H","DateFormat=P","Fill=—","Direction=H","UseDPDF=Y")</f>
        <v>—</v>
      </c>
      <c r="X91" s="14" t="str">
        <f>_xll.BDH("ITCI US Equity","NUM_OF_EMPLOYEES","FQ1 2024","FQ1 2024","Currency=USD","Period=FQ","BEST_FPERIOD_OVERRIDE=FQ","FILING_STATUS=MR","Sort=A","Dates=H","DateFormat=P","Fill=—","Direction=H","UseDPDF=Y")</f>
        <v>—</v>
      </c>
      <c r="Y91" s="14" t="str">
        <f>_xll.BDH("ITCI US Equity","NUM_OF_EMPLOYEES","FQ2 2024","FQ2 2024","Currency=USD","Period=FQ","BEST_FPERIOD_OVERRIDE=FQ","FILING_STATUS=MR","Sort=A","Dates=H","DateFormat=P","Fill=—","Direction=H","UseDPDF=Y")</f>
        <v>—</v>
      </c>
      <c r="Z91" s="14" t="str">
        <f>_xll.BDH("ITCI US Equity","NUM_OF_EMPLOYEES","FQ3 2024","FQ3 2024","Currency=USD","Period=FQ","BEST_FPERIOD_OVERRIDE=FQ","FILING_STATUS=MR","Sort=A","Dates=H","DateFormat=P","Fill=—","Direction=H","UseDPDF=Y")</f>
        <v>—</v>
      </c>
      <c r="AA91" s="14">
        <f>_xll.BDH("ITCI US Equity","NUM_OF_EMPLOYEES","FQ4 2024","FQ4 2024","Currency=USD","Period=FQ","BEST_FPERIOD_OVERRIDE=FQ","FILING_STATUS=MR","Sort=A","Dates=H","DateFormat=P","Fill=—","Direction=H","UseDPDF=Y")</f>
        <v>860</v>
      </c>
    </row>
    <row r="92" spans="1:27" x14ac:dyDescent="0.25">
      <c r="A92" s="7" t="s">
        <v>90</v>
      </c>
      <c r="B92" s="7"/>
      <c r="C92" s="7" t="s">
        <v>5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33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378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6" t="s">
        <v>686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687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109</v>
      </c>
      <c r="B8" s="10" t="s">
        <v>688</v>
      </c>
      <c r="C8" s="13">
        <f>_xll.BDH("ITCI US Equity","ARD_CASH_AND_EQUIVALENTS","FQ4 2018","FQ4 2018","Currency=USD","Period=FQ","BEST_FPERIOD_OVERRIDE=FQ","FILING_STATUS=MR","SCALING_FORMAT=MLN","Sort=A","Dates=H","DateFormat=P","Fill=—","Direction=H","UseDPDF=Y")</f>
        <v>54.947499999999998</v>
      </c>
      <c r="D8" s="13">
        <f>_xll.BDH("ITCI US Equity","ARD_CASH_AND_EQUIVALENTS","FQ1 2019","FQ1 2019","Currency=USD","Period=FQ","BEST_FPERIOD_OVERRIDE=FQ","FILING_STATUS=MR","SCALING_FORMAT=MLN","Sort=A","Dates=H","DateFormat=P","Fill=—","Direction=H","UseDPDF=Y")</f>
        <v>64.091099999999997</v>
      </c>
      <c r="E8" s="13">
        <f>_xll.BDH("ITCI US Equity","ARD_CASH_AND_EQUIVALENTS","FQ2 2019","FQ2 2019","Currency=USD","Period=FQ","BEST_FPERIOD_OVERRIDE=FQ","FILING_STATUS=MR","SCALING_FORMAT=MLN","Sort=A","Dates=H","DateFormat=P","Fill=—","Direction=H","UseDPDF=Y")</f>
        <v>91.763400000000004</v>
      </c>
      <c r="F8" s="13">
        <f>_xll.BDH("ITCI US Equity","ARD_CASH_AND_EQUIVALENTS","FQ3 2019","FQ3 2019","Currency=USD","Period=FQ","BEST_FPERIOD_OVERRIDE=FQ","FILING_STATUS=MR","SCALING_FORMAT=MLN","Sort=A","Dates=H","DateFormat=P","Fill=—","Direction=H","UseDPDF=Y")</f>
        <v>102.163</v>
      </c>
      <c r="G8" s="13">
        <f>_xll.BDH("ITCI US Equity","ARD_CASH_AND_EQUIVALENTS","FQ4 2019","FQ4 2019","Currency=USD","Period=FQ","BEST_FPERIOD_OVERRIDE=FQ","FILING_STATUS=MR","SCALING_FORMAT=MLN","Sort=A","Dates=H","DateFormat=P","Fill=—","Direction=H","UseDPDF=Y")</f>
        <v>107.63679999999999</v>
      </c>
      <c r="H8" s="13">
        <f>_xll.BDH("ITCI US Equity","ARD_CASH_AND_EQUIVALENTS","FQ1 2020","FQ1 2020","Currency=USD","Period=FQ","BEST_FPERIOD_OVERRIDE=FQ","FILING_STATUS=MR","SCALING_FORMAT=MLN","Sort=A","Dates=H","DateFormat=P","Fill=—","Direction=H","UseDPDF=Y")</f>
        <v>179.59299999999999</v>
      </c>
      <c r="I8" s="13">
        <f>_xll.BDH("ITCI US Equity","ARD_CASH_AND_EQUIVALENTS","FQ2 2020","FQ2 2020","Currency=USD","Period=FQ","BEST_FPERIOD_OVERRIDE=FQ","FILING_STATUS=MR","SCALING_FORMAT=MLN","Sort=A","Dates=H","DateFormat=P","Fill=—","Direction=H","UseDPDF=Y")</f>
        <v>129.29040000000001</v>
      </c>
      <c r="J8" s="13">
        <f>_xll.BDH("ITCI US Equity","ARD_CASH_AND_EQUIVALENTS","FQ3 2020","FQ3 2020","Currency=USD","Period=FQ","BEST_FPERIOD_OVERRIDE=FQ","FILING_STATUS=MR","SCALING_FORMAT=MLN","Sort=A","Dates=H","DateFormat=P","Fill=—","Direction=H","UseDPDF=Y")</f>
        <v>300.98899999999998</v>
      </c>
      <c r="K8" s="13">
        <f>_xll.BDH("ITCI US Equity","ARD_CASH_AND_EQUIVALENTS","FQ4 2020","FQ4 2020","Currency=USD","Period=FQ","BEST_FPERIOD_OVERRIDE=FQ","FILING_STATUS=MR","SCALING_FORMAT=MLN","Sort=A","Dates=H","DateFormat=P","Fill=—","Direction=H","UseDPDF=Y")</f>
        <v>60.045900000000003</v>
      </c>
      <c r="L8" s="13">
        <f>_xll.BDH("ITCI US Equity","ARD_CASH_AND_EQUIVALENTS","FQ1 2021","FQ1 2021","Currency=USD","Period=FQ","BEST_FPERIOD_OVERRIDE=FQ","FILING_STATUS=MR","SCALING_FORMAT=MLN","Sort=A","Dates=H","DateFormat=P","Fill=—","Direction=H","UseDPDF=Y")</f>
        <v>129.97989999999999</v>
      </c>
      <c r="M8" s="13">
        <f>_xll.BDH("ITCI US Equity","ARD_CASH_AND_EQUIVALENTS","FQ2 2021","FQ2 2021","Currency=USD","Period=FQ","BEST_FPERIOD_OVERRIDE=FQ","FILING_STATUS=MR","SCALING_FORMAT=MLN","Sort=A","Dates=H","DateFormat=P","Fill=—","Direction=H","UseDPDF=Y")</f>
        <v>121.03019999999999</v>
      </c>
      <c r="N8" s="13">
        <f>_xll.BDH("ITCI US Equity","ARD_CASH_AND_EQUIVALENTS","FQ3 2021","FQ3 2021","Currency=USD","Period=FQ","BEST_FPERIOD_OVERRIDE=FQ","FILING_STATUS=MR","SCALING_FORMAT=MLN","Sort=A","Dates=H","DateFormat=P","Fill=—","Direction=H","UseDPDF=Y")</f>
        <v>106.126</v>
      </c>
      <c r="O8" s="13">
        <f>_xll.BDH("ITCI US Equity","ARD_CASH_AND_EQUIVALENTS","FQ4 2021","FQ4 2021","Currency=USD","Period=FQ","BEST_FPERIOD_OVERRIDE=FQ","FILING_STATUS=MR","SCALING_FORMAT=MLN","Sort=A","Dates=H","DateFormat=P","Fill=—","Direction=H","UseDPDF=Y")</f>
        <v>92.364999999999995</v>
      </c>
      <c r="P8" s="13">
        <f>_xll.BDH("ITCI US Equity","ARD_CASH_AND_EQUIVALENTS","FQ1 2022","FQ1 2022","Currency=USD","Period=FQ","BEST_FPERIOD_OVERRIDE=FQ","FILING_STATUS=MR","SCALING_FORMAT=MLN","Sort=A","Dates=H","DateFormat=P","Fill=—","Direction=H","UseDPDF=Y")</f>
        <v>129.29499999999999</v>
      </c>
      <c r="Q8" s="13">
        <f>_xll.BDH("ITCI US Equity","ARD_CASH_AND_EQUIVALENTS","FQ2 2022","FQ2 2022","Currency=USD","Period=FQ","BEST_FPERIOD_OVERRIDE=FQ","FILING_STATUS=MR","SCALING_FORMAT=MLN","Sort=A","Dates=H","DateFormat=P","Fill=—","Direction=H","UseDPDF=Y")</f>
        <v>77.234999999999999</v>
      </c>
      <c r="R8" s="13">
        <f>_xll.BDH("ITCI US Equity","ARD_CASH_AND_EQUIVALENTS","FQ3 2022","FQ3 2022","Currency=USD","Period=FQ","BEST_FPERIOD_OVERRIDE=FQ","FILING_STATUS=MR","SCALING_FORMAT=MLN","Sort=A","Dates=H","DateFormat=P","Fill=—","Direction=H","UseDPDF=Y")</f>
        <v>135.358</v>
      </c>
      <c r="S8" s="13">
        <f>_xll.BDH("ITCI US Equity","ARD_CASH_AND_EQUIVALENTS","FQ4 2022","FQ4 2022","Currency=USD","Period=FQ","BEST_FPERIOD_OVERRIDE=FQ","FILING_STATUS=MR","SCALING_FORMAT=MLN","Sort=A","Dates=H","DateFormat=P","Fill=—","Direction=H","UseDPDF=Y")</f>
        <v>148.61500000000001</v>
      </c>
      <c r="T8" s="13">
        <f>_xll.BDH("ITCI US Equity","ARD_CASH_AND_EQUIVALENTS","FQ1 2023","FQ1 2023","Currency=USD","Period=FQ","BEST_FPERIOD_OVERRIDE=FQ","FILING_STATUS=MR","SCALING_FORMAT=MLN","Sort=A","Dates=H","DateFormat=P","Fill=—","Direction=H","UseDPDF=Y")</f>
        <v>75.727000000000004</v>
      </c>
      <c r="U8" s="13">
        <f>_xll.BDH("ITCI US Equity","ARD_CASH_AND_EQUIVALENTS","FQ2 2023","FQ2 2023","Currency=USD","Period=FQ","BEST_FPERIOD_OVERRIDE=FQ","FILING_STATUS=MR","SCALING_FORMAT=MLN","Sort=A","Dates=H","DateFormat=P","Fill=—","Direction=H","UseDPDF=Y")</f>
        <v>142.25800000000001</v>
      </c>
      <c r="V8" s="13">
        <f>_xll.BDH("ITCI US Equity","ARD_CASH_AND_EQUIVALENTS","FQ3 2023","FQ3 2023","Currency=USD","Period=FQ","BEST_FPERIOD_OVERRIDE=FQ","FILING_STATUS=MR","SCALING_FORMAT=MLN","Sort=A","Dates=H","DateFormat=P","Fill=—","Direction=H","UseDPDF=Y")</f>
        <v>99.402000000000001</v>
      </c>
      <c r="W8" s="13">
        <f>_xll.BDH("ITCI US Equity","ARD_CASH_AND_EQUIVALENTS","FQ4 2023","FQ4 2023","Currency=USD","Period=FQ","BEST_FPERIOD_OVERRIDE=FQ","FILING_STATUS=MR","SCALING_FORMAT=MLN","Sort=A","Dates=H","DateFormat=P","Fill=—","Direction=H","UseDPDF=Y")</f>
        <v>147.767</v>
      </c>
      <c r="X8" s="13">
        <f>_xll.BDH("ITCI US Equity","ARD_CASH_AND_EQUIVALENTS","FQ1 2024","FQ1 2024","Currency=USD","Period=FQ","BEST_FPERIOD_OVERRIDE=FQ","FILING_STATUS=MR","SCALING_FORMAT=MLN","Sort=A","Dates=H","DateFormat=P","Fill=—","Direction=H","UseDPDF=Y")</f>
        <v>139.81899999999999</v>
      </c>
      <c r="Y8" s="13">
        <f>_xll.BDH("ITCI US Equity","ARD_CASH_AND_EQUIVALENTS","FQ2 2024","FQ2 2024","Currency=USD","Period=FQ","BEST_FPERIOD_OVERRIDE=FQ","FILING_STATUS=MR","SCALING_FORMAT=MLN","Sort=A","Dates=H","DateFormat=P","Fill=—","Direction=H","UseDPDF=Y")</f>
        <v>693.30600000000004</v>
      </c>
      <c r="Z8" s="13">
        <f>_xll.BDH("ITCI US Equity","ARD_CASH_AND_EQUIVALENTS","FQ3 2024","FQ3 2024","Currency=USD","Period=FQ","BEST_FPERIOD_OVERRIDE=FQ","FILING_STATUS=MR","SCALING_FORMAT=MLN","Sort=A","Dates=H","DateFormat=P","Fill=—","Direction=H","UseDPDF=Y")</f>
        <v>464.31200000000001</v>
      </c>
      <c r="AA8" s="13">
        <f>_xll.BDH("ITCI US Equity","ARD_CASH_AND_EQUIVALENTS","FQ4 2024","FQ4 2024","Currency=USD","Period=FQ","BEST_FPERIOD_OVERRIDE=FQ","FILING_STATUS=MR","SCALING_FORMAT=MLN","Sort=A","Dates=H","DateFormat=P","Fill=—","Direction=H","UseDPDF=Y")</f>
        <v>306.94799999999998</v>
      </c>
    </row>
    <row r="9" spans="1:27" x14ac:dyDescent="0.25">
      <c r="A9" s="10" t="s">
        <v>689</v>
      </c>
      <c r="B9" s="10" t="s">
        <v>690</v>
      </c>
      <c r="C9" s="13" t="str">
        <f>_xll.BDH("ITCI US Equity","ARD_ACCTS_RECEIVABLE_TRADE","FQ4 2018","FQ4 2018","Currency=USD","Period=FQ","BEST_FPERIOD_OVERRIDE=FQ","FILING_STATUS=MR","SCALING_FORMAT=MLN","Sort=A","Dates=H","DateFormat=P","Fill=—","Direction=H","UseDPDF=Y")</f>
        <v>—</v>
      </c>
      <c r="D9" s="13" t="str">
        <f>_xll.BDH("ITCI US Equity","ARD_ACCTS_RECEIVABLE_TRADE","FQ1 2019","FQ1 2019","Currency=USD","Period=FQ","BEST_FPERIOD_OVERRIDE=FQ","FILING_STATUS=MR","SCALING_FORMAT=MLN","Sort=A","Dates=H","DateFormat=P","Fill=—","Direction=H","UseDPDF=Y")</f>
        <v>—</v>
      </c>
      <c r="E9" s="13" t="str">
        <f>_xll.BDH("ITCI US Equity","ARD_ACCTS_RECEIVABLE_TRADE","FQ2 2019","FQ2 2019","Currency=USD","Period=FQ","BEST_FPERIOD_OVERRIDE=FQ","FILING_STATUS=MR","SCALING_FORMAT=MLN","Sort=A","Dates=H","DateFormat=P","Fill=—","Direction=H","UseDPDF=Y")</f>
        <v>—</v>
      </c>
      <c r="F9" s="13" t="str">
        <f>_xll.BDH("ITCI US Equity","ARD_ACCTS_RECEIVABLE_TRADE","FQ3 2019","FQ3 2019","Currency=USD","Period=FQ","BEST_FPERIOD_OVERRIDE=FQ","FILING_STATUS=MR","SCALING_FORMAT=MLN","Sort=A","Dates=H","DateFormat=P","Fill=—","Direction=H","UseDPDF=Y")</f>
        <v>—</v>
      </c>
      <c r="G9" s="13" t="str">
        <f>_xll.BDH("ITCI US Equity","ARD_ACCTS_RECEIVABLE_TRADE","FQ4 2019","FQ4 2019","Currency=USD","Period=FQ","BEST_FPERIOD_OVERRIDE=FQ","FILING_STATUS=MR","SCALING_FORMAT=MLN","Sort=A","Dates=H","DateFormat=P","Fill=—","Direction=H","UseDPDF=Y")</f>
        <v>—</v>
      </c>
      <c r="H9" s="13">
        <f>_xll.BDH("ITCI US Equity","ARD_ACCTS_RECEIVABLE_TRADE","FQ1 2020","FQ1 2020","Currency=USD","Period=FQ","BEST_FPERIOD_OVERRIDE=FQ","FILING_STATUS=MR","SCALING_FORMAT=MLN","Sort=A","Dates=H","DateFormat=P","Fill=—","Direction=H","UseDPDF=Y")</f>
        <v>1.351</v>
      </c>
      <c r="I9" s="13">
        <f>_xll.BDH("ITCI US Equity","ARD_ACCTS_RECEIVABLE_TRADE","FQ2 2020","FQ2 2020","Currency=USD","Period=FQ","BEST_FPERIOD_OVERRIDE=FQ","FILING_STATUS=MR","SCALING_FORMAT=MLN","Sort=A","Dates=H","DateFormat=P","Fill=—","Direction=H","UseDPDF=Y")</f>
        <v>2.3532999999999999</v>
      </c>
      <c r="J9" s="13">
        <f>_xll.BDH("ITCI US Equity","ARD_ACCTS_RECEIVABLE_TRADE","FQ3 2020","FQ3 2020","Currency=USD","Period=FQ","BEST_FPERIOD_OVERRIDE=FQ","FILING_STATUS=MR","SCALING_FORMAT=MLN","Sort=A","Dates=H","DateFormat=P","Fill=—","Direction=H","UseDPDF=Y")</f>
        <v>7.4805999999999999</v>
      </c>
      <c r="K9" s="13">
        <f>_xll.BDH("ITCI US Equity","ARD_ACCTS_RECEIVABLE_TRADE","FQ4 2020","FQ4 2020","Currency=USD","Period=FQ","BEST_FPERIOD_OVERRIDE=FQ","FILING_STATUS=MR","SCALING_FORMAT=MLN","Sort=A","Dates=H","DateFormat=P","Fill=—","Direction=H","UseDPDF=Y")</f>
        <v>10.7646</v>
      </c>
      <c r="L9" s="13">
        <f>_xll.BDH("ITCI US Equity","ARD_ACCTS_RECEIVABLE_TRADE","FQ1 2021","FQ1 2021","Currency=USD","Period=FQ","BEST_FPERIOD_OVERRIDE=FQ","FILING_STATUS=MR","SCALING_FORMAT=MLN","Sort=A","Dates=H","DateFormat=P","Fill=—","Direction=H","UseDPDF=Y")</f>
        <v>13.662000000000001</v>
      </c>
      <c r="M9" s="13">
        <f>_xll.BDH("ITCI US Equity","ARD_ACCTS_RECEIVABLE_TRADE","FQ2 2021","FQ2 2021","Currency=USD","Period=FQ","BEST_FPERIOD_OVERRIDE=FQ","FILING_STATUS=MR","SCALING_FORMAT=MLN","Sort=A","Dates=H","DateFormat=P","Fill=—","Direction=H","UseDPDF=Y")</f>
        <v>15.187799999999999</v>
      </c>
      <c r="N9" s="13">
        <f>_xll.BDH("ITCI US Equity","ARD_ACCTS_RECEIVABLE_TRADE","FQ3 2021","FQ3 2021","Currency=USD","Period=FQ","BEST_FPERIOD_OVERRIDE=FQ","FILING_STATUS=MR","SCALING_FORMAT=MLN","Sort=A","Dates=H","DateFormat=P","Fill=—","Direction=H","UseDPDF=Y")</f>
        <v>16.9344</v>
      </c>
      <c r="O9" s="13">
        <f>_xll.BDH("ITCI US Equity","ARD_ACCTS_RECEIVABLE_TRADE","FQ4 2021","FQ4 2021","Currency=USD","Period=FQ","BEST_FPERIOD_OVERRIDE=FQ","FILING_STATUS=MR","SCALING_FORMAT=MLN","Sort=A","Dates=H","DateFormat=P","Fill=—","Direction=H","UseDPDF=Y")</f>
        <v>20.155999999999999</v>
      </c>
      <c r="P9" s="13">
        <f>_xll.BDH("ITCI US Equity","ARD_ACCTS_RECEIVABLE_TRADE","FQ1 2022","FQ1 2022","Currency=USD","Period=FQ","BEST_FPERIOD_OVERRIDE=FQ","FILING_STATUS=MR","SCALING_FORMAT=MLN","Sort=A","Dates=H","DateFormat=P","Fill=—","Direction=H","UseDPDF=Y")</f>
        <v>32.832000000000001</v>
      </c>
      <c r="Q9" s="13">
        <f>_xll.BDH("ITCI US Equity","ARD_ACCTS_RECEIVABLE_TRADE","FQ2 2022","FQ2 2022","Currency=USD","Period=FQ","BEST_FPERIOD_OVERRIDE=FQ","FILING_STATUS=MR","SCALING_FORMAT=MLN","Sort=A","Dates=H","DateFormat=P","Fill=—","Direction=H","UseDPDF=Y")</f>
        <v>46.975999999999999</v>
      </c>
      <c r="R9" s="13">
        <f>_xll.BDH("ITCI US Equity","ARD_ACCTS_RECEIVABLE_TRADE","FQ3 2022","FQ3 2022","Currency=USD","Period=FQ","BEST_FPERIOD_OVERRIDE=FQ","FILING_STATUS=MR","SCALING_FORMAT=MLN","Sort=A","Dates=H","DateFormat=P","Fill=—","Direction=H","UseDPDF=Y")</f>
        <v>61.537999999999997</v>
      </c>
      <c r="S9" s="13">
        <f>_xll.BDH("ITCI US Equity","ARD_ACCTS_RECEIVABLE_TRADE","FQ4 2022","FQ4 2022","Currency=USD","Period=FQ","BEST_FPERIOD_OVERRIDE=FQ","FILING_STATUS=MR","SCALING_FORMAT=MLN","Sort=A","Dates=H","DateFormat=P","Fill=—","Direction=H","UseDPDF=Y")</f>
        <v>75.188999999999993</v>
      </c>
      <c r="T9" s="13">
        <f>_xll.BDH("ITCI US Equity","ARD_ACCTS_RECEIVABLE_TRADE","FQ1 2023","FQ1 2023","Currency=USD","Period=FQ","BEST_FPERIOD_OVERRIDE=FQ","FILING_STATUS=MR","SCALING_FORMAT=MLN","Sort=A","Dates=H","DateFormat=P","Fill=—","Direction=H","UseDPDF=Y")</f>
        <v>81.545000000000002</v>
      </c>
      <c r="U9" s="13">
        <f>_xll.BDH("ITCI US Equity","ARD_ACCTS_RECEIVABLE_TRADE","FQ2 2023","FQ2 2023","Currency=USD","Period=FQ","BEST_FPERIOD_OVERRIDE=FQ","FILING_STATUS=MR","SCALING_FORMAT=MLN","Sort=A","Dates=H","DateFormat=P","Fill=—","Direction=H","UseDPDF=Y")</f>
        <v>95.963999999999999</v>
      </c>
      <c r="V9" s="13">
        <f>_xll.BDH("ITCI US Equity","ARD_ACCTS_RECEIVABLE_TRADE","FQ3 2023","FQ3 2023","Currency=USD","Period=FQ","BEST_FPERIOD_OVERRIDE=FQ","FILING_STATUS=MR","SCALING_FORMAT=MLN","Sort=A","Dates=H","DateFormat=P","Fill=—","Direction=H","UseDPDF=Y")</f>
        <v>102.67</v>
      </c>
      <c r="W9" s="13">
        <f>_xll.BDH("ITCI US Equity","ARD_ACCTS_RECEIVABLE_TRADE","FQ4 2023","FQ4 2023","Currency=USD","Period=FQ","BEST_FPERIOD_OVERRIDE=FQ","FILING_STATUS=MR","SCALING_FORMAT=MLN","Sort=A","Dates=H","DateFormat=P","Fill=—","Direction=H","UseDPDF=Y")</f>
        <v>114.018</v>
      </c>
      <c r="X9" s="13">
        <f>_xll.BDH("ITCI US Equity","ARD_ACCTS_RECEIVABLE_TRADE","FQ1 2024","FQ1 2024","Currency=USD","Period=FQ","BEST_FPERIOD_OVERRIDE=FQ","FILING_STATUS=MR","SCALING_FORMAT=MLN","Sort=A","Dates=H","DateFormat=P","Fill=—","Direction=H","UseDPDF=Y")</f>
        <v>131.15700000000001</v>
      </c>
      <c r="Y9" s="13">
        <f>_xll.BDH("ITCI US Equity","ARD_ACCTS_RECEIVABLE_TRADE","FQ2 2024","FQ2 2024","Currency=USD","Period=FQ","BEST_FPERIOD_OVERRIDE=FQ","FILING_STATUS=MR","SCALING_FORMAT=MLN","Sort=A","Dates=H","DateFormat=P","Fill=—","Direction=H","UseDPDF=Y")</f>
        <v>145.714</v>
      </c>
      <c r="Z9" s="13">
        <f>_xll.BDH("ITCI US Equity","ARD_ACCTS_RECEIVABLE_TRADE","FQ3 2024","FQ3 2024","Currency=USD","Period=FQ","BEST_FPERIOD_OVERRIDE=FQ","FILING_STATUS=MR","SCALING_FORMAT=MLN","Sort=A","Dates=H","DateFormat=P","Fill=—","Direction=H","UseDPDF=Y")</f>
        <v>145.608</v>
      </c>
      <c r="AA9" s="13">
        <f>_xll.BDH("ITCI US Equity","ARD_ACCTS_RECEIVABLE_TRADE","FQ4 2024","FQ4 2024","Currency=USD","Period=FQ","BEST_FPERIOD_OVERRIDE=FQ","FILING_STATUS=MR","SCALING_FORMAT=MLN","Sort=A","Dates=H","DateFormat=P","Fill=—","Direction=H","UseDPDF=Y")</f>
        <v>166.5</v>
      </c>
    </row>
    <row r="10" spans="1:27" x14ac:dyDescent="0.25">
      <c r="A10" s="10" t="s">
        <v>691</v>
      </c>
      <c r="B10" s="10" t="s">
        <v>692</v>
      </c>
      <c r="C10" s="13" t="str">
        <f>_xll.BDH("ITCI US Equity","ARD_INVENTORY","FQ4 2018","FQ4 2018","Currency=USD","Period=FQ","BEST_FPERIOD_OVERRIDE=FQ","FILING_STATUS=MR","SCALING_FORMAT=MLN","Sort=A","Dates=H","DateFormat=P","Fill=—","Direction=H","UseDPDF=Y")</f>
        <v>—</v>
      </c>
      <c r="D10" s="13" t="str">
        <f>_xll.BDH("ITCI US Equity","ARD_INVENTORY","FQ1 2019","FQ1 2019","Currency=USD","Period=FQ","BEST_FPERIOD_OVERRIDE=FQ","FILING_STATUS=MR","SCALING_FORMAT=MLN","Sort=A","Dates=H","DateFormat=P","Fill=—","Direction=H","UseDPDF=Y")</f>
        <v>—</v>
      </c>
      <c r="E10" s="13" t="str">
        <f>_xll.BDH("ITCI US Equity","ARD_INVENTORY","FQ2 2019","FQ2 2019","Currency=USD","Period=FQ","BEST_FPERIOD_OVERRIDE=FQ","FILING_STATUS=MR","SCALING_FORMAT=MLN","Sort=A","Dates=H","DateFormat=P","Fill=—","Direction=H","UseDPDF=Y")</f>
        <v>—</v>
      </c>
      <c r="F10" s="13" t="str">
        <f>_xll.BDH("ITCI US Equity","ARD_INVENTORY","FQ3 2019","FQ3 2019","Currency=USD","Period=FQ","BEST_FPERIOD_OVERRIDE=FQ","FILING_STATUS=MR","SCALING_FORMAT=MLN","Sort=A","Dates=H","DateFormat=P","Fill=—","Direction=H","UseDPDF=Y")</f>
        <v>—</v>
      </c>
      <c r="G10" s="13" t="str">
        <f>_xll.BDH("ITCI US Equity","ARD_INVENTORY","FQ4 2019","FQ4 2019","Currency=USD","Period=FQ","BEST_FPERIOD_OVERRIDE=FQ","FILING_STATUS=MR","SCALING_FORMAT=MLN","Sort=A","Dates=H","DateFormat=P","Fill=—","Direction=H","UseDPDF=Y")</f>
        <v>—</v>
      </c>
      <c r="H10" s="13">
        <f>_xll.BDH("ITCI US Equity","ARD_INVENTORY","FQ1 2020","FQ1 2020","Currency=USD","Period=FQ","BEST_FPERIOD_OVERRIDE=FQ","FILING_STATUS=MR","SCALING_FORMAT=MLN","Sort=A","Dates=H","DateFormat=P","Fill=—","Direction=H","UseDPDF=Y")</f>
        <v>1.3911</v>
      </c>
      <c r="I10" s="13">
        <f>_xll.BDH("ITCI US Equity","ARD_INVENTORY","FQ2 2020","FQ2 2020","Currency=USD","Period=FQ","BEST_FPERIOD_OVERRIDE=FQ","FILING_STATUS=MR","SCALING_FORMAT=MLN","Sort=A","Dates=H","DateFormat=P","Fill=—","Direction=H","UseDPDF=Y")</f>
        <v>2.335</v>
      </c>
      <c r="J10" s="13">
        <f>_xll.BDH("ITCI US Equity","ARD_INVENTORY","FQ3 2020","FQ3 2020","Currency=USD","Period=FQ","BEST_FPERIOD_OVERRIDE=FQ","FILING_STATUS=MR","SCALING_FORMAT=MLN","Sort=A","Dates=H","DateFormat=P","Fill=—","Direction=H","UseDPDF=Y")</f>
        <v>2.9470999999999998</v>
      </c>
      <c r="K10" s="13">
        <f>_xll.BDH("ITCI US Equity","ARD_INVENTORY","FQ4 2020","FQ4 2020","Currency=USD","Period=FQ","BEST_FPERIOD_OVERRIDE=FQ","FILING_STATUS=MR","SCALING_FORMAT=MLN","Sort=A","Dates=H","DateFormat=P","Fill=—","Direction=H","UseDPDF=Y")</f>
        <v>7.0564</v>
      </c>
      <c r="L10" s="13">
        <f>_xll.BDH("ITCI US Equity","ARD_INVENTORY","FQ1 2021","FQ1 2021","Currency=USD","Period=FQ","BEST_FPERIOD_OVERRIDE=FQ","FILING_STATUS=MR","SCALING_FORMAT=MLN","Sort=A","Dates=H","DateFormat=P","Fill=—","Direction=H","UseDPDF=Y")</f>
        <v>7.5793999999999997</v>
      </c>
      <c r="M10" s="13">
        <f>_xll.BDH("ITCI US Equity","ARD_INVENTORY","FQ2 2021","FQ2 2021","Currency=USD","Period=FQ","BEST_FPERIOD_OVERRIDE=FQ","FILING_STATUS=MR","SCALING_FORMAT=MLN","Sort=A","Dates=H","DateFormat=P","Fill=—","Direction=H","UseDPDF=Y")</f>
        <v>7.7687999999999997</v>
      </c>
      <c r="N10" s="13">
        <f>_xll.BDH("ITCI US Equity","ARD_INVENTORY","FQ3 2021","FQ3 2021","Currency=USD","Period=FQ","BEST_FPERIOD_OVERRIDE=FQ","FILING_STATUS=MR","SCALING_FORMAT=MLN","Sort=A","Dates=H","DateFormat=P","Fill=—","Direction=H","UseDPDF=Y")</f>
        <v>8.1669</v>
      </c>
      <c r="O10" s="13">
        <f>_xll.BDH("ITCI US Equity","ARD_INVENTORY","FQ4 2021","FQ4 2021","Currency=USD","Period=FQ","BEST_FPERIOD_OVERRIDE=FQ","FILING_STATUS=MR","SCALING_FORMAT=MLN","Sort=A","Dates=H","DateFormat=P","Fill=—","Direction=H","UseDPDF=Y")</f>
        <v>7.9481000000000002</v>
      </c>
      <c r="P10" s="13">
        <f>_xll.BDH("ITCI US Equity","ARD_INVENTORY","FQ1 2022","FQ1 2022","Currency=USD","Period=FQ","BEST_FPERIOD_OVERRIDE=FQ","FILING_STATUS=MR","SCALING_FORMAT=MLN","Sort=A","Dates=H","DateFormat=P","Fill=—","Direction=H","UseDPDF=Y")</f>
        <v>7.8929999999999998</v>
      </c>
      <c r="Q10" s="13">
        <f>_xll.BDH("ITCI US Equity","ARD_INVENTORY","FQ2 2022","FQ2 2022","Currency=USD","Period=FQ","BEST_FPERIOD_OVERRIDE=FQ","FILING_STATUS=MR","SCALING_FORMAT=MLN","Sort=A","Dates=H","DateFormat=P","Fill=—","Direction=H","UseDPDF=Y")</f>
        <v>25.021999999999998</v>
      </c>
      <c r="R10" s="13">
        <f>_xll.BDH("ITCI US Equity","ARD_INVENTORY","FQ3 2022","FQ3 2022","Currency=USD","Period=FQ","BEST_FPERIOD_OVERRIDE=FQ","FILING_STATUS=MR","SCALING_FORMAT=MLN","Sort=A","Dates=H","DateFormat=P","Fill=—","Direction=H","UseDPDF=Y")</f>
        <v>23.597000000000001</v>
      </c>
      <c r="S10" s="13">
        <f>_xll.BDH("ITCI US Equity","ARD_INVENTORY","FQ4 2022","FQ4 2022","Currency=USD","Period=FQ","BEST_FPERIOD_OVERRIDE=FQ","FILING_STATUS=MR","SCALING_FORMAT=MLN","Sort=A","Dates=H","DateFormat=P","Fill=—","Direction=H","UseDPDF=Y")</f>
        <v>23.92</v>
      </c>
      <c r="T10" s="13">
        <f>_xll.BDH("ITCI US Equity","ARD_INVENTORY","FQ1 2023","FQ1 2023","Currency=USD","Period=FQ","BEST_FPERIOD_OVERRIDE=FQ","FILING_STATUS=MR","SCALING_FORMAT=MLN","Sort=A","Dates=H","DateFormat=P","Fill=—","Direction=H","UseDPDF=Y")</f>
        <v>28.341000000000001</v>
      </c>
      <c r="U10" s="13">
        <f>_xll.BDH("ITCI US Equity","ARD_INVENTORY","FQ2 2023","FQ2 2023","Currency=USD","Period=FQ","BEST_FPERIOD_OVERRIDE=FQ","FILING_STATUS=MR","SCALING_FORMAT=MLN","Sort=A","Dates=H","DateFormat=P","Fill=—","Direction=H","UseDPDF=Y")</f>
        <v>41.895000000000003</v>
      </c>
      <c r="V10" s="13">
        <f>_xll.BDH("ITCI US Equity","ARD_INVENTORY","FQ3 2023","FQ3 2023","Currency=USD","Period=FQ","BEST_FPERIOD_OVERRIDE=FQ","FILING_STATUS=MR","SCALING_FORMAT=MLN","Sort=A","Dates=H","DateFormat=P","Fill=—","Direction=H","UseDPDF=Y")</f>
        <v>42.985999999999997</v>
      </c>
      <c r="W10" s="13">
        <f>_xll.BDH("ITCI US Equity","ARD_INVENTORY","FQ4 2023","FQ4 2023","Currency=USD","Period=FQ","BEST_FPERIOD_OVERRIDE=FQ","FILING_STATUS=MR","SCALING_FORMAT=MLN","Sort=A","Dates=H","DateFormat=P","Fill=—","Direction=H","UseDPDF=Y")</f>
        <v>11.647</v>
      </c>
      <c r="X10" s="13">
        <f>_xll.BDH("ITCI US Equity","ARD_INVENTORY","FQ1 2024","FQ1 2024","Currency=USD","Period=FQ","BEST_FPERIOD_OVERRIDE=FQ","FILING_STATUS=MR","SCALING_FORMAT=MLN","Sort=A","Dates=H","DateFormat=P","Fill=—","Direction=H","UseDPDF=Y")</f>
        <v>15.949</v>
      </c>
      <c r="Y10" s="13">
        <f>_xll.BDH("ITCI US Equity","ARD_INVENTORY","FQ2 2024","FQ2 2024","Currency=USD","Period=FQ","BEST_FPERIOD_OVERRIDE=FQ","FILING_STATUS=MR","SCALING_FORMAT=MLN","Sort=A","Dates=H","DateFormat=P","Fill=—","Direction=H","UseDPDF=Y")</f>
        <v>20.082000000000001</v>
      </c>
      <c r="Z10" s="13">
        <f>_xll.BDH("ITCI US Equity","ARD_INVENTORY","FQ3 2024","FQ3 2024","Currency=USD","Period=FQ","BEST_FPERIOD_OVERRIDE=FQ","FILING_STATUS=MR","SCALING_FORMAT=MLN","Sort=A","Dates=H","DateFormat=P","Fill=—","Direction=H","UseDPDF=Y")</f>
        <v>23.539000000000001</v>
      </c>
      <c r="AA10" s="13">
        <f>_xll.BDH("ITCI US Equity","ARD_INVENTORY","FQ4 2024","FQ4 2024","Currency=USD","Period=FQ","BEST_FPERIOD_OVERRIDE=FQ","FILING_STATUS=MR","SCALING_FORMAT=MLN","Sort=A","Dates=H","DateFormat=P","Fill=—","Direction=H","UseDPDF=Y")</f>
        <v>26.283000000000001</v>
      </c>
    </row>
    <row r="11" spans="1:27" x14ac:dyDescent="0.25">
      <c r="A11" s="10" t="s">
        <v>693</v>
      </c>
      <c r="B11" s="10" t="s">
        <v>694</v>
      </c>
      <c r="C11" s="13">
        <f>_xll.BDH("ITCI US Equity","ARD_PREPAID_EXP_AND_OTHER","FQ4 2018","FQ4 2018","Currency=USD","Period=FQ","BEST_FPERIOD_OVERRIDE=FQ","FILING_STATUS=MR","SCALING_FORMAT=MLN","Sort=A","Dates=H","DateFormat=P","Fill=—","Direction=H","UseDPDF=Y")</f>
        <v>7.9081000000000001</v>
      </c>
      <c r="D11" s="13">
        <f>_xll.BDH("ITCI US Equity","ARD_PREPAID_EXP_AND_OTHER","FQ1 2019","FQ1 2019","Currency=USD","Period=FQ","BEST_FPERIOD_OVERRIDE=FQ","FILING_STATUS=MR","SCALING_FORMAT=MLN","Sort=A","Dates=H","DateFormat=P","Fill=—","Direction=H","UseDPDF=Y")</f>
        <v>8.3053000000000008</v>
      </c>
      <c r="E11" s="13">
        <f>_xll.BDH("ITCI US Equity","ARD_PREPAID_EXP_AND_OTHER","FQ2 2019","FQ2 2019","Currency=USD","Period=FQ","BEST_FPERIOD_OVERRIDE=FQ","FILING_STATUS=MR","SCALING_FORMAT=MLN","Sort=A","Dates=H","DateFormat=P","Fill=—","Direction=H","UseDPDF=Y")</f>
        <v>3.0417000000000001</v>
      </c>
      <c r="F11" s="13">
        <f>_xll.BDH("ITCI US Equity","ARD_PREPAID_EXP_AND_OTHER","FQ3 2019","FQ3 2019","Currency=USD","Period=FQ","BEST_FPERIOD_OVERRIDE=FQ","FILING_STATUS=MR","SCALING_FORMAT=MLN","Sort=A","Dates=H","DateFormat=P","Fill=—","Direction=H","UseDPDF=Y")</f>
        <v>4.0232999999999999</v>
      </c>
      <c r="G11" s="13">
        <f>_xll.BDH("ITCI US Equity","ARD_PREPAID_EXP_AND_OTHER","FQ4 2019","FQ4 2019","Currency=USD","Period=FQ","BEST_FPERIOD_OVERRIDE=FQ","FILING_STATUS=MR","SCALING_FORMAT=MLN","Sort=A","Dates=H","DateFormat=P","Fill=—","Direction=H","UseDPDF=Y")</f>
        <v>6.3137999999999996</v>
      </c>
      <c r="H11" s="13">
        <f>_xll.BDH("ITCI US Equity","ARD_PREPAID_EXP_AND_OTHER","FQ1 2020","FQ1 2020","Currency=USD","Period=FQ","BEST_FPERIOD_OVERRIDE=FQ","FILING_STATUS=MR","SCALING_FORMAT=MLN","Sort=A","Dates=H","DateFormat=P","Fill=—","Direction=H","UseDPDF=Y")</f>
        <v>7.8764000000000003</v>
      </c>
      <c r="I11" s="13">
        <f>_xll.BDH("ITCI US Equity","ARD_PREPAID_EXP_AND_OTHER","FQ2 2020","FQ2 2020","Currency=USD","Period=FQ","BEST_FPERIOD_OVERRIDE=FQ","FILING_STATUS=MR","SCALING_FORMAT=MLN","Sort=A","Dates=H","DateFormat=P","Fill=—","Direction=H","UseDPDF=Y")</f>
        <v>4.7260999999999997</v>
      </c>
      <c r="J11" s="13">
        <f>_xll.BDH("ITCI US Equity","ARD_PREPAID_EXP_AND_OTHER","FQ3 2020","FQ3 2020","Currency=USD","Period=FQ","BEST_FPERIOD_OVERRIDE=FQ","FILING_STATUS=MR","SCALING_FORMAT=MLN","Sort=A","Dates=H","DateFormat=P","Fill=—","Direction=H","UseDPDF=Y")</f>
        <v>11.0908</v>
      </c>
      <c r="K11" s="13">
        <f>_xll.BDH("ITCI US Equity","ARD_PREPAID_EXP_AND_OTHER","FQ4 2020","FQ4 2020","Currency=USD","Period=FQ","BEST_FPERIOD_OVERRIDE=FQ","FILING_STATUS=MR","SCALING_FORMAT=MLN","Sort=A","Dates=H","DateFormat=P","Fill=—","Direction=H","UseDPDF=Y")</f>
        <v>14.2355</v>
      </c>
      <c r="L11" s="13">
        <f>_xll.BDH("ITCI US Equity","ARD_PREPAID_EXP_AND_OTHER","FQ1 2021","FQ1 2021","Currency=USD","Period=FQ","BEST_FPERIOD_OVERRIDE=FQ","FILING_STATUS=MR","SCALING_FORMAT=MLN","Sort=A","Dates=H","DateFormat=P","Fill=—","Direction=H","UseDPDF=Y")</f>
        <v>14.494400000000001</v>
      </c>
      <c r="M11" s="13">
        <f>_xll.BDH("ITCI US Equity","ARD_PREPAID_EXP_AND_OTHER","FQ2 2021","FQ2 2021","Currency=USD","Period=FQ","BEST_FPERIOD_OVERRIDE=FQ","FILING_STATUS=MR","SCALING_FORMAT=MLN","Sort=A","Dates=H","DateFormat=P","Fill=—","Direction=H","UseDPDF=Y")</f>
        <v>22.1892</v>
      </c>
      <c r="N11" s="13">
        <f>_xll.BDH("ITCI US Equity","ARD_PREPAID_EXP_AND_OTHER","FQ3 2021","FQ3 2021","Currency=USD","Period=FQ","BEST_FPERIOD_OVERRIDE=FQ","FILING_STATUS=MR","SCALING_FORMAT=MLN","Sort=A","Dates=H","DateFormat=P","Fill=—","Direction=H","UseDPDF=Y")</f>
        <v>29.4574</v>
      </c>
      <c r="O11" s="13">
        <f>_xll.BDH("ITCI US Equity","ARD_PREPAID_EXP_AND_OTHER","FQ4 2021","FQ4 2021","Currency=USD","Period=FQ","BEST_FPERIOD_OVERRIDE=FQ","FILING_STATUS=MR","SCALING_FORMAT=MLN","Sort=A","Dates=H","DateFormat=P","Fill=—","Direction=H","UseDPDF=Y")</f>
        <v>25.4434</v>
      </c>
      <c r="P11" s="13">
        <f>_xll.BDH("ITCI US Equity","ARD_PREPAID_EXP_AND_OTHER","FQ1 2022","FQ1 2022","Currency=USD","Period=FQ","BEST_FPERIOD_OVERRIDE=FQ","FILING_STATUS=MR","SCALING_FORMAT=MLN","Sort=A","Dates=H","DateFormat=P","Fill=—","Direction=H","UseDPDF=Y")</f>
        <v>34.369</v>
      </c>
      <c r="Q11" s="13">
        <f>_xll.BDH("ITCI US Equity","ARD_PREPAID_EXP_AND_OTHER","FQ2 2022","FQ2 2022","Currency=USD","Period=FQ","BEST_FPERIOD_OVERRIDE=FQ","FILING_STATUS=MR","SCALING_FORMAT=MLN","Sort=A","Dates=H","DateFormat=P","Fill=—","Direction=H","UseDPDF=Y")</f>
        <v>37.978999999999999</v>
      </c>
      <c r="R11" s="13">
        <f>_xll.BDH("ITCI US Equity","ARD_PREPAID_EXP_AND_OTHER","FQ3 2022","FQ3 2022","Currency=USD","Period=FQ","BEST_FPERIOD_OVERRIDE=FQ","FILING_STATUS=MR","SCALING_FORMAT=MLN","Sort=A","Dates=H","DateFormat=P","Fill=—","Direction=H","UseDPDF=Y")</f>
        <v>44.13</v>
      </c>
      <c r="S11" s="13">
        <f>_xll.BDH("ITCI US Equity","ARD_PREPAID_EXP_AND_OTHER","FQ4 2022","FQ4 2022","Currency=USD","Period=FQ","BEST_FPERIOD_OVERRIDE=FQ","FILING_STATUS=MR","SCALING_FORMAT=MLN","Sort=A","Dates=H","DateFormat=P","Fill=—","Direction=H","UseDPDF=Y")</f>
        <v>45.192999999999998</v>
      </c>
      <c r="T11" s="13">
        <f>_xll.BDH("ITCI US Equity","ARD_PREPAID_EXP_AND_OTHER","FQ1 2023","FQ1 2023","Currency=USD","Period=FQ","BEST_FPERIOD_OVERRIDE=FQ","FILING_STATUS=MR","SCALING_FORMAT=MLN","Sort=A","Dates=H","DateFormat=P","Fill=—","Direction=H","UseDPDF=Y")</f>
        <v>55.75</v>
      </c>
      <c r="U11" s="13">
        <f>_xll.BDH("ITCI US Equity","ARD_PREPAID_EXP_AND_OTHER","FQ2 2023","FQ2 2023","Currency=USD","Period=FQ","BEST_FPERIOD_OVERRIDE=FQ","FILING_STATUS=MR","SCALING_FORMAT=MLN","Sort=A","Dates=H","DateFormat=P","Fill=—","Direction=H","UseDPDF=Y")</f>
        <v>45.61</v>
      </c>
      <c r="V11" s="13">
        <f>_xll.BDH("ITCI US Equity","ARD_PREPAID_EXP_AND_OTHER","FQ3 2023","FQ3 2023","Currency=USD","Period=FQ","BEST_FPERIOD_OVERRIDE=FQ","FILING_STATUS=MR","SCALING_FORMAT=MLN","Sort=A","Dates=H","DateFormat=P","Fill=—","Direction=H","UseDPDF=Y")</f>
        <v>61.997999999999998</v>
      </c>
      <c r="W11" s="13">
        <f>_xll.BDH("ITCI US Equity","ARD_PREPAID_EXP_AND_OTHER","FQ4 2023","FQ4 2023","Currency=USD","Period=FQ","BEST_FPERIOD_OVERRIDE=FQ","FILING_STATUS=MR","SCALING_FORMAT=MLN","Sort=A","Dates=H","DateFormat=P","Fill=—","Direction=H","UseDPDF=Y")</f>
        <v>42.442999999999998</v>
      </c>
      <c r="X11" s="13">
        <f>_xll.BDH("ITCI US Equity","ARD_PREPAID_EXP_AND_OTHER","FQ1 2024","FQ1 2024","Currency=USD","Period=FQ","BEST_FPERIOD_OVERRIDE=FQ","FILING_STATUS=MR","SCALING_FORMAT=MLN","Sort=A","Dates=H","DateFormat=P","Fill=—","Direction=H","UseDPDF=Y")</f>
        <v>66.048000000000002</v>
      </c>
      <c r="Y11" s="13">
        <f>_xll.BDH("ITCI US Equity","ARD_PREPAID_EXP_AND_OTHER","FQ2 2024","FQ2 2024","Currency=USD","Period=FQ","BEST_FPERIOD_OVERRIDE=FQ","FILING_STATUS=MR","SCALING_FORMAT=MLN","Sort=A","Dates=H","DateFormat=P","Fill=—","Direction=H","UseDPDF=Y")</f>
        <v>73.798000000000002</v>
      </c>
      <c r="Z11" s="13">
        <f>_xll.BDH("ITCI US Equity","ARD_PREPAID_EXP_AND_OTHER","FQ3 2024","FQ3 2024","Currency=USD","Period=FQ","BEST_FPERIOD_OVERRIDE=FQ","FILING_STATUS=MR","SCALING_FORMAT=MLN","Sort=A","Dates=H","DateFormat=P","Fill=—","Direction=H","UseDPDF=Y")</f>
        <v>94.272000000000006</v>
      </c>
      <c r="AA11" s="13">
        <f>_xll.BDH("ITCI US Equity","ARD_PREPAID_EXP_AND_OTHER","FQ4 2024","FQ4 2024","Currency=USD","Period=FQ","BEST_FPERIOD_OVERRIDE=FQ","FILING_STATUS=MR","SCALING_FORMAT=MLN","Sort=A","Dates=H","DateFormat=P","Fill=—","Direction=H","UseDPDF=Y")</f>
        <v>111.765</v>
      </c>
    </row>
    <row r="12" spans="1:27" x14ac:dyDescent="0.25">
      <c r="A12" s="10" t="s">
        <v>695</v>
      </c>
      <c r="B12" s="10" t="s">
        <v>696</v>
      </c>
      <c r="C12" s="13" t="str">
        <f>_xll.BDH("ITCI US Equity","ARD_RESTRICTED_CASH_ST","FQ4 2018","FQ4 2018","Currency=USD","Period=FQ","BEST_FPERIOD_OVERRIDE=FQ","FILING_STATUS=MR","SCALING_FORMAT=MLN","Sort=A","Dates=H","DateFormat=P","Fill=—","Direction=H","UseDPDF=Y")</f>
        <v>—</v>
      </c>
      <c r="D12" s="13" t="str">
        <f>_xll.BDH("ITCI US Equity","ARD_RESTRICTED_CASH_ST","FQ1 2019","FQ1 2019","Currency=USD","Period=FQ","BEST_FPERIOD_OVERRIDE=FQ","FILING_STATUS=MR","SCALING_FORMAT=MLN","Sort=A","Dates=H","DateFormat=P","Fill=—","Direction=H","UseDPDF=Y")</f>
        <v>—</v>
      </c>
      <c r="E12" s="13" t="str">
        <f>_xll.BDH("ITCI US Equity","ARD_RESTRICTED_CASH_ST","FQ2 2019","FQ2 2019","Currency=USD","Period=FQ","BEST_FPERIOD_OVERRIDE=FQ","FILING_STATUS=MR","SCALING_FORMAT=MLN","Sort=A","Dates=H","DateFormat=P","Fill=—","Direction=H","UseDPDF=Y")</f>
        <v>—</v>
      </c>
      <c r="F12" s="13" t="str">
        <f>_xll.BDH("ITCI US Equity","ARD_RESTRICTED_CASH_ST","FQ3 2019","FQ3 2019","Currency=USD","Period=FQ","BEST_FPERIOD_OVERRIDE=FQ","FILING_STATUS=MR","SCALING_FORMAT=MLN","Sort=A","Dates=H","DateFormat=P","Fill=—","Direction=H","UseDPDF=Y")</f>
        <v>—</v>
      </c>
      <c r="G12" s="13" t="str">
        <f>_xll.BDH("ITCI US Equity","ARD_RESTRICTED_CASH_ST","FQ4 2019","FQ4 2019","Currency=USD","Period=FQ","BEST_FPERIOD_OVERRIDE=FQ","FILING_STATUS=MR","SCALING_FORMAT=MLN","Sort=A","Dates=H","DateFormat=P","Fill=—","Direction=H","UseDPDF=Y")</f>
        <v>—</v>
      </c>
      <c r="H12" s="13">
        <f>_xll.BDH("ITCI US Equity","ARD_RESTRICTED_CASH_ST","FQ1 2020","FQ1 2020","Currency=USD","Period=FQ","BEST_FPERIOD_OVERRIDE=FQ","FILING_STATUS=MR","SCALING_FORMAT=MLN","Sort=A","Dates=H","DateFormat=P","Fill=—","Direction=H","UseDPDF=Y")</f>
        <v>1.4</v>
      </c>
      <c r="I12" s="13">
        <f>_xll.BDH("ITCI US Equity","ARD_RESTRICTED_CASH_ST","FQ2 2020","FQ2 2020","Currency=USD","Period=FQ","BEST_FPERIOD_OVERRIDE=FQ","FILING_STATUS=MR","SCALING_FORMAT=MLN","Sort=A","Dates=H","DateFormat=P","Fill=—","Direction=H","UseDPDF=Y")</f>
        <v>1.4</v>
      </c>
      <c r="J12" s="13">
        <f>_xll.BDH("ITCI US Equity","ARD_RESTRICTED_CASH_ST","FQ3 2020","FQ3 2020","Currency=USD","Period=FQ","BEST_FPERIOD_OVERRIDE=FQ","FILING_STATUS=MR","SCALING_FORMAT=MLN","Sort=A","Dates=H","DateFormat=P","Fill=—","Direction=H","UseDPDF=Y")</f>
        <v>1.4</v>
      </c>
      <c r="K12" s="13">
        <f>_xll.BDH("ITCI US Equity","ARD_RESTRICTED_CASH_ST","FQ4 2020","FQ4 2020","Currency=USD","Period=FQ","BEST_FPERIOD_OVERRIDE=FQ","FILING_STATUS=MR","SCALING_FORMAT=MLN","Sort=A","Dates=H","DateFormat=P","Fill=—","Direction=H","UseDPDF=Y")</f>
        <v>1.4</v>
      </c>
      <c r="L12" s="13">
        <f>_xll.BDH("ITCI US Equity","ARD_RESTRICTED_CASH_ST","FQ1 2021","FQ1 2021","Currency=USD","Period=FQ","BEST_FPERIOD_OVERRIDE=FQ","FILING_STATUS=MR","SCALING_FORMAT=MLN","Sort=A","Dates=H","DateFormat=P","Fill=—","Direction=H","UseDPDF=Y")</f>
        <v>1.4</v>
      </c>
      <c r="M12" s="13">
        <f>_xll.BDH("ITCI US Equity","ARD_RESTRICTED_CASH_ST","FQ2 2021","FQ2 2021","Currency=USD","Period=FQ","BEST_FPERIOD_OVERRIDE=FQ","FILING_STATUS=MR","SCALING_FORMAT=MLN","Sort=A","Dates=H","DateFormat=P","Fill=—","Direction=H","UseDPDF=Y")</f>
        <v>1.4</v>
      </c>
      <c r="N12" s="13">
        <f>_xll.BDH("ITCI US Equity","ARD_RESTRICTED_CASH_ST","FQ3 2021","FQ3 2021","Currency=USD","Period=FQ","BEST_FPERIOD_OVERRIDE=FQ","FILING_STATUS=MR","SCALING_FORMAT=MLN","Sort=A","Dates=H","DateFormat=P","Fill=—","Direction=H","UseDPDF=Y")</f>
        <v>1.4</v>
      </c>
      <c r="O12" s="13">
        <f>_xll.BDH("ITCI US Equity","ARD_RESTRICTED_CASH_ST","FQ4 2021","FQ4 2021","Currency=USD","Period=FQ","BEST_FPERIOD_OVERRIDE=FQ","FILING_STATUS=MR","SCALING_FORMAT=MLN","Sort=A","Dates=H","DateFormat=P","Fill=—","Direction=H","UseDPDF=Y")</f>
        <v>1.4</v>
      </c>
      <c r="P12" s="13">
        <f>_xll.BDH("ITCI US Equity","ARD_RESTRICTED_CASH_ST","FQ1 2022","FQ1 2022","Currency=USD","Period=FQ","BEST_FPERIOD_OVERRIDE=FQ","FILING_STATUS=MR","SCALING_FORMAT=MLN","Sort=A","Dates=H","DateFormat=P","Fill=—","Direction=H","UseDPDF=Y")</f>
        <v>1.4</v>
      </c>
      <c r="Q12" s="13">
        <f>_xll.BDH("ITCI US Equity","ARD_RESTRICTED_CASH_ST","FQ2 2022","FQ2 2022","Currency=USD","Period=FQ","BEST_FPERIOD_OVERRIDE=FQ","FILING_STATUS=MR","SCALING_FORMAT=MLN","Sort=A","Dates=H","DateFormat=P","Fill=—","Direction=H","UseDPDF=Y")</f>
        <v>1.4</v>
      </c>
      <c r="R12" s="13">
        <f>_xll.BDH("ITCI US Equity","ARD_RESTRICTED_CASH_ST","FQ3 2022","FQ3 2022","Currency=USD","Period=FQ","BEST_FPERIOD_OVERRIDE=FQ","FILING_STATUS=MR","SCALING_FORMAT=MLN","Sort=A","Dates=H","DateFormat=P","Fill=—","Direction=H","UseDPDF=Y")</f>
        <v>1.75</v>
      </c>
      <c r="S12" s="13">
        <f>_xll.BDH("ITCI US Equity","ARD_RESTRICTED_CASH_ST","FQ4 2022","FQ4 2022","Currency=USD","Period=FQ","BEST_FPERIOD_OVERRIDE=FQ","FILING_STATUS=MR","SCALING_FORMAT=MLN","Sort=A","Dates=H","DateFormat=P","Fill=—","Direction=H","UseDPDF=Y")</f>
        <v>1.75</v>
      </c>
      <c r="T12" s="13">
        <f>_xll.BDH("ITCI US Equity","ARD_RESTRICTED_CASH_ST","FQ1 2023","FQ1 2023","Currency=USD","Period=FQ","BEST_FPERIOD_OVERRIDE=FQ","FILING_STATUS=MR","SCALING_FORMAT=MLN","Sort=A","Dates=H","DateFormat=P","Fill=—","Direction=H","UseDPDF=Y")</f>
        <v>1.75</v>
      </c>
      <c r="U12" s="13">
        <f>_xll.BDH("ITCI US Equity","ARD_RESTRICTED_CASH_ST","FQ2 2023","FQ2 2023","Currency=USD","Period=FQ","BEST_FPERIOD_OVERRIDE=FQ","FILING_STATUS=MR","SCALING_FORMAT=MLN","Sort=A","Dates=H","DateFormat=P","Fill=—","Direction=H","UseDPDF=Y")</f>
        <v>1.75</v>
      </c>
      <c r="V12" s="13">
        <f>_xll.BDH("ITCI US Equity","ARD_RESTRICTED_CASH_ST","FQ3 2023","FQ3 2023","Currency=USD","Period=FQ","BEST_FPERIOD_OVERRIDE=FQ","FILING_STATUS=MR","SCALING_FORMAT=MLN","Sort=A","Dates=H","DateFormat=P","Fill=—","Direction=H","UseDPDF=Y")</f>
        <v>1.75</v>
      </c>
      <c r="W12" s="13">
        <f>_xll.BDH("ITCI US Equity","ARD_RESTRICTED_CASH_ST","FQ4 2023","FQ4 2023","Currency=USD","Period=FQ","BEST_FPERIOD_OVERRIDE=FQ","FILING_STATUS=MR","SCALING_FORMAT=MLN","Sort=A","Dates=H","DateFormat=P","Fill=—","Direction=H","UseDPDF=Y")</f>
        <v>1.75</v>
      </c>
      <c r="X12" s="13">
        <f>_xll.BDH("ITCI US Equity","ARD_RESTRICTED_CASH_ST","FQ1 2024","FQ1 2024","Currency=USD","Period=FQ","BEST_FPERIOD_OVERRIDE=FQ","FILING_STATUS=MR","SCALING_FORMAT=MLN","Sort=A","Dates=H","DateFormat=P","Fill=—","Direction=H","UseDPDF=Y")</f>
        <v>1.75</v>
      </c>
      <c r="Y12" s="13">
        <f>_xll.BDH("ITCI US Equity","ARD_RESTRICTED_CASH_ST","FQ2 2024","FQ2 2024","Currency=USD","Period=FQ","BEST_FPERIOD_OVERRIDE=FQ","FILING_STATUS=MR","SCALING_FORMAT=MLN","Sort=A","Dates=H","DateFormat=P","Fill=—","Direction=H","UseDPDF=Y")</f>
        <v>1.75</v>
      </c>
      <c r="Z12" s="13">
        <f>_xll.BDH("ITCI US Equity","ARD_RESTRICTED_CASH_ST","FQ3 2024","FQ3 2024","Currency=USD","Period=FQ","BEST_FPERIOD_OVERRIDE=FQ","FILING_STATUS=MR","SCALING_FORMAT=MLN","Sort=A","Dates=H","DateFormat=P","Fill=—","Direction=H","UseDPDF=Y")</f>
        <v>1.75</v>
      </c>
      <c r="AA12" s="13">
        <f>_xll.BDH("ITCI US Equity","ARD_RESTRICTED_CASH_ST","FQ4 2024","FQ4 2024","Currency=USD","Period=FQ","BEST_FPERIOD_OVERRIDE=FQ","FILING_STATUS=MR","SCALING_FORMAT=MLN","Sort=A","Dates=H","DateFormat=P","Fill=—","Direction=H","UseDPDF=Y")</f>
        <v>1.75</v>
      </c>
    </row>
    <row r="13" spans="1:27" x14ac:dyDescent="0.25">
      <c r="A13" s="10" t="s">
        <v>697</v>
      </c>
      <c r="B13" s="10" t="s">
        <v>698</v>
      </c>
      <c r="C13" s="13" t="str">
        <f>_xll.BDH("ITCI US Equity","ARD_ALLOW_FOR_DOUBTFUL_ACCTS","FQ4 2018","FQ4 2018","Currency=USD","Period=FQ","BEST_FPERIOD_OVERRIDE=FQ","FILING_STATUS=MR","SCALING_FORMAT=MLN","Sort=A","Dates=H","DateFormat=P","Fill=—","Direction=H","UseDPDF=Y")</f>
        <v>—</v>
      </c>
      <c r="D13" s="13" t="str">
        <f>_xll.BDH("ITCI US Equity","ARD_ALLOW_FOR_DOUBTFUL_ACCTS","FQ1 2019","FQ1 2019","Currency=USD","Period=FQ","BEST_FPERIOD_OVERRIDE=FQ","FILING_STATUS=MR","SCALING_FORMAT=MLN","Sort=A","Dates=H","DateFormat=P","Fill=—","Direction=H","UseDPDF=Y")</f>
        <v>—</v>
      </c>
      <c r="E13" s="13" t="str">
        <f>_xll.BDH("ITCI US Equity","ARD_ALLOW_FOR_DOUBTFUL_ACCTS","FQ2 2019","FQ2 2019","Currency=USD","Period=FQ","BEST_FPERIOD_OVERRIDE=FQ","FILING_STATUS=MR","SCALING_FORMAT=MLN","Sort=A","Dates=H","DateFormat=P","Fill=—","Direction=H","UseDPDF=Y")</f>
        <v>—</v>
      </c>
      <c r="F13" s="13" t="str">
        <f>_xll.BDH("ITCI US Equity","ARD_ALLOW_FOR_DOUBTFUL_ACCTS","FQ3 2019","FQ3 2019","Currency=USD","Period=FQ","BEST_FPERIOD_OVERRIDE=FQ","FILING_STATUS=MR","SCALING_FORMAT=MLN","Sort=A","Dates=H","DateFormat=P","Fill=—","Direction=H","UseDPDF=Y")</f>
        <v>—</v>
      </c>
      <c r="G13" s="13" t="str">
        <f>_xll.BDH("ITCI US Equity","ARD_ALLOW_FOR_DOUBTFUL_ACCTS","FQ4 2019","FQ4 2019","Currency=USD","Period=FQ","BEST_FPERIOD_OVERRIDE=FQ","FILING_STATUS=MR","SCALING_FORMAT=MLN","Sort=A","Dates=H","DateFormat=P","Fill=—","Direction=H","UseDPDF=Y")</f>
        <v>—</v>
      </c>
      <c r="H13" s="13" t="str">
        <f>_xll.BDH("ITCI US Equity","ARD_ALLOW_FOR_DOUBTFUL_ACCTS","FQ1 2020","FQ1 2020","Currency=USD","Period=FQ","BEST_FPERIOD_OVERRIDE=FQ","FILING_STATUS=MR","SCALING_FORMAT=MLN","Sort=A","Dates=H","DateFormat=P","Fill=—","Direction=H","UseDPDF=Y")</f>
        <v>—</v>
      </c>
      <c r="I13" s="13" t="str">
        <f>_xll.BDH("ITCI US Equity","ARD_ALLOW_FOR_DOUBTFUL_ACCTS","FQ2 2020","FQ2 2020","Currency=USD","Period=FQ","BEST_FPERIOD_OVERRIDE=FQ","FILING_STATUS=MR","SCALING_FORMAT=MLN","Sort=A","Dates=H","DateFormat=P","Fill=—","Direction=H","UseDPDF=Y")</f>
        <v>—</v>
      </c>
      <c r="J13" s="13" t="str">
        <f>_xll.BDH("ITCI US Equity","ARD_ALLOW_FOR_DOUBTFUL_ACCTS","FQ3 2020","FQ3 2020","Currency=USD","Period=FQ","BEST_FPERIOD_OVERRIDE=FQ","FILING_STATUS=MR","SCALING_FORMAT=MLN","Sort=A","Dates=H","DateFormat=P","Fill=—","Direction=H","UseDPDF=Y")</f>
        <v>—</v>
      </c>
      <c r="K13" s="13" t="str">
        <f>_xll.BDH("ITCI US Equity","ARD_ALLOW_FOR_DOUBTFUL_ACCTS","FQ4 2020","FQ4 2020","Currency=USD","Period=FQ","BEST_FPERIOD_OVERRIDE=FQ","FILING_STATUS=MR","SCALING_FORMAT=MLN","Sort=A","Dates=H","DateFormat=P","Fill=—","Direction=H","UseDPDF=Y")</f>
        <v>—</v>
      </c>
      <c r="L13" s="13" t="str">
        <f>_xll.BDH("ITCI US Equity","ARD_ALLOW_FOR_DOUBTFUL_ACCTS","FQ1 2021","FQ1 2021","Currency=USD","Period=FQ","BEST_FPERIOD_OVERRIDE=FQ","FILING_STATUS=MR","SCALING_FORMAT=MLN","Sort=A","Dates=H","DateFormat=P","Fill=—","Direction=H","UseDPDF=Y")</f>
        <v>—</v>
      </c>
      <c r="M13" s="13">
        <f>_xll.BDH("ITCI US Equity","ARD_ALLOW_FOR_DOUBTFUL_ACCTS","FQ2 2021","FQ2 2021","Currency=USD","Period=FQ","BEST_FPERIOD_OVERRIDE=FQ","FILING_STATUS=MR","SCALING_FORMAT=MLN","Sort=A","Dates=H","DateFormat=P","Fill=—","Direction=H","UseDPDF=Y")</f>
        <v>0.12</v>
      </c>
      <c r="N13" s="13" t="str">
        <f>_xll.BDH("ITCI US Equity","ARD_ALLOW_FOR_DOUBTFUL_ACCTS","FQ3 2021","FQ3 2021","Currency=USD","Period=FQ","BEST_FPERIOD_OVERRIDE=FQ","FILING_STATUS=MR","SCALING_FORMAT=MLN","Sort=A","Dates=H","DateFormat=P","Fill=—","Direction=H","UseDPDF=Y")</f>
        <v>—</v>
      </c>
      <c r="O13" s="13" t="str">
        <f>_xll.BDH("ITCI US Equity","ARD_ALLOW_FOR_DOUBTFUL_ACCTS","FQ4 2021","FQ4 2021","Currency=USD","Period=FQ","BEST_FPERIOD_OVERRIDE=FQ","FILING_STATUS=MR","SCALING_FORMAT=MLN","Sort=A","Dates=H","DateFormat=P","Fill=—","Direction=H","UseDPDF=Y")</f>
        <v>—</v>
      </c>
      <c r="P13" s="13" t="str">
        <f>_xll.BDH("ITCI US Equity","ARD_ALLOW_FOR_DOUBTFUL_ACCTS","FQ1 2022","FQ1 2022","Currency=USD","Period=FQ","BEST_FPERIOD_OVERRIDE=FQ","FILING_STATUS=MR","SCALING_FORMAT=MLN","Sort=A","Dates=H","DateFormat=P","Fill=—","Direction=H","UseDPDF=Y")</f>
        <v>—</v>
      </c>
      <c r="Q13" s="13" t="str">
        <f>_xll.BDH("ITCI US Equity","ARD_ALLOW_FOR_DOUBTFUL_ACCTS","FQ2 2022","FQ2 2022","Currency=USD","Period=FQ","BEST_FPERIOD_OVERRIDE=FQ","FILING_STATUS=MR","SCALING_FORMAT=MLN","Sort=A","Dates=H","DateFormat=P","Fill=—","Direction=H","UseDPDF=Y")</f>
        <v>—</v>
      </c>
      <c r="R13" s="13" t="str">
        <f>_xll.BDH("ITCI US Equity","ARD_ALLOW_FOR_DOUBTFUL_ACCTS","FQ3 2022","FQ3 2022","Currency=USD","Period=FQ","BEST_FPERIOD_OVERRIDE=FQ","FILING_STATUS=MR","SCALING_FORMAT=MLN","Sort=A","Dates=H","DateFormat=P","Fill=—","Direction=H","UseDPDF=Y")</f>
        <v>—</v>
      </c>
      <c r="S13" s="13" t="str">
        <f>_xll.BDH("ITCI US Equity","ARD_ALLOW_FOR_DOUBTFUL_ACCTS","FQ4 2022","FQ4 2022","Currency=USD","Period=FQ","BEST_FPERIOD_OVERRIDE=FQ","FILING_STATUS=MR","SCALING_FORMAT=MLN","Sort=A","Dates=H","DateFormat=P","Fill=—","Direction=H","UseDPDF=Y")</f>
        <v>—</v>
      </c>
      <c r="T13" s="13" t="str">
        <f>_xll.BDH("ITCI US Equity","ARD_ALLOW_FOR_DOUBTFUL_ACCTS","FQ1 2023","FQ1 2023","Currency=USD","Period=FQ","BEST_FPERIOD_OVERRIDE=FQ","FILING_STATUS=MR","SCALING_FORMAT=MLN","Sort=A","Dates=H","DateFormat=P","Fill=—","Direction=H","UseDPDF=Y")</f>
        <v>—</v>
      </c>
      <c r="U13" s="13" t="str">
        <f>_xll.BDH("ITCI US Equity","ARD_ALLOW_FOR_DOUBTFUL_ACCTS","FQ2 2023","FQ2 2023","Currency=USD","Period=FQ","BEST_FPERIOD_OVERRIDE=FQ","FILING_STATUS=MR","SCALING_FORMAT=MLN","Sort=A","Dates=H","DateFormat=P","Fill=—","Direction=H","UseDPDF=Y")</f>
        <v>—</v>
      </c>
      <c r="V13" s="13" t="str">
        <f>_xll.BDH("ITCI US Equity","ARD_ALLOW_FOR_DOUBTFUL_ACCTS","FQ3 2023","FQ3 2023","Currency=USD","Period=FQ","BEST_FPERIOD_OVERRIDE=FQ","FILING_STATUS=MR","SCALING_FORMAT=MLN","Sort=A","Dates=H","DateFormat=P","Fill=—","Direction=H","UseDPDF=Y")</f>
        <v>—</v>
      </c>
      <c r="W13" s="13" t="str">
        <f>_xll.BDH("ITCI US Equity","ARD_ALLOW_FOR_DOUBTFUL_ACCTS","FQ4 2023","FQ4 2023","Currency=USD","Period=FQ","BEST_FPERIOD_OVERRIDE=FQ","FILING_STATUS=MR","SCALING_FORMAT=MLN","Sort=A","Dates=H","DateFormat=P","Fill=—","Direction=H","UseDPDF=Y")</f>
        <v>—</v>
      </c>
      <c r="X13" s="13" t="str">
        <f>_xll.BDH("ITCI US Equity","ARD_ALLOW_FOR_DOUBTFUL_ACCTS","FQ1 2024","FQ1 2024","Currency=USD","Period=FQ","BEST_FPERIOD_OVERRIDE=FQ","FILING_STATUS=MR","SCALING_FORMAT=MLN","Sort=A","Dates=H","DateFormat=P","Fill=—","Direction=H","UseDPDF=Y")</f>
        <v>—</v>
      </c>
      <c r="Y13" s="13" t="str">
        <f>_xll.BDH("ITCI US Equity","ARD_ALLOW_FOR_DOUBTFUL_ACCTS","FQ2 2024","FQ2 2024","Currency=USD","Period=FQ","BEST_FPERIOD_OVERRIDE=FQ","FILING_STATUS=MR","SCALING_FORMAT=MLN","Sort=A","Dates=H","DateFormat=P","Fill=—","Direction=H","UseDPDF=Y")</f>
        <v>—</v>
      </c>
      <c r="Z13" s="13" t="str">
        <f>_xll.BDH("ITCI US Equity","ARD_ALLOW_FOR_DOUBTFUL_ACCTS","FQ3 2024","FQ3 2024","Currency=USD","Period=FQ","BEST_FPERIOD_OVERRIDE=FQ","FILING_STATUS=MR","SCALING_FORMAT=MLN","Sort=A","Dates=H","DateFormat=P","Fill=—","Direction=H","UseDPDF=Y")</f>
        <v>—</v>
      </c>
      <c r="AA13" s="13" t="str">
        <f>_xll.BDH("ITCI US Equity","ARD_ALLOW_FOR_DOUBTFUL_ACCTS","FQ4 2024","FQ4 2024","Currency=USD","Period=FQ","BEST_FPERIOD_OVERRIDE=FQ","FILING_STATUS=MR","SCALING_FORMAT=MLN","Sort=A","Dates=H","DateFormat=P","Fill=—","Direction=H","UseDPDF=Y")</f>
        <v>—</v>
      </c>
    </row>
    <row r="14" spans="1:27" x14ac:dyDescent="0.25">
      <c r="A14" s="10" t="s">
        <v>699</v>
      </c>
      <c r="B14" s="10" t="s">
        <v>700</v>
      </c>
      <c r="C14" s="13">
        <f>_xll.BDH("ITCI US Equity","ARD_ST_INVEST","FQ4 2018","FQ4 2018","Currency=USD","Period=FQ","BEST_FPERIOD_OVERRIDE=FQ","FILING_STATUS=MR","SCALING_FORMAT=MLN","Sort=A","Dates=H","DateFormat=P","Fill=—","Direction=H","UseDPDF=Y")</f>
        <v>292.58300000000003</v>
      </c>
      <c r="D14" s="13">
        <f>_xll.BDH("ITCI US Equity","ARD_ST_INVEST","FQ1 2019","FQ1 2019","Currency=USD","Period=FQ","BEST_FPERIOD_OVERRIDE=FQ","FILING_STATUS=MR","SCALING_FORMAT=MLN","Sort=A","Dates=H","DateFormat=P","Fill=—","Direction=H","UseDPDF=Y")</f>
        <v>248.7313</v>
      </c>
      <c r="E14" s="13">
        <f>_xll.BDH("ITCI US Equity","ARD_ST_INVEST","FQ2 2019","FQ2 2019","Currency=USD","Period=FQ","BEST_FPERIOD_OVERRIDE=FQ","FILING_STATUS=MR","SCALING_FORMAT=MLN","Sort=A","Dates=H","DateFormat=P","Fill=—","Direction=H","UseDPDF=Y")</f>
        <v>193.5368</v>
      </c>
      <c r="F14" s="13">
        <f>_xll.BDH("ITCI US Equity","ARD_ST_INVEST","FQ3 2019","FQ3 2019","Currency=USD","Period=FQ","BEST_FPERIOD_OVERRIDE=FQ","FILING_STATUS=MR","SCALING_FORMAT=MLN","Sort=A","Dates=H","DateFormat=P","Fill=—","Direction=H","UseDPDF=Y")</f>
        <v>153.2706</v>
      </c>
      <c r="G14" s="13">
        <f>_xll.BDH("ITCI US Equity","ARD_ST_INVEST","FQ4 2019","FQ4 2019","Currency=USD","Period=FQ","BEST_FPERIOD_OVERRIDE=FQ","FILING_STATUS=MR","SCALING_FORMAT=MLN","Sort=A","Dates=H","DateFormat=P","Fill=—","Direction=H","UseDPDF=Y")</f>
        <v>116.3733</v>
      </c>
      <c r="H14" s="13">
        <f>_xll.BDH("ITCI US Equity","ARD_ST_INVEST","FQ1 2020","FQ1 2020","Currency=USD","Period=FQ","BEST_FPERIOD_OVERRIDE=FQ","FILING_STATUS=MR","SCALING_FORMAT=MLN","Sort=A","Dates=H","DateFormat=P","Fill=—","Direction=H","UseDPDF=Y")</f>
        <v>269.36090000000002</v>
      </c>
      <c r="I14" s="13">
        <f>_xll.BDH("ITCI US Equity","ARD_ST_INVEST","FQ2 2020","FQ2 2020","Currency=USD","Period=FQ","BEST_FPERIOD_OVERRIDE=FQ","FILING_STATUS=MR","SCALING_FORMAT=MLN","Sort=A","Dates=H","DateFormat=P","Fill=—","Direction=H","UseDPDF=Y")</f>
        <v>278.46850000000001</v>
      </c>
      <c r="J14" s="13">
        <f>_xll.BDH("ITCI US Equity","ARD_ST_INVEST","FQ3 2020","FQ3 2020","Currency=USD","Period=FQ","BEST_FPERIOD_OVERRIDE=FQ","FILING_STATUS=MR","SCALING_FORMAT=MLN","Sort=A","Dates=H","DateFormat=P","Fill=—","Direction=H","UseDPDF=Y")</f>
        <v>420.95850000000002</v>
      </c>
      <c r="K14" s="13">
        <f>_xll.BDH("ITCI US Equity","ARD_ST_INVEST","FQ4 2020","FQ4 2020","Currency=USD","Period=FQ","BEST_FPERIOD_OVERRIDE=FQ","FILING_STATUS=MR","SCALING_FORMAT=MLN","Sort=A","Dates=H","DateFormat=P","Fill=—","Direction=H","UseDPDF=Y")</f>
        <v>597.40210000000002</v>
      </c>
      <c r="L14" s="13">
        <f>_xll.BDH("ITCI US Equity","ARD_ST_INVEST","FQ1 2021","FQ1 2021","Currency=USD","Period=FQ","BEST_FPERIOD_OVERRIDE=FQ","FILING_STATUS=MR","SCALING_FORMAT=MLN","Sort=A","Dates=H","DateFormat=P","Fill=—","Direction=H","UseDPDF=Y")</f>
        <v>481.98480000000001</v>
      </c>
      <c r="M14" s="13">
        <f>_xll.BDH("ITCI US Equity","ARD_ST_INVEST","FQ2 2021","FQ2 2021","Currency=USD","Period=FQ","BEST_FPERIOD_OVERRIDE=FQ","FILING_STATUS=MR","SCALING_FORMAT=MLN","Sort=A","Dates=H","DateFormat=P","Fill=—","Direction=H","UseDPDF=Y")</f>
        <v>433.72719999999998</v>
      </c>
      <c r="N14" s="13">
        <f>_xll.BDH("ITCI US Equity","ARD_ST_INVEST","FQ3 2021","FQ3 2021","Currency=USD","Period=FQ","BEST_FPERIOD_OVERRIDE=FQ","FILING_STATUS=MR","SCALING_FORMAT=MLN","Sort=A","Dates=H","DateFormat=P","Fill=—","Direction=H","UseDPDF=Y")</f>
        <v>371.15800000000002</v>
      </c>
      <c r="O14" s="13">
        <f>_xll.BDH("ITCI US Equity","ARD_ST_INVEST","FQ4 2021","FQ4 2021","Currency=USD","Period=FQ","BEST_FPERIOD_OVERRIDE=FQ","FILING_STATUS=MR","SCALING_FORMAT=MLN","Sort=A","Dates=H","DateFormat=P","Fill=—","Direction=H","UseDPDF=Y")</f>
        <v>319.9683</v>
      </c>
      <c r="P14" s="13">
        <f>_xll.BDH("ITCI US Equity","ARD_ST_INVEST","FQ1 2022","FQ1 2022","Currency=USD","Period=FQ","BEST_FPERIOD_OVERRIDE=FQ","FILING_STATUS=MR","SCALING_FORMAT=MLN","Sort=A","Dates=H","DateFormat=P","Fill=—","Direction=H","UseDPDF=Y")</f>
        <v>642.553</v>
      </c>
      <c r="Q14" s="13">
        <f>_xll.BDH("ITCI US Equity","ARD_ST_INVEST","FQ2 2022","FQ2 2022","Currency=USD","Period=FQ","BEST_FPERIOD_OVERRIDE=FQ","FILING_STATUS=MR","SCALING_FORMAT=MLN","Sort=A","Dates=H","DateFormat=P","Fill=—","Direction=H","UseDPDF=Y")</f>
        <v>600.59400000000005</v>
      </c>
      <c r="R14" s="13">
        <f>_xll.BDH("ITCI US Equity","ARD_ST_INVEST","FQ3 2022","FQ3 2022","Currency=USD","Period=FQ","BEST_FPERIOD_OVERRIDE=FQ","FILING_STATUS=MR","SCALING_FORMAT=MLN","Sort=A","Dates=H","DateFormat=P","Fill=—","Direction=H","UseDPDF=Y")</f>
        <v>493.38299999999998</v>
      </c>
      <c r="S14" s="13">
        <f>_xll.BDH("ITCI US Equity","ARD_ST_INVEST","FQ4 2022","FQ4 2022","Currency=USD","Period=FQ","BEST_FPERIOD_OVERRIDE=FQ","FILING_STATUS=MR","SCALING_FORMAT=MLN","Sort=A","Dates=H","DateFormat=P","Fill=—","Direction=H","UseDPDF=Y")</f>
        <v>443.29</v>
      </c>
      <c r="T14" s="13">
        <f>_xll.BDH("ITCI US Equity","ARD_ST_INVEST","FQ1 2023","FQ1 2023","Currency=USD","Period=FQ","BEST_FPERIOD_OVERRIDE=FQ","FILING_STATUS=MR","SCALING_FORMAT=MLN","Sort=A","Dates=H","DateFormat=P","Fill=—","Direction=H","UseDPDF=Y")</f>
        <v>462.98099999999999</v>
      </c>
      <c r="U14" s="13">
        <f>_xll.BDH("ITCI US Equity","ARD_ST_INVEST","FQ2 2023","FQ2 2023","Currency=USD","Period=FQ","BEST_FPERIOD_OVERRIDE=FQ","FILING_STATUS=MR","SCALING_FORMAT=MLN","Sort=A","Dates=H","DateFormat=P","Fill=—","Direction=H","UseDPDF=Y")</f>
        <v>370.596</v>
      </c>
      <c r="V14" s="13">
        <f>_xll.BDH("ITCI US Equity","ARD_ST_INVEST","FQ3 2023","FQ3 2023","Currency=USD","Period=FQ","BEST_FPERIOD_OVERRIDE=FQ","FILING_STATUS=MR","SCALING_FORMAT=MLN","Sort=A","Dates=H","DateFormat=P","Fill=—","Direction=H","UseDPDF=Y")</f>
        <v>393.61900000000003</v>
      </c>
      <c r="W14" s="13">
        <f>_xll.BDH("ITCI US Equity","ARD_ST_INVEST","FQ4 2023","FQ4 2023","Currency=USD","Period=FQ","BEST_FPERIOD_OVERRIDE=FQ","FILING_STATUS=MR","SCALING_FORMAT=MLN","Sort=A","Dates=H","DateFormat=P","Fill=—","Direction=H","UseDPDF=Y")</f>
        <v>350.17399999999998</v>
      </c>
      <c r="X14" s="13">
        <f>_xll.BDH("ITCI US Equity","ARD_ST_INVEST","FQ1 2024","FQ1 2024","Currency=USD","Period=FQ","BEST_FPERIOD_OVERRIDE=FQ","FILING_STATUS=MR","SCALING_FORMAT=MLN","Sort=A","Dates=H","DateFormat=P","Fill=—","Direction=H","UseDPDF=Y")</f>
        <v>335.80399999999997</v>
      </c>
      <c r="Y14" s="13">
        <f>_xll.BDH("ITCI US Equity","ARD_ST_INVEST","FQ2 2024","FQ2 2024","Currency=USD","Period=FQ","BEST_FPERIOD_OVERRIDE=FQ","FILING_STATUS=MR","SCALING_FORMAT=MLN","Sort=A","Dates=H","DateFormat=P","Fill=—","Direction=H","UseDPDF=Y")</f>
        <v>329.601</v>
      </c>
      <c r="Z14" s="13">
        <f>_xll.BDH("ITCI US Equity","ARD_ST_INVEST","FQ3 2024","FQ3 2024","Currency=USD","Period=FQ","BEST_FPERIOD_OVERRIDE=FQ","FILING_STATUS=MR","SCALING_FORMAT=MLN","Sort=A","Dates=H","DateFormat=P","Fill=—","Direction=H","UseDPDF=Y")</f>
        <v>542.25</v>
      </c>
      <c r="AA14" s="13">
        <f>_xll.BDH("ITCI US Equity","ARD_ST_INVEST","FQ4 2024","FQ4 2024","Currency=USD","Period=FQ","BEST_FPERIOD_OVERRIDE=FQ","FILING_STATUS=MR","SCALING_FORMAT=MLN","Sort=A","Dates=H","DateFormat=P","Fill=—","Direction=H","UseDPDF=Y")</f>
        <v>694.11800000000005</v>
      </c>
    </row>
    <row r="15" spans="1:27" x14ac:dyDescent="0.25">
      <c r="A15" s="6" t="s">
        <v>110</v>
      </c>
      <c r="B15" s="6" t="s">
        <v>701</v>
      </c>
      <c r="C15" s="19">
        <f>_xll.BDH("ITCI US Equity","ARD_TOTAL_CUR_ASSETS","FQ4 2018","FQ4 2018","Currency=USD","Period=FQ","BEST_FPERIOD_OVERRIDE=FQ","FILING_STATUS=MR","SCALING_FORMAT=MLN","Sort=A","Dates=H","DateFormat=P","Fill=—","Direction=H","UseDPDF=Y")</f>
        <v>355.43869999999998</v>
      </c>
      <c r="D15" s="19">
        <f>_xll.BDH("ITCI US Equity","ARD_TOTAL_CUR_ASSETS","FQ1 2019","FQ1 2019","Currency=USD","Period=FQ","BEST_FPERIOD_OVERRIDE=FQ","FILING_STATUS=MR","SCALING_FORMAT=MLN","Sort=A","Dates=H","DateFormat=P","Fill=—","Direction=H","UseDPDF=Y")</f>
        <v>321.12759999999997</v>
      </c>
      <c r="E15" s="19">
        <f>_xll.BDH("ITCI US Equity","ARD_TOTAL_CUR_ASSETS","FQ2 2019","FQ2 2019","Currency=USD","Period=FQ","BEST_FPERIOD_OVERRIDE=FQ","FILING_STATUS=MR","SCALING_FORMAT=MLN","Sort=A","Dates=H","DateFormat=P","Fill=—","Direction=H","UseDPDF=Y")</f>
        <v>288.34190000000001</v>
      </c>
      <c r="F15" s="19">
        <f>_xll.BDH("ITCI US Equity","ARD_TOTAL_CUR_ASSETS","FQ3 2019","FQ3 2019","Currency=USD","Period=FQ","BEST_FPERIOD_OVERRIDE=FQ","FILING_STATUS=MR","SCALING_FORMAT=MLN","Sort=A","Dates=H","DateFormat=P","Fill=—","Direction=H","UseDPDF=Y")</f>
        <v>259.45690000000002</v>
      </c>
      <c r="G15" s="19">
        <f>_xll.BDH("ITCI US Equity","ARD_TOTAL_CUR_ASSETS","FQ4 2019","FQ4 2019","Currency=USD","Period=FQ","BEST_FPERIOD_OVERRIDE=FQ","FILING_STATUS=MR","SCALING_FORMAT=MLN","Sort=A","Dates=H","DateFormat=P","Fill=—","Direction=H","UseDPDF=Y")</f>
        <v>230.32400000000001</v>
      </c>
      <c r="H15" s="19">
        <f>_xll.BDH("ITCI US Equity","ARD_TOTAL_CUR_ASSETS","FQ1 2020","FQ1 2020","Currency=USD","Period=FQ","BEST_FPERIOD_OVERRIDE=FQ","FILING_STATUS=MR","SCALING_FORMAT=MLN","Sort=A","Dates=H","DateFormat=P","Fill=—","Direction=H","UseDPDF=Y")</f>
        <v>460.97250000000003</v>
      </c>
      <c r="I15" s="19">
        <f>_xll.BDH("ITCI US Equity","ARD_TOTAL_CUR_ASSETS","FQ2 2020","FQ2 2020","Currency=USD","Period=FQ","BEST_FPERIOD_OVERRIDE=FQ","FILING_STATUS=MR","SCALING_FORMAT=MLN","Sort=A","Dates=H","DateFormat=P","Fill=—","Direction=H","UseDPDF=Y")</f>
        <v>418.57339999999999</v>
      </c>
      <c r="J15" s="19">
        <f>_xll.BDH("ITCI US Equity","ARD_TOTAL_CUR_ASSETS","FQ3 2020","FQ3 2020","Currency=USD","Period=FQ","BEST_FPERIOD_OVERRIDE=FQ","FILING_STATUS=MR","SCALING_FORMAT=MLN","Sort=A","Dates=H","DateFormat=P","Fill=—","Direction=H","UseDPDF=Y")</f>
        <v>744.86599999999999</v>
      </c>
      <c r="K15" s="19">
        <f>_xll.BDH("ITCI US Equity","ARD_TOTAL_CUR_ASSETS","FQ4 2020","FQ4 2020","Currency=USD","Period=FQ","BEST_FPERIOD_OVERRIDE=FQ","FILING_STATUS=MR","SCALING_FORMAT=MLN","Sort=A","Dates=H","DateFormat=P","Fill=—","Direction=H","UseDPDF=Y")</f>
        <v>690.90449999999998</v>
      </c>
      <c r="L15" s="19">
        <f>_xll.BDH("ITCI US Equity","ARD_TOTAL_CUR_ASSETS","FQ1 2021","FQ1 2021","Currency=USD","Period=FQ","BEST_FPERIOD_OVERRIDE=FQ","FILING_STATUS=MR","SCALING_FORMAT=MLN","Sort=A","Dates=H","DateFormat=P","Fill=—","Direction=H","UseDPDF=Y")</f>
        <v>649.10040000000004</v>
      </c>
      <c r="M15" s="19">
        <f>_xll.BDH("ITCI US Equity","ARD_TOTAL_CUR_ASSETS","FQ2 2021","FQ2 2021","Currency=USD","Period=FQ","BEST_FPERIOD_OVERRIDE=FQ","FILING_STATUS=MR","SCALING_FORMAT=MLN","Sort=A","Dates=H","DateFormat=P","Fill=—","Direction=H","UseDPDF=Y")</f>
        <v>601.30319999999995</v>
      </c>
      <c r="N15" s="19">
        <f>_xll.BDH("ITCI US Equity","ARD_TOTAL_CUR_ASSETS","FQ3 2021","FQ3 2021","Currency=USD","Period=FQ","BEST_FPERIOD_OVERRIDE=FQ","FILING_STATUS=MR","SCALING_FORMAT=MLN","Sort=A","Dates=H","DateFormat=P","Fill=—","Direction=H","UseDPDF=Y")</f>
        <v>533.24270000000001</v>
      </c>
      <c r="O15" s="19">
        <f>_xll.BDH("ITCI US Equity","ARD_TOTAL_CUR_ASSETS","FQ4 2021","FQ4 2021","Currency=USD","Period=FQ","BEST_FPERIOD_OVERRIDE=FQ","FILING_STATUS=MR","SCALING_FORMAT=MLN","Sort=A","Dates=H","DateFormat=P","Fill=—","Direction=H","UseDPDF=Y")</f>
        <v>467.2808</v>
      </c>
      <c r="P15" s="19">
        <f>_xll.BDH("ITCI US Equity","ARD_TOTAL_CUR_ASSETS","FQ1 2022","FQ1 2022","Currency=USD","Period=FQ","BEST_FPERIOD_OVERRIDE=FQ","FILING_STATUS=MR","SCALING_FORMAT=MLN","Sort=A","Dates=H","DateFormat=P","Fill=—","Direction=H","UseDPDF=Y")</f>
        <v>848.34199999999998</v>
      </c>
      <c r="Q15" s="19">
        <f>_xll.BDH("ITCI US Equity","ARD_TOTAL_CUR_ASSETS","FQ2 2022","FQ2 2022","Currency=USD","Period=FQ","BEST_FPERIOD_OVERRIDE=FQ","FILING_STATUS=MR","SCALING_FORMAT=MLN","Sort=A","Dates=H","DateFormat=P","Fill=—","Direction=H","UseDPDF=Y")</f>
        <v>789.20600000000002</v>
      </c>
      <c r="R15" s="19">
        <f>_xll.BDH("ITCI US Equity","ARD_TOTAL_CUR_ASSETS","FQ3 2022","FQ3 2022","Currency=USD","Period=FQ","BEST_FPERIOD_OVERRIDE=FQ","FILING_STATUS=MR","SCALING_FORMAT=MLN","Sort=A","Dates=H","DateFormat=P","Fill=—","Direction=H","UseDPDF=Y")</f>
        <v>759.75599999999997</v>
      </c>
      <c r="S15" s="19">
        <f>_xll.BDH("ITCI US Equity","ARD_TOTAL_CUR_ASSETS","FQ4 2022","FQ4 2022","Currency=USD","Period=FQ","BEST_FPERIOD_OVERRIDE=FQ","FILING_STATUS=MR","SCALING_FORMAT=MLN","Sort=A","Dates=H","DateFormat=P","Fill=—","Direction=H","UseDPDF=Y")</f>
        <v>737.95699999999999</v>
      </c>
      <c r="T15" s="19">
        <f>_xll.BDH("ITCI US Equity","ARD_TOTAL_CUR_ASSETS","FQ1 2023","FQ1 2023","Currency=USD","Period=FQ","BEST_FPERIOD_OVERRIDE=FQ","FILING_STATUS=MR","SCALING_FORMAT=MLN","Sort=A","Dates=H","DateFormat=P","Fill=—","Direction=H","UseDPDF=Y")</f>
        <v>706.09400000000005</v>
      </c>
      <c r="U15" s="19">
        <f>_xll.BDH("ITCI US Equity","ARD_TOTAL_CUR_ASSETS","FQ2 2023","FQ2 2023","Currency=USD","Period=FQ","BEST_FPERIOD_OVERRIDE=FQ","FILING_STATUS=MR","SCALING_FORMAT=MLN","Sort=A","Dates=H","DateFormat=P","Fill=—","Direction=H","UseDPDF=Y")</f>
        <v>698.07299999999998</v>
      </c>
      <c r="V15" s="19">
        <f>_xll.BDH("ITCI US Equity","ARD_TOTAL_CUR_ASSETS","FQ3 2023","FQ3 2023","Currency=USD","Period=FQ","BEST_FPERIOD_OVERRIDE=FQ","FILING_STATUS=MR","SCALING_FORMAT=MLN","Sort=A","Dates=H","DateFormat=P","Fill=—","Direction=H","UseDPDF=Y")</f>
        <v>702.42499999999995</v>
      </c>
      <c r="W15" s="19">
        <f>_xll.BDH("ITCI US Equity","ARD_TOTAL_CUR_ASSETS","FQ4 2023","FQ4 2023","Currency=USD","Period=FQ","BEST_FPERIOD_OVERRIDE=FQ","FILING_STATUS=MR","SCALING_FORMAT=MLN","Sort=A","Dates=H","DateFormat=P","Fill=—","Direction=H","UseDPDF=Y")</f>
        <v>667.79899999999998</v>
      </c>
      <c r="X15" s="19">
        <f>_xll.BDH("ITCI US Equity","ARD_TOTAL_CUR_ASSETS","FQ1 2024","FQ1 2024","Currency=USD","Period=FQ","BEST_FPERIOD_OVERRIDE=FQ","FILING_STATUS=MR","SCALING_FORMAT=MLN","Sort=A","Dates=H","DateFormat=P","Fill=—","Direction=H","UseDPDF=Y")</f>
        <v>690.52700000000004</v>
      </c>
      <c r="Y15" s="19">
        <f>_xll.BDH("ITCI US Equity","ARD_TOTAL_CUR_ASSETS","FQ2 2024","FQ2 2024","Currency=USD","Period=FQ","BEST_FPERIOD_OVERRIDE=FQ","FILING_STATUS=MR","SCALING_FORMAT=MLN","Sort=A","Dates=H","DateFormat=P","Fill=—","Direction=H","UseDPDF=Y")</f>
        <v>1264.251</v>
      </c>
      <c r="Z15" s="19">
        <f>_xll.BDH("ITCI US Equity","ARD_TOTAL_CUR_ASSETS","FQ3 2024","FQ3 2024","Currency=USD","Period=FQ","BEST_FPERIOD_OVERRIDE=FQ","FILING_STATUS=MR","SCALING_FORMAT=MLN","Sort=A","Dates=H","DateFormat=P","Fill=—","Direction=H","UseDPDF=Y")</f>
        <v>1271.731</v>
      </c>
      <c r="AA15" s="19">
        <f>_xll.BDH("ITCI US Equity","ARD_TOTAL_CUR_ASSETS","FQ4 2024","FQ4 2024","Currency=USD","Period=FQ","BEST_FPERIOD_OVERRIDE=FQ","FILING_STATUS=MR","SCALING_FORMAT=MLN","Sort=A","Dates=H","DateFormat=P","Fill=—","Direction=H","UseDPDF=Y")</f>
        <v>1307.364</v>
      </c>
    </row>
    <row r="16" spans="1:27" x14ac:dyDescent="0.25">
      <c r="A16" s="10" t="s">
        <v>702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x14ac:dyDescent="0.25">
      <c r="A17" s="10" t="s">
        <v>703</v>
      </c>
      <c r="B17" s="10" t="s">
        <v>704</v>
      </c>
      <c r="C17" s="13">
        <f>_xll.BDH("ITCI US Equity","ARD_PROPERTY_PLANT_EQUIP_NET","FQ4 2018","FQ4 2018","Currency=USD","Period=FQ","BEST_FPERIOD_OVERRIDE=FQ","FILING_STATUS=MR","SCALING_FORMAT=MLN","Sort=A","Dates=H","DateFormat=P","Fill=—","Direction=H","UseDPDF=Y")</f>
        <v>1.1597999999999999</v>
      </c>
      <c r="D17" s="13">
        <f>_xll.BDH("ITCI US Equity","ARD_PROPERTY_PLANT_EQUIP_NET","FQ1 2019","FQ1 2019","Currency=USD","Period=FQ","BEST_FPERIOD_OVERRIDE=FQ","FILING_STATUS=MR","SCALING_FORMAT=MLN","Sort=A","Dates=H","DateFormat=P","Fill=—","Direction=H","UseDPDF=Y")</f>
        <v>1.1255999999999999</v>
      </c>
      <c r="E17" s="13">
        <f>_xll.BDH("ITCI US Equity","ARD_PROPERTY_PLANT_EQUIP_NET","FQ2 2019","FQ2 2019","Currency=USD","Period=FQ","BEST_FPERIOD_OVERRIDE=FQ","FILING_STATUS=MR","SCALING_FORMAT=MLN","Sort=A","Dates=H","DateFormat=P","Fill=—","Direction=H","UseDPDF=Y")</f>
        <v>2.0829</v>
      </c>
      <c r="F17" s="13">
        <f>_xll.BDH("ITCI US Equity","ARD_PROPERTY_PLANT_EQUIP_NET","FQ3 2019","FQ3 2019","Currency=USD","Period=FQ","BEST_FPERIOD_OVERRIDE=FQ","FILING_STATUS=MR","SCALING_FORMAT=MLN","Sort=A","Dates=H","DateFormat=P","Fill=—","Direction=H","UseDPDF=Y")</f>
        <v>2.1749999999999998</v>
      </c>
      <c r="G17" s="13">
        <f>_xll.BDH("ITCI US Equity","ARD_PROPERTY_PLANT_EQUIP_NET","FQ4 2019","FQ4 2019","Currency=USD","Period=FQ","BEST_FPERIOD_OVERRIDE=FQ","FILING_STATUS=MR","SCALING_FORMAT=MLN","Sort=A","Dates=H","DateFormat=P","Fill=—","Direction=H","UseDPDF=Y")</f>
        <v>2.2597</v>
      </c>
      <c r="H17" s="13">
        <f>_xll.BDH("ITCI US Equity","ARD_PROPERTY_PLANT_EQUIP_NET","FQ1 2020","FQ1 2020","Currency=USD","Period=FQ","BEST_FPERIOD_OVERRIDE=FQ","FILING_STATUS=MR","SCALING_FORMAT=MLN","Sort=A","Dates=H","DateFormat=P","Fill=—","Direction=H","UseDPDF=Y")</f>
        <v>2.133</v>
      </c>
      <c r="I17" s="13">
        <f>_xll.BDH("ITCI US Equity","ARD_PROPERTY_PLANT_EQUIP_NET","FQ2 2020","FQ2 2020","Currency=USD","Period=FQ","BEST_FPERIOD_OVERRIDE=FQ","FILING_STATUS=MR","SCALING_FORMAT=MLN","Sort=A","Dates=H","DateFormat=P","Fill=—","Direction=H","UseDPDF=Y")</f>
        <v>2.0007000000000001</v>
      </c>
      <c r="J17" s="13">
        <f>_xll.BDH("ITCI US Equity","ARD_PROPERTY_PLANT_EQUIP_NET","FQ3 2020","FQ3 2020","Currency=USD","Period=FQ","BEST_FPERIOD_OVERRIDE=FQ","FILING_STATUS=MR","SCALING_FORMAT=MLN","Sort=A","Dates=H","DateFormat=P","Fill=—","Direction=H","UseDPDF=Y")</f>
        <v>2.0495999999999999</v>
      </c>
      <c r="K17" s="13">
        <f>_xll.BDH("ITCI US Equity","ARD_PROPERTY_PLANT_EQUIP_NET","FQ4 2020","FQ4 2020","Currency=USD","Period=FQ","BEST_FPERIOD_OVERRIDE=FQ","FILING_STATUS=MR","SCALING_FORMAT=MLN","Sort=A","Dates=H","DateFormat=P","Fill=—","Direction=H","UseDPDF=Y")</f>
        <v>1.9983</v>
      </c>
      <c r="L17" s="13">
        <f>_xll.BDH("ITCI US Equity","ARD_PROPERTY_PLANT_EQUIP_NET","FQ1 2021","FQ1 2021","Currency=USD","Period=FQ","BEST_FPERIOD_OVERRIDE=FQ","FILING_STATUS=MR","SCALING_FORMAT=MLN","Sort=A","Dates=H","DateFormat=P","Fill=—","Direction=H","UseDPDF=Y")</f>
        <v>1.8713</v>
      </c>
      <c r="M17" s="13">
        <f>_xll.BDH("ITCI US Equity","ARD_PROPERTY_PLANT_EQUIP_NET","FQ2 2021","FQ2 2021","Currency=USD","Period=FQ","BEST_FPERIOD_OVERRIDE=FQ","FILING_STATUS=MR","SCALING_FORMAT=MLN","Sort=A","Dates=H","DateFormat=P","Fill=—","Direction=H","UseDPDF=Y")</f>
        <v>1.7609999999999999</v>
      </c>
      <c r="N17" s="13">
        <f>_xll.BDH("ITCI US Equity","ARD_PROPERTY_PLANT_EQUIP_NET","FQ3 2021","FQ3 2021","Currency=USD","Period=FQ","BEST_FPERIOD_OVERRIDE=FQ","FILING_STATUS=MR","SCALING_FORMAT=MLN","Sort=A","Dates=H","DateFormat=P","Fill=—","Direction=H","UseDPDF=Y")</f>
        <v>1.9362999999999999</v>
      </c>
      <c r="O17" s="13">
        <f>_xll.BDH("ITCI US Equity","ARD_PROPERTY_PLANT_EQUIP_NET","FQ4 2021","FQ4 2021","Currency=USD","Period=FQ","BEST_FPERIOD_OVERRIDE=FQ","FILING_STATUS=MR","SCALING_FORMAT=MLN","Sort=A","Dates=H","DateFormat=P","Fill=—","Direction=H","UseDPDF=Y")</f>
        <v>1.7907</v>
      </c>
      <c r="P17" s="13">
        <f>_xll.BDH("ITCI US Equity","ARD_PROPERTY_PLANT_EQUIP_NET","FQ1 2022","FQ1 2022","Currency=USD","Period=FQ","BEST_FPERIOD_OVERRIDE=FQ","FILING_STATUS=MR","SCALING_FORMAT=MLN","Sort=A","Dates=H","DateFormat=P","Fill=—","Direction=H","UseDPDF=Y")</f>
        <v>2.1850000000000001</v>
      </c>
      <c r="Q17" s="13">
        <f>_xll.BDH("ITCI US Equity","ARD_PROPERTY_PLANT_EQUIP_NET","FQ2 2022","FQ2 2022","Currency=USD","Period=FQ","BEST_FPERIOD_OVERRIDE=FQ","FILING_STATUS=MR","SCALING_FORMAT=MLN","Sort=A","Dates=H","DateFormat=P","Fill=—","Direction=H","UseDPDF=Y")</f>
        <v>2.137</v>
      </c>
      <c r="R17" s="13">
        <f>_xll.BDH("ITCI US Equity","ARD_PROPERTY_PLANT_EQUIP_NET","FQ3 2022","FQ3 2022","Currency=USD","Period=FQ","BEST_FPERIOD_OVERRIDE=FQ","FILING_STATUS=MR","SCALING_FORMAT=MLN","Sort=A","Dates=H","DateFormat=P","Fill=—","Direction=H","UseDPDF=Y")</f>
        <v>2.0840000000000001</v>
      </c>
      <c r="S17" s="13">
        <f>_xll.BDH("ITCI US Equity","ARD_PROPERTY_PLANT_EQUIP_NET","FQ4 2022","FQ4 2022","Currency=USD","Period=FQ","BEST_FPERIOD_OVERRIDE=FQ","FILING_STATUS=MR","SCALING_FORMAT=MLN","Sort=A","Dates=H","DateFormat=P","Fill=—","Direction=H","UseDPDF=Y")</f>
        <v>1.913</v>
      </c>
      <c r="T17" s="13">
        <f>_xll.BDH("ITCI US Equity","ARD_PROPERTY_PLANT_EQUIP_NET","FQ1 2023","FQ1 2023","Currency=USD","Period=FQ","BEST_FPERIOD_OVERRIDE=FQ","FILING_STATUS=MR","SCALING_FORMAT=MLN","Sort=A","Dates=H","DateFormat=P","Fill=—","Direction=H","UseDPDF=Y")</f>
        <v>1.7789999999999999</v>
      </c>
      <c r="U17" s="13">
        <f>_xll.BDH("ITCI US Equity","ARD_PROPERTY_PLANT_EQUIP_NET","FQ2 2023","FQ2 2023","Currency=USD","Period=FQ","BEST_FPERIOD_OVERRIDE=FQ","FILING_STATUS=MR","SCALING_FORMAT=MLN","Sort=A","Dates=H","DateFormat=P","Fill=—","Direction=H","UseDPDF=Y")</f>
        <v>1.6559999999999999</v>
      </c>
      <c r="V17" s="13">
        <f>_xll.BDH("ITCI US Equity","ARD_PROPERTY_PLANT_EQUIP_NET","FQ3 2023","FQ3 2023","Currency=USD","Period=FQ","BEST_FPERIOD_OVERRIDE=FQ","FILING_STATUS=MR","SCALING_FORMAT=MLN","Sort=A","Dates=H","DateFormat=P","Fill=—","Direction=H","UseDPDF=Y")</f>
        <v>1.7889999999999999</v>
      </c>
      <c r="W17" s="13">
        <f>_xll.BDH("ITCI US Equity","ARD_PROPERTY_PLANT_EQUIP_NET","FQ4 2023","FQ4 2023","Currency=USD","Period=FQ","BEST_FPERIOD_OVERRIDE=FQ","FILING_STATUS=MR","SCALING_FORMAT=MLN","Sort=A","Dates=H","DateFormat=P","Fill=—","Direction=H","UseDPDF=Y")</f>
        <v>1.6539999999999999</v>
      </c>
      <c r="X17" s="13">
        <f>_xll.BDH("ITCI US Equity","ARD_PROPERTY_PLANT_EQUIP_NET","FQ1 2024","FQ1 2024","Currency=USD","Period=FQ","BEST_FPERIOD_OVERRIDE=FQ","FILING_STATUS=MR","SCALING_FORMAT=MLN","Sort=A","Dates=H","DateFormat=P","Fill=—","Direction=H","UseDPDF=Y")</f>
        <v>1.522</v>
      </c>
      <c r="Y17" s="13">
        <f>_xll.BDH("ITCI US Equity","ARD_PROPERTY_PLANT_EQUIP_NET","FQ2 2024","FQ2 2024","Currency=USD","Period=FQ","BEST_FPERIOD_OVERRIDE=FQ","FILING_STATUS=MR","SCALING_FORMAT=MLN","Sort=A","Dates=H","DateFormat=P","Fill=—","Direction=H","UseDPDF=Y")</f>
        <v>1.4450000000000001</v>
      </c>
      <c r="Z17" s="13">
        <f>_xll.BDH("ITCI US Equity","ARD_PROPERTY_PLANT_EQUIP_NET","FQ3 2024","FQ3 2024","Currency=USD","Period=FQ","BEST_FPERIOD_OVERRIDE=FQ","FILING_STATUS=MR","SCALING_FORMAT=MLN","Sort=A","Dates=H","DateFormat=P","Fill=—","Direction=H","UseDPDF=Y")</f>
        <v>2.0049999999999999</v>
      </c>
      <c r="AA17" s="13">
        <f>_xll.BDH("ITCI US Equity","ARD_PROPERTY_PLANT_EQUIP_NET","FQ4 2024","FQ4 2024","Currency=USD","Period=FQ","BEST_FPERIOD_OVERRIDE=FQ","FILING_STATUS=MR","SCALING_FORMAT=MLN","Sort=A","Dates=H","DateFormat=P","Fill=—","Direction=H","UseDPDF=Y")</f>
        <v>1.468</v>
      </c>
    </row>
    <row r="18" spans="1:27" x14ac:dyDescent="0.25">
      <c r="A18" s="10" t="s">
        <v>705</v>
      </c>
      <c r="B18" s="10" t="s">
        <v>706</v>
      </c>
      <c r="C18" s="13">
        <f>_xll.BDH("ITCI US Equity","ARD_DEFERRED_INC_TAX_ASSET_LT","FQ4 2018","FQ4 2018","Currency=USD","Period=FQ","BEST_FPERIOD_OVERRIDE=FQ","FILING_STATUS=MR","SCALING_FORMAT=MLN","Sort=A","Dates=H","DateFormat=P","Fill=—","Direction=H","UseDPDF=Y")</f>
        <v>0.5292</v>
      </c>
      <c r="D18" s="13">
        <f>_xll.BDH("ITCI US Equity","ARD_DEFERRED_INC_TAX_ASSET_LT","FQ1 2019","FQ1 2019","Currency=USD","Period=FQ","BEST_FPERIOD_OVERRIDE=FQ","FILING_STATUS=MR","SCALING_FORMAT=MLN","Sort=A","Dates=H","DateFormat=P","Fill=—","Direction=H","UseDPDF=Y")</f>
        <v>0.5292</v>
      </c>
      <c r="E18" s="13">
        <f>_xll.BDH("ITCI US Equity","ARD_DEFERRED_INC_TAX_ASSET_LT","FQ2 2019","FQ2 2019","Currency=USD","Period=FQ","BEST_FPERIOD_OVERRIDE=FQ","FILING_STATUS=MR","SCALING_FORMAT=MLN","Sort=A","Dates=H","DateFormat=P","Fill=—","Direction=H","UseDPDF=Y")</f>
        <v>0.5292</v>
      </c>
      <c r="F18" s="13">
        <f>_xll.BDH("ITCI US Equity","ARD_DEFERRED_INC_TAX_ASSET_LT","FQ3 2019","FQ3 2019","Currency=USD","Period=FQ","BEST_FPERIOD_OVERRIDE=FQ","FILING_STATUS=MR","SCALING_FORMAT=MLN","Sort=A","Dates=H","DateFormat=P","Fill=—","Direction=H","UseDPDF=Y")</f>
        <v>0.2646</v>
      </c>
      <c r="G18" s="13">
        <f>_xll.BDH("ITCI US Equity","ARD_DEFERRED_INC_TAX_ASSET_LT","FQ4 2019","FQ4 2019","Currency=USD","Period=FQ","BEST_FPERIOD_OVERRIDE=FQ","FILING_STATUS=MR","SCALING_FORMAT=MLN","Sort=A","Dates=H","DateFormat=P","Fill=—","Direction=H","UseDPDF=Y")</f>
        <v>0.2646</v>
      </c>
      <c r="H18" s="13">
        <f>_xll.BDH("ITCI US Equity","ARD_DEFERRED_INC_TAX_ASSET_LT","FQ1 2020","FQ1 2020","Currency=USD","Period=FQ","BEST_FPERIOD_OVERRIDE=FQ","FILING_STATUS=MR","SCALING_FORMAT=MLN","Sort=A","Dates=H","DateFormat=P","Fill=—","Direction=H","UseDPDF=Y")</f>
        <v>0</v>
      </c>
      <c r="I18" s="13">
        <f>_xll.BDH("ITCI US Equity","ARD_DEFERRED_INC_TAX_ASSET_LT","FQ2 2020","FQ2 2020","Currency=USD","Period=FQ","BEST_FPERIOD_OVERRIDE=FQ","FILING_STATUS=MR","SCALING_FORMAT=MLN","Sort=A","Dates=H","DateFormat=P","Fill=—","Direction=H","UseDPDF=Y")</f>
        <v>0</v>
      </c>
      <c r="J18" s="13">
        <f>_xll.BDH("ITCI US Equity","ARD_DEFERRED_INC_TAX_ASSET_LT","FQ3 2020","FQ3 2020","Currency=USD","Period=FQ","BEST_FPERIOD_OVERRIDE=FQ","FILING_STATUS=MR","SCALING_FORMAT=MLN","Sort=A","Dates=H","DateFormat=P","Fill=—","Direction=H","UseDPDF=Y")</f>
        <v>0</v>
      </c>
      <c r="K18" s="13">
        <f>_xll.BDH("ITCI US Equity","ARD_DEFERRED_INC_TAX_ASSET_LT","FQ4 2020","FQ4 2020","Currency=USD","Period=FQ","BEST_FPERIOD_OVERRIDE=FQ","FILING_STATUS=MR","SCALING_FORMAT=MLN","Sort=A","Dates=H","DateFormat=P","Fill=—","Direction=H","UseDPDF=Y")</f>
        <v>0</v>
      </c>
      <c r="L18" s="13" t="str">
        <f>_xll.BDH("ITCI US Equity","ARD_DEFERRED_INC_TAX_ASSET_LT","FQ1 2021","FQ1 2021","Currency=USD","Period=FQ","BEST_FPERIOD_OVERRIDE=FQ","FILING_STATUS=MR","SCALING_FORMAT=MLN","Sort=A","Dates=H","DateFormat=P","Fill=—","Direction=H","UseDPDF=Y")</f>
        <v>—</v>
      </c>
      <c r="M18" s="13" t="str">
        <f>_xll.BDH("ITCI US Equity","ARD_DEFERRED_INC_TAX_ASSET_LT","FQ2 2021","FQ2 2021","Currency=USD","Period=FQ","BEST_FPERIOD_OVERRIDE=FQ","FILING_STATUS=MR","SCALING_FORMAT=MLN","Sort=A","Dates=H","DateFormat=P","Fill=—","Direction=H","UseDPDF=Y")</f>
        <v>—</v>
      </c>
      <c r="N18" s="13" t="str">
        <f>_xll.BDH("ITCI US Equity","ARD_DEFERRED_INC_TAX_ASSET_LT","FQ3 2021","FQ3 2021","Currency=USD","Period=FQ","BEST_FPERIOD_OVERRIDE=FQ","FILING_STATUS=MR","SCALING_FORMAT=MLN","Sort=A","Dates=H","DateFormat=P","Fill=—","Direction=H","UseDPDF=Y")</f>
        <v>—</v>
      </c>
      <c r="O18" s="13" t="str">
        <f>_xll.BDH("ITCI US Equity","ARD_DEFERRED_INC_TAX_ASSET_LT","FQ4 2021","FQ4 2021","Currency=USD","Period=FQ","BEST_FPERIOD_OVERRIDE=FQ","FILING_STATUS=MR","SCALING_FORMAT=MLN","Sort=A","Dates=H","DateFormat=P","Fill=—","Direction=H","UseDPDF=Y")</f>
        <v>—</v>
      </c>
      <c r="P18" s="13" t="str">
        <f>_xll.BDH("ITCI US Equity","ARD_DEFERRED_INC_TAX_ASSET_LT","FQ1 2022","FQ1 2022","Currency=USD","Period=FQ","BEST_FPERIOD_OVERRIDE=FQ","FILING_STATUS=MR","SCALING_FORMAT=MLN","Sort=A","Dates=H","DateFormat=P","Fill=—","Direction=H","UseDPDF=Y")</f>
        <v>—</v>
      </c>
      <c r="Q18" s="13" t="str">
        <f>_xll.BDH("ITCI US Equity","ARD_DEFERRED_INC_TAX_ASSET_LT","FQ2 2022","FQ2 2022","Currency=USD","Period=FQ","BEST_FPERIOD_OVERRIDE=FQ","FILING_STATUS=MR","SCALING_FORMAT=MLN","Sort=A","Dates=H","DateFormat=P","Fill=—","Direction=H","UseDPDF=Y")</f>
        <v>—</v>
      </c>
      <c r="R18" s="13" t="str">
        <f>_xll.BDH("ITCI US Equity","ARD_DEFERRED_INC_TAX_ASSET_LT","FQ3 2022","FQ3 2022","Currency=USD","Period=FQ","BEST_FPERIOD_OVERRIDE=FQ","FILING_STATUS=MR","SCALING_FORMAT=MLN","Sort=A","Dates=H","DateFormat=P","Fill=—","Direction=H","UseDPDF=Y")</f>
        <v>—</v>
      </c>
      <c r="S18" s="13" t="str">
        <f>_xll.BDH("ITCI US Equity","ARD_DEFERRED_INC_TAX_ASSET_LT","FQ4 2022","FQ4 2022","Currency=USD","Period=FQ","BEST_FPERIOD_OVERRIDE=FQ","FILING_STATUS=MR","SCALING_FORMAT=MLN","Sort=A","Dates=H","DateFormat=P","Fill=—","Direction=H","UseDPDF=Y")</f>
        <v>—</v>
      </c>
      <c r="T18" s="13" t="str">
        <f>_xll.BDH("ITCI US Equity","ARD_DEFERRED_INC_TAX_ASSET_LT","FQ1 2023","FQ1 2023","Currency=USD","Period=FQ","BEST_FPERIOD_OVERRIDE=FQ","FILING_STATUS=MR","SCALING_FORMAT=MLN","Sort=A","Dates=H","DateFormat=P","Fill=—","Direction=H","UseDPDF=Y")</f>
        <v>—</v>
      </c>
      <c r="U18" s="13" t="str">
        <f>_xll.BDH("ITCI US Equity","ARD_DEFERRED_INC_TAX_ASSET_LT","FQ2 2023","FQ2 2023","Currency=USD","Period=FQ","BEST_FPERIOD_OVERRIDE=FQ","FILING_STATUS=MR","SCALING_FORMAT=MLN","Sort=A","Dates=H","DateFormat=P","Fill=—","Direction=H","UseDPDF=Y")</f>
        <v>—</v>
      </c>
      <c r="V18" s="13" t="str">
        <f>_xll.BDH("ITCI US Equity","ARD_DEFERRED_INC_TAX_ASSET_LT","FQ3 2023","FQ3 2023","Currency=USD","Period=FQ","BEST_FPERIOD_OVERRIDE=FQ","FILING_STATUS=MR","SCALING_FORMAT=MLN","Sort=A","Dates=H","DateFormat=P","Fill=—","Direction=H","UseDPDF=Y")</f>
        <v>—</v>
      </c>
      <c r="W18" s="13" t="str">
        <f>_xll.BDH("ITCI US Equity","ARD_DEFERRED_INC_TAX_ASSET_LT","FQ4 2023","FQ4 2023","Currency=USD","Period=FQ","BEST_FPERIOD_OVERRIDE=FQ","FILING_STATUS=MR","SCALING_FORMAT=MLN","Sort=A","Dates=H","DateFormat=P","Fill=—","Direction=H","UseDPDF=Y")</f>
        <v>—</v>
      </c>
      <c r="X18" s="13" t="str">
        <f>_xll.BDH("ITCI US Equity","ARD_DEFERRED_INC_TAX_ASSET_LT","FQ1 2024","FQ1 2024","Currency=USD","Period=FQ","BEST_FPERIOD_OVERRIDE=FQ","FILING_STATUS=MR","SCALING_FORMAT=MLN","Sort=A","Dates=H","DateFormat=P","Fill=—","Direction=H","UseDPDF=Y")</f>
        <v>—</v>
      </c>
      <c r="Y18" s="13" t="str">
        <f>_xll.BDH("ITCI US Equity","ARD_DEFERRED_INC_TAX_ASSET_LT","FQ2 2024","FQ2 2024","Currency=USD","Period=FQ","BEST_FPERIOD_OVERRIDE=FQ","FILING_STATUS=MR","SCALING_FORMAT=MLN","Sort=A","Dates=H","DateFormat=P","Fill=—","Direction=H","UseDPDF=Y")</f>
        <v>—</v>
      </c>
      <c r="Z18" s="13" t="str">
        <f>_xll.BDH("ITCI US Equity","ARD_DEFERRED_INC_TAX_ASSET_LT","FQ3 2024","FQ3 2024","Currency=USD","Period=FQ","BEST_FPERIOD_OVERRIDE=FQ","FILING_STATUS=MR","SCALING_FORMAT=MLN","Sort=A","Dates=H","DateFormat=P","Fill=—","Direction=H","UseDPDF=Y")</f>
        <v>—</v>
      </c>
      <c r="AA18" s="13" t="str">
        <f>_xll.BDH("ITCI US Equity","ARD_DEFERRED_INC_TAX_ASSET_LT","FQ4 2024","FQ4 2024","Currency=USD","Period=FQ","BEST_FPERIOD_OVERRIDE=FQ","FILING_STATUS=MR","SCALING_FORMAT=MLN","Sort=A","Dates=H","DateFormat=P","Fill=—","Direction=H","UseDPDF=Y")</f>
        <v>—</v>
      </c>
    </row>
    <row r="19" spans="1:27" x14ac:dyDescent="0.25">
      <c r="A19" s="10" t="s">
        <v>707</v>
      </c>
      <c r="B19" s="10" t="s">
        <v>708</v>
      </c>
      <c r="C19" s="13">
        <f>_xll.BDH("ITCI US Equity","ARD_OTHER_NONCURRENT_ASSET","FQ4 2018","FQ4 2018","Currency=USD","Period=FQ","BEST_FPERIOD_OVERRIDE=FQ","FILING_STATUS=MR","SCALING_FORMAT=MLN","Sort=A","Dates=H","DateFormat=P","Fill=—","Direction=H","UseDPDF=Y")</f>
        <v>7.8799999999999995E-2</v>
      </c>
      <c r="D19" s="13">
        <f>_xll.BDH("ITCI US Equity","ARD_OTHER_NONCURRENT_ASSET","FQ1 2019","FQ1 2019","Currency=USD","Period=FQ","BEST_FPERIOD_OVERRIDE=FQ","FILING_STATUS=MR","SCALING_FORMAT=MLN","Sort=A","Dates=H","DateFormat=P","Fill=—","Direction=H","UseDPDF=Y")</f>
        <v>8.6099999999999996E-2</v>
      </c>
      <c r="E19" s="13">
        <f>_xll.BDH("ITCI US Equity","ARD_OTHER_NONCURRENT_ASSET","FQ2 2019","FQ2 2019","Currency=USD","Period=FQ","BEST_FPERIOD_OVERRIDE=FQ","FILING_STATUS=MR","SCALING_FORMAT=MLN","Sort=A","Dates=H","DateFormat=P","Fill=—","Direction=H","UseDPDF=Y")</f>
        <v>8.6099999999999996E-2</v>
      </c>
      <c r="F19" s="13">
        <f>_xll.BDH("ITCI US Equity","ARD_OTHER_NONCURRENT_ASSET","FQ3 2019","FQ3 2019","Currency=USD","Period=FQ","BEST_FPERIOD_OVERRIDE=FQ","FILING_STATUS=MR","SCALING_FORMAT=MLN","Sort=A","Dates=H","DateFormat=P","Fill=—","Direction=H","UseDPDF=Y")</f>
        <v>8.6099999999999996E-2</v>
      </c>
      <c r="G19" s="13">
        <f>_xll.BDH("ITCI US Equity","ARD_OTHER_NONCURRENT_ASSET","FQ4 2019","FQ4 2019","Currency=USD","Period=FQ","BEST_FPERIOD_OVERRIDE=FQ","FILING_STATUS=MR","SCALING_FORMAT=MLN","Sort=A","Dates=H","DateFormat=P","Fill=—","Direction=H","UseDPDF=Y")</f>
        <v>8.6099999999999996E-2</v>
      </c>
      <c r="H19" s="13">
        <f>_xll.BDH("ITCI US Equity","ARD_OTHER_NONCURRENT_ASSET","FQ1 2020","FQ1 2020","Currency=USD","Period=FQ","BEST_FPERIOD_OVERRIDE=FQ","FILING_STATUS=MR","SCALING_FORMAT=MLN","Sort=A","Dates=H","DateFormat=P","Fill=—","Direction=H","UseDPDF=Y")</f>
        <v>8.6099999999999996E-2</v>
      </c>
      <c r="I19" s="13">
        <f>_xll.BDH("ITCI US Equity","ARD_OTHER_NONCURRENT_ASSET","FQ2 2020","FQ2 2020","Currency=USD","Period=FQ","BEST_FPERIOD_OVERRIDE=FQ","FILING_STATUS=MR","SCALING_FORMAT=MLN","Sort=A","Dates=H","DateFormat=P","Fill=—","Direction=H","UseDPDF=Y")</f>
        <v>8.6099999999999996E-2</v>
      </c>
      <c r="J19" s="13">
        <f>_xll.BDH("ITCI US Equity","ARD_OTHER_NONCURRENT_ASSET","FQ3 2020","FQ3 2020","Currency=USD","Period=FQ","BEST_FPERIOD_OVERRIDE=FQ","FILING_STATUS=MR","SCALING_FORMAT=MLN","Sort=A","Dates=H","DateFormat=P","Fill=—","Direction=H","UseDPDF=Y")</f>
        <v>8.6099999999999996E-2</v>
      </c>
      <c r="K19" s="13">
        <f>_xll.BDH("ITCI US Equity","ARD_OTHER_NONCURRENT_ASSET","FQ4 2020","FQ4 2020","Currency=USD","Period=FQ","BEST_FPERIOD_OVERRIDE=FQ","FILING_STATUS=MR","SCALING_FORMAT=MLN","Sort=A","Dates=H","DateFormat=P","Fill=—","Direction=H","UseDPDF=Y")</f>
        <v>8.6099999999999996E-2</v>
      </c>
      <c r="L19" s="13">
        <f>_xll.BDH("ITCI US Equity","ARD_OTHER_NONCURRENT_ASSET","FQ1 2021","FQ1 2021","Currency=USD","Period=FQ","BEST_FPERIOD_OVERRIDE=FQ","FILING_STATUS=MR","SCALING_FORMAT=MLN","Sort=A","Dates=H","DateFormat=P","Fill=—","Direction=H","UseDPDF=Y")</f>
        <v>8.6099999999999996E-2</v>
      </c>
      <c r="M19" s="13">
        <f>_xll.BDH("ITCI US Equity","ARD_OTHER_NONCURRENT_ASSET","FQ2 2021","FQ2 2021","Currency=USD","Period=FQ","BEST_FPERIOD_OVERRIDE=FQ","FILING_STATUS=MR","SCALING_FORMAT=MLN","Sort=A","Dates=H","DateFormat=P","Fill=—","Direction=H","UseDPDF=Y")</f>
        <v>8.6099999999999996E-2</v>
      </c>
      <c r="N19" s="13">
        <f>_xll.BDH("ITCI US Equity","ARD_OTHER_NONCURRENT_ASSET","FQ3 2021","FQ3 2021","Currency=USD","Period=FQ","BEST_FPERIOD_OVERRIDE=FQ","FILING_STATUS=MR","SCALING_FORMAT=MLN","Sort=A","Dates=H","DateFormat=P","Fill=—","Direction=H","UseDPDF=Y")</f>
        <v>8.6099999999999996E-2</v>
      </c>
      <c r="O19" s="13">
        <f>_xll.BDH("ITCI US Equity","ARD_OTHER_NONCURRENT_ASSET","FQ4 2021","FQ4 2021","Currency=USD","Period=FQ","BEST_FPERIOD_OVERRIDE=FQ","FILING_STATUS=MR","SCALING_FORMAT=MLN","Sort=A","Dates=H","DateFormat=P","Fill=—","Direction=H","UseDPDF=Y")</f>
        <v>8.6099999999999996E-2</v>
      </c>
      <c r="P19" s="13">
        <f>_xll.BDH("ITCI US Equity","ARD_OTHER_NONCURRENT_ASSET","FQ1 2022","FQ1 2022","Currency=USD","Period=FQ","BEST_FPERIOD_OVERRIDE=FQ","FILING_STATUS=MR","SCALING_FORMAT=MLN","Sort=A","Dates=H","DateFormat=P","Fill=—","Direction=H","UseDPDF=Y")</f>
        <v>8.5999999999999993E-2</v>
      </c>
      <c r="Q19" s="13">
        <f>_xll.BDH("ITCI US Equity","ARD_OTHER_NONCURRENT_ASSET","FQ2 2022","FQ2 2022","Currency=USD","Period=FQ","BEST_FPERIOD_OVERRIDE=FQ","FILING_STATUS=MR","SCALING_FORMAT=MLN","Sort=A","Dates=H","DateFormat=P","Fill=—","Direction=H","UseDPDF=Y")</f>
        <v>8.5999999999999993E-2</v>
      </c>
      <c r="R19" s="13">
        <f>_xll.BDH("ITCI US Equity","ARD_OTHER_NONCURRENT_ASSET","FQ3 2022","FQ3 2022","Currency=USD","Period=FQ","BEST_FPERIOD_OVERRIDE=FQ","FILING_STATUS=MR","SCALING_FORMAT=MLN","Sort=A","Dates=H","DateFormat=P","Fill=—","Direction=H","UseDPDF=Y")</f>
        <v>8.5999999999999993E-2</v>
      </c>
      <c r="S19" s="13">
        <f>_xll.BDH("ITCI US Equity","ARD_OTHER_NONCURRENT_ASSET","FQ4 2022","FQ4 2022","Currency=USD","Period=FQ","BEST_FPERIOD_OVERRIDE=FQ","FILING_STATUS=MR","SCALING_FORMAT=MLN","Sort=A","Dates=H","DateFormat=P","Fill=—","Direction=H","UseDPDF=Y")</f>
        <v>8.5999999999999993E-2</v>
      </c>
      <c r="T19" s="13">
        <f>_xll.BDH("ITCI US Equity","ARD_OTHER_NONCURRENT_ASSET","FQ1 2023","FQ1 2023","Currency=USD","Period=FQ","BEST_FPERIOD_OVERRIDE=FQ","FILING_STATUS=MR","SCALING_FORMAT=MLN","Sort=A","Dates=H","DateFormat=P","Fill=—","Direction=H","UseDPDF=Y")</f>
        <v>8.5999999999999993E-2</v>
      </c>
      <c r="U19" s="13">
        <f>_xll.BDH("ITCI US Equity","ARD_OTHER_NONCURRENT_ASSET","FQ2 2023","FQ2 2023","Currency=USD","Period=FQ","BEST_FPERIOD_OVERRIDE=FQ","FILING_STATUS=MR","SCALING_FORMAT=MLN","Sort=A","Dates=H","DateFormat=P","Fill=—","Direction=H","UseDPDF=Y")</f>
        <v>8.5999999999999993E-2</v>
      </c>
      <c r="V19" s="13">
        <f>_xll.BDH("ITCI US Equity","ARD_OTHER_NONCURRENT_ASSET","FQ3 2023","FQ3 2023","Currency=USD","Period=FQ","BEST_FPERIOD_OVERRIDE=FQ","FILING_STATUS=MR","SCALING_FORMAT=MLN","Sort=A","Dates=H","DateFormat=P","Fill=—","Direction=H","UseDPDF=Y")</f>
        <v>8.5999999999999993E-2</v>
      </c>
      <c r="W19" s="13">
        <f>_xll.BDH("ITCI US Equity","ARD_OTHER_NONCURRENT_ASSET","FQ4 2023","FQ4 2023","Currency=USD","Period=FQ","BEST_FPERIOD_OVERRIDE=FQ","FILING_STATUS=MR","SCALING_FORMAT=MLN","Sort=A","Dates=H","DateFormat=P","Fill=—","Direction=H","UseDPDF=Y")</f>
        <v>7.2930000000000001</v>
      </c>
      <c r="X19" s="13">
        <f>_xll.BDH("ITCI US Equity","ARD_OTHER_NONCURRENT_ASSET","FQ1 2024","FQ1 2024","Currency=USD","Period=FQ","BEST_FPERIOD_OVERRIDE=FQ","FILING_STATUS=MR","SCALING_FORMAT=MLN","Sort=A","Dates=H","DateFormat=P","Fill=—","Direction=H","UseDPDF=Y")</f>
        <v>7.6879999999999997</v>
      </c>
      <c r="Y19" s="13">
        <f>_xll.BDH("ITCI US Equity","ARD_OTHER_NONCURRENT_ASSET","FQ2 2024","FQ2 2024","Currency=USD","Period=FQ","BEST_FPERIOD_OVERRIDE=FQ","FILING_STATUS=MR","SCALING_FORMAT=MLN","Sort=A","Dates=H","DateFormat=P","Fill=—","Direction=H","UseDPDF=Y")</f>
        <v>7.7389999999999999</v>
      </c>
      <c r="Z19" s="13">
        <f>_xll.BDH("ITCI US Equity","ARD_OTHER_NONCURRENT_ASSET","FQ3 2024","FQ3 2024","Currency=USD","Period=FQ","BEST_FPERIOD_OVERRIDE=FQ","FILING_STATUS=MR","SCALING_FORMAT=MLN","Sort=A","Dates=H","DateFormat=P","Fill=—","Direction=H","UseDPDF=Y")</f>
        <v>6.2190000000000003</v>
      </c>
      <c r="AA19" s="13">
        <f>_xll.BDH("ITCI US Equity","ARD_OTHER_NONCURRENT_ASSET","FQ4 2024","FQ4 2024","Currency=USD","Period=FQ","BEST_FPERIOD_OVERRIDE=FQ","FILING_STATUS=MR","SCALING_FORMAT=MLN","Sort=A","Dates=H","DateFormat=P","Fill=—","Direction=H","UseDPDF=Y")</f>
        <v>5.7619999999999996</v>
      </c>
    </row>
    <row r="20" spans="1:27" x14ac:dyDescent="0.25">
      <c r="A20" s="10" t="s">
        <v>709</v>
      </c>
      <c r="B20" s="10" t="s">
        <v>710</v>
      </c>
      <c r="C20" s="13" t="str">
        <f>_xll.BDH("ITCI US Equity","ARD_TOTAL_NONCURRENT_ASSETS","FQ4 2018","FQ4 2018","Currency=USD","Period=FQ","BEST_FPERIOD_OVERRIDE=FQ","FILING_STATUS=MR","SCALING_FORMAT=MLN","Sort=A","Dates=H","DateFormat=P","Fill=—","Direction=H","UseDPDF=Y")</f>
        <v>—</v>
      </c>
      <c r="D20" s="13" t="str">
        <f>_xll.BDH("ITCI US Equity","ARD_TOTAL_NONCURRENT_ASSETS","FQ1 2019","FQ1 2019","Currency=USD","Period=FQ","BEST_FPERIOD_OVERRIDE=FQ","FILING_STATUS=MR","SCALING_FORMAT=MLN","Sort=A","Dates=H","DateFormat=P","Fill=—","Direction=H","UseDPDF=Y")</f>
        <v>—</v>
      </c>
      <c r="E20" s="13" t="str">
        <f>_xll.BDH("ITCI US Equity","ARD_TOTAL_NONCURRENT_ASSETS","FQ2 2019","FQ2 2019","Currency=USD","Period=FQ","BEST_FPERIOD_OVERRIDE=FQ","FILING_STATUS=MR","SCALING_FORMAT=MLN","Sort=A","Dates=H","DateFormat=P","Fill=—","Direction=H","UseDPDF=Y")</f>
        <v>—</v>
      </c>
      <c r="F20" s="13" t="str">
        <f>_xll.BDH("ITCI US Equity","ARD_TOTAL_NONCURRENT_ASSETS","FQ3 2019","FQ3 2019","Currency=USD","Period=FQ","BEST_FPERIOD_OVERRIDE=FQ","FILING_STATUS=MR","SCALING_FORMAT=MLN","Sort=A","Dates=H","DateFormat=P","Fill=—","Direction=H","UseDPDF=Y")</f>
        <v>—</v>
      </c>
      <c r="G20" s="13" t="str">
        <f>_xll.BDH("ITCI US Equity","ARD_TOTAL_NONCURRENT_ASSETS","FQ4 2019","FQ4 2019","Currency=USD","Period=FQ","BEST_FPERIOD_OVERRIDE=FQ","FILING_STATUS=MR","SCALING_FORMAT=MLN","Sort=A","Dates=H","DateFormat=P","Fill=—","Direction=H","UseDPDF=Y")</f>
        <v>—</v>
      </c>
      <c r="H20" s="13" t="str">
        <f>_xll.BDH("ITCI US Equity","ARD_TOTAL_NONCURRENT_ASSETS","FQ1 2020","FQ1 2020","Currency=USD","Period=FQ","BEST_FPERIOD_OVERRIDE=FQ","FILING_STATUS=MR","SCALING_FORMAT=MLN","Sort=A","Dates=H","DateFormat=P","Fill=—","Direction=H","UseDPDF=Y")</f>
        <v>—</v>
      </c>
      <c r="I20" s="13" t="str">
        <f>_xll.BDH("ITCI US Equity","ARD_TOTAL_NONCURRENT_ASSETS","FQ2 2020","FQ2 2020","Currency=USD","Period=FQ","BEST_FPERIOD_OVERRIDE=FQ","FILING_STATUS=MR","SCALING_FORMAT=MLN","Sort=A","Dates=H","DateFormat=P","Fill=—","Direction=H","UseDPDF=Y")</f>
        <v>—</v>
      </c>
      <c r="J20" s="13" t="str">
        <f>_xll.BDH("ITCI US Equity","ARD_TOTAL_NONCURRENT_ASSETS","FQ3 2020","FQ3 2020","Currency=USD","Period=FQ","BEST_FPERIOD_OVERRIDE=FQ","FILING_STATUS=MR","SCALING_FORMAT=MLN","Sort=A","Dates=H","DateFormat=P","Fill=—","Direction=H","UseDPDF=Y")</f>
        <v>—</v>
      </c>
      <c r="K20" s="13" t="str">
        <f>_xll.BDH("ITCI US Equity","ARD_TOTAL_NONCURRENT_ASSETS","FQ4 2020","FQ4 2020","Currency=USD","Period=FQ","BEST_FPERIOD_OVERRIDE=FQ","FILING_STATUS=MR","SCALING_FORMAT=MLN","Sort=A","Dates=H","DateFormat=P","Fill=—","Direction=H","UseDPDF=Y")</f>
        <v>—</v>
      </c>
      <c r="L20" s="13" t="str">
        <f>_xll.BDH("ITCI US Equity","ARD_TOTAL_NONCURRENT_ASSETS","FQ1 2021","FQ1 2021","Currency=USD","Period=FQ","BEST_FPERIOD_OVERRIDE=FQ","FILING_STATUS=MR","SCALING_FORMAT=MLN","Sort=A","Dates=H","DateFormat=P","Fill=—","Direction=H","UseDPDF=Y")</f>
        <v>—</v>
      </c>
      <c r="M20" s="13">
        <f>_xll.BDH("ITCI US Equity","ARD_TOTAL_NONCURRENT_ASSETS","FQ2 2021","FQ2 2021","Currency=USD","Period=FQ","BEST_FPERIOD_OVERRIDE=FQ","FILING_STATUS=MR","SCALING_FORMAT=MLN","Sort=A","Dates=H","DateFormat=P","Fill=—","Direction=H","UseDPDF=Y")</f>
        <v>24.3934</v>
      </c>
      <c r="N20" s="13">
        <f>_xll.BDH("ITCI US Equity","ARD_TOTAL_NONCURRENT_ASSETS","FQ3 2021","FQ3 2021","Currency=USD","Period=FQ","BEST_FPERIOD_OVERRIDE=FQ","FILING_STATUS=MR","SCALING_FORMAT=MLN","Sort=A","Dates=H","DateFormat=P","Fill=—","Direction=H","UseDPDF=Y")</f>
        <v>23.7331</v>
      </c>
      <c r="O20" s="13" t="str">
        <f>_xll.BDH("ITCI US Equity","ARD_TOTAL_NONCURRENT_ASSETS","FQ4 2021","FQ4 2021","Currency=USD","Period=FQ","BEST_FPERIOD_OVERRIDE=FQ","FILING_STATUS=MR","SCALING_FORMAT=MLN","Sort=A","Dates=H","DateFormat=P","Fill=—","Direction=H","UseDPDF=Y")</f>
        <v>—</v>
      </c>
      <c r="P20" s="13" t="str">
        <f>_xll.BDH("ITCI US Equity","ARD_TOTAL_NONCURRENT_ASSETS","FQ1 2022","FQ1 2022","Currency=USD","Period=FQ","BEST_FPERIOD_OVERRIDE=FQ","FILING_STATUS=MR","SCALING_FORMAT=MLN","Sort=A","Dates=H","DateFormat=P","Fill=—","Direction=H","UseDPDF=Y")</f>
        <v>—</v>
      </c>
      <c r="Q20" s="13" t="str">
        <f>_xll.BDH("ITCI US Equity","ARD_TOTAL_NONCURRENT_ASSETS","FQ2 2022","FQ2 2022","Currency=USD","Period=FQ","BEST_FPERIOD_OVERRIDE=FQ","FILING_STATUS=MR","SCALING_FORMAT=MLN","Sort=A","Dates=H","DateFormat=P","Fill=—","Direction=H","UseDPDF=Y")</f>
        <v>—</v>
      </c>
      <c r="R20" s="13">
        <f>_xll.BDH("ITCI US Equity","ARD_TOTAL_NONCURRENT_ASSETS","FQ3 2022","FQ3 2022","Currency=USD","Period=FQ","BEST_FPERIOD_OVERRIDE=FQ","FILING_STATUS=MR","SCALING_FORMAT=MLN","Sort=A","Dates=H","DateFormat=P","Fill=—","Direction=H","UseDPDF=Y")</f>
        <v>22.242999999999999</v>
      </c>
      <c r="S20" s="13">
        <f>_xll.BDH("ITCI US Equity","ARD_TOTAL_NONCURRENT_ASSETS","FQ4 2022","FQ4 2022","Currency=USD","Period=FQ","BEST_FPERIOD_OVERRIDE=FQ","FILING_STATUS=MR","SCALING_FORMAT=MLN","Sort=A","Dates=H","DateFormat=P","Fill=—","Direction=H","UseDPDF=Y")</f>
        <v>16.823</v>
      </c>
      <c r="T20" s="13">
        <f>_xll.BDH("ITCI US Equity","ARD_TOTAL_NONCURRENT_ASSETS","FQ1 2023","FQ1 2023","Currency=USD","Period=FQ","BEST_FPERIOD_OVERRIDE=FQ","FILING_STATUS=MR","SCALING_FORMAT=MLN","Sort=A","Dates=H","DateFormat=P","Fill=—","Direction=H","UseDPDF=Y")</f>
        <v>16.064</v>
      </c>
      <c r="U20" s="13" t="str">
        <f>_xll.BDH("ITCI US Equity","ARD_TOTAL_NONCURRENT_ASSETS","FQ2 2023","FQ2 2023","Currency=USD","Period=FQ","BEST_FPERIOD_OVERRIDE=FQ","FILING_STATUS=MR","SCALING_FORMAT=MLN","Sort=A","Dates=H","DateFormat=P","Fill=—","Direction=H","UseDPDF=Y")</f>
        <v>—</v>
      </c>
      <c r="V20" s="13">
        <f>_xll.BDH("ITCI US Equity","ARD_TOTAL_NONCURRENT_ASSETS","FQ3 2023","FQ3 2023","Currency=USD","Period=FQ","BEST_FPERIOD_OVERRIDE=FQ","FILING_STATUS=MR","SCALING_FORMAT=MLN","Sort=A","Dates=H","DateFormat=P","Fill=—","Direction=H","UseDPDF=Y")</f>
        <v>15.239000000000001</v>
      </c>
      <c r="W20" s="13">
        <f>_xll.BDH("ITCI US Equity","ARD_TOTAL_NONCURRENT_ASSETS","FQ4 2023","FQ4 2023","Currency=USD","Period=FQ","BEST_FPERIOD_OVERRIDE=FQ","FILING_STATUS=MR","SCALING_FORMAT=MLN","Sort=A","Dates=H","DateFormat=P","Fill=—","Direction=H","UseDPDF=Y")</f>
        <v>60.496000000000002</v>
      </c>
      <c r="X20" s="13">
        <f>_xll.BDH("ITCI US Equity","ARD_TOTAL_NONCURRENT_ASSETS","FQ1 2024","FQ1 2024","Currency=USD","Period=FQ","BEST_FPERIOD_OVERRIDE=FQ","FILING_STATUS=MR","SCALING_FORMAT=MLN","Sort=A","Dates=H","DateFormat=P","Fill=—","Direction=H","UseDPDF=Y")</f>
        <v>56.509</v>
      </c>
      <c r="Y20" s="13" t="str">
        <f>_xll.BDH("ITCI US Equity","ARD_TOTAL_NONCURRENT_ASSETS","FQ2 2024","FQ2 2024","Currency=USD","Period=FQ","BEST_FPERIOD_OVERRIDE=FQ","FILING_STATUS=MR","SCALING_FORMAT=MLN","Sort=A","Dates=H","DateFormat=P","Fill=—","Direction=H","UseDPDF=Y")</f>
        <v>—</v>
      </c>
      <c r="Z20" s="13" t="str">
        <f>_xll.BDH("ITCI US Equity","ARD_TOTAL_NONCURRENT_ASSETS","FQ3 2024","FQ3 2024","Currency=USD","Period=FQ","BEST_FPERIOD_OVERRIDE=FQ","FILING_STATUS=MR","SCALING_FORMAT=MLN","Sort=A","Dates=H","DateFormat=P","Fill=—","Direction=H","UseDPDF=Y")</f>
        <v>—</v>
      </c>
      <c r="AA20" s="13" t="str">
        <f>_xll.BDH("ITCI US Equity","ARD_TOTAL_NONCURRENT_ASSETS","FQ4 2024","FQ4 2024","Currency=USD","Period=FQ","BEST_FPERIOD_OVERRIDE=FQ","FILING_STATUS=MR","SCALING_FORMAT=MLN","Sort=A","Dates=H","DateFormat=P","Fill=—","Direction=H","UseDPDF=Y")</f>
        <v>—</v>
      </c>
    </row>
    <row r="21" spans="1:27" x14ac:dyDescent="0.25">
      <c r="A21" s="10" t="s">
        <v>711</v>
      </c>
      <c r="B21" s="10" t="s">
        <v>712</v>
      </c>
      <c r="C21" s="13" t="str">
        <f>_xll.BDH("ITCI US Equity","ARD_INVENTORIES_NONCURRENT","FQ4 2018","FQ4 2018","Currency=USD","Period=FQ","BEST_FPERIOD_OVERRIDE=FQ","FILING_STATUS=MR","SCALING_FORMAT=MLN","Sort=A","Dates=H","DateFormat=P","Fill=—","Direction=H","UseDPDF=Y")</f>
        <v>—</v>
      </c>
      <c r="D21" s="13" t="str">
        <f>_xll.BDH("ITCI US Equity","ARD_INVENTORIES_NONCURRENT","FQ1 2019","FQ1 2019","Currency=USD","Period=FQ","BEST_FPERIOD_OVERRIDE=FQ","FILING_STATUS=MR","SCALING_FORMAT=MLN","Sort=A","Dates=H","DateFormat=P","Fill=—","Direction=H","UseDPDF=Y")</f>
        <v>—</v>
      </c>
      <c r="E21" s="13" t="str">
        <f>_xll.BDH("ITCI US Equity","ARD_INVENTORIES_NONCURRENT","FQ2 2019","FQ2 2019","Currency=USD","Period=FQ","BEST_FPERIOD_OVERRIDE=FQ","FILING_STATUS=MR","SCALING_FORMAT=MLN","Sort=A","Dates=H","DateFormat=P","Fill=—","Direction=H","UseDPDF=Y")</f>
        <v>—</v>
      </c>
      <c r="F21" s="13" t="str">
        <f>_xll.BDH("ITCI US Equity","ARD_INVENTORIES_NONCURRENT","FQ3 2019","FQ3 2019","Currency=USD","Period=FQ","BEST_FPERIOD_OVERRIDE=FQ","FILING_STATUS=MR","SCALING_FORMAT=MLN","Sort=A","Dates=H","DateFormat=P","Fill=—","Direction=H","UseDPDF=Y")</f>
        <v>—</v>
      </c>
      <c r="G21" s="13" t="str">
        <f>_xll.BDH("ITCI US Equity","ARD_INVENTORIES_NONCURRENT","FQ4 2019","FQ4 2019","Currency=USD","Period=FQ","BEST_FPERIOD_OVERRIDE=FQ","FILING_STATUS=MR","SCALING_FORMAT=MLN","Sort=A","Dates=H","DateFormat=P","Fill=—","Direction=H","UseDPDF=Y")</f>
        <v>—</v>
      </c>
      <c r="H21" s="13" t="str">
        <f>_xll.BDH("ITCI US Equity","ARD_INVENTORIES_NONCURRENT","FQ1 2020","FQ1 2020","Currency=USD","Period=FQ","BEST_FPERIOD_OVERRIDE=FQ","FILING_STATUS=MR","SCALING_FORMAT=MLN","Sort=A","Dates=H","DateFormat=P","Fill=—","Direction=H","UseDPDF=Y")</f>
        <v>—</v>
      </c>
      <c r="I21" s="13" t="str">
        <f>_xll.BDH("ITCI US Equity","ARD_INVENTORIES_NONCURRENT","FQ2 2020","FQ2 2020","Currency=USD","Period=FQ","BEST_FPERIOD_OVERRIDE=FQ","FILING_STATUS=MR","SCALING_FORMAT=MLN","Sort=A","Dates=H","DateFormat=P","Fill=—","Direction=H","UseDPDF=Y")</f>
        <v>—</v>
      </c>
      <c r="J21" s="13" t="str">
        <f>_xll.BDH("ITCI US Equity","ARD_INVENTORIES_NONCURRENT","FQ3 2020","FQ3 2020","Currency=USD","Period=FQ","BEST_FPERIOD_OVERRIDE=FQ","FILING_STATUS=MR","SCALING_FORMAT=MLN","Sort=A","Dates=H","DateFormat=P","Fill=—","Direction=H","UseDPDF=Y")</f>
        <v>—</v>
      </c>
      <c r="K21" s="13" t="str">
        <f>_xll.BDH("ITCI US Equity","ARD_INVENTORIES_NONCURRENT","FQ4 2020","FQ4 2020","Currency=USD","Period=FQ","BEST_FPERIOD_OVERRIDE=FQ","FILING_STATUS=MR","SCALING_FORMAT=MLN","Sort=A","Dates=H","DateFormat=P","Fill=—","Direction=H","UseDPDF=Y")</f>
        <v>—</v>
      </c>
      <c r="L21" s="13" t="str">
        <f>_xll.BDH("ITCI US Equity","ARD_INVENTORIES_NONCURRENT","FQ1 2021","FQ1 2021","Currency=USD","Period=FQ","BEST_FPERIOD_OVERRIDE=FQ","FILING_STATUS=MR","SCALING_FORMAT=MLN","Sort=A","Dates=H","DateFormat=P","Fill=—","Direction=H","UseDPDF=Y")</f>
        <v>—</v>
      </c>
      <c r="M21" s="13" t="str">
        <f>_xll.BDH("ITCI US Equity","ARD_INVENTORIES_NONCURRENT","FQ2 2021","FQ2 2021","Currency=USD","Period=FQ","BEST_FPERIOD_OVERRIDE=FQ","FILING_STATUS=MR","SCALING_FORMAT=MLN","Sort=A","Dates=H","DateFormat=P","Fill=—","Direction=H","UseDPDF=Y")</f>
        <v>—</v>
      </c>
      <c r="N21" s="13" t="str">
        <f>_xll.BDH("ITCI US Equity","ARD_INVENTORIES_NONCURRENT","FQ3 2021","FQ3 2021","Currency=USD","Period=FQ","BEST_FPERIOD_OVERRIDE=FQ","FILING_STATUS=MR","SCALING_FORMAT=MLN","Sort=A","Dates=H","DateFormat=P","Fill=—","Direction=H","UseDPDF=Y")</f>
        <v>—</v>
      </c>
      <c r="O21" s="13" t="str">
        <f>_xll.BDH("ITCI US Equity","ARD_INVENTORIES_NONCURRENT","FQ4 2021","FQ4 2021","Currency=USD","Period=FQ","BEST_FPERIOD_OVERRIDE=FQ","FILING_STATUS=MR","SCALING_FORMAT=MLN","Sort=A","Dates=H","DateFormat=P","Fill=—","Direction=H","UseDPDF=Y")</f>
        <v>—</v>
      </c>
      <c r="P21" s="13" t="str">
        <f>_xll.BDH("ITCI US Equity","ARD_INVENTORIES_NONCURRENT","FQ1 2022","FQ1 2022","Currency=USD","Period=FQ","BEST_FPERIOD_OVERRIDE=FQ","FILING_STATUS=MR","SCALING_FORMAT=MLN","Sort=A","Dates=H","DateFormat=P","Fill=—","Direction=H","UseDPDF=Y")</f>
        <v>—</v>
      </c>
      <c r="Q21" s="13" t="str">
        <f>_xll.BDH("ITCI US Equity","ARD_INVENTORIES_NONCURRENT","FQ2 2022","FQ2 2022","Currency=USD","Period=FQ","BEST_FPERIOD_OVERRIDE=FQ","FILING_STATUS=MR","SCALING_FORMAT=MLN","Sort=A","Dates=H","DateFormat=P","Fill=—","Direction=H","UseDPDF=Y")</f>
        <v>—</v>
      </c>
      <c r="R21" s="13" t="str">
        <f>_xll.BDH("ITCI US Equity","ARD_INVENTORIES_NONCURRENT","FQ3 2022","FQ3 2022","Currency=USD","Period=FQ","BEST_FPERIOD_OVERRIDE=FQ","FILING_STATUS=MR","SCALING_FORMAT=MLN","Sort=A","Dates=H","DateFormat=P","Fill=—","Direction=H","UseDPDF=Y")</f>
        <v>—</v>
      </c>
      <c r="S21" s="13" t="str">
        <f>_xll.BDH("ITCI US Equity","ARD_INVENTORIES_NONCURRENT","FQ4 2022","FQ4 2022","Currency=USD","Period=FQ","BEST_FPERIOD_OVERRIDE=FQ","FILING_STATUS=MR","SCALING_FORMAT=MLN","Sort=A","Dates=H","DateFormat=P","Fill=—","Direction=H","UseDPDF=Y")</f>
        <v>—</v>
      </c>
      <c r="T21" s="13" t="str">
        <f>_xll.BDH("ITCI US Equity","ARD_INVENTORIES_NONCURRENT","FQ1 2023","FQ1 2023","Currency=USD","Period=FQ","BEST_FPERIOD_OVERRIDE=FQ","FILING_STATUS=MR","SCALING_FORMAT=MLN","Sort=A","Dates=H","DateFormat=P","Fill=—","Direction=H","UseDPDF=Y")</f>
        <v>—</v>
      </c>
      <c r="U21" s="13" t="str">
        <f>_xll.BDH("ITCI US Equity","ARD_INVENTORIES_NONCURRENT","FQ2 2023","FQ2 2023","Currency=USD","Period=FQ","BEST_FPERIOD_OVERRIDE=FQ","FILING_STATUS=MR","SCALING_FORMAT=MLN","Sort=A","Dates=H","DateFormat=P","Fill=—","Direction=H","UseDPDF=Y")</f>
        <v>—</v>
      </c>
      <c r="V21" s="13" t="str">
        <f>_xll.BDH("ITCI US Equity","ARD_INVENTORIES_NONCURRENT","FQ3 2023","FQ3 2023","Currency=USD","Period=FQ","BEST_FPERIOD_OVERRIDE=FQ","FILING_STATUS=MR","SCALING_FORMAT=MLN","Sort=A","Dates=H","DateFormat=P","Fill=—","Direction=H","UseDPDF=Y")</f>
        <v>—</v>
      </c>
      <c r="W21" s="13">
        <f>_xll.BDH("ITCI US Equity","ARD_INVENTORIES_NONCURRENT","FQ4 2023","FQ4 2023","Currency=USD","Period=FQ","BEST_FPERIOD_OVERRIDE=FQ","FILING_STATUS=MR","SCALING_FORMAT=MLN","Sort=A","Dates=H","DateFormat=P","Fill=—","Direction=H","UseDPDF=Y")</f>
        <v>38.621000000000002</v>
      </c>
      <c r="X21" s="13">
        <f>_xll.BDH("ITCI US Equity","ARD_INVENTORIES_NONCURRENT","FQ1 2024","FQ1 2024","Currency=USD","Period=FQ","BEST_FPERIOD_OVERRIDE=FQ","FILING_STATUS=MR","SCALING_FORMAT=MLN","Sort=A","Dates=H","DateFormat=P","Fill=—","Direction=H","UseDPDF=Y")</f>
        <v>34.817999999999998</v>
      </c>
      <c r="Y21" s="13">
        <f>_xll.BDH("ITCI US Equity","ARD_INVENTORIES_NONCURRENT","FQ2 2024","FQ2 2024","Currency=USD","Period=FQ","BEST_FPERIOD_OVERRIDE=FQ","FILING_STATUS=MR","SCALING_FORMAT=MLN","Sort=A","Dates=H","DateFormat=P","Fill=—","Direction=H","UseDPDF=Y")</f>
        <v>32.561999999999998</v>
      </c>
      <c r="Z21" s="13">
        <f>_xll.BDH("ITCI US Equity","ARD_INVENTORIES_NONCURRENT","FQ3 2024","FQ3 2024","Currency=USD","Period=FQ","BEST_FPERIOD_OVERRIDE=FQ","FILING_STATUS=MR","SCALING_FORMAT=MLN","Sort=A","Dates=H","DateFormat=P","Fill=—","Direction=H","UseDPDF=Y")</f>
        <v>30.478999999999999</v>
      </c>
      <c r="AA21" s="13">
        <f>_xll.BDH("ITCI US Equity","ARD_INVENTORIES_NONCURRENT","FQ4 2024","FQ4 2024","Currency=USD","Period=FQ","BEST_FPERIOD_OVERRIDE=FQ","FILING_STATUS=MR","SCALING_FORMAT=MLN","Sort=A","Dates=H","DateFormat=P","Fill=—","Direction=H","UseDPDF=Y")</f>
        <v>38.89</v>
      </c>
    </row>
    <row r="22" spans="1:27" x14ac:dyDescent="0.25">
      <c r="A22" s="6" t="s">
        <v>112</v>
      </c>
      <c r="B22" s="6" t="s">
        <v>713</v>
      </c>
      <c r="C22" s="19">
        <f>_xll.BDH("ITCI US Equity","ARD_TOT_ASSETS","FQ4 2018","FQ4 2018","Currency=USD","Period=FQ","BEST_FPERIOD_OVERRIDE=FQ","FILING_STATUS=MR","SCALING_FORMAT=MLN","Sort=A","Dates=H","DateFormat=P","Fill=—","Direction=H","UseDPDF=Y")</f>
        <v>357.20650000000001</v>
      </c>
      <c r="D22" s="19">
        <f>_xll.BDH("ITCI US Equity","ARD_TOT_ASSETS","FQ1 2019","FQ1 2019","Currency=USD","Period=FQ","BEST_FPERIOD_OVERRIDE=FQ","FILING_STATUS=MR","SCALING_FORMAT=MLN","Sort=A","Dates=H","DateFormat=P","Fill=—","Direction=H","UseDPDF=Y")</f>
        <v>342.97280000000001</v>
      </c>
      <c r="E22" s="19">
        <f>_xll.BDH("ITCI US Equity","ARD_TOT_ASSETS","FQ2 2019","FQ2 2019","Currency=USD","Period=FQ","BEST_FPERIOD_OVERRIDE=FQ","FILING_STATUS=MR","SCALING_FORMAT=MLN","Sort=A","Dates=H","DateFormat=P","Fill=—","Direction=H","UseDPDF=Y")</f>
        <v>309.86259999999999</v>
      </c>
      <c r="F22" s="19">
        <f>_xll.BDH("ITCI US Equity","ARD_TOT_ASSETS","FQ3 2019","FQ3 2019","Currency=USD","Period=FQ","BEST_FPERIOD_OVERRIDE=FQ","FILING_STATUS=MR","SCALING_FORMAT=MLN","Sort=A","Dates=H","DateFormat=P","Fill=—","Direction=H","UseDPDF=Y")</f>
        <v>280.52300000000002</v>
      </c>
      <c r="G22" s="19">
        <f>_xll.BDH("ITCI US Equity","ARD_TOT_ASSETS","FQ4 2019","FQ4 2019","Currency=USD","Period=FQ","BEST_FPERIOD_OVERRIDE=FQ","FILING_STATUS=MR","SCALING_FORMAT=MLN","Sort=A","Dates=H","DateFormat=P","Fill=—","Direction=H","UseDPDF=Y")</f>
        <v>251.1865</v>
      </c>
      <c r="H22" s="19">
        <f>_xll.BDH("ITCI US Equity","ARD_TOT_ASSETS","FQ1 2020","FQ1 2020","Currency=USD","Period=FQ","BEST_FPERIOD_OVERRIDE=FQ","FILING_STATUS=MR","SCALING_FORMAT=MLN","Sort=A","Dates=H","DateFormat=P","Fill=—","Direction=H","UseDPDF=Y")</f>
        <v>481.24270000000001</v>
      </c>
      <c r="I22" s="19">
        <f>_xll.BDH("ITCI US Equity","ARD_TOT_ASSETS","FQ2 2020","FQ2 2020","Currency=USD","Period=FQ","BEST_FPERIOD_OVERRIDE=FQ","FILING_STATUS=MR","SCALING_FORMAT=MLN","Sort=A","Dates=H","DateFormat=P","Fill=—","Direction=H","UseDPDF=Y")</f>
        <v>440.93079999999998</v>
      </c>
      <c r="J22" s="19">
        <f>_xll.BDH("ITCI US Equity","ARD_TOT_ASSETS","FQ3 2020","FQ3 2020","Currency=USD","Period=FQ","BEST_FPERIOD_OVERRIDE=FQ","FILING_STATUS=MR","SCALING_FORMAT=MLN","Sort=A","Dates=H","DateFormat=P","Fill=—","Direction=H","UseDPDF=Y")</f>
        <v>771.29380000000003</v>
      </c>
      <c r="K22" s="19">
        <f>_xll.BDH("ITCI US Equity","ARD_TOT_ASSETS","FQ4 2020","FQ4 2020","Currency=USD","Period=FQ","BEST_FPERIOD_OVERRIDE=FQ","FILING_STATUS=MR","SCALING_FORMAT=MLN","Sort=A","Dates=H","DateFormat=P","Fill=—","Direction=H","UseDPDF=Y")</f>
        <v>717.31370000000004</v>
      </c>
      <c r="L22" s="19">
        <f>_xll.BDH("ITCI US Equity","ARD_TOT_ASSETS","FQ1 2021","FQ1 2021","Currency=USD","Period=FQ","BEST_FPERIOD_OVERRIDE=FQ","FILING_STATUS=MR","SCALING_FORMAT=MLN","Sort=A","Dates=H","DateFormat=P","Fill=—","Direction=H","UseDPDF=Y")</f>
        <v>674.48860000000002</v>
      </c>
      <c r="M22" s="19">
        <f>_xll.BDH("ITCI US Equity","ARD_TOT_ASSETS","FQ2 2021","FQ2 2021","Currency=USD","Period=FQ","BEST_FPERIOD_OVERRIDE=FQ","FILING_STATUS=MR","SCALING_FORMAT=MLN","Sort=A","Dates=H","DateFormat=P","Fill=—","Direction=H","UseDPDF=Y")</f>
        <v>625.69669999999996</v>
      </c>
      <c r="N22" s="19">
        <f>_xll.BDH("ITCI US Equity","ARD_TOT_ASSETS","FQ3 2021","FQ3 2021","Currency=USD","Period=FQ","BEST_FPERIOD_OVERRIDE=FQ","FILING_STATUS=MR","SCALING_FORMAT=MLN","Sort=A","Dates=H","DateFormat=P","Fill=—","Direction=H","UseDPDF=Y")</f>
        <v>556.97569999999996</v>
      </c>
      <c r="O22" s="19">
        <f>_xll.BDH("ITCI US Equity","ARD_TOT_ASSETS","FQ4 2021","FQ4 2021","Currency=USD","Period=FQ","BEST_FPERIOD_OVERRIDE=FQ","FILING_STATUS=MR","SCALING_FORMAT=MLN","Sort=A","Dates=H","DateFormat=P","Fill=—","Direction=H","UseDPDF=Y")</f>
        <v>489.9221</v>
      </c>
      <c r="P22" s="19">
        <f>_xll.BDH("ITCI US Equity","ARD_TOT_ASSETS","FQ1 2022","FQ1 2022","Currency=USD","Period=FQ","BEST_FPERIOD_OVERRIDE=FQ","FILING_STATUS=MR","SCALING_FORMAT=MLN","Sort=A","Dates=H","DateFormat=P","Fill=—","Direction=H","UseDPDF=Y")</f>
        <v>868.58</v>
      </c>
      <c r="Q22" s="19">
        <f>_xll.BDH("ITCI US Equity","ARD_TOT_ASSETS","FQ2 2022","FQ2 2022","Currency=USD","Period=FQ","BEST_FPERIOD_OVERRIDE=FQ","FILING_STATUS=MR","SCALING_FORMAT=MLN","Sort=A","Dates=H","DateFormat=P","Fill=—","Direction=H","UseDPDF=Y")</f>
        <v>811.90599999999995</v>
      </c>
      <c r="R22" s="19">
        <f>_xll.BDH("ITCI US Equity","ARD_TOT_ASSETS","FQ3 2022","FQ3 2022","Currency=USD","Period=FQ","BEST_FPERIOD_OVERRIDE=FQ","FILING_STATUS=MR","SCALING_FORMAT=MLN","Sort=A","Dates=H","DateFormat=P","Fill=—","Direction=H","UseDPDF=Y")</f>
        <v>781.99900000000002</v>
      </c>
      <c r="S22" s="19">
        <f>_xll.BDH("ITCI US Equity","ARD_TOT_ASSETS","FQ4 2022","FQ4 2022","Currency=USD","Period=FQ","BEST_FPERIOD_OVERRIDE=FQ","FILING_STATUS=MR","SCALING_FORMAT=MLN","Sort=A","Dates=H","DateFormat=P","Fill=—","Direction=H","UseDPDF=Y")</f>
        <v>754.78</v>
      </c>
      <c r="T22" s="19">
        <f>_xll.BDH("ITCI US Equity","ARD_TOT_ASSETS","FQ1 2023","FQ1 2023","Currency=USD","Period=FQ","BEST_FPERIOD_OVERRIDE=FQ","FILING_STATUS=MR","SCALING_FORMAT=MLN","Sort=A","Dates=H","DateFormat=P","Fill=—","Direction=H","UseDPDF=Y")</f>
        <v>722.15800000000002</v>
      </c>
      <c r="U22" s="19">
        <f>_xll.BDH("ITCI US Equity","ARD_TOT_ASSETS","FQ2 2023","FQ2 2023","Currency=USD","Period=FQ","BEST_FPERIOD_OVERRIDE=FQ","FILING_STATUS=MR","SCALING_FORMAT=MLN","Sort=A","Dates=H","DateFormat=P","Fill=—","Direction=H","UseDPDF=Y")</f>
        <v>713.60199999999998</v>
      </c>
      <c r="V22" s="19">
        <f>_xll.BDH("ITCI US Equity","ARD_TOT_ASSETS","FQ3 2023","FQ3 2023","Currency=USD","Period=FQ","BEST_FPERIOD_OVERRIDE=FQ","FILING_STATUS=MR","SCALING_FORMAT=MLN","Sort=A","Dates=H","DateFormat=P","Fill=—","Direction=H","UseDPDF=Y")</f>
        <v>717.66399999999999</v>
      </c>
      <c r="W22" s="19">
        <f>_xll.BDH("ITCI US Equity","ARD_TOT_ASSETS","FQ4 2023","FQ4 2023","Currency=USD","Period=FQ","BEST_FPERIOD_OVERRIDE=FQ","FILING_STATUS=MR","SCALING_FORMAT=MLN","Sort=A","Dates=H","DateFormat=P","Fill=—","Direction=H","UseDPDF=Y")</f>
        <v>728.29499999999996</v>
      </c>
      <c r="X22" s="19">
        <f>_xll.BDH("ITCI US Equity","ARD_TOT_ASSETS","FQ1 2024","FQ1 2024","Currency=USD","Period=FQ","BEST_FPERIOD_OVERRIDE=FQ","FILING_STATUS=MR","SCALING_FORMAT=MLN","Sort=A","Dates=H","DateFormat=P","Fill=—","Direction=H","UseDPDF=Y")</f>
        <v>747.03599999999994</v>
      </c>
      <c r="Y22" s="19">
        <f>_xll.BDH("ITCI US Equity","ARD_TOT_ASSETS","FQ2 2024","FQ2 2024","Currency=USD","Period=FQ","BEST_FPERIOD_OVERRIDE=FQ","FILING_STATUS=MR","SCALING_FORMAT=MLN","Sort=A","Dates=H","DateFormat=P","Fill=—","Direction=H","UseDPDF=Y")</f>
        <v>1320.5039999999999</v>
      </c>
      <c r="Z22" s="19">
        <f>_xll.BDH("ITCI US Equity","ARD_TOT_ASSETS","FQ3 2024","FQ3 2024","Currency=USD","Period=FQ","BEST_FPERIOD_OVERRIDE=FQ","FILING_STATUS=MR","SCALING_FORMAT=MLN","Sort=A","Dates=H","DateFormat=P","Fill=—","Direction=H","UseDPDF=Y")</f>
        <v>1324.4449999999999</v>
      </c>
      <c r="AA22" s="19">
        <f>_xll.BDH("ITCI US Equity","ARD_TOT_ASSETS","FQ4 2024","FQ4 2024","Currency=USD","Period=FQ","BEST_FPERIOD_OVERRIDE=FQ","FILING_STATUS=MR","SCALING_FORMAT=MLN","Sort=A","Dates=H","DateFormat=P","Fill=—","Direction=H","UseDPDF=Y")</f>
        <v>1366.912</v>
      </c>
    </row>
    <row r="23" spans="1:27" x14ac:dyDescent="0.25">
      <c r="A23" s="10" t="s">
        <v>714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5">
      <c r="A24" s="10" t="s">
        <v>715</v>
      </c>
      <c r="B24" s="10" t="s">
        <v>716</v>
      </c>
      <c r="C24" s="13">
        <f>_xll.BDH("ITCI US Equity","ARD_ACCOUNTS_PAYABLE_TRADE","FQ4 2018","FQ4 2018","Currency=USD","Period=FQ","BEST_FPERIOD_OVERRIDE=FQ","FILING_STATUS=MR","SCALING_FORMAT=MLN","Sort=A","Dates=H","DateFormat=P","Fill=—","Direction=H","UseDPDF=Y")</f>
        <v>13.9611</v>
      </c>
      <c r="D24" s="13">
        <f>_xll.BDH("ITCI US Equity","ARD_ACCOUNTS_PAYABLE_TRADE","FQ1 2019","FQ1 2019","Currency=USD","Period=FQ","BEST_FPERIOD_OVERRIDE=FQ","FILING_STATUS=MR","SCALING_FORMAT=MLN","Sort=A","Dates=H","DateFormat=P","Fill=—","Direction=H","UseDPDF=Y")</f>
        <v>8.5744000000000007</v>
      </c>
      <c r="E24" s="13">
        <f>_xll.BDH("ITCI US Equity","ARD_ACCOUNTS_PAYABLE_TRADE","FQ2 2019","FQ2 2019","Currency=USD","Period=FQ","BEST_FPERIOD_OVERRIDE=FQ","FILING_STATUS=MR","SCALING_FORMAT=MLN","Sort=A","Dates=H","DateFormat=P","Fill=—","Direction=H","UseDPDF=Y")</f>
        <v>5.6327999999999996</v>
      </c>
      <c r="F24" s="13">
        <f>_xll.BDH("ITCI US Equity","ARD_ACCOUNTS_PAYABLE_TRADE","FQ3 2019","FQ3 2019","Currency=USD","Period=FQ","BEST_FPERIOD_OVERRIDE=FQ","FILING_STATUS=MR","SCALING_FORMAT=MLN","Sort=A","Dates=H","DateFormat=P","Fill=—","Direction=H","UseDPDF=Y")</f>
        <v>6.2309000000000001</v>
      </c>
      <c r="G24" s="13">
        <f>_xll.BDH("ITCI US Equity","ARD_ACCOUNTS_PAYABLE_TRADE","FQ4 2019","FQ4 2019","Currency=USD","Period=FQ","BEST_FPERIOD_OVERRIDE=FQ","FILING_STATUS=MR","SCALING_FORMAT=MLN","Sort=A","Dates=H","DateFormat=P","Fill=—","Direction=H","UseDPDF=Y")</f>
        <v>7.4249999999999998</v>
      </c>
      <c r="H24" s="13">
        <f>_xll.BDH("ITCI US Equity","ARD_ACCOUNTS_PAYABLE_TRADE","FQ1 2020","FQ1 2020","Currency=USD","Period=FQ","BEST_FPERIOD_OVERRIDE=FQ","FILING_STATUS=MR","SCALING_FORMAT=MLN","Sort=A","Dates=H","DateFormat=P","Fill=—","Direction=H","UseDPDF=Y")</f>
        <v>10.9941</v>
      </c>
      <c r="I24" s="13">
        <f>_xll.BDH("ITCI US Equity","ARD_ACCOUNTS_PAYABLE_TRADE","FQ2 2020","FQ2 2020","Currency=USD","Period=FQ","BEST_FPERIOD_OVERRIDE=FQ","FILING_STATUS=MR","SCALING_FORMAT=MLN","Sort=A","Dates=H","DateFormat=P","Fill=—","Direction=H","UseDPDF=Y")</f>
        <v>5.4729999999999999</v>
      </c>
      <c r="J24" s="13">
        <f>_xll.BDH("ITCI US Equity","ARD_ACCOUNTS_PAYABLE_TRADE","FQ3 2020","FQ3 2020","Currency=USD","Period=FQ","BEST_FPERIOD_OVERRIDE=FQ","FILING_STATUS=MR","SCALING_FORMAT=MLN","Sort=A","Dates=H","DateFormat=P","Fill=—","Direction=H","UseDPDF=Y")</f>
        <v>8.5691000000000006</v>
      </c>
      <c r="K24" s="13">
        <f>_xll.BDH("ITCI US Equity","ARD_ACCOUNTS_PAYABLE_TRADE","FQ4 2020","FQ4 2020","Currency=USD","Period=FQ","BEST_FPERIOD_OVERRIDE=FQ","FILING_STATUS=MR","SCALING_FORMAT=MLN","Sort=A","Dates=H","DateFormat=P","Fill=—","Direction=H","UseDPDF=Y")</f>
        <v>5.5018000000000002</v>
      </c>
      <c r="L24" s="13">
        <f>_xll.BDH("ITCI US Equity","ARD_ACCOUNTS_PAYABLE_TRADE","FQ1 2021","FQ1 2021","Currency=USD","Period=FQ","BEST_FPERIOD_OVERRIDE=FQ","FILING_STATUS=MR","SCALING_FORMAT=MLN","Sort=A","Dates=H","DateFormat=P","Fill=—","Direction=H","UseDPDF=Y")</f>
        <v>8.7210000000000001</v>
      </c>
      <c r="M24" s="13">
        <f>_xll.BDH("ITCI US Equity","ARD_ACCOUNTS_PAYABLE_TRADE","FQ2 2021","FQ2 2021","Currency=USD","Period=FQ","BEST_FPERIOD_OVERRIDE=FQ","FILING_STATUS=MR","SCALING_FORMAT=MLN","Sort=A","Dates=H","DateFormat=P","Fill=—","Direction=H","UseDPDF=Y")</f>
        <v>15.940799999999999</v>
      </c>
      <c r="N24" s="13">
        <f>_xll.BDH("ITCI US Equity","ARD_ACCOUNTS_PAYABLE_TRADE","FQ3 2021","FQ3 2021","Currency=USD","Period=FQ","BEST_FPERIOD_OVERRIDE=FQ","FILING_STATUS=MR","SCALING_FORMAT=MLN","Sort=A","Dates=H","DateFormat=P","Fill=—","Direction=H","UseDPDF=Y")</f>
        <v>12.0306</v>
      </c>
      <c r="O24" s="13">
        <f>_xll.BDH("ITCI US Equity","ARD_ACCOUNTS_PAYABLE_TRADE","FQ4 2021","FQ4 2021","Currency=USD","Period=FQ","BEST_FPERIOD_OVERRIDE=FQ","FILING_STATUS=MR","SCALING_FORMAT=MLN","Sort=A","Dates=H","DateFormat=P","Fill=—","Direction=H","UseDPDF=Y")</f>
        <v>8.6912000000000003</v>
      </c>
      <c r="P24" s="13">
        <f>_xll.BDH("ITCI US Equity","ARD_ACCOUNTS_PAYABLE_TRADE","FQ1 2022","FQ1 2022","Currency=USD","Period=FQ","BEST_FPERIOD_OVERRIDE=FQ","FILING_STATUS=MR","SCALING_FORMAT=MLN","Sort=A","Dates=H","DateFormat=P","Fill=—","Direction=H","UseDPDF=Y")</f>
        <v>11.648999999999999</v>
      </c>
      <c r="Q24" s="13">
        <f>_xll.BDH("ITCI US Equity","ARD_ACCOUNTS_PAYABLE_TRADE","FQ2 2022","FQ2 2022","Currency=USD","Period=FQ","BEST_FPERIOD_OVERRIDE=FQ","FILING_STATUS=MR","SCALING_FORMAT=MLN","Sort=A","Dates=H","DateFormat=P","Fill=—","Direction=H","UseDPDF=Y")</f>
        <v>10.749000000000001</v>
      </c>
      <c r="R24" s="13">
        <f>_xll.BDH("ITCI US Equity","ARD_ACCOUNTS_PAYABLE_TRADE","FQ3 2022","FQ3 2022","Currency=USD","Period=FQ","BEST_FPERIOD_OVERRIDE=FQ","FILING_STATUS=MR","SCALING_FORMAT=MLN","Sort=A","Dates=H","DateFormat=P","Fill=—","Direction=H","UseDPDF=Y")</f>
        <v>14.218999999999999</v>
      </c>
      <c r="S24" s="13">
        <f>_xll.BDH("ITCI US Equity","ARD_ACCOUNTS_PAYABLE_TRADE","FQ4 2022","FQ4 2022","Currency=USD","Period=FQ","BEST_FPERIOD_OVERRIDE=FQ","FILING_STATUS=MR","SCALING_FORMAT=MLN","Sort=A","Dates=H","DateFormat=P","Fill=—","Direction=H","UseDPDF=Y")</f>
        <v>10.395</v>
      </c>
      <c r="T24" s="13">
        <f>_xll.BDH("ITCI US Equity","ARD_ACCOUNTS_PAYABLE_TRADE","FQ1 2023","FQ1 2023","Currency=USD","Period=FQ","BEST_FPERIOD_OVERRIDE=FQ","FILING_STATUS=MR","SCALING_FORMAT=MLN","Sort=A","Dates=H","DateFormat=P","Fill=—","Direction=H","UseDPDF=Y")</f>
        <v>8.4410000000000007</v>
      </c>
      <c r="U24" s="13">
        <f>_xll.BDH("ITCI US Equity","ARD_ACCOUNTS_PAYABLE_TRADE","FQ2 2023","FQ2 2023","Currency=USD","Period=FQ","BEST_FPERIOD_OVERRIDE=FQ","FILING_STATUS=MR","SCALING_FORMAT=MLN","Sort=A","Dates=H","DateFormat=P","Fill=—","Direction=H","UseDPDF=Y")</f>
        <v>7.7329999999999997</v>
      </c>
      <c r="V24" s="13">
        <f>_xll.BDH("ITCI US Equity","ARD_ACCOUNTS_PAYABLE_TRADE","FQ3 2023","FQ3 2023","Currency=USD","Period=FQ","BEST_FPERIOD_OVERRIDE=FQ","FILING_STATUS=MR","SCALING_FORMAT=MLN","Sort=A","Dates=H","DateFormat=P","Fill=—","Direction=H","UseDPDF=Y")</f>
        <v>10.613</v>
      </c>
      <c r="W24" s="13">
        <f>_xll.BDH("ITCI US Equity","ARD_ACCOUNTS_PAYABLE_TRADE","FQ4 2023","FQ4 2023","Currency=USD","Period=FQ","BEST_FPERIOD_OVERRIDE=FQ","FILING_STATUS=MR","SCALING_FORMAT=MLN","Sort=A","Dates=H","DateFormat=P","Fill=—","Direction=H","UseDPDF=Y")</f>
        <v>11.452</v>
      </c>
      <c r="X24" s="13">
        <f>_xll.BDH("ITCI US Equity","ARD_ACCOUNTS_PAYABLE_TRADE","FQ1 2024","FQ1 2024","Currency=USD","Period=FQ","BEST_FPERIOD_OVERRIDE=FQ","FILING_STATUS=MR","SCALING_FORMAT=MLN","Sort=A","Dates=H","DateFormat=P","Fill=—","Direction=H","UseDPDF=Y")</f>
        <v>11.532</v>
      </c>
      <c r="Y24" s="13">
        <f>_xll.BDH("ITCI US Equity","ARD_ACCOUNTS_PAYABLE_TRADE","FQ2 2024","FQ2 2024","Currency=USD","Period=FQ","BEST_FPERIOD_OVERRIDE=FQ","FILING_STATUS=MR","SCALING_FORMAT=MLN","Sort=A","Dates=H","DateFormat=P","Fill=—","Direction=H","UseDPDF=Y")</f>
        <v>17.547999999999998</v>
      </c>
      <c r="Z24" s="13">
        <f>_xll.BDH("ITCI US Equity","ARD_ACCOUNTS_PAYABLE_TRADE","FQ3 2024","FQ3 2024","Currency=USD","Period=FQ","BEST_FPERIOD_OVERRIDE=FQ","FILING_STATUS=MR","SCALING_FORMAT=MLN","Sort=A","Dates=H","DateFormat=P","Fill=—","Direction=H","UseDPDF=Y")</f>
        <v>10.337999999999999</v>
      </c>
      <c r="AA24" s="13">
        <f>_xll.BDH("ITCI US Equity","ARD_ACCOUNTS_PAYABLE_TRADE","FQ4 2024","FQ4 2024","Currency=USD","Period=FQ","BEST_FPERIOD_OVERRIDE=FQ","FILING_STATUS=MR","SCALING_FORMAT=MLN","Sort=A","Dates=H","DateFormat=P","Fill=—","Direction=H","UseDPDF=Y")</f>
        <v>26.074000000000002</v>
      </c>
    </row>
    <row r="25" spans="1:27" x14ac:dyDescent="0.25">
      <c r="A25" s="10" t="s">
        <v>717</v>
      </c>
      <c r="B25" s="10" t="s">
        <v>718</v>
      </c>
      <c r="C25" s="13" t="str">
        <f>_xll.BDH("ITCI US Equity","ARD_ACC_COMP_POSTRETIRE_OBLIG","FQ4 2018","FQ4 2018","Currency=USD","Period=FQ","BEST_FPERIOD_OVERRIDE=FQ","FILING_STATUS=MR","SCALING_FORMAT=MLN","Sort=A","Dates=H","DateFormat=P","Fill=—","Direction=H","UseDPDF=Y")</f>
        <v>—</v>
      </c>
      <c r="D25" s="13" t="str">
        <f>_xll.BDH("ITCI US Equity","ARD_ACC_COMP_POSTRETIRE_OBLIG","FQ1 2019","FQ1 2019","Currency=USD","Period=FQ","BEST_FPERIOD_OVERRIDE=FQ","FILING_STATUS=MR","SCALING_FORMAT=MLN","Sort=A","Dates=H","DateFormat=P","Fill=—","Direction=H","UseDPDF=Y")</f>
        <v>—</v>
      </c>
      <c r="E25" s="13" t="str">
        <f>_xll.BDH("ITCI US Equity","ARD_ACC_COMP_POSTRETIRE_OBLIG","FQ2 2019","FQ2 2019","Currency=USD","Period=FQ","BEST_FPERIOD_OVERRIDE=FQ","FILING_STATUS=MR","SCALING_FORMAT=MLN","Sort=A","Dates=H","DateFormat=P","Fill=—","Direction=H","UseDPDF=Y")</f>
        <v>—</v>
      </c>
      <c r="F25" s="13" t="str">
        <f>_xll.BDH("ITCI US Equity","ARD_ACC_COMP_POSTRETIRE_OBLIG","FQ3 2019","FQ3 2019","Currency=USD","Period=FQ","BEST_FPERIOD_OVERRIDE=FQ","FILING_STATUS=MR","SCALING_FORMAT=MLN","Sort=A","Dates=H","DateFormat=P","Fill=—","Direction=H","UseDPDF=Y")</f>
        <v>—</v>
      </c>
      <c r="G25" s="13" t="str">
        <f>_xll.BDH("ITCI US Equity","ARD_ACC_COMP_POSTRETIRE_OBLIG","FQ4 2019","FQ4 2019","Currency=USD","Period=FQ","BEST_FPERIOD_OVERRIDE=FQ","FILING_STATUS=MR","SCALING_FORMAT=MLN","Sort=A","Dates=H","DateFormat=P","Fill=—","Direction=H","UseDPDF=Y")</f>
        <v>—</v>
      </c>
      <c r="H25" s="13" t="str">
        <f>_xll.BDH("ITCI US Equity","ARD_ACC_COMP_POSTRETIRE_OBLIG","FQ1 2020","FQ1 2020","Currency=USD","Period=FQ","BEST_FPERIOD_OVERRIDE=FQ","FILING_STATUS=MR","SCALING_FORMAT=MLN","Sort=A","Dates=H","DateFormat=P","Fill=—","Direction=H","UseDPDF=Y")</f>
        <v>—</v>
      </c>
      <c r="I25" s="13" t="str">
        <f>_xll.BDH("ITCI US Equity","ARD_ACC_COMP_POSTRETIRE_OBLIG","FQ2 2020","FQ2 2020","Currency=USD","Period=FQ","BEST_FPERIOD_OVERRIDE=FQ","FILING_STATUS=MR","SCALING_FORMAT=MLN","Sort=A","Dates=H","DateFormat=P","Fill=—","Direction=H","UseDPDF=Y")</f>
        <v>—</v>
      </c>
      <c r="J25" s="13" t="str">
        <f>_xll.BDH("ITCI US Equity","ARD_ACC_COMP_POSTRETIRE_OBLIG","FQ3 2020","FQ3 2020","Currency=USD","Period=FQ","BEST_FPERIOD_OVERRIDE=FQ","FILING_STATUS=MR","SCALING_FORMAT=MLN","Sort=A","Dates=H","DateFormat=P","Fill=—","Direction=H","UseDPDF=Y")</f>
        <v>—</v>
      </c>
      <c r="K25" s="13" t="str">
        <f>_xll.BDH("ITCI US Equity","ARD_ACC_COMP_POSTRETIRE_OBLIG","FQ4 2020","FQ4 2020","Currency=USD","Period=FQ","BEST_FPERIOD_OVERRIDE=FQ","FILING_STATUS=MR","SCALING_FORMAT=MLN","Sort=A","Dates=H","DateFormat=P","Fill=—","Direction=H","UseDPDF=Y")</f>
        <v>—</v>
      </c>
      <c r="L25" s="13" t="str">
        <f>_xll.BDH("ITCI US Equity","ARD_ACC_COMP_POSTRETIRE_OBLIG","FQ1 2021","FQ1 2021","Currency=USD","Period=FQ","BEST_FPERIOD_OVERRIDE=FQ","FILING_STATUS=MR","SCALING_FORMAT=MLN","Sort=A","Dates=H","DateFormat=P","Fill=—","Direction=H","UseDPDF=Y")</f>
        <v>—</v>
      </c>
      <c r="M25" s="13" t="str">
        <f>_xll.BDH("ITCI US Equity","ARD_ACC_COMP_POSTRETIRE_OBLIG","FQ2 2021","FQ2 2021","Currency=USD","Period=FQ","BEST_FPERIOD_OVERRIDE=FQ","FILING_STATUS=MR","SCALING_FORMAT=MLN","Sort=A","Dates=H","DateFormat=P","Fill=—","Direction=H","UseDPDF=Y")</f>
        <v>—</v>
      </c>
      <c r="N25" s="13" t="str">
        <f>_xll.BDH("ITCI US Equity","ARD_ACC_COMP_POSTRETIRE_OBLIG","FQ3 2021","FQ3 2021","Currency=USD","Period=FQ","BEST_FPERIOD_OVERRIDE=FQ","FILING_STATUS=MR","SCALING_FORMAT=MLN","Sort=A","Dates=H","DateFormat=P","Fill=—","Direction=H","UseDPDF=Y")</f>
        <v>—</v>
      </c>
      <c r="O25" s="13" t="str">
        <f>_xll.BDH("ITCI US Equity","ARD_ACC_COMP_POSTRETIRE_OBLIG","FQ4 2021","FQ4 2021","Currency=USD","Period=FQ","BEST_FPERIOD_OVERRIDE=FQ","FILING_STATUS=MR","SCALING_FORMAT=MLN","Sort=A","Dates=H","DateFormat=P","Fill=—","Direction=H","UseDPDF=Y")</f>
        <v>—</v>
      </c>
      <c r="P25" s="13" t="str">
        <f>_xll.BDH("ITCI US Equity","ARD_ACC_COMP_POSTRETIRE_OBLIG","FQ1 2022","FQ1 2022","Currency=USD","Period=FQ","BEST_FPERIOD_OVERRIDE=FQ","FILING_STATUS=MR","SCALING_FORMAT=MLN","Sort=A","Dates=H","DateFormat=P","Fill=—","Direction=H","UseDPDF=Y")</f>
        <v>—</v>
      </c>
      <c r="Q25" s="13" t="str">
        <f>_xll.BDH("ITCI US Equity","ARD_ACC_COMP_POSTRETIRE_OBLIG","FQ2 2022","FQ2 2022","Currency=USD","Period=FQ","BEST_FPERIOD_OVERRIDE=FQ","FILING_STATUS=MR","SCALING_FORMAT=MLN","Sort=A","Dates=H","DateFormat=P","Fill=—","Direction=H","UseDPDF=Y")</f>
        <v>—</v>
      </c>
      <c r="R25" s="13" t="str">
        <f>_xll.BDH("ITCI US Equity","ARD_ACC_COMP_POSTRETIRE_OBLIG","FQ3 2022","FQ3 2022","Currency=USD","Period=FQ","BEST_FPERIOD_OVERRIDE=FQ","FILING_STATUS=MR","SCALING_FORMAT=MLN","Sort=A","Dates=H","DateFormat=P","Fill=—","Direction=H","UseDPDF=Y")</f>
        <v>—</v>
      </c>
      <c r="S25" s="13" t="str">
        <f>_xll.BDH("ITCI US Equity","ARD_ACC_COMP_POSTRETIRE_OBLIG","FQ4 2022","FQ4 2022","Currency=USD","Period=FQ","BEST_FPERIOD_OVERRIDE=FQ","FILING_STATUS=MR","SCALING_FORMAT=MLN","Sort=A","Dates=H","DateFormat=P","Fill=—","Direction=H","UseDPDF=Y")</f>
        <v>—</v>
      </c>
      <c r="T25" s="13">
        <f>_xll.BDH("ITCI US Equity","ARD_ACC_COMP_POSTRETIRE_OBLIG","FQ1 2023","FQ1 2023","Currency=USD","Period=FQ","BEST_FPERIOD_OVERRIDE=FQ","FILING_STATUS=MR","SCALING_FORMAT=MLN","Sort=A","Dates=H","DateFormat=P","Fill=—","Direction=H","UseDPDF=Y")</f>
        <v>29.891999999999999</v>
      </c>
      <c r="U25" s="13" t="str">
        <f>_xll.BDH("ITCI US Equity","ARD_ACC_COMP_POSTRETIRE_OBLIG","FQ2 2023","FQ2 2023","Currency=USD","Period=FQ","BEST_FPERIOD_OVERRIDE=FQ","FILING_STATUS=MR","SCALING_FORMAT=MLN","Sort=A","Dates=H","DateFormat=P","Fill=—","Direction=H","UseDPDF=Y")</f>
        <v>—</v>
      </c>
      <c r="V25" s="13">
        <f>_xll.BDH("ITCI US Equity","ARD_ACC_COMP_POSTRETIRE_OBLIG","FQ3 2023","FQ3 2023","Currency=USD","Period=FQ","BEST_FPERIOD_OVERRIDE=FQ","FILING_STATUS=MR","SCALING_FORMAT=MLN","Sort=A","Dates=H","DateFormat=P","Fill=—","Direction=H","UseDPDF=Y")</f>
        <v>35.618000000000002</v>
      </c>
      <c r="W25" s="13">
        <f>_xll.BDH("ITCI US Equity","ARD_ACC_COMP_POSTRETIRE_OBLIG","FQ4 2023","FQ4 2023","Currency=USD","Period=FQ","BEST_FPERIOD_OVERRIDE=FQ","FILING_STATUS=MR","SCALING_FORMAT=MLN","Sort=A","Dates=H","DateFormat=P","Fill=—","Direction=H","UseDPDF=Y")</f>
        <v>53.173000000000002</v>
      </c>
      <c r="X25" s="13">
        <f>_xll.BDH("ITCI US Equity","ARD_ACC_COMP_POSTRETIRE_OBLIG","FQ1 2024","FQ1 2024","Currency=USD","Period=FQ","BEST_FPERIOD_OVERRIDE=FQ","FILING_STATUS=MR","SCALING_FORMAT=MLN","Sort=A","Dates=H","DateFormat=P","Fill=—","Direction=H","UseDPDF=Y")</f>
        <v>69.971999999999994</v>
      </c>
      <c r="Y25" s="13">
        <f>_xll.BDH("ITCI US Equity","ARD_ACC_COMP_POSTRETIRE_OBLIG","FQ2 2024","FQ2 2024","Currency=USD","Period=FQ","BEST_FPERIOD_OVERRIDE=FQ","FILING_STATUS=MR","SCALING_FORMAT=MLN","Sort=A","Dates=H","DateFormat=P","Fill=—","Direction=H","UseDPDF=Y")</f>
        <v>77.971000000000004</v>
      </c>
      <c r="Z25" s="13">
        <f>_xll.BDH("ITCI US Equity","ARD_ACC_COMP_POSTRETIRE_OBLIG","FQ3 2024","FQ3 2024","Currency=USD","Period=FQ","BEST_FPERIOD_OVERRIDE=FQ","FILING_STATUS=MR","SCALING_FORMAT=MLN","Sort=A","Dates=H","DateFormat=P","Fill=—","Direction=H","UseDPDF=Y")</f>
        <v>70.536000000000001</v>
      </c>
      <c r="AA25" s="13">
        <f>_xll.BDH("ITCI US Equity","ARD_ACC_COMP_POSTRETIRE_OBLIG","FQ4 2024","FQ4 2024","Currency=USD","Period=FQ","BEST_FPERIOD_OVERRIDE=FQ","FILING_STATUS=MR","SCALING_FORMAT=MLN","Sort=A","Dates=H","DateFormat=P","Fill=—","Direction=H","UseDPDF=Y")</f>
        <v>75.408000000000001</v>
      </c>
    </row>
    <row r="26" spans="1:27" x14ac:dyDescent="0.25">
      <c r="A26" s="10" t="s">
        <v>719</v>
      </c>
      <c r="B26" s="10" t="s">
        <v>720</v>
      </c>
      <c r="C26" s="13">
        <f>_xll.BDH("ITCI US Equity","ARD_ACCRUED_EXPENSES","FQ4 2018","FQ4 2018","Currency=USD","Period=FQ","BEST_FPERIOD_OVERRIDE=FQ","FILING_STATUS=MR","SCALING_FORMAT=MLN","Sort=A","Dates=H","DateFormat=P","Fill=—","Direction=H","UseDPDF=Y")</f>
        <v>2.2932999999999999</v>
      </c>
      <c r="D26" s="13">
        <f>_xll.BDH("ITCI US Equity","ARD_ACCRUED_EXPENSES","FQ1 2019","FQ1 2019","Currency=USD","Period=FQ","BEST_FPERIOD_OVERRIDE=FQ","FILING_STATUS=MR","SCALING_FORMAT=MLN","Sort=A","Dates=H","DateFormat=P","Fill=—","Direction=H","UseDPDF=Y")</f>
        <v>3.3512</v>
      </c>
      <c r="E26" s="13">
        <f>_xll.BDH("ITCI US Equity","ARD_ACCRUED_EXPENSES","FQ2 2019","FQ2 2019","Currency=USD","Period=FQ","BEST_FPERIOD_OVERRIDE=FQ","FILING_STATUS=MR","SCALING_FORMAT=MLN","Sort=A","Dates=H","DateFormat=P","Fill=—","Direction=H","UseDPDF=Y")</f>
        <v>5.8292000000000002</v>
      </c>
      <c r="F26" s="13">
        <f>_xll.BDH("ITCI US Equity","ARD_ACCRUED_EXPENSES","FQ3 2019","FQ3 2019","Currency=USD","Period=FQ","BEST_FPERIOD_OVERRIDE=FQ","FILING_STATUS=MR","SCALING_FORMAT=MLN","Sort=A","Dates=H","DateFormat=P","Fill=—","Direction=H","UseDPDF=Y")</f>
        <v>7.5316999999999998</v>
      </c>
      <c r="G26" s="13">
        <f>_xll.BDH("ITCI US Equity","ARD_ACCRUED_EXPENSES","FQ4 2019","FQ4 2019","Currency=USD","Period=FQ","BEST_FPERIOD_OVERRIDE=FQ","FILING_STATUS=MR","SCALING_FORMAT=MLN","Sort=A","Dates=H","DateFormat=P","Fill=—","Direction=H","UseDPDF=Y")</f>
        <v>9.4726999999999997</v>
      </c>
      <c r="H26" s="13">
        <f>_xll.BDH("ITCI US Equity","ARD_ACCRUED_EXPENSES","FQ1 2020","FQ1 2020","Currency=USD","Period=FQ","BEST_FPERIOD_OVERRIDE=FQ","FILING_STATUS=MR","SCALING_FORMAT=MLN","Sort=A","Dates=H","DateFormat=P","Fill=—","Direction=H","UseDPDF=Y")</f>
        <v>6.2032999999999996</v>
      </c>
      <c r="I26" s="13">
        <f>_xll.BDH("ITCI US Equity","ARD_ACCRUED_EXPENSES","FQ2 2020","FQ2 2020","Currency=USD","Period=FQ","BEST_FPERIOD_OVERRIDE=FQ","FILING_STATUS=MR","SCALING_FORMAT=MLN","Sort=A","Dates=H","DateFormat=P","Fill=—","Direction=H","UseDPDF=Y")</f>
        <v>11.412699999999999</v>
      </c>
      <c r="J26" s="13">
        <f>_xll.BDH("ITCI US Equity","ARD_ACCRUED_EXPENSES","FQ3 2020","FQ3 2020","Currency=USD","Period=FQ","BEST_FPERIOD_OVERRIDE=FQ","FILING_STATUS=MR","SCALING_FORMAT=MLN","Sort=A","Dates=H","DateFormat=P","Fill=—","Direction=H","UseDPDF=Y")</f>
        <v>12.0059</v>
      </c>
      <c r="K26" s="13">
        <f>_xll.BDH("ITCI US Equity","ARD_ACCRUED_EXPENSES","FQ4 2020","FQ4 2020","Currency=USD","Period=FQ","BEST_FPERIOD_OVERRIDE=FQ","FILING_STATUS=MR","SCALING_FORMAT=MLN","Sort=A","Dates=H","DateFormat=P","Fill=—","Direction=H","UseDPDF=Y")</f>
        <v>14.907500000000001</v>
      </c>
      <c r="L26" s="13">
        <f>_xll.BDH("ITCI US Equity","ARD_ACCRUED_EXPENSES","FQ1 2021","FQ1 2021","Currency=USD","Period=FQ","BEST_FPERIOD_OVERRIDE=FQ","FILING_STATUS=MR","SCALING_FORMAT=MLN","Sort=A","Dates=H","DateFormat=P","Fill=—","Direction=H","UseDPDF=Y")</f>
        <v>11.915900000000001</v>
      </c>
      <c r="M26" s="13">
        <f>_xll.BDH("ITCI US Equity","ARD_ACCRUED_EXPENSES","FQ2 2021","FQ2 2021","Currency=USD","Period=FQ","BEST_FPERIOD_OVERRIDE=FQ","FILING_STATUS=MR","SCALING_FORMAT=MLN","Sort=A","Dates=H","DateFormat=P","Fill=—","Direction=H","UseDPDF=Y")</f>
        <v>14.832100000000001</v>
      </c>
      <c r="N26" s="13">
        <f>_xll.BDH("ITCI US Equity","ARD_ACCRUED_EXPENSES","FQ3 2021","FQ3 2021","Currency=USD","Period=FQ","BEST_FPERIOD_OVERRIDE=FQ","FILING_STATUS=MR","SCALING_FORMAT=MLN","Sort=A","Dates=H","DateFormat=P","Fill=—","Direction=H","UseDPDF=Y")</f>
        <v>14.854200000000001</v>
      </c>
      <c r="O26" s="13">
        <f>_xll.BDH("ITCI US Equity","ARD_ACCRUED_EXPENSES","FQ4 2021","FQ4 2021","Currency=USD","Period=FQ","BEST_FPERIOD_OVERRIDE=FQ","FILING_STATUS=MR","SCALING_FORMAT=MLN","Sort=A","Dates=H","DateFormat=P","Fill=—","Direction=H","UseDPDF=Y")</f>
        <v>26.860499999999998</v>
      </c>
      <c r="P26" s="13">
        <f>_xll.BDH("ITCI US Equity","ARD_ACCRUED_EXPENSES","FQ1 2022","FQ1 2022","Currency=USD","Period=FQ","BEST_FPERIOD_OVERRIDE=FQ","FILING_STATUS=MR","SCALING_FORMAT=MLN","Sort=A","Dates=H","DateFormat=P","Fill=—","Direction=H","UseDPDF=Y")</f>
        <v>27.530999999999999</v>
      </c>
      <c r="Q26" s="13">
        <f>_xll.BDH("ITCI US Equity","ARD_ACCRUED_EXPENSES","FQ2 2022","FQ2 2022","Currency=USD","Period=FQ","BEST_FPERIOD_OVERRIDE=FQ","FILING_STATUS=MR","SCALING_FORMAT=MLN","Sort=A","Dates=H","DateFormat=P","Fill=—","Direction=H","UseDPDF=Y")</f>
        <v>34.868000000000002</v>
      </c>
      <c r="R26" s="13">
        <f>_xll.BDH("ITCI US Equity","ARD_ACCRUED_EXPENSES","FQ3 2022","FQ3 2022","Currency=USD","Period=FQ","BEST_FPERIOD_OVERRIDE=FQ","FILING_STATUS=MR","SCALING_FORMAT=MLN","Sort=A","Dates=H","DateFormat=P","Fill=—","Direction=H","UseDPDF=Y")</f>
        <v>41.095999999999997</v>
      </c>
      <c r="S26" s="13">
        <f>_xll.BDH("ITCI US Equity","ARD_ACCRUED_EXPENSES","FQ4 2022","FQ4 2022","Currency=USD","Period=FQ","BEST_FPERIOD_OVERRIDE=FQ","FILING_STATUS=MR","SCALING_FORMAT=MLN","Sort=A","Dates=H","DateFormat=P","Fill=—","Direction=H","UseDPDF=Y")</f>
        <v>48.616999999999997</v>
      </c>
      <c r="T26" s="13">
        <f>_xll.BDH("ITCI US Equity","ARD_ACCRUED_EXPENSES","FQ1 2023","FQ1 2023","Currency=USD","Period=FQ","BEST_FPERIOD_OVERRIDE=FQ","FILING_STATUS=MR","SCALING_FORMAT=MLN","Sort=A","Dates=H","DateFormat=P","Fill=—","Direction=H","UseDPDF=Y")</f>
        <v>16.655999999999999</v>
      </c>
      <c r="U26" s="13">
        <f>_xll.BDH("ITCI US Equity","ARD_ACCRUED_EXPENSES","FQ2 2023","FQ2 2023","Currency=USD","Period=FQ","BEST_FPERIOD_OVERRIDE=FQ","FILING_STATUS=MR","SCALING_FORMAT=MLN","Sort=A","Dates=H","DateFormat=P","Fill=—","Direction=H","UseDPDF=Y")</f>
        <v>53.332999999999998</v>
      </c>
      <c r="V26" s="13">
        <f>_xll.BDH("ITCI US Equity","ARD_ACCRUED_EXPENSES","FQ3 2023","FQ3 2023","Currency=USD","Period=FQ","BEST_FPERIOD_OVERRIDE=FQ","FILING_STATUS=MR","SCALING_FORMAT=MLN","Sort=A","Dates=H","DateFormat=P","Fill=—","Direction=H","UseDPDF=Y")</f>
        <v>25.448</v>
      </c>
      <c r="W26" s="13">
        <f>_xll.BDH("ITCI US Equity","ARD_ACCRUED_EXPENSES","FQ4 2023","FQ4 2023","Currency=USD","Period=FQ","BEST_FPERIOD_OVERRIDE=FQ","FILING_STATUS=MR","SCALING_FORMAT=MLN","Sort=A","Dates=H","DateFormat=P","Fill=—","Direction=H","UseDPDF=Y")</f>
        <v>27.364000000000001</v>
      </c>
      <c r="X26" s="13">
        <f>_xll.BDH("ITCI US Equity","ARD_ACCRUED_EXPENSES","FQ1 2024","FQ1 2024","Currency=USD","Period=FQ","BEST_FPERIOD_OVERRIDE=FQ","FILING_STATUS=MR","SCALING_FORMAT=MLN","Sort=A","Dates=H","DateFormat=P","Fill=—","Direction=H","UseDPDF=Y")</f>
        <v>16.408999999999999</v>
      </c>
      <c r="Y26" s="13">
        <f>_xll.BDH("ITCI US Equity","ARD_ACCRUED_EXPENSES","FQ2 2024","FQ2 2024","Currency=USD","Period=FQ","BEST_FPERIOD_OVERRIDE=FQ","FILING_STATUS=MR","SCALING_FORMAT=MLN","Sort=A","Dates=H","DateFormat=P","Fill=—","Direction=H","UseDPDF=Y")</f>
        <v>22.372</v>
      </c>
      <c r="Z26" s="13">
        <f>_xll.BDH("ITCI US Equity","ARD_ACCRUED_EXPENSES","FQ3 2024","FQ3 2024","Currency=USD","Period=FQ","BEST_FPERIOD_OVERRIDE=FQ","FILING_STATUS=MR","SCALING_FORMAT=MLN","Sort=A","Dates=H","DateFormat=P","Fill=—","Direction=H","UseDPDF=Y")</f>
        <v>29.495999999999999</v>
      </c>
      <c r="AA26" s="13">
        <f>_xll.BDH("ITCI US Equity","ARD_ACCRUED_EXPENSES","FQ4 2024","FQ4 2024","Currency=USD","Period=FQ","BEST_FPERIOD_OVERRIDE=FQ","FILING_STATUS=MR","SCALING_FORMAT=MLN","Sort=A","Dates=H","DateFormat=P","Fill=—","Direction=H","UseDPDF=Y")</f>
        <v>34.774000000000001</v>
      </c>
    </row>
    <row r="27" spans="1:27" x14ac:dyDescent="0.25">
      <c r="A27" s="10" t="s">
        <v>721</v>
      </c>
      <c r="B27" s="10" t="s">
        <v>722</v>
      </c>
      <c r="C27" s="13">
        <f>_xll.BDH("ITCI US Equity","ARD_ACCRUED_EXP_AND_OTHER","FQ4 2018","FQ4 2018","Currency=USD","Period=FQ","BEST_FPERIOD_OVERRIDE=FQ","FILING_STATUS=MR","SCALING_FORMAT=MLN","Sort=A","Dates=H","DateFormat=P","Fill=—","Direction=H","UseDPDF=Y")</f>
        <v>20.044899999999998</v>
      </c>
      <c r="D27" s="13">
        <f>_xll.BDH("ITCI US Equity","ARD_ACCRUED_EXP_AND_OTHER","FQ1 2019","FQ1 2019","Currency=USD","Period=FQ","BEST_FPERIOD_OVERRIDE=FQ","FILING_STATUS=MR","SCALING_FORMAT=MLN","Sort=A","Dates=H","DateFormat=P","Fill=—","Direction=H","UseDPDF=Y")</f>
        <v>18.700600000000001</v>
      </c>
      <c r="E27" s="13">
        <f>_xll.BDH("ITCI US Equity","ARD_ACCRUED_EXP_AND_OTHER","FQ2 2019","FQ2 2019","Currency=USD","Period=FQ","BEST_FPERIOD_OVERRIDE=FQ","FILING_STATUS=MR","SCALING_FORMAT=MLN","Sort=A","Dates=H","DateFormat=P","Fill=—","Direction=H","UseDPDF=Y")</f>
        <v>18.801500000000001</v>
      </c>
      <c r="F27" s="13">
        <f>_xll.BDH("ITCI US Equity","ARD_ACCRUED_EXP_AND_OTHER","FQ3 2019","FQ3 2019","Currency=USD","Period=FQ","BEST_FPERIOD_OVERRIDE=FQ","FILING_STATUS=MR","SCALING_FORMAT=MLN","Sort=A","Dates=H","DateFormat=P","Fill=—","Direction=H","UseDPDF=Y")</f>
        <v>17.323599999999999</v>
      </c>
      <c r="G27" s="13">
        <f>_xll.BDH("ITCI US Equity","ARD_ACCRUED_EXP_AND_OTHER","FQ4 2019","FQ4 2019","Currency=USD","Period=FQ","BEST_FPERIOD_OVERRIDE=FQ","FILING_STATUS=MR","SCALING_FORMAT=MLN","Sort=A","Dates=H","DateFormat=P","Fill=—","Direction=H","UseDPDF=Y")</f>
        <v>16.1389</v>
      </c>
      <c r="H27" s="13">
        <f>_xll.BDH("ITCI US Equity","ARD_ACCRUED_EXP_AND_OTHER","FQ1 2020","FQ1 2020","Currency=USD","Period=FQ","BEST_FPERIOD_OVERRIDE=FQ","FILING_STATUS=MR","SCALING_FORMAT=MLN","Sort=A","Dates=H","DateFormat=P","Fill=—","Direction=H","UseDPDF=Y")</f>
        <v>10.6678</v>
      </c>
      <c r="I27" s="13">
        <f>_xll.BDH("ITCI US Equity","ARD_ACCRUED_EXP_AND_OTHER","FQ2 2020","FQ2 2020","Currency=USD","Period=FQ","BEST_FPERIOD_OVERRIDE=FQ","FILING_STATUS=MR","SCALING_FORMAT=MLN","Sort=A","Dates=H","DateFormat=P","Fill=—","Direction=H","UseDPDF=Y")</f>
        <v>19.383099999999999</v>
      </c>
      <c r="J27" s="13">
        <f>_xll.BDH("ITCI US Equity","ARD_ACCRUED_EXP_AND_OTHER","FQ3 2020","FQ3 2020","Currency=USD","Period=FQ","BEST_FPERIOD_OVERRIDE=FQ","FILING_STATUS=MR","SCALING_FORMAT=MLN","Sort=A","Dates=H","DateFormat=P","Fill=—","Direction=H","UseDPDF=Y")</f>
        <v>12.186400000000001</v>
      </c>
      <c r="K27" s="13">
        <f>_xll.BDH("ITCI US Equity","ARD_ACCRUED_EXP_AND_OTHER","FQ4 2020","FQ4 2020","Currency=USD","Period=FQ","BEST_FPERIOD_OVERRIDE=FQ","FILING_STATUS=MR","SCALING_FORMAT=MLN","Sort=A","Dates=H","DateFormat=P","Fill=—","Direction=H","UseDPDF=Y")</f>
        <v>10.902100000000001</v>
      </c>
      <c r="L27" s="13">
        <f>_xll.BDH("ITCI US Equity","ARD_ACCRUED_EXP_AND_OTHER","FQ1 2021","FQ1 2021","Currency=USD","Period=FQ","BEST_FPERIOD_OVERRIDE=FQ","FILING_STATUS=MR","SCALING_FORMAT=MLN","Sort=A","Dates=H","DateFormat=P","Fill=—","Direction=H","UseDPDF=Y")</f>
        <v>13.4916</v>
      </c>
      <c r="M27" s="13">
        <f>_xll.BDH("ITCI US Equity","ARD_ACCRUED_EXP_AND_OTHER","FQ2 2021","FQ2 2021","Currency=USD","Period=FQ","BEST_FPERIOD_OVERRIDE=FQ","FILING_STATUS=MR","SCALING_FORMAT=MLN","Sort=A","Dates=H","DateFormat=P","Fill=—","Direction=H","UseDPDF=Y")</f>
        <v>14.054</v>
      </c>
      <c r="N27" s="13">
        <f>_xll.BDH("ITCI US Equity","ARD_ACCRUED_EXP_AND_OTHER","FQ3 2021","FQ3 2021","Currency=USD","Period=FQ","BEST_FPERIOD_OVERRIDE=FQ","FILING_STATUS=MR","SCALING_FORMAT=MLN","Sort=A","Dates=H","DateFormat=P","Fill=—","Direction=H","UseDPDF=Y")</f>
        <v>16.928699999999999</v>
      </c>
      <c r="O27" s="13">
        <f>_xll.BDH("ITCI US Equity","ARD_ACCRUED_EXP_AND_OTHER","FQ4 2021","FQ4 2021","Currency=USD","Period=FQ","BEST_FPERIOD_OVERRIDE=FQ","FILING_STATUS=MR","SCALING_FORMAT=MLN","Sort=A","Dates=H","DateFormat=P","Fill=—","Direction=H","UseDPDF=Y")</f>
        <v>11.073</v>
      </c>
      <c r="P27" s="13">
        <f>_xll.BDH("ITCI US Equity","ARD_ACCRUED_EXP_AND_OTHER","FQ1 2022","FQ1 2022","Currency=USD","Period=FQ","BEST_FPERIOD_OVERRIDE=FQ","FILING_STATUS=MR","SCALING_FORMAT=MLN","Sort=A","Dates=H","DateFormat=P","Fill=—","Direction=H","UseDPDF=Y")</f>
        <v>12.257999999999999</v>
      </c>
      <c r="Q27" s="13">
        <f>_xll.BDH("ITCI US Equity","ARD_ACCRUED_EXP_AND_OTHER","FQ2 2022","FQ2 2022","Currency=USD","Period=FQ","BEST_FPERIOD_OVERRIDE=FQ","FILING_STATUS=MR","SCALING_FORMAT=MLN","Sort=A","Dates=H","DateFormat=P","Fill=—","Direction=H","UseDPDF=Y")</f>
        <v>17.274000000000001</v>
      </c>
      <c r="R27" s="13">
        <f>_xll.BDH("ITCI US Equity","ARD_ACCRUED_EXP_AND_OTHER","FQ3 2022","FQ3 2022","Currency=USD","Period=FQ","BEST_FPERIOD_OVERRIDE=FQ","FILING_STATUS=MR","SCALING_FORMAT=MLN","Sort=A","Dates=H","DateFormat=P","Fill=—","Direction=H","UseDPDF=Y")</f>
        <v>14.85</v>
      </c>
      <c r="S27" s="13">
        <f>_xll.BDH("ITCI US Equity","ARD_ACCRUED_EXP_AND_OTHER","FQ4 2022","FQ4 2022","Currency=USD","Period=FQ","BEST_FPERIOD_OVERRIDE=FQ","FILING_STATUS=MR","SCALING_FORMAT=MLN","Sort=A","Dates=H","DateFormat=P","Fill=—","Direction=H","UseDPDF=Y")</f>
        <v>19.657</v>
      </c>
      <c r="T27" s="13">
        <f>_xll.BDH("ITCI US Equity","ARD_ACCRUED_EXP_AND_OTHER","FQ1 2023","FQ1 2023","Currency=USD","Period=FQ","BEST_FPERIOD_OVERRIDE=FQ","FILING_STATUS=MR","SCALING_FORMAT=MLN","Sort=A","Dates=H","DateFormat=P","Fill=—","Direction=H","UseDPDF=Y")</f>
        <v>21.067</v>
      </c>
      <c r="U27" s="13">
        <f>_xll.BDH("ITCI US Equity","ARD_ACCRUED_EXP_AND_OTHER","FQ2 2023","FQ2 2023","Currency=USD","Period=FQ","BEST_FPERIOD_OVERRIDE=FQ","FILING_STATUS=MR","SCALING_FORMAT=MLN","Sort=A","Dates=H","DateFormat=P","Fill=—","Direction=H","UseDPDF=Y")</f>
        <v>27.456</v>
      </c>
      <c r="V27" s="13">
        <f>_xll.BDH("ITCI US Equity","ARD_ACCRUED_EXP_AND_OTHER","FQ3 2023","FQ3 2023","Currency=USD","Period=FQ","BEST_FPERIOD_OVERRIDE=FQ","FILING_STATUS=MR","SCALING_FORMAT=MLN","Sort=A","Dates=H","DateFormat=P","Fill=—","Direction=H","UseDPDF=Y")</f>
        <v>27.829000000000001</v>
      </c>
      <c r="W27" s="13">
        <f>_xll.BDH("ITCI US Equity","ARD_ACCRUED_EXP_AND_OTHER","FQ4 2023","FQ4 2023","Currency=USD","Period=FQ","BEST_FPERIOD_OVERRIDE=FQ","FILING_STATUS=MR","SCALING_FORMAT=MLN","Sort=A","Dates=H","DateFormat=P","Fill=—","Direction=H","UseDPDF=Y")</f>
        <v>27.943999999999999</v>
      </c>
      <c r="X27" s="13">
        <f>_xll.BDH("ITCI US Equity","ARD_ACCRUED_EXP_AND_OTHER","FQ1 2024","FQ1 2024","Currency=USD","Period=FQ","BEST_FPERIOD_OVERRIDE=FQ","FILING_STATUS=MR","SCALING_FORMAT=MLN","Sort=A","Dates=H","DateFormat=P","Fill=—","Direction=H","UseDPDF=Y")</f>
        <v>33.249000000000002</v>
      </c>
      <c r="Y27" s="13">
        <f>_xll.BDH("ITCI US Equity","ARD_ACCRUED_EXP_AND_OTHER","FQ2 2024","FQ2 2024","Currency=USD","Period=FQ","BEST_FPERIOD_OVERRIDE=FQ","FILING_STATUS=MR","SCALING_FORMAT=MLN","Sort=A","Dates=H","DateFormat=P","Fill=—","Direction=H","UseDPDF=Y")</f>
        <v>39.713000000000001</v>
      </c>
      <c r="Z27" s="13">
        <f>_xll.BDH("ITCI US Equity","ARD_ACCRUED_EXP_AND_OTHER","FQ3 2024","FQ3 2024","Currency=USD","Period=FQ","BEST_FPERIOD_OVERRIDE=FQ","FILING_STATUS=MR","SCALING_FORMAT=MLN","Sort=A","Dates=H","DateFormat=P","Fill=—","Direction=H","UseDPDF=Y")</f>
        <v>51.54</v>
      </c>
      <c r="AA27" s="13">
        <f>_xll.BDH("ITCI US Equity","ARD_ACCRUED_EXP_AND_OTHER","FQ4 2024","FQ4 2024","Currency=USD","Period=FQ","BEST_FPERIOD_OVERRIDE=FQ","FILING_STATUS=MR","SCALING_FORMAT=MLN","Sort=A","Dates=H","DateFormat=P","Fill=—","Direction=H","UseDPDF=Y")</f>
        <v>65.215000000000003</v>
      </c>
    </row>
    <row r="28" spans="1:27" x14ac:dyDescent="0.25">
      <c r="A28" s="10" t="s">
        <v>723</v>
      </c>
      <c r="B28" s="10" t="s">
        <v>724</v>
      </c>
      <c r="C28" s="13" t="str">
        <f>_xll.BDH("ITCI US Equity","ARD_ST_OPERATING_LEASE_LIABS","FQ4 2018","FQ4 2018","Currency=USD","Period=FQ","BEST_FPERIOD_OVERRIDE=FQ","FILING_STATUS=MR","Sort=A","Dates=H","DateFormat=P","Fill=—","Direction=H","UseDPDF=Y")</f>
        <v>—</v>
      </c>
      <c r="D28" s="13">
        <f>_xll.BDH("ITCI US Equity","ARD_ST_OPERATING_LEASE_LIABS","FQ1 2019","FQ1 2019","Currency=USD","Period=FQ","BEST_FPERIOD_OVERRIDE=FQ","FILING_STATUS=MR","Sort=A","Dates=H","DateFormat=P","Fill=—","Direction=H","UseDPDF=Y")</f>
        <v>2.8730000000000002</v>
      </c>
      <c r="E28" s="13">
        <f>_xll.BDH("ITCI US Equity","ARD_ST_OPERATING_LEASE_LIABS","FQ2 2019","FQ2 2019","Currency=USD","Period=FQ","BEST_FPERIOD_OVERRIDE=FQ","FILING_STATUS=MR","Sort=A","Dates=H","DateFormat=P","Fill=—","Direction=H","UseDPDF=Y")</f>
        <v>2.2629999999999999</v>
      </c>
      <c r="F28" s="13">
        <f>_xll.BDH("ITCI US Equity","ARD_ST_OPERATING_LEASE_LIABS","FQ3 2019","FQ3 2019","Currency=USD","Period=FQ","BEST_FPERIOD_OVERRIDE=FQ","FILING_STATUS=MR","Sort=A","Dates=H","DateFormat=P","Fill=—","Direction=H","UseDPDF=Y")</f>
        <v>2.2869000000000002</v>
      </c>
      <c r="G28" s="13">
        <f>_xll.BDH("ITCI US Equity","ARD_ST_OPERATING_LEASE_LIABS","FQ4 2019","FQ4 2019","Currency=USD","Period=FQ","BEST_FPERIOD_OVERRIDE=FQ","FILING_STATUS=MR","Sort=A","Dates=H","DateFormat=P","Fill=—","Direction=H","UseDPDF=Y")</f>
        <v>3.1873999999999998</v>
      </c>
      <c r="H28" s="13">
        <f>_xll.BDH("ITCI US Equity","ARD_ST_OPERATING_LEASE_LIABS","FQ1 2020","FQ1 2020","Currency=USD","Period=FQ","BEST_FPERIOD_OVERRIDE=FQ","FILING_STATUS=MR","Sort=A","Dates=H","DateFormat=P","Fill=—","Direction=H","UseDPDF=Y")</f>
        <v>3.2111999999999998</v>
      </c>
      <c r="I28" s="13">
        <f>_xll.BDH("ITCI US Equity","ARD_ST_OPERATING_LEASE_LIABS","FQ2 2020","FQ2 2020","Currency=USD","Period=FQ","BEST_FPERIOD_OVERRIDE=FQ","FILING_STATUS=MR","Sort=A","Dates=H","DateFormat=P","Fill=—","Direction=H","UseDPDF=Y")</f>
        <v>3.9739</v>
      </c>
      <c r="J28" s="13">
        <f>_xll.BDH("ITCI US Equity","ARD_ST_OPERATING_LEASE_LIABS","FQ3 2020","FQ3 2020","Currency=USD","Period=FQ","BEST_FPERIOD_OVERRIDE=FQ","FILING_STATUS=MR","Sort=A","Dates=H","DateFormat=P","Fill=—","Direction=H","UseDPDF=Y")</f>
        <v>5.2672999999999996</v>
      </c>
      <c r="K28" s="13">
        <f>_xll.BDH("ITCI US Equity","ARD_ST_OPERATING_LEASE_LIABS","FQ4 2020","FQ4 2020","Currency=USD","Period=FQ","BEST_FPERIOD_OVERRIDE=FQ","FILING_STATUS=MR","Sort=A","Dates=H","DateFormat=P","Fill=—","Direction=H","UseDPDF=Y")</f>
        <v>5.5418000000000003</v>
      </c>
      <c r="L28" s="13">
        <f>_xll.BDH("ITCI US Equity","ARD_ST_OPERATING_LEASE_LIABS","FQ1 2021","FQ1 2021","Currency=USD","Period=FQ","BEST_FPERIOD_OVERRIDE=FQ","FILING_STATUS=MR","Sort=A","Dates=H","DateFormat=P","Fill=—","Direction=H","UseDPDF=Y")</f>
        <v>5.5731999999999999</v>
      </c>
      <c r="M28" s="13">
        <f>_xll.BDH("ITCI US Equity","ARD_ST_OPERATING_LEASE_LIABS","FQ2 2021","FQ2 2021","Currency=USD","Period=FQ","BEST_FPERIOD_OVERRIDE=FQ","FILING_STATUS=MR","Sort=A","Dates=H","DateFormat=P","Fill=—","Direction=H","UseDPDF=Y")</f>
        <v>5.5951000000000004</v>
      </c>
      <c r="N28" s="13">
        <f>_xll.BDH("ITCI US Equity","ARD_ST_OPERATING_LEASE_LIABS","FQ3 2021","FQ3 2021","Currency=USD","Period=FQ","BEST_FPERIOD_OVERRIDE=FQ","FILING_STATUS=MR","Sort=A","Dates=H","DateFormat=P","Fill=—","Direction=H","UseDPDF=Y")</f>
        <v>6.0820999999999996</v>
      </c>
      <c r="O28" s="13">
        <f>_xll.BDH("ITCI US Equity","ARD_ST_OPERATING_LEASE_LIABS","FQ4 2021","FQ4 2021","Currency=USD","Period=FQ","BEST_FPERIOD_OVERRIDE=FQ","FILING_STATUS=MR","Sort=A","Dates=H","DateFormat=P","Fill=—","Direction=H","UseDPDF=Y")</f>
        <v>6.7317999999999998</v>
      </c>
      <c r="P28" s="13">
        <f>_xll.BDH("ITCI US Equity","ARD_ST_OPERATING_LEASE_LIABS","FQ1 2022","FQ1 2022","Currency=USD","Period=FQ","BEST_FPERIOD_OVERRIDE=FQ","FILING_STATUS=MR","Sort=A","Dates=H","DateFormat=P","Fill=—","Direction=H","UseDPDF=Y")</f>
        <v>7.6360000000000001</v>
      </c>
      <c r="Q28" s="13">
        <f>_xll.BDH("ITCI US Equity","ARD_ST_OPERATING_LEASE_LIABS","FQ2 2022","FQ2 2022","Currency=USD","Period=FQ","BEST_FPERIOD_OVERRIDE=FQ","FILING_STATUS=MR","Sort=A","Dates=H","DateFormat=P","Fill=—","Direction=H","UseDPDF=Y")</f>
        <v>7.7430000000000003</v>
      </c>
      <c r="R28" s="13">
        <f>_xll.BDH("ITCI US Equity","ARD_ST_OPERATING_LEASE_LIABS","FQ3 2022","FQ3 2022","Currency=USD","Period=FQ","BEST_FPERIOD_OVERRIDE=FQ","FILING_STATUS=MR","Sort=A","Dates=H","DateFormat=P","Fill=—","Direction=H","UseDPDF=Y")</f>
        <v>7.2450000000000001</v>
      </c>
      <c r="S28" s="13">
        <f>_xll.BDH("ITCI US Equity","ARD_ST_OPERATING_LEASE_LIABS","FQ4 2022","FQ4 2022","Currency=USD","Period=FQ","BEST_FPERIOD_OVERRIDE=FQ","FILING_STATUS=MR","Sort=A","Dates=H","DateFormat=P","Fill=—","Direction=H","UseDPDF=Y")</f>
        <v>4.5670000000000002</v>
      </c>
      <c r="T28" s="13">
        <f>_xll.BDH("ITCI US Equity","ARD_ST_OPERATING_LEASE_LIABS","FQ1 2023","FQ1 2023","Currency=USD","Period=FQ","BEST_FPERIOD_OVERRIDE=FQ","FILING_STATUS=MR","Sort=A","Dates=H","DateFormat=P","Fill=—","Direction=H","UseDPDF=Y")</f>
        <v>3.5310000000000001</v>
      </c>
      <c r="U28" s="13">
        <f>_xll.BDH("ITCI US Equity","ARD_ST_OPERATING_LEASE_LIABS","FQ2 2023","FQ2 2023","Currency=USD","Period=FQ","BEST_FPERIOD_OVERRIDE=FQ","FILING_STATUS=MR","Sort=A","Dates=H","DateFormat=P","Fill=—","Direction=H","UseDPDF=Y")</f>
        <v>3.5579999999999998</v>
      </c>
      <c r="V28" s="13">
        <f>_xll.BDH("ITCI US Equity","ARD_ST_OPERATING_LEASE_LIABS","FQ3 2023","FQ3 2023","Currency=USD","Period=FQ","BEST_FPERIOD_OVERRIDE=FQ","FILING_STATUS=MR","Sort=A","Dates=H","DateFormat=P","Fill=—","Direction=H","UseDPDF=Y")</f>
        <v>3.5840000000000001</v>
      </c>
      <c r="W28" s="13">
        <f>_xll.BDH("ITCI US Equity","ARD_ST_OPERATING_LEASE_LIABS","FQ4 2023","FQ4 2023","Currency=USD","Period=FQ","BEST_FPERIOD_OVERRIDE=FQ","FILING_STATUS=MR","Sort=A","Dates=H","DateFormat=P","Fill=—","Direction=H","UseDPDF=Y")</f>
        <v>3.6120000000000001</v>
      </c>
      <c r="X28" s="13">
        <f>_xll.BDH("ITCI US Equity","ARD_ST_OPERATING_LEASE_LIABS","FQ1 2024","FQ1 2024","Currency=USD","Period=FQ","BEST_FPERIOD_OVERRIDE=FQ","FILING_STATUS=MR","Sort=A","Dates=H","DateFormat=P","Fill=—","Direction=H","UseDPDF=Y")</f>
        <v>3.6389999999999998</v>
      </c>
      <c r="Y28" s="13">
        <f>_xll.BDH("ITCI US Equity","ARD_ST_OPERATING_LEASE_LIABS","FQ2 2024","FQ2 2024","Currency=USD","Period=FQ","BEST_FPERIOD_OVERRIDE=FQ","FILING_STATUS=MR","Sort=A","Dates=H","DateFormat=P","Fill=—","Direction=H","UseDPDF=Y")</f>
        <v>4.1710000000000003</v>
      </c>
      <c r="Z28" s="13">
        <f>_xll.BDH("ITCI US Equity","ARD_ST_OPERATING_LEASE_LIABS","FQ3 2024","FQ3 2024","Currency=USD","Period=FQ","BEST_FPERIOD_OVERRIDE=FQ","FILING_STATUS=MR","Sort=A","Dates=H","DateFormat=P","Fill=—","Direction=H","UseDPDF=Y")</f>
        <v>4.2030000000000003</v>
      </c>
      <c r="AA28" s="13">
        <f>_xll.BDH("ITCI US Equity","ARD_ST_OPERATING_LEASE_LIABS","FQ4 2024","FQ4 2024","Currency=USD","Period=FQ","BEST_FPERIOD_OVERRIDE=FQ","FILING_STATUS=MR","Sort=A","Dates=H","DateFormat=P","Fill=—","Direction=H","UseDPDF=Y")</f>
        <v>4.2329999999999997</v>
      </c>
    </row>
    <row r="29" spans="1:27" x14ac:dyDescent="0.25">
      <c r="A29" s="6" t="s">
        <v>114</v>
      </c>
      <c r="B29" s="6" t="s">
        <v>725</v>
      </c>
      <c r="C29" s="19">
        <f>_xll.BDH("ITCI US Equity","ARD_TOTAL_CURRENT_LIABILITIES","FQ4 2018","FQ4 2018","Currency=USD","Period=FQ","BEST_FPERIOD_OVERRIDE=FQ","FILING_STATUS=MR","SCALING_FORMAT=MLN","Sort=A","Dates=H","DateFormat=P","Fill=—","Direction=H","UseDPDF=Y")</f>
        <v>36.299199999999999</v>
      </c>
      <c r="D29" s="19">
        <f>_xll.BDH("ITCI US Equity","ARD_TOTAL_CURRENT_LIABILITIES","FQ1 2019","FQ1 2019","Currency=USD","Period=FQ","BEST_FPERIOD_OVERRIDE=FQ","FILING_STATUS=MR","SCALING_FORMAT=MLN","Sort=A","Dates=H","DateFormat=P","Fill=—","Direction=H","UseDPDF=Y")</f>
        <v>33.499299999999998</v>
      </c>
      <c r="E29" s="19">
        <f>_xll.BDH("ITCI US Equity","ARD_TOTAL_CURRENT_LIABILITIES","FQ2 2019","FQ2 2019","Currency=USD","Period=FQ","BEST_FPERIOD_OVERRIDE=FQ","FILING_STATUS=MR","SCALING_FORMAT=MLN","Sort=A","Dates=H","DateFormat=P","Fill=—","Direction=H","UseDPDF=Y")</f>
        <v>32.526499999999999</v>
      </c>
      <c r="F29" s="19">
        <f>_xll.BDH("ITCI US Equity","ARD_TOTAL_CURRENT_LIABILITIES","FQ3 2019","FQ3 2019","Currency=USD","Period=FQ","BEST_FPERIOD_OVERRIDE=FQ","FILING_STATUS=MR","SCALING_FORMAT=MLN","Sort=A","Dates=H","DateFormat=P","Fill=—","Direction=H","UseDPDF=Y")</f>
        <v>33.373100000000001</v>
      </c>
      <c r="G29" s="19">
        <f>_xll.BDH("ITCI US Equity","ARD_TOTAL_CURRENT_LIABILITIES","FQ4 2019","FQ4 2019","Currency=USD","Period=FQ","BEST_FPERIOD_OVERRIDE=FQ","FILING_STATUS=MR","SCALING_FORMAT=MLN","Sort=A","Dates=H","DateFormat=P","Fill=—","Direction=H","UseDPDF=Y")</f>
        <v>36.223999999999997</v>
      </c>
      <c r="H29" s="19">
        <f>_xll.BDH("ITCI US Equity","ARD_TOTAL_CURRENT_LIABILITIES","FQ1 2020","FQ1 2020","Currency=USD","Period=FQ","BEST_FPERIOD_OVERRIDE=FQ","FILING_STATUS=MR","SCALING_FORMAT=MLN","Sort=A","Dates=H","DateFormat=P","Fill=—","Direction=H","UseDPDF=Y")</f>
        <v>31.0764</v>
      </c>
      <c r="I29" s="19">
        <f>_xll.BDH("ITCI US Equity","ARD_TOTAL_CURRENT_LIABILITIES","FQ2 2020","FQ2 2020","Currency=USD","Period=FQ","BEST_FPERIOD_OVERRIDE=FQ","FILING_STATUS=MR","SCALING_FORMAT=MLN","Sort=A","Dates=H","DateFormat=P","Fill=—","Direction=H","UseDPDF=Y")</f>
        <v>40.242699999999999</v>
      </c>
      <c r="J29" s="19">
        <f>_xll.BDH("ITCI US Equity","ARD_TOTAL_CURRENT_LIABILITIES","FQ3 2020","FQ3 2020","Currency=USD","Period=FQ","BEST_FPERIOD_OVERRIDE=FQ","FILING_STATUS=MR","SCALING_FORMAT=MLN","Sort=A","Dates=H","DateFormat=P","Fill=—","Direction=H","UseDPDF=Y")</f>
        <v>38.028700000000001</v>
      </c>
      <c r="K29" s="19">
        <f>_xll.BDH("ITCI US Equity","ARD_TOTAL_CURRENT_LIABILITIES","FQ4 2020","FQ4 2020","Currency=USD","Period=FQ","BEST_FPERIOD_OVERRIDE=FQ","FILING_STATUS=MR","SCALING_FORMAT=MLN","Sort=A","Dates=H","DateFormat=P","Fill=—","Direction=H","UseDPDF=Y")</f>
        <v>36.853200000000001</v>
      </c>
      <c r="L29" s="19">
        <f>_xll.BDH("ITCI US Equity","ARD_TOTAL_CURRENT_LIABILITIES","FQ1 2021","FQ1 2021","Currency=USD","Period=FQ","BEST_FPERIOD_OVERRIDE=FQ","FILING_STATUS=MR","SCALING_FORMAT=MLN","Sort=A","Dates=H","DateFormat=P","Fill=—","Direction=H","UseDPDF=Y")</f>
        <v>39.701700000000002</v>
      </c>
      <c r="M29" s="19">
        <f>_xll.BDH("ITCI US Equity","ARD_TOTAL_CURRENT_LIABILITIES","FQ2 2021","FQ2 2021","Currency=USD","Period=FQ","BEST_FPERIOD_OVERRIDE=FQ","FILING_STATUS=MR","SCALING_FORMAT=MLN","Sort=A","Dates=H","DateFormat=P","Fill=—","Direction=H","UseDPDF=Y")</f>
        <v>50.421900000000001</v>
      </c>
      <c r="N29" s="19">
        <f>_xll.BDH("ITCI US Equity","ARD_TOTAL_CURRENT_LIABILITIES","FQ3 2021","FQ3 2021","Currency=USD","Period=FQ","BEST_FPERIOD_OVERRIDE=FQ","FILING_STATUS=MR","SCALING_FORMAT=MLN","Sort=A","Dates=H","DateFormat=P","Fill=—","Direction=H","UseDPDF=Y")</f>
        <v>49.895600000000002</v>
      </c>
      <c r="O29" s="19">
        <f>_xll.BDH("ITCI US Equity","ARD_TOTAL_CURRENT_LIABILITIES","FQ4 2021","FQ4 2021","Currency=USD","Period=FQ","BEST_FPERIOD_OVERRIDE=FQ","FILING_STATUS=MR","SCALING_FORMAT=MLN","Sort=A","Dates=H","DateFormat=P","Fill=—","Direction=H","UseDPDF=Y")</f>
        <v>53.356499999999997</v>
      </c>
      <c r="P29" s="19">
        <f>_xll.BDH("ITCI US Equity","ARD_TOTAL_CURRENT_LIABILITIES","FQ1 2022","FQ1 2022","Currency=USD","Period=FQ","BEST_FPERIOD_OVERRIDE=FQ","FILING_STATUS=MR","SCALING_FORMAT=MLN","Sort=A","Dates=H","DateFormat=P","Fill=—","Direction=H","UseDPDF=Y")</f>
        <v>59.073999999999998</v>
      </c>
      <c r="Q29" s="19">
        <f>_xll.BDH("ITCI US Equity","ARD_TOTAL_CURRENT_LIABILITIES","FQ2 2022","FQ2 2022","Currency=USD","Period=FQ","BEST_FPERIOD_OVERRIDE=FQ","FILING_STATUS=MR","SCALING_FORMAT=MLN","Sort=A","Dates=H","DateFormat=P","Fill=—","Direction=H","UseDPDF=Y")</f>
        <v>70.634</v>
      </c>
      <c r="R29" s="19">
        <f>_xll.BDH("ITCI US Equity","ARD_TOTAL_CURRENT_LIABILITIES","FQ3 2022","FQ3 2022","Currency=USD","Period=FQ","BEST_FPERIOD_OVERRIDE=FQ","FILING_STATUS=MR","SCALING_FORMAT=MLN","Sort=A","Dates=H","DateFormat=P","Fill=—","Direction=H","UseDPDF=Y")</f>
        <v>77.41</v>
      </c>
      <c r="S29" s="19">
        <f>_xll.BDH("ITCI US Equity","ARD_TOTAL_CURRENT_LIABILITIES","FQ4 2022","FQ4 2022","Currency=USD","Period=FQ","BEST_FPERIOD_OVERRIDE=FQ","FILING_STATUS=MR","SCALING_FORMAT=MLN","Sort=A","Dates=H","DateFormat=P","Fill=—","Direction=H","UseDPDF=Y")</f>
        <v>83.236000000000004</v>
      </c>
      <c r="T29" s="19">
        <f>_xll.BDH("ITCI US Equity","ARD_TOTAL_CURRENT_LIABILITIES","FQ1 2023","FQ1 2023","Currency=USD","Period=FQ","BEST_FPERIOD_OVERRIDE=FQ","FILING_STATUS=MR","SCALING_FORMAT=MLN","Sort=A","Dates=H","DateFormat=P","Fill=—","Direction=H","UseDPDF=Y")</f>
        <v>79.587000000000003</v>
      </c>
      <c r="U29" s="19">
        <f>_xll.BDH("ITCI US Equity","ARD_TOTAL_CURRENT_LIABILITIES","FQ2 2023","FQ2 2023","Currency=USD","Period=FQ","BEST_FPERIOD_OVERRIDE=FQ","FILING_STATUS=MR","SCALING_FORMAT=MLN","Sort=A","Dates=H","DateFormat=P","Fill=—","Direction=H","UseDPDF=Y")</f>
        <v>92.08</v>
      </c>
      <c r="V29" s="19">
        <f>_xll.BDH("ITCI US Equity","ARD_TOTAL_CURRENT_LIABILITIES","FQ3 2023","FQ3 2023","Currency=USD","Period=FQ","BEST_FPERIOD_OVERRIDE=FQ","FILING_STATUS=MR","SCALING_FORMAT=MLN","Sort=A","Dates=H","DateFormat=P","Fill=—","Direction=H","UseDPDF=Y")</f>
        <v>103.092</v>
      </c>
      <c r="W29" s="19">
        <f>_xll.BDH("ITCI US Equity","ARD_TOTAL_CURRENT_LIABILITIES","FQ4 2023","FQ4 2023","Currency=USD","Period=FQ","BEST_FPERIOD_OVERRIDE=FQ","FILING_STATUS=MR","SCALING_FORMAT=MLN","Sort=A","Dates=H","DateFormat=P","Fill=—","Direction=H","UseDPDF=Y")</f>
        <v>123.545</v>
      </c>
      <c r="X29" s="19">
        <f>_xll.BDH("ITCI US Equity","ARD_TOTAL_CURRENT_LIABILITIES","FQ1 2024","FQ1 2024","Currency=USD","Period=FQ","BEST_FPERIOD_OVERRIDE=FQ","FILING_STATUS=MR","SCALING_FORMAT=MLN","Sort=A","Dates=H","DateFormat=P","Fill=—","Direction=H","UseDPDF=Y")</f>
        <v>134.80099999999999</v>
      </c>
      <c r="Y29" s="19">
        <f>_xll.BDH("ITCI US Equity","ARD_TOTAL_CURRENT_LIABILITIES","FQ2 2024","FQ2 2024","Currency=USD","Period=FQ","BEST_FPERIOD_OVERRIDE=FQ","FILING_STATUS=MR","SCALING_FORMAT=MLN","Sort=A","Dates=H","DateFormat=P","Fill=—","Direction=H","UseDPDF=Y")</f>
        <v>161.77500000000001</v>
      </c>
      <c r="Z29" s="19">
        <f>_xll.BDH("ITCI US Equity","ARD_TOTAL_CURRENT_LIABILITIES","FQ3 2024","FQ3 2024","Currency=USD","Period=FQ","BEST_FPERIOD_OVERRIDE=FQ","FILING_STATUS=MR","SCALING_FORMAT=MLN","Sort=A","Dates=H","DateFormat=P","Fill=—","Direction=H","UseDPDF=Y")</f>
        <v>166.113</v>
      </c>
      <c r="AA29" s="19">
        <f>_xll.BDH("ITCI US Equity","ARD_TOTAL_CURRENT_LIABILITIES","FQ4 2024","FQ4 2024","Currency=USD","Period=FQ","BEST_FPERIOD_OVERRIDE=FQ","FILING_STATUS=MR","SCALING_FORMAT=MLN","Sort=A","Dates=H","DateFormat=P","Fill=—","Direction=H","UseDPDF=Y")</f>
        <v>205.70400000000001</v>
      </c>
    </row>
    <row r="30" spans="1:27" x14ac:dyDescent="0.25">
      <c r="A30" s="10" t="s">
        <v>726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x14ac:dyDescent="0.25">
      <c r="A31" s="10" t="s">
        <v>641</v>
      </c>
      <c r="B31" s="10" t="s">
        <v>727</v>
      </c>
      <c r="C31" s="13" t="str">
        <f>_xll.BDH("ITCI US Equity","ARD_TOT_NONCURRENT_LIABILITIES","FQ4 2018","FQ4 2018","Currency=USD","Period=FQ","BEST_FPERIOD_OVERRIDE=FQ","FILING_STATUS=MR","SCALING_FORMAT=MLN","Sort=A","Dates=H","DateFormat=P","Fill=—","Direction=H","UseDPDF=Y")</f>
        <v>—</v>
      </c>
      <c r="D31" s="13" t="str">
        <f>_xll.BDH("ITCI US Equity","ARD_TOT_NONCURRENT_LIABILITIES","FQ1 2019","FQ1 2019","Currency=USD","Period=FQ","BEST_FPERIOD_OVERRIDE=FQ","FILING_STATUS=MR","SCALING_FORMAT=MLN","Sort=A","Dates=H","DateFormat=P","Fill=—","Direction=H","UseDPDF=Y")</f>
        <v>—</v>
      </c>
      <c r="E31" s="13" t="str">
        <f>_xll.BDH("ITCI US Equity","ARD_TOT_NONCURRENT_LIABILITIES","FQ2 2019","FQ2 2019","Currency=USD","Period=FQ","BEST_FPERIOD_OVERRIDE=FQ","FILING_STATUS=MR","SCALING_FORMAT=MLN","Sort=A","Dates=H","DateFormat=P","Fill=—","Direction=H","UseDPDF=Y")</f>
        <v>—</v>
      </c>
      <c r="F31" s="13" t="str">
        <f>_xll.BDH("ITCI US Equity","ARD_TOT_NONCURRENT_LIABILITIES","FQ3 2019","FQ3 2019","Currency=USD","Period=FQ","BEST_FPERIOD_OVERRIDE=FQ","FILING_STATUS=MR","SCALING_FORMAT=MLN","Sort=A","Dates=H","DateFormat=P","Fill=—","Direction=H","UseDPDF=Y")</f>
        <v>—</v>
      </c>
      <c r="G31" s="13" t="str">
        <f>_xll.BDH("ITCI US Equity","ARD_TOT_NONCURRENT_LIABILITIES","FQ4 2019","FQ4 2019","Currency=USD","Period=FQ","BEST_FPERIOD_OVERRIDE=FQ","FILING_STATUS=MR","SCALING_FORMAT=MLN","Sort=A","Dates=H","DateFormat=P","Fill=—","Direction=H","UseDPDF=Y")</f>
        <v>—</v>
      </c>
      <c r="H31" s="13" t="str">
        <f>_xll.BDH("ITCI US Equity","ARD_TOT_NONCURRENT_LIABILITIES","FQ1 2020","FQ1 2020","Currency=USD","Period=FQ","BEST_FPERIOD_OVERRIDE=FQ","FILING_STATUS=MR","SCALING_FORMAT=MLN","Sort=A","Dates=H","DateFormat=P","Fill=—","Direction=H","UseDPDF=Y")</f>
        <v>—</v>
      </c>
      <c r="I31" s="13" t="str">
        <f>_xll.BDH("ITCI US Equity","ARD_TOT_NONCURRENT_LIABILITIES","FQ2 2020","FQ2 2020","Currency=USD","Period=FQ","BEST_FPERIOD_OVERRIDE=FQ","FILING_STATUS=MR","SCALING_FORMAT=MLN","Sort=A","Dates=H","DateFormat=P","Fill=—","Direction=H","UseDPDF=Y")</f>
        <v>—</v>
      </c>
      <c r="J31" s="13" t="str">
        <f>_xll.BDH("ITCI US Equity","ARD_TOT_NONCURRENT_LIABILITIES","FQ3 2020","FQ3 2020","Currency=USD","Period=FQ","BEST_FPERIOD_OVERRIDE=FQ","FILING_STATUS=MR","SCALING_FORMAT=MLN","Sort=A","Dates=H","DateFormat=P","Fill=—","Direction=H","UseDPDF=Y")</f>
        <v>—</v>
      </c>
      <c r="K31" s="13" t="str">
        <f>_xll.BDH("ITCI US Equity","ARD_TOT_NONCURRENT_LIABILITIES","FQ4 2020","FQ4 2020","Currency=USD","Period=FQ","BEST_FPERIOD_OVERRIDE=FQ","FILING_STATUS=MR","SCALING_FORMAT=MLN","Sort=A","Dates=H","DateFormat=P","Fill=—","Direction=H","UseDPDF=Y")</f>
        <v>—</v>
      </c>
      <c r="L31" s="13" t="str">
        <f>_xll.BDH("ITCI US Equity","ARD_TOT_NONCURRENT_LIABILITIES","FQ1 2021","FQ1 2021","Currency=USD","Period=FQ","BEST_FPERIOD_OVERRIDE=FQ","FILING_STATUS=MR","SCALING_FORMAT=MLN","Sort=A","Dates=H","DateFormat=P","Fill=—","Direction=H","UseDPDF=Y")</f>
        <v>—</v>
      </c>
      <c r="M31" s="13" t="str">
        <f>_xll.BDH("ITCI US Equity","ARD_TOT_NONCURRENT_LIABILITIES","FQ2 2021","FQ2 2021","Currency=USD","Period=FQ","BEST_FPERIOD_OVERRIDE=FQ","FILING_STATUS=MR","SCALING_FORMAT=MLN","Sort=A","Dates=H","DateFormat=P","Fill=—","Direction=H","UseDPDF=Y")</f>
        <v>—</v>
      </c>
      <c r="N31" s="13" t="str">
        <f>_xll.BDH("ITCI US Equity","ARD_TOT_NONCURRENT_LIABILITIES","FQ3 2021","FQ3 2021","Currency=USD","Period=FQ","BEST_FPERIOD_OVERRIDE=FQ","FILING_STATUS=MR","SCALING_FORMAT=MLN","Sort=A","Dates=H","DateFormat=P","Fill=—","Direction=H","UseDPDF=Y")</f>
        <v>—</v>
      </c>
      <c r="O31" s="13" t="str">
        <f>_xll.BDH("ITCI US Equity","ARD_TOT_NONCURRENT_LIABILITIES","FQ4 2021","FQ4 2021","Currency=USD","Period=FQ","BEST_FPERIOD_OVERRIDE=FQ","FILING_STATUS=MR","SCALING_FORMAT=MLN","Sort=A","Dates=H","DateFormat=P","Fill=—","Direction=H","UseDPDF=Y")</f>
        <v>—</v>
      </c>
      <c r="P31" s="13" t="str">
        <f>_xll.BDH("ITCI US Equity","ARD_TOT_NONCURRENT_LIABILITIES","FQ1 2022","FQ1 2022","Currency=USD","Period=FQ","BEST_FPERIOD_OVERRIDE=FQ","FILING_STATUS=MR","SCALING_FORMAT=MLN","Sort=A","Dates=H","DateFormat=P","Fill=—","Direction=H","UseDPDF=Y")</f>
        <v>—</v>
      </c>
      <c r="Q31" s="13" t="str">
        <f>_xll.BDH("ITCI US Equity","ARD_TOT_NONCURRENT_LIABILITIES","FQ2 2022","FQ2 2022","Currency=USD","Period=FQ","BEST_FPERIOD_OVERRIDE=FQ","FILING_STATUS=MR","SCALING_FORMAT=MLN","Sort=A","Dates=H","DateFormat=P","Fill=—","Direction=H","UseDPDF=Y")</f>
        <v>—</v>
      </c>
      <c r="R31" s="13" t="str">
        <f>_xll.BDH("ITCI US Equity","ARD_TOT_NONCURRENT_LIABILITIES","FQ3 2022","FQ3 2022","Currency=USD","Period=FQ","BEST_FPERIOD_OVERRIDE=FQ","FILING_STATUS=MR","SCALING_FORMAT=MLN","Sort=A","Dates=H","DateFormat=P","Fill=—","Direction=H","UseDPDF=Y")</f>
        <v>—</v>
      </c>
      <c r="S31" s="13" t="str">
        <f>_xll.BDH("ITCI US Equity","ARD_TOT_NONCURRENT_LIABILITIES","FQ4 2022","FQ4 2022","Currency=USD","Period=FQ","BEST_FPERIOD_OVERRIDE=FQ","FILING_STATUS=MR","SCALING_FORMAT=MLN","Sort=A","Dates=H","DateFormat=P","Fill=—","Direction=H","UseDPDF=Y")</f>
        <v>—</v>
      </c>
      <c r="T31" s="13">
        <f>_xll.BDH("ITCI US Equity","ARD_TOT_NONCURRENT_LIABILITIES","FQ1 2023","FQ1 2023","Currency=USD","Period=FQ","BEST_FPERIOD_OVERRIDE=FQ","FILING_STATUS=MR","SCALING_FORMAT=MLN","Sort=A","Dates=H","DateFormat=P","Fill=—","Direction=H","UseDPDF=Y")</f>
        <v>14.961</v>
      </c>
      <c r="U31" s="13" t="str">
        <f>_xll.BDH("ITCI US Equity","ARD_TOT_NONCURRENT_LIABILITIES","FQ2 2023","FQ2 2023","Currency=USD","Period=FQ","BEST_FPERIOD_OVERRIDE=FQ","FILING_STATUS=MR","SCALING_FORMAT=MLN","Sort=A","Dates=H","DateFormat=P","Fill=—","Direction=H","UseDPDF=Y")</f>
        <v>—</v>
      </c>
      <c r="V31" s="13">
        <f>_xll.BDH("ITCI US Equity","ARD_TOT_NONCURRENT_LIABILITIES","FQ3 2023","FQ3 2023","Currency=USD","Period=FQ","BEST_FPERIOD_OVERRIDE=FQ","FILING_STATUS=MR","SCALING_FORMAT=MLN","Sort=A","Dates=H","DateFormat=P","Fill=—","Direction=H","UseDPDF=Y")</f>
        <v>13.891</v>
      </c>
      <c r="W31" s="13">
        <f>_xll.BDH("ITCI US Equity","ARD_TOT_NONCURRENT_LIABILITIES","FQ4 2023","FQ4 2023","Currency=USD","Period=FQ","BEST_FPERIOD_OVERRIDE=FQ","FILING_STATUS=MR","SCALING_FORMAT=MLN","Sort=A","Dates=H","DateFormat=P","Fill=—","Direction=H","UseDPDF=Y")</f>
        <v>13.326000000000001</v>
      </c>
      <c r="X31" s="13">
        <f>_xll.BDH("ITCI US Equity","ARD_TOT_NONCURRENT_LIABILITIES","FQ1 2024","FQ1 2024","Currency=USD","Period=FQ","BEST_FPERIOD_OVERRIDE=FQ","FILING_STATUS=MR","SCALING_FORMAT=MLN","Sort=A","Dates=H","DateFormat=P","Fill=—","Direction=H","UseDPDF=Y")</f>
        <v>12.737</v>
      </c>
      <c r="Y31" s="13" t="str">
        <f>_xll.BDH("ITCI US Equity","ARD_TOT_NONCURRENT_LIABILITIES","FQ2 2024","FQ2 2024","Currency=USD","Period=FQ","BEST_FPERIOD_OVERRIDE=FQ","FILING_STATUS=MR","SCALING_FORMAT=MLN","Sort=A","Dates=H","DateFormat=P","Fill=—","Direction=H","UseDPDF=Y")</f>
        <v>—</v>
      </c>
      <c r="Z31" s="13">
        <f>_xll.BDH("ITCI US Equity","ARD_TOT_NONCURRENT_LIABILITIES","FQ3 2024","FQ3 2024","Currency=USD","Period=FQ","BEST_FPERIOD_OVERRIDE=FQ","FILING_STATUS=MR","SCALING_FORMAT=MLN","Sort=A","Dates=H","DateFormat=P","Fill=—","Direction=H","UseDPDF=Y")</f>
        <v>13.506</v>
      </c>
      <c r="AA31" s="13">
        <f>_xll.BDH("ITCI US Equity","ARD_TOT_NONCURRENT_LIABILITIES","FQ4 2024","FQ4 2024","Currency=USD","Period=FQ","BEST_FPERIOD_OVERRIDE=FQ","FILING_STATUS=MR","SCALING_FORMAT=MLN","Sort=A","Dates=H","DateFormat=P","Fill=—","Direction=H","UseDPDF=Y")</f>
        <v>12.747999999999999</v>
      </c>
    </row>
    <row r="32" spans="1:27" x14ac:dyDescent="0.25">
      <c r="A32" s="10" t="s">
        <v>728</v>
      </c>
      <c r="B32" s="10" t="s">
        <v>729</v>
      </c>
      <c r="C32" s="13">
        <f>_xll.BDH("ITCI US Equity","ARD_DEFERRED_UNEARNED_REV_LT","FQ4 2018","FQ4 2018","Currency=USD","Period=FQ","BEST_FPERIOD_OVERRIDE=FQ","FILING_STATUS=MR","SCALING_FORMAT=MLN","Sort=A","Dates=H","DateFormat=P","Fill=—","Direction=H","UseDPDF=Y")</f>
        <v>3.1924000000000001</v>
      </c>
      <c r="D32" s="13">
        <f>_xll.BDH("ITCI US Equity","ARD_DEFERRED_UNEARNED_REV_LT","FQ1 2019","FQ1 2019","Currency=USD","Period=FQ","BEST_FPERIOD_OVERRIDE=FQ","FILING_STATUS=MR","SCALING_FORMAT=MLN","Sort=A","Dates=H","DateFormat=P","Fill=—","Direction=H","UseDPDF=Y")</f>
        <v>0</v>
      </c>
      <c r="E32" s="13">
        <f>_xll.BDH("ITCI US Equity","ARD_DEFERRED_UNEARNED_REV_LT","FQ2 2019","FQ2 2019","Currency=USD","Period=FQ","BEST_FPERIOD_OVERRIDE=FQ","FILING_STATUS=MR","SCALING_FORMAT=MLN","Sort=A","Dates=H","DateFormat=P","Fill=—","Direction=H","UseDPDF=Y")</f>
        <v>0</v>
      </c>
      <c r="F32" s="13">
        <f>_xll.BDH("ITCI US Equity","ARD_DEFERRED_UNEARNED_REV_LT","FQ3 2019","FQ3 2019","Currency=USD","Period=FQ","BEST_FPERIOD_OVERRIDE=FQ","FILING_STATUS=MR","SCALING_FORMAT=MLN","Sort=A","Dates=H","DateFormat=P","Fill=—","Direction=H","UseDPDF=Y")</f>
        <v>0</v>
      </c>
      <c r="G32" s="13">
        <f>_xll.BDH("ITCI US Equity","ARD_DEFERRED_UNEARNED_REV_LT","FQ4 2019","FQ4 2019","Currency=USD","Period=FQ","BEST_FPERIOD_OVERRIDE=FQ","FILING_STATUS=MR","SCALING_FORMAT=MLN","Sort=A","Dates=H","DateFormat=P","Fill=—","Direction=H","UseDPDF=Y")</f>
        <v>0</v>
      </c>
      <c r="H32" s="13" t="str">
        <f>_xll.BDH("ITCI US Equity","ARD_DEFERRED_UNEARNED_REV_LT","FQ1 2020","FQ1 2020","Currency=USD","Period=FQ","BEST_FPERIOD_OVERRIDE=FQ","FILING_STATUS=MR","SCALING_FORMAT=MLN","Sort=A","Dates=H","DateFormat=P","Fill=—","Direction=H","UseDPDF=Y")</f>
        <v>—</v>
      </c>
      <c r="I32" s="13" t="str">
        <f>_xll.BDH("ITCI US Equity","ARD_DEFERRED_UNEARNED_REV_LT","FQ2 2020","FQ2 2020","Currency=USD","Period=FQ","BEST_FPERIOD_OVERRIDE=FQ","FILING_STATUS=MR","SCALING_FORMAT=MLN","Sort=A","Dates=H","DateFormat=P","Fill=—","Direction=H","UseDPDF=Y")</f>
        <v>—</v>
      </c>
      <c r="J32" s="13" t="str">
        <f>_xll.BDH("ITCI US Equity","ARD_DEFERRED_UNEARNED_REV_LT","FQ3 2020","FQ3 2020","Currency=USD","Period=FQ","BEST_FPERIOD_OVERRIDE=FQ","FILING_STATUS=MR","SCALING_FORMAT=MLN","Sort=A","Dates=H","DateFormat=P","Fill=—","Direction=H","UseDPDF=Y")</f>
        <v>—</v>
      </c>
      <c r="K32" s="13" t="str">
        <f>_xll.BDH("ITCI US Equity","ARD_DEFERRED_UNEARNED_REV_LT","FQ4 2020","FQ4 2020","Currency=USD","Period=FQ","BEST_FPERIOD_OVERRIDE=FQ","FILING_STATUS=MR","SCALING_FORMAT=MLN","Sort=A","Dates=H","DateFormat=P","Fill=—","Direction=H","UseDPDF=Y")</f>
        <v>—</v>
      </c>
      <c r="L32" s="13" t="str">
        <f>_xll.BDH("ITCI US Equity","ARD_DEFERRED_UNEARNED_REV_LT","FQ1 2021","FQ1 2021","Currency=USD","Period=FQ","BEST_FPERIOD_OVERRIDE=FQ","FILING_STATUS=MR","SCALING_FORMAT=MLN","Sort=A","Dates=H","DateFormat=P","Fill=—","Direction=H","UseDPDF=Y")</f>
        <v>—</v>
      </c>
      <c r="M32" s="13" t="str">
        <f>_xll.BDH("ITCI US Equity","ARD_DEFERRED_UNEARNED_REV_LT","FQ2 2021","FQ2 2021","Currency=USD","Period=FQ","BEST_FPERIOD_OVERRIDE=FQ","FILING_STATUS=MR","SCALING_FORMAT=MLN","Sort=A","Dates=H","DateFormat=P","Fill=—","Direction=H","UseDPDF=Y")</f>
        <v>—</v>
      </c>
      <c r="N32" s="13" t="str">
        <f>_xll.BDH("ITCI US Equity","ARD_DEFERRED_UNEARNED_REV_LT","FQ3 2021","FQ3 2021","Currency=USD","Period=FQ","BEST_FPERIOD_OVERRIDE=FQ","FILING_STATUS=MR","SCALING_FORMAT=MLN","Sort=A","Dates=H","DateFormat=P","Fill=—","Direction=H","UseDPDF=Y")</f>
        <v>—</v>
      </c>
      <c r="O32" s="13" t="str">
        <f>_xll.BDH("ITCI US Equity","ARD_DEFERRED_UNEARNED_REV_LT","FQ4 2021","FQ4 2021","Currency=USD","Period=FQ","BEST_FPERIOD_OVERRIDE=FQ","FILING_STATUS=MR","SCALING_FORMAT=MLN","Sort=A","Dates=H","DateFormat=P","Fill=—","Direction=H","UseDPDF=Y")</f>
        <v>—</v>
      </c>
      <c r="P32" s="13" t="str">
        <f>_xll.BDH("ITCI US Equity","ARD_DEFERRED_UNEARNED_REV_LT","FQ1 2022","FQ1 2022","Currency=USD","Period=FQ","BEST_FPERIOD_OVERRIDE=FQ","FILING_STATUS=MR","SCALING_FORMAT=MLN","Sort=A","Dates=H","DateFormat=P","Fill=—","Direction=H","UseDPDF=Y")</f>
        <v>—</v>
      </c>
      <c r="Q32" s="13" t="str">
        <f>_xll.BDH("ITCI US Equity","ARD_DEFERRED_UNEARNED_REV_LT","FQ2 2022","FQ2 2022","Currency=USD","Period=FQ","BEST_FPERIOD_OVERRIDE=FQ","FILING_STATUS=MR","SCALING_FORMAT=MLN","Sort=A","Dates=H","DateFormat=P","Fill=—","Direction=H","UseDPDF=Y")</f>
        <v>—</v>
      </c>
      <c r="R32" s="13" t="str">
        <f>_xll.BDH("ITCI US Equity","ARD_DEFERRED_UNEARNED_REV_LT","FQ3 2022","FQ3 2022","Currency=USD","Period=FQ","BEST_FPERIOD_OVERRIDE=FQ","FILING_STATUS=MR","SCALING_FORMAT=MLN","Sort=A","Dates=H","DateFormat=P","Fill=—","Direction=H","UseDPDF=Y")</f>
        <v>—</v>
      </c>
      <c r="S32" s="13" t="str">
        <f>_xll.BDH("ITCI US Equity","ARD_DEFERRED_UNEARNED_REV_LT","FQ4 2022","FQ4 2022","Currency=USD","Period=FQ","BEST_FPERIOD_OVERRIDE=FQ","FILING_STATUS=MR","SCALING_FORMAT=MLN","Sort=A","Dates=H","DateFormat=P","Fill=—","Direction=H","UseDPDF=Y")</f>
        <v>—</v>
      </c>
      <c r="T32" s="13" t="str">
        <f>_xll.BDH("ITCI US Equity","ARD_DEFERRED_UNEARNED_REV_LT","FQ1 2023","FQ1 2023","Currency=USD","Period=FQ","BEST_FPERIOD_OVERRIDE=FQ","FILING_STATUS=MR","SCALING_FORMAT=MLN","Sort=A","Dates=H","DateFormat=P","Fill=—","Direction=H","UseDPDF=Y")</f>
        <v>—</v>
      </c>
      <c r="U32" s="13" t="str">
        <f>_xll.BDH("ITCI US Equity","ARD_DEFERRED_UNEARNED_REV_LT","FQ2 2023","FQ2 2023","Currency=USD","Period=FQ","BEST_FPERIOD_OVERRIDE=FQ","FILING_STATUS=MR","SCALING_FORMAT=MLN","Sort=A","Dates=H","DateFormat=P","Fill=—","Direction=H","UseDPDF=Y")</f>
        <v>—</v>
      </c>
      <c r="V32" s="13" t="str">
        <f>_xll.BDH("ITCI US Equity","ARD_DEFERRED_UNEARNED_REV_LT","FQ3 2023","FQ3 2023","Currency=USD","Period=FQ","BEST_FPERIOD_OVERRIDE=FQ","FILING_STATUS=MR","SCALING_FORMAT=MLN","Sort=A","Dates=H","DateFormat=P","Fill=—","Direction=H","UseDPDF=Y")</f>
        <v>—</v>
      </c>
      <c r="W32" s="13" t="str">
        <f>_xll.BDH("ITCI US Equity","ARD_DEFERRED_UNEARNED_REV_LT","FQ4 2023","FQ4 2023","Currency=USD","Period=FQ","BEST_FPERIOD_OVERRIDE=FQ","FILING_STATUS=MR","SCALING_FORMAT=MLN","Sort=A","Dates=H","DateFormat=P","Fill=—","Direction=H","UseDPDF=Y")</f>
        <v>—</v>
      </c>
      <c r="X32" s="13" t="str">
        <f>_xll.BDH("ITCI US Equity","ARD_DEFERRED_UNEARNED_REV_LT","FQ1 2024","FQ1 2024","Currency=USD","Period=FQ","BEST_FPERIOD_OVERRIDE=FQ","FILING_STATUS=MR","SCALING_FORMAT=MLN","Sort=A","Dates=H","DateFormat=P","Fill=—","Direction=H","UseDPDF=Y")</f>
        <v>—</v>
      </c>
      <c r="Y32" s="13" t="str">
        <f>_xll.BDH("ITCI US Equity","ARD_DEFERRED_UNEARNED_REV_LT","FQ2 2024","FQ2 2024","Currency=USD","Period=FQ","BEST_FPERIOD_OVERRIDE=FQ","FILING_STATUS=MR","SCALING_FORMAT=MLN","Sort=A","Dates=H","DateFormat=P","Fill=—","Direction=H","UseDPDF=Y")</f>
        <v>—</v>
      </c>
      <c r="Z32" s="13" t="str">
        <f>_xll.BDH("ITCI US Equity","ARD_DEFERRED_UNEARNED_REV_LT","FQ3 2024","FQ3 2024","Currency=USD","Period=FQ","BEST_FPERIOD_OVERRIDE=FQ","FILING_STATUS=MR","SCALING_FORMAT=MLN","Sort=A","Dates=H","DateFormat=P","Fill=—","Direction=H","UseDPDF=Y")</f>
        <v>—</v>
      </c>
      <c r="AA32" s="13" t="str">
        <f>_xll.BDH("ITCI US Equity","ARD_DEFERRED_UNEARNED_REV_LT","FQ4 2024","FQ4 2024","Currency=USD","Period=FQ","BEST_FPERIOD_OVERRIDE=FQ","FILING_STATUS=MR","SCALING_FORMAT=MLN","Sort=A","Dates=H","DateFormat=P","Fill=—","Direction=H","UseDPDF=Y")</f>
        <v>—</v>
      </c>
    </row>
    <row r="33" spans="1:27" x14ac:dyDescent="0.25">
      <c r="A33" s="10" t="s">
        <v>730</v>
      </c>
      <c r="B33" s="10" t="s">
        <v>731</v>
      </c>
      <c r="C33" s="13" t="str">
        <f>_xll.BDH("ITCI US Equity","ARD_LT_OPERATING_LEASE_LIABS","FQ4 2018","FQ4 2018","Currency=USD","Period=FQ","BEST_FPERIOD_OVERRIDE=FQ","FILING_STATUS=MR","Sort=A","Dates=H","DateFormat=P","Fill=—","Direction=H","UseDPDF=Y")</f>
        <v>—</v>
      </c>
      <c r="D33" s="13">
        <f>_xll.BDH("ITCI US Equity","ARD_LT_OPERATING_LEASE_LIABS","FQ1 2019","FQ1 2019","Currency=USD","Period=FQ","BEST_FPERIOD_OVERRIDE=FQ","FILING_STATUS=MR","Sort=A","Dates=H","DateFormat=P","Fill=—","Direction=H","UseDPDF=Y")</f>
        <v>20.859100000000002</v>
      </c>
      <c r="E33" s="13">
        <f>_xll.BDH("ITCI US Equity","ARD_LT_OPERATING_LEASE_LIABS","FQ2 2019","FQ2 2019","Currency=USD","Period=FQ","BEST_FPERIOD_OVERRIDE=FQ","FILING_STATUS=MR","Sort=A","Dates=H","DateFormat=P","Fill=—","Direction=H","UseDPDF=Y")</f>
        <v>20.567799999999998</v>
      </c>
      <c r="F33" s="13">
        <f>_xll.BDH("ITCI US Equity","ARD_LT_OPERATING_LEASE_LIABS","FQ3 2019","FQ3 2019","Currency=USD","Period=FQ","BEST_FPERIOD_OVERRIDE=FQ","FILING_STATUS=MR","Sort=A","Dates=H","DateFormat=P","Fill=—","Direction=H","UseDPDF=Y")</f>
        <v>20.269600000000001</v>
      </c>
      <c r="G33" s="13">
        <f>_xll.BDH("ITCI US Equity","ARD_LT_OPERATING_LEASE_LIABS","FQ4 2019","FQ4 2019","Currency=USD","Period=FQ","BEST_FPERIOD_OVERRIDE=FQ","FILING_STATUS=MR","Sort=A","Dates=H","DateFormat=P","Fill=—","Direction=H","UseDPDF=Y")</f>
        <v>19.955200000000001</v>
      </c>
      <c r="H33" s="13">
        <f>_xll.BDH("ITCI US Equity","ARD_LT_OPERATING_LEASE_LIABS","FQ1 2020","FQ1 2020","Currency=USD","Period=FQ","BEST_FPERIOD_OVERRIDE=FQ","FILING_STATUS=MR","Sort=A","Dates=H","DateFormat=P","Fill=—","Direction=H","UseDPDF=Y")</f>
        <v>19.718</v>
      </c>
      <c r="I33" s="13">
        <f>_xll.BDH("ITCI US Equity","ARD_LT_OPERATING_LEASE_LIABS","FQ2 2020","FQ2 2020","Currency=USD","Period=FQ","BEST_FPERIOD_OVERRIDE=FQ","FILING_STATUS=MR","Sort=A","Dates=H","DateFormat=P","Fill=—","Direction=H","UseDPDF=Y")</f>
        <v>21.158200000000001</v>
      </c>
      <c r="J33" s="13">
        <f>_xll.BDH("ITCI US Equity","ARD_LT_OPERATING_LEASE_LIABS","FQ3 2020","FQ3 2020","Currency=USD","Period=FQ","BEST_FPERIOD_OVERRIDE=FQ","FILING_STATUS=MR","Sort=A","Dates=H","DateFormat=P","Fill=—","Direction=H","UseDPDF=Y")</f>
        <v>23.869599999999998</v>
      </c>
      <c r="K33" s="13">
        <f>_xll.BDH("ITCI US Equity","ARD_LT_OPERATING_LEASE_LIABS","FQ4 2020","FQ4 2020","Currency=USD","Period=FQ","BEST_FPERIOD_OVERRIDE=FQ","FILING_STATUS=MR","Sort=A","Dates=H","DateFormat=P","Fill=—","Direction=H","UseDPDF=Y")</f>
        <v>23.600300000000001</v>
      </c>
      <c r="L33" s="13">
        <f>_xll.BDH("ITCI US Equity","ARD_LT_OPERATING_LEASE_LIABS","FQ1 2021","FQ1 2021","Currency=USD","Period=FQ","BEST_FPERIOD_OVERRIDE=FQ","FILING_STATUS=MR","Sort=A","Dates=H","DateFormat=P","Fill=—","Direction=H","UseDPDF=Y")</f>
        <v>22.6371</v>
      </c>
      <c r="M33" s="13">
        <f>_xll.BDH("ITCI US Equity","ARD_LT_OPERATING_LEASE_LIABS","FQ2 2021","FQ2 2021","Currency=USD","Period=FQ","BEST_FPERIOD_OVERRIDE=FQ","FILING_STATUS=MR","Sort=A","Dates=H","DateFormat=P","Fill=—","Direction=H","UseDPDF=Y")</f>
        <v>21.6889</v>
      </c>
      <c r="N33" s="13">
        <f>_xll.BDH("ITCI US Equity","ARD_LT_OPERATING_LEASE_LIABS","FQ3 2021","FQ3 2021","Currency=USD","Period=FQ","BEST_FPERIOD_OVERRIDE=FQ","FILING_STATUS=MR","Sort=A","Dates=H","DateFormat=P","Fill=—","Direction=H","UseDPDF=Y")</f>
        <v>20.323899999999998</v>
      </c>
      <c r="O33" s="13">
        <f>_xll.BDH("ITCI US Equity","ARD_LT_OPERATING_LEASE_LIABS","FQ4 2021","FQ4 2021","Currency=USD","Period=FQ","BEST_FPERIOD_OVERRIDE=FQ","FILING_STATUS=MR","Sort=A","Dates=H","DateFormat=P","Fill=—","Direction=H","UseDPDF=Y")</f>
        <v>18.674900000000001</v>
      </c>
      <c r="P33" s="13">
        <f>_xll.BDH("ITCI US Equity","ARD_LT_OPERATING_LEASE_LIABS","FQ1 2022","FQ1 2022","Currency=USD","Period=FQ","BEST_FPERIOD_OVERRIDE=FQ","FILING_STATUS=MR","Sort=A","Dates=H","DateFormat=P","Fill=—","Direction=H","UseDPDF=Y")</f>
        <v>16.756</v>
      </c>
      <c r="Q33" s="13">
        <f>_xll.BDH("ITCI US Equity","ARD_LT_OPERATING_LEASE_LIABS","FQ2 2022","FQ2 2022","Currency=USD","Period=FQ","BEST_FPERIOD_OVERRIDE=FQ","FILING_STATUS=MR","Sort=A","Dates=H","DateFormat=P","Fill=—","Direction=H","UseDPDF=Y")</f>
        <v>19.074999999999999</v>
      </c>
      <c r="R33" s="13">
        <f>_xll.BDH("ITCI US Equity","ARD_LT_OPERATING_LEASE_LIABS","FQ3 2022","FQ3 2022","Currency=USD","Period=FQ","BEST_FPERIOD_OVERRIDE=FQ","FILING_STATUS=MR","Sort=A","Dates=H","DateFormat=P","Fill=—","Direction=H","UseDPDF=Y")</f>
        <v>19.167000000000002</v>
      </c>
      <c r="S33" s="13">
        <f>_xll.BDH("ITCI US Equity","ARD_LT_OPERATING_LEASE_LIABS","FQ4 2022","FQ4 2022","Currency=USD","Period=FQ","BEST_FPERIOD_OVERRIDE=FQ","FILING_STATUS=MR","Sort=A","Dates=H","DateFormat=P","Fill=—","Direction=H","UseDPDF=Y")</f>
        <v>15.474</v>
      </c>
      <c r="T33" s="13">
        <f>_xll.BDH("ITCI US Equity","ARD_LT_OPERATING_LEASE_LIABS","FQ1 2023","FQ1 2023","Currency=USD","Period=FQ","BEST_FPERIOD_OVERRIDE=FQ","FILING_STATUS=MR","Sort=A","Dates=H","DateFormat=P","Fill=—","Direction=H","UseDPDF=Y")</f>
        <v>14.961</v>
      </c>
      <c r="U33" s="13">
        <f>_xll.BDH("ITCI US Equity","ARD_LT_OPERATING_LEASE_LIABS","FQ2 2023","FQ2 2023","Currency=USD","Period=FQ","BEST_FPERIOD_OVERRIDE=FQ","FILING_STATUS=MR","Sort=A","Dates=H","DateFormat=P","Fill=—","Direction=H","UseDPDF=Y")</f>
        <v>14.432</v>
      </c>
      <c r="V33" s="13">
        <f>_xll.BDH("ITCI US Equity","ARD_LT_OPERATING_LEASE_LIABS","FQ3 2023","FQ3 2023","Currency=USD","Period=FQ","BEST_FPERIOD_OVERRIDE=FQ","FILING_STATUS=MR","Sort=A","Dates=H","DateFormat=P","Fill=—","Direction=H","UseDPDF=Y")</f>
        <v>13.891</v>
      </c>
      <c r="W33" s="13">
        <f>_xll.BDH("ITCI US Equity","ARD_LT_OPERATING_LEASE_LIABS","FQ4 2023","FQ4 2023","Currency=USD","Period=FQ","BEST_FPERIOD_OVERRIDE=FQ","FILING_STATUS=MR","Sort=A","Dates=H","DateFormat=P","Fill=—","Direction=H","UseDPDF=Y")</f>
        <v>13.326000000000001</v>
      </c>
      <c r="X33" s="13">
        <f>_xll.BDH("ITCI US Equity","ARD_LT_OPERATING_LEASE_LIABS","FQ1 2024","FQ1 2024","Currency=USD","Period=FQ","BEST_FPERIOD_OVERRIDE=FQ","FILING_STATUS=MR","Sort=A","Dates=H","DateFormat=P","Fill=—","Direction=H","UseDPDF=Y")</f>
        <v>12.737</v>
      </c>
      <c r="Y33" s="13">
        <f>_xll.BDH("ITCI US Equity","ARD_LT_OPERATING_LEASE_LIABS","FQ2 2024","FQ2 2024","Currency=USD","Period=FQ","BEST_FPERIOD_OVERRIDE=FQ","FILING_STATUS=MR","Sort=A","Dates=H","DateFormat=P","Fill=—","Direction=H","UseDPDF=Y")</f>
        <v>14.117000000000001</v>
      </c>
      <c r="Z33" s="13">
        <f>_xll.BDH("ITCI US Equity","ARD_LT_OPERATING_LEASE_LIABS","FQ3 2024","FQ3 2024","Currency=USD","Period=FQ","BEST_FPERIOD_OVERRIDE=FQ","FILING_STATUS=MR","Sort=A","Dates=H","DateFormat=P","Fill=—","Direction=H","UseDPDF=Y")</f>
        <v>13.506</v>
      </c>
      <c r="AA33" s="13">
        <f>_xll.BDH("ITCI US Equity","ARD_LT_OPERATING_LEASE_LIABS","FQ4 2024","FQ4 2024","Currency=USD","Period=FQ","BEST_FPERIOD_OVERRIDE=FQ","FILING_STATUS=MR","Sort=A","Dates=H","DateFormat=P","Fill=—","Direction=H","UseDPDF=Y")</f>
        <v>12.747999999999999</v>
      </c>
    </row>
    <row r="34" spans="1:27" x14ac:dyDescent="0.25">
      <c r="A34" s="6" t="s">
        <v>116</v>
      </c>
      <c r="B34" s="6" t="s">
        <v>732</v>
      </c>
      <c r="C34" s="19">
        <f>_xll.BDH("ITCI US Equity","ARD_TOT_LIABILITIES","FQ4 2018","FQ4 2018","Currency=USD","Period=FQ","BEST_FPERIOD_OVERRIDE=FQ","FILING_STATUS=MR","SCALING_FORMAT=MLN","Sort=A","Dates=H","DateFormat=P","Fill=—","Direction=H","UseDPDF=Y")</f>
        <v>39.491599999999998</v>
      </c>
      <c r="D34" s="19">
        <f>_xll.BDH("ITCI US Equity","ARD_TOT_LIABILITIES","FQ1 2019","FQ1 2019","Currency=USD","Period=FQ","BEST_FPERIOD_OVERRIDE=FQ","FILING_STATUS=MR","SCALING_FORMAT=MLN","Sort=A","Dates=H","DateFormat=P","Fill=—","Direction=H","UseDPDF=Y")</f>
        <v>54.358400000000003</v>
      </c>
      <c r="E34" s="19">
        <f>_xll.BDH("ITCI US Equity","ARD_TOT_LIABILITIES","FQ2 2019","FQ2 2019","Currency=USD","Period=FQ","BEST_FPERIOD_OVERRIDE=FQ","FILING_STATUS=MR","SCALING_FORMAT=MLN","Sort=A","Dates=H","DateFormat=P","Fill=—","Direction=H","UseDPDF=Y")</f>
        <v>53.094299999999997</v>
      </c>
      <c r="F34" s="19">
        <f>_xll.BDH("ITCI US Equity","ARD_TOT_LIABILITIES","FQ3 2019","FQ3 2019","Currency=USD","Period=FQ","BEST_FPERIOD_OVERRIDE=FQ","FILING_STATUS=MR","SCALING_FORMAT=MLN","Sort=A","Dates=H","DateFormat=P","Fill=—","Direction=H","UseDPDF=Y")</f>
        <v>53.642699999999998</v>
      </c>
      <c r="G34" s="19">
        <f>_xll.BDH("ITCI US Equity","ARD_TOT_LIABILITIES","FQ4 2019","FQ4 2019","Currency=USD","Period=FQ","BEST_FPERIOD_OVERRIDE=FQ","FILING_STATUS=MR","SCALING_FORMAT=MLN","Sort=A","Dates=H","DateFormat=P","Fill=—","Direction=H","UseDPDF=Y")</f>
        <v>56.179200000000002</v>
      </c>
      <c r="H34" s="19">
        <f>_xll.BDH("ITCI US Equity","ARD_TOT_LIABILITIES","FQ1 2020","FQ1 2020","Currency=USD","Period=FQ","BEST_FPERIOD_OVERRIDE=FQ","FILING_STATUS=MR","SCALING_FORMAT=MLN","Sort=A","Dates=H","DateFormat=P","Fill=—","Direction=H","UseDPDF=Y")</f>
        <v>50.794400000000003</v>
      </c>
      <c r="I34" s="19">
        <f>_xll.BDH("ITCI US Equity","ARD_TOT_LIABILITIES","FQ2 2020","FQ2 2020","Currency=USD","Period=FQ","BEST_FPERIOD_OVERRIDE=FQ","FILING_STATUS=MR","SCALING_FORMAT=MLN","Sort=A","Dates=H","DateFormat=P","Fill=—","Direction=H","UseDPDF=Y")</f>
        <v>61.401000000000003</v>
      </c>
      <c r="J34" s="19">
        <f>_xll.BDH("ITCI US Equity","ARD_TOT_LIABILITIES","FQ3 2020","FQ3 2020","Currency=USD","Period=FQ","BEST_FPERIOD_OVERRIDE=FQ","FILING_STATUS=MR","SCALING_FORMAT=MLN","Sort=A","Dates=H","DateFormat=P","Fill=—","Direction=H","UseDPDF=Y")</f>
        <v>61.898299999999999</v>
      </c>
      <c r="K34" s="19">
        <f>_xll.BDH("ITCI US Equity","ARD_TOT_LIABILITIES","FQ4 2020","FQ4 2020","Currency=USD","Period=FQ","BEST_FPERIOD_OVERRIDE=FQ","FILING_STATUS=MR","SCALING_FORMAT=MLN","Sort=A","Dates=H","DateFormat=P","Fill=—","Direction=H","UseDPDF=Y")</f>
        <v>60.453600000000002</v>
      </c>
      <c r="L34" s="19">
        <f>_xll.BDH("ITCI US Equity","ARD_TOT_LIABILITIES","FQ1 2021","FQ1 2021","Currency=USD","Period=FQ","BEST_FPERIOD_OVERRIDE=FQ","FILING_STATUS=MR","SCALING_FORMAT=MLN","Sort=A","Dates=H","DateFormat=P","Fill=—","Direction=H","UseDPDF=Y")</f>
        <v>62.338799999999999</v>
      </c>
      <c r="M34" s="19">
        <f>_xll.BDH("ITCI US Equity","ARD_TOT_LIABILITIES","FQ2 2021","FQ2 2021","Currency=USD","Period=FQ","BEST_FPERIOD_OVERRIDE=FQ","FILING_STATUS=MR","SCALING_FORMAT=MLN","Sort=A","Dates=H","DateFormat=P","Fill=—","Direction=H","UseDPDF=Y")</f>
        <v>72.110799999999998</v>
      </c>
      <c r="N34" s="19">
        <f>_xll.BDH("ITCI US Equity","ARD_TOT_LIABILITIES","FQ3 2021","FQ3 2021","Currency=USD","Period=FQ","BEST_FPERIOD_OVERRIDE=FQ","FILING_STATUS=MR","SCALING_FORMAT=MLN","Sort=A","Dates=H","DateFormat=P","Fill=—","Direction=H","UseDPDF=Y")</f>
        <v>70.219499999999996</v>
      </c>
      <c r="O34" s="19">
        <f>_xll.BDH("ITCI US Equity","ARD_TOT_LIABILITIES","FQ4 2021","FQ4 2021","Currency=USD","Period=FQ","BEST_FPERIOD_OVERRIDE=FQ","FILING_STATUS=MR","SCALING_FORMAT=MLN","Sort=A","Dates=H","DateFormat=P","Fill=—","Direction=H","UseDPDF=Y")</f>
        <v>72.031400000000005</v>
      </c>
      <c r="P34" s="19">
        <f>_xll.BDH("ITCI US Equity","ARD_TOT_LIABILITIES","FQ1 2022","FQ1 2022","Currency=USD","Period=FQ","BEST_FPERIOD_OVERRIDE=FQ","FILING_STATUS=MR","SCALING_FORMAT=MLN","Sort=A","Dates=H","DateFormat=P","Fill=—","Direction=H","UseDPDF=Y")</f>
        <v>75.83</v>
      </c>
      <c r="Q34" s="19">
        <f>_xll.BDH("ITCI US Equity","ARD_TOT_LIABILITIES","FQ2 2022","FQ2 2022","Currency=USD","Period=FQ","BEST_FPERIOD_OVERRIDE=FQ","FILING_STATUS=MR","SCALING_FORMAT=MLN","Sort=A","Dates=H","DateFormat=P","Fill=—","Direction=H","UseDPDF=Y")</f>
        <v>89.709000000000003</v>
      </c>
      <c r="R34" s="19">
        <f>_xll.BDH("ITCI US Equity","ARD_TOT_LIABILITIES","FQ3 2022","FQ3 2022","Currency=USD","Period=FQ","BEST_FPERIOD_OVERRIDE=FQ","FILING_STATUS=MR","SCALING_FORMAT=MLN","Sort=A","Dates=H","DateFormat=P","Fill=—","Direction=H","UseDPDF=Y")</f>
        <v>96.576999999999998</v>
      </c>
      <c r="S34" s="19">
        <f>_xll.BDH("ITCI US Equity","ARD_TOT_LIABILITIES","FQ4 2022","FQ4 2022","Currency=USD","Period=FQ","BEST_FPERIOD_OVERRIDE=FQ","FILING_STATUS=MR","SCALING_FORMAT=MLN","Sort=A","Dates=H","DateFormat=P","Fill=—","Direction=H","UseDPDF=Y")</f>
        <v>98.71</v>
      </c>
      <c r="T34" s="19">
        <f>_xll.BDH("ITCI US Equity","ARD_TOT_LIABILITIES","FQ1 2023","FQ1 2023","Currency=USD","Period=FQ","BEST_FPERIOD_OVERRIDE=FQ","FILING_STATUS=MR","SCALING_FORMAT=MLN","Sort=A","Dates=H","DateFormat=P","Fill=—","Direction=H","UseDPDF=Y")</f>
        <v>94.548000000000002</v>
      </c>
      <c r="U34" s="19">
        <f>_xll.BDH("ITCI US Equity","ARD_TOT_LIABILITIES","FQ2 2023","FQ2 2023","Currency=USD","Period=FQ","BEST_FPERIOD_OVERRIDE=FQ","FILING_STATUS=MR","SCALING_FORMAT=MLN","Sort=A","Dates=H","DateFormat=P","Fill=—","Direction=H","UseDPDF=Y")</f>
        <v>106.512</v>
      </c>
      <c r="V34" s="19">
        <f>_xll.BDH("ITCI US Equity","ARD_TOT_LIABILITIES","FQ3 2023","FQ3 2023","Currency=USD","Period=FQ","BEST_FPERIOD_OVERRIDE=FQ","FILING_STATUS=MR","SCALING_FORMAT=MLN","Sort=A","Dates=H","DateFormat=P","Fill=—","Direction=H","UseDPDF=Y")</f>
        <v>116.983</v>
      </c>
      <c r="W34" s="19">
        <f>_xll.BDH("ITCI US Equity","ARD_TOT_LIABILITIES","FQ4 2023","FQ4 2023","Currency=USD","Period=FQ","BEST_FPERIOD_OVERRIDE=FQ","FILING_STATUS=MR","SCALING_FORMAT=MLN","Sort=A","Dates=H","DateFormat=P","Fill=—","Direction=H","UseDPDF=Y")</f>
        <v>136.87100000000001</v>
      </c>
      <c r="X34" s="19">
        <f>_xll.BDH("ITCI US Equity","ARD_TOT_LIABILITIES","FQ1 2024","FQ1 2024","Currency=USD","Period=FQ","BEST_FPERIOD_OVERRIDE=FQ","FILING_STATUS=MR","SCALING_FORMAT=MLN","Sort=A","Dates=H","DateFormat=P","Fill=—","Direction=H","UseDPDF=Y")</f>
        <v>147.53800000000001</v>
      </c>
      <c r="Y34" s="19">
        <f>_xll.BDH("ITCI US Equity","ARD_TOT_LIABILITIES","FQ2 2024","FQ2 2024","Currency=USD","Period=FQ","BEST_FPERIOD_OVERRIDE=FQ","FILING_STATUS=MR","SCALING_FORMAT=MLN","Sort=A","Dates=H","DateFormat=P","Fill=—","Direction=H","UseDPDF=Y")</f>
        <v>175.892</v>
      </c>
      <c r="Z34" s="19">
        <f>_xll.BDH("ITCI US Equity","ARD_TOT_LIABILITIES","FQ3 2024","FQ3 2024","Currency=USD","Period=FQ","BEST_FPERIOD_OVERRIDE=FQ","FILING_STATUS=MR","SCALING_FORMAT=MLN","Sort=A","Dates=H","DateFormat=P","Fill=—","Direction=H","UseDPDF=Y")</f>
        <v>179.619</v>
      </c>
      <c r="AA34" s="19">
        <f>_xll.BDH("ITCI US Equity","ARD_TOT_LIABILITIES","FQ4 2024","FQ4 2024","Currency=USD","Period=FQ","BEST_FPERIOD_OVERRIDE=FQ","FILING_STATUS=MR","SCALING_FORMAT=MLN","Sort=A","Dates=H","DateFormat=P","Fill=—","Direction=H","UseDPDF=Y")</f>
        <v>218.452</v>
      </c>
    </row>
    <row r="35" spans="1:27" x14ac:dyDescent="0.25">
      <c r="A35" s="10" t="s">
        <v>733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x14ac:dyDescent="0.25">
      <c r="A36" s="10" t="s">
        <v>734</v>
      </c>
      <c r="B36" s="10" t="s">
        <v>735</v>
      </c>
      <c r="C36" s="13">
        <f>_xll.BDH("ITCI US Equity","ARD_COMMON_STOCK","FQ4 2018","FQ4 2018","Currency=USD","Period=FQ","BEST_FPERIOD_OVERRIDE=FQ","FILING_STATUS=MR","SCALING_FORMAT=MLN","Sort=A","Dates=H","DateFormat=P","Fill=—","Direction=H","UseDPDF=Y")</f>
        <v>5.4999999999999997E-3</v>
      </c>
      <c r="D36" s="13">
        <f>_xll.BDH("ITCI US Equity","ARD_COMMON_STOCK","FQ1 2019","FQ1 2019","Currency=USD","Period=FQ","BEST_FPERIOD_OVERRIDE=FQ","FILING_STATUS=MR","SCALING_FORMAT=MLN","Sort=A","Dates=H","DateFormat=P","Fill=—","Direction=H","UseDPDF=Y")</f>
        <v>5.4999999999999997E-3</v>
      </c>
      <c r="E36" s="13">
        <f>_xll.BDH("ITCI US Equity","ARD_COMMON_STOCK","FQ2 2019","FQ2 2019","Currency=USD","Period=FQ","BEST_FPERIOD_OVERRIDE=FQ","FILING_STATUS=MR","SCALING_FORMAT=MLN","Sort=A","Dates=H","DateFormat=P","Fill=—","Direction=H","UseDPDF=Y")</f>
        <v>5.4999999999999997E-3</v>
      </c>
      <c r="F36" s="13">
        <f>_xll.BDH("ITCI US Equity","ARD_COMMON_STOCK","FQ3 2019","FQ3 2019","Currency=USD","Period=FQ","BEST_FPERIOD_OVERRIDE=FQ","FILING_STATUS=MR","SCALING_FORMAT=MLN","Sort=A","Dates=H","DateFormat=P","Fill=—","Direction=H","UseDPDF=Y")</f>
        <v>5.4999999999999997E-3</v>
      </c>
      <c r="G36" s="13">
        <f>_xll.BDH("ITCI US Equity","ARD_COMMON_STOCK","FQ4 2019","FQ4 2019","Currency=USD","Period=FQ","BEST_FPERIOD_OVERRIDE=FQ","FILING_STATUS=MR","SCALING_FORMAT=MLN","Sort=A","Dates=H","DateFormat=P","Fill=—","Direction=H","UseDPDF=Y")</f>
        <v>5.5999999999999999E-3</v>
      </c>
      <c r="H36" s="13">
        <f>_xll.BDH("ITCI US Equity","ARD_COMMON_STOCK","FQ1 2020","FQ1 2020","Currency=USD","Period=FQ","BEST_FPERIOD_OVERRIDE=FQ","FILING_STATUS=MR","SCALING_FORMAT=MLN","Sort=A","Dates=H","DateFormat=P","Fill=—","Direction=H","UseDPDF=Y")</f>
        <v>6.6E-3</v>
      </c>
      <c r="I36" s="13">
        <f>_xll.BDH("ITCI US Equity","ARD_COMMON_STOCK","FQ2 2020","FQ2 2020","Currency=USD","Period=FQ","BEST_FPERIOD_OVERRIDE=FQ","FILING_STATUS=MR","SCALING_FORMAT=MLN","Sort=A","Dates=H","DateFormat=P","Fill=—","Direction=H","UseDPDF=Y")</f>
        <v>6.7000000000000002E-3</v>
      </c>
      <c r="J36" s="13">
        <f>_xll.BDH("ITCI US Equity","ARD_COMMON_STOCK","FQ3 2020","FQ3 2020","Currency=USD","Period=FQ","BEST_FPERIOD_OVERRIDE=FQ","FILING_STATUS=MR","SCALING_FORMAT=MLN","Sort=A","Dates=H","DateFormat=P","Fill=—","Direction=H","UseDPDF=Y")</f>
        <v>8.0000000000000002E-3</v>
      </c>
      <c r="K36" s="13">
        <f>_xll.BDH("ITCI US Equity","ARD_COMMON_STOCK","FQ4 2020","FQ4 2020","Currency=USD","Period=FQ","BEST_FPERIOD_OVERRIDE=FQ","FILING_STATUS=MR","SCALING_FORMAT=MLN","Sort=A","Dates=H","DateFormat=P","Fill=—","Direction=H","UseDPDF=Y")</f>
        <v>8.0000000000000002E-3</v>
      </c>
      <c r="L36" s="13">
        <f>_xll.BDH("ITCI US Equity","ARD_COMMON_STOCK","FQ1 2021","FQ1 2021","Currency=USD","Period=FQ","BEST_FPERIOD_OVERRIDE=FQ","FILING_STATUS=MR","SCALING_FORMAT=MLN","Sort=A","Dates=H","DateFormat=P","Fill=—","Direction=H","UseDPDF=Y")</f>
        <v>8.0999999999999996E-3</v>
      </c>
      <c r="M36" s="13">
        <f>_xll.BDH("ITCI US Equity","ARD_COMMON_STOCK","FQ2 2021","FQ2 2021","Currency=USD","Period=FQ","BEST_FPERIOD_OVERRIDE=FQ","FILING_STATUS=MR","SCALING_FORMAT=MLN","Sort=A","Dates=H","DateFormat=P","Fill=—","Direction=H","UseDPDF=Y")</f>
        <v>8.0999999999999996E-3</v>
      </c>
      <c r="N36" s="13">
        <f>_xll.BDH("ITCI US Equity","ARD_COMMON_STOCK","FQ3 2021","FQ3 2021","Currency=USD","Period=FQ","BEST_FPERIOD_OVERRIDE=FQ","FILING_STATUS=MR","SCALING_FORMAT=MLN","Sort=A","Dates=H","DateFormat=P","Fill=—","Direction=H","UseDPDF=Y")</f>
        <v>8.0999999999999996E-3</v>
      </c>
      <c r="O36" s="13">
        <f>_xll.BDH("ITCI US Equity","ARD_COMMON_STOCK","FQ4 2021","FQ4 2021","Currency=USD","Period=FQ","BEST_FPERIOD_OVERRIDE=FQ","FILING_STATUS=MR","SCALING_FORMAT=MLN","Sort=A","Dates=H","DateFormat=P","Fill=—","Direction=H","UseDPDF=Y")</f>
        <v>8.2000000000000007E-3</v>
      </c>
      <c r="P36" s="13">
        <f>_xll.BDH("ITCI US Equity","ARD_COMMON_STOCK","FQ1 2022","FQ1 2022","Currency=USD","Period=FQ","BEST_FPERIOD_OVERRIDE=FQ","FILING_STATUS=MR","SCALING_FORMAT=MLN","Sort=A","Dates=H","DateFormat=P","Fill=—","Direction=H","UseDPDF=Y")</f>
        <v>8.9999999999999993E-3</v>
      </c>
      <c r="Q36" s="13">
        <f>_xll.BDH("ITCI US Equity","ARD_COMMON_STOCK","FQ2 2022","FQ2 2022","Currency=USD","Period=FQ","BEST_FPERIOD_OVERRIDE=FQ","FILING_STATUS=MR","SCALING_FORMAT=MLN","Sort=A","Dates=H","DateFormat=P","Fill=—","Direction=H","UseDPDF=Y")</f>
        <v>8.9999999999999993E-3</v>
      </c>
      <c r="R36" s="13">
        <f>_xll.BDH("ITCI US Equity","ARD_COMMON_STOCK","FQ3 2022","FQ3 2022","Currency=USD","Period=FQ","BEST_FPERIOD_OVERRIDE=FQ","FILING_STATUS=MR","SCALING_FORMAT=MLN","Sort=A","Dates=H","DateFormat=P","Fill=—","Direction=H","UseDPDF=Y")</f>
        <v>8.9999999999999993E-3</v>
      </c>
      <c r="S36" s="13">
        <f>_xll.BDH("ITCI US Equity","ARD_COMMON_STOCK","FQ4 2022","FQ4 2022","Currency=USD","Period=FQ","BEST_FPERIOD_OVERRIDE=FQ","FILING_STATUS=MR","SCALING_FORMAT=MLN","Sort=A","Dates=H","DateFormat=P","Fill=—","Direction=H","UseDPDF=Y")</f>
        <v>8.9999999999999993E-3</v>
      </c>
      <c r="T36" s="13">
        <f>_xll.BDH("ITCI US Equity","ARD_COMMON_STOCK","FQ1 2023","FQ1 2023","Currency=USD","Period=FQ","BEST_FPERIOD_OVERRIDE=FQ","FILING_STATUS=MR","SCALING_FORMAT=MLN","Sort=A","Dates=H","DateFormat=P","Fill=—","Direction=H","UseDPDF=Y")</f>
        <v>0.01</v>
      </c>
      <c r="U36" s="13">
        <f>_xll.BDH("ITCI US Equity","ARD_COMMON_STOCK","FQ2 2023","FQ2 2023","Currency=USD","Period=FQ","BEST_FPERIOD_OVERRIDE=FQ","FILING_STATUS=MR","SCALING_FORMAT=MLN","Sort=A","Dates=H","DateFormat=P","Fill=—","Direction=H","UseDPDF=Y")</f>
        <v>0.01</v>
      </c>
      <c r="V36" s="13">
        <f>_xll.BDH("ITCI US Equity","ARD_COMMON_STOCK","FQ3 2023","FQ3 2023","Currency=USD","Period=FQ","BEST_FPERIOD_OVERRIDE=FQ","FILING_STATUS=MR","SCALING_FORMAT=MLN","Sort=A","Dates=H","DateFormat=P","Fill=—","Direction=H","UseDPDF=Y")</f>
        <v>0.01</v>
      </c>
      <c r="W36" s="13">
        <f>_xll.BDH("ITCI US Equity","ARD_COMMON_STOCK","FQ4 2023","FQ4 2023","Currency=USD","Period=FQ","BEST_FPERIOD_OVERRIDE=FQ","FILING_STATUS=MR","SCALING_FORMAT=MLN","Sort=A","Dates=H","DateFormat=P","Fill=—","Direction=H","UseDPDF=Y")</f>
        <v>0.01</v>
      </c>
      <c r="X36" s="13">
        <f>_xll.BDH("ITCI US Equity","ARD_COMMON_STOCK","FQ1 2024","FQ1 2024","Currency=USD","Period=FQ","BEST_FPERIOD_OVERRIDE=FQ","FILING_STATUS=MR","SCALING_FORMAT=MLN","Sort=A","Dates=H","DateFormat=P","Fill=—","Direction=H","UseDPDF=Y")</f>
        <v>0.01</v>
      </c>
      <c r="Y36" s="13">
        <f>_xll.BDH("ITCI US Equity","ARD_COMMON_STOCK","FQ2 2024","FQ2 2024","Currency=USD","Period=FQ","BEST_FPERIOD_OVERRIDE=FQ","FILING_STATUS=MR","SCALING_FORMAT=MLN","Sort=A","Dates=H","DateFormat=P","Fill=—","Direction=H","UseDPDF=Y")</f>
        <v>1.0999999999999999E-2</v>
      </c>
      <c r="Z36" s="13">
        <f>_xll.BDH("ITCI US Equity","ARD_COMMON_STOCK","FQ3 2024","FQ3 2024","Currency=USD","Period=FQ","BEST_FPERIOD_OVERRIDE=FQ","FILING_STATUS=MR","SCALING_FORMAT=MLN","Sort=A","Dates=H","DateFormat=P","Fill=—","Direction=H","UseDPDF=Y")</f>
        <v>1.0999999999999999E-2</v>
      </c>
      <c r="AA36" s="13">
        <f>_xll.BDH("ITCI US Equity","ARD_COMMON_STOCK","FQ4 2024","FQ4 2024","Currency=USD","Period=FQ","BEST_FPERIOD_OVERRIDE=FQ","FILING_STATUS=MR","SCALING_FORMAT=MLN","Sort=A","Dates=H","DateFormat=P","Fill=—","Direction=H","UseDPDF=Y")</f>
        <v>1.0999999999999999E-2</v>
      </c>
    </row>
    <row r="37" spans="1:27" x14ac:dyDescent="0.25">
      <c r="A37" s="10" t="s">
        <v>736</v>
      </c>
      <c r="B37" s="10" t="s">
        <v>737</v>
      </c>
      <c r="C37" s="13">
        <f>_xll.BDH("ITCI US Equity","ARD_ADDITIONAL_PAID_IN_CAPITAL","FQ4 2018","FQ4 2018","Currency=USD","Period=FQ","BEST_FPERIOD_OVERRIDE=FQ","FILING_STATUS=MR","SCALING_FORMAT=MLN","Sort=A","Dates=H","DateFormat=P","Fill=—","Direction=H","UseDPDF=Y")</f>
        <v>880.75329999999997</v>
      </c>
      <c r="D37" s="13">
        <f>_xll.BDH("ITCI US Equity","ARD_ADDITIONAL_PAID_IN_CAPITAL","FQ1 2019","FQ1 2019","Currency=USD","Period=FQ","BEST_FPERIOD_OVERRIDE=FQ","FILING_STATUS=MR","SCALING_FORMAT=MLN","Sort=A","Dates=H","DateFormat=P","Fill=—","Direction=H","UseDPDF=Y")</f>
        <v>885.88829999999996</v>
      </c>
      <c r="E37" s="13">
        <f>_xll.BDH("ITCI US Equity","ARD_ADDITIONAL_PAID_IN_CAPITAL","FQ2 2019","FQ2 2019","Currency=USD","Period=FQ","BEST_FPERIOD_OVERRIDE=FQ","FILING_STATUS=MR","SCALING_FORMAT=MLN","Sort=A","Dates=H","DateFormat=P","Fill=—","Direction=H","UseDPDF=Y")</f>
        <v>891.18349999999998</v>
      </c>
      <c r="F37" s="13">
        <f>_xll.BDH("ITCI US Equity","ARD_ADDITIONAL_PAID_IN_CAPITAL","FQ3 2019","FQ3 2019","Currency=USD","Period=FQ","BEST_FPERIOD_OVERRIDE=FQ","FILING_STATUS=MR","SCALING_FORMAT=MLN","Sort=A","Dates=H","DateFormat=P","Fill=—","Direction=H","UseDPDF=Y")</f>
        <v>896.19119999999998</v>
      </c>
      <c r="G37" s="13">
        <f>_xll.BDH("ITCI US Equity","ARD_ADDITIONAL_PAID_IN_CAPITAL","FQ4 2019","FQ4 2019","Currency=USD","Period=FQ","BEST_FPERIOD_OVERRIDE=FQ","FILING_STATUS=MR","SCALING_FORMAT=MLN","Sort=A","Dates=H","DateFormat=P","Fill=—","Direction=H","UseDPDF=Y")</f>
        <v>904.97180000000003</v>
      </c>
      <c r="H37" s="13">
        <f>_xll.BDH("ITCI US Equity","ARD_ADDITIONAL_PAID_IN_CAPITAL","FQ1 2020","FQ1 2020","Currency=USD","Period=FQ","BEST_FPERIOD_OVERRIDE=FQ","FILING_STATUS=MR","SCALING_FORMAT=MLN","Sort=A","Dates=H","DateFormat=P","Fill=—","Direction=H","UseDPDF=Y")</f>
        <v>1188.0959</v>
      </c>
      <c r="I37" s="13">
        <f>_xll.BDH("ITCI US Equity","ARD_ADDITIONAL_PAID_IN_CAPITAL","FQ2 2020","FQ2 2020","Currency=USD","Period=FQ","BEST_FPERIOD_OVERRIDE=FQ","FILING_STATUS=MR","SCALING_FORMAT=MLN","Sort=A","Dates=H","DateFormat=P","Fill=—","Direction=H","UseDPDF=Y")</f>
        <v>1199.5762999999999</v>
      </c>
      <c r="J37" s="13">
        <f>_xll.BDH("ITCI US Equity","ARD_ADDITIONAL_PAID_IN_CAPITAL","FQ3 2020","FQ3 2020","Currency=USD","Period=FQ","BEST_FPERIOD_OVERRIDE=FQ","FILING_STATUS=MR","SCALING_FORMAT=MLN","Sort=A","Dates=H","DateFormat=P","Fill=—","Direction=H","UseDPDF=Y")</f>
        <v>1585.0236</v>
      </c>
      <c r="K37" s="13">
        <f>_xll.BDH("ITCI US Equity","ARD_ADDITIONAL_PAID_IN_CAPITAL","FQ4 2020","FQ4 2020","Currency=USD","Period=FQ","BEST_FPERIOD_OVERRIDE=FQ","FILING_STATUS=MR","SCALING_FORMAT=MLN","Sort=A","Dates=H","DateFormat=P","Fill=—","Direction=H","UseDPDF=Y")</f>
        <v>1593.4755</v>
      </c>
      <c r="L37" s="13">
        <f>_xll.BDH("ITCI US Equity","ARD_ADDITIONAL_PAID_IN_CAPITAL","FQ1 2021","FQ1 2021","Currency=USD","Period=FQ","BEST_FPERIOD_OVERRIDE=FQ","FILING_STATUS=MR","SCALING_FORMAT=MLN","Sort=A","Dates=H","DateFormat=P","Fill=—","Direction=H","UseDPDF=Y")</f>
        <v>1601.7391</v>
      </c>
      <c r="M37" s="13">
        <f>_xll.BDH("ITCI US Equity","ARD_ADDITIONAL_PAID_IN_CAPITAL","FQ2 2021","FQ2 2021","Currency=USD","Period=FQ","BEST_FPERIOD_OVERRIDE=FQ","FILING_STATUS=MR","SCALING_FORMAT=MLN","Sort=A","Dates=H","DateFormat=P","Fill=—","Direction=H","UseDPDF=Y")</f>
        <v>1611.9893999999999</v>
      </c>
      <c r="N37" s="13">
        <f>_xll.BDH("ITCI US Equity","ARD_ADDITIONAL_PAID_IN_CAPITAL","FQ3 2021","FQ3 2021","Currency=USD","Period=FQ","BEST_FPERIOD_OVERRIDE=FQ","FILING_STATUS=MR","SCALING_FORMAT=MLN","Sort=A","Dates=H","DateFormat=P","Fill=—","Direction=H","UseDPDF=Y")</f>
        <v>1622.1496999999999</v>
      </c>
      <c r="O37" s="13">
        <f>_xll.BDH("ITCI US Equity","ARD_ADDITIONAL_PAID_IN_CAPITAL","FQ4 2021","FQ4 2021","Currency=USD","Period=FQ","BEST_FPERIOD_OVERRIDE=FQ","FILING_STATUS=MR","SCALING_FORMAT=MLN","Sort=A","Dates=H","DateFormat=P","Fill=—","Direction=H","UseDPDF=Y")</f>
        <v>1639.4757999999999</v>
      </c>
      <c r="P37" s="13">
        <f>_xll.BDH("ITCI US Equity","ARD_ADDITIONAL_PAID_IN_CAPITAL","FQ1 2022","FQ1 2022","Currency=USD","Period=FQ","BEST_FPERIOD_OVERRIDE=FQ","FILING_STATUS=MR","SCALING_FORMAT=MLN","Sort=A","Dates=H","DateFormat=P","Fill=—","Direction=H","UseDPDF=Y")</f>
        <v>2089.4180000000001</v>
      </c>
      <c r="Q37" s="13">
        <f>_xll.BDH("ITCI US Equity","ARD_ADDITIONAL_PAID_IN_CAPITAL","FQ2 2022","FQ2 2022","Currency=USD","Period=FQ","BEST_FPERIOD_OVERRIDE=FQ","FILING_STATUS=MR","SCALING_FORMAT=MLN","Sort=A","Dates=H","DateFormat=P","Fill=—","Direction=H","UseDPDF=Y")</f>
        <v>2106.942</v>
      </c>
      <c r="R37" s="13">
        <f>_xll.BDH("ITCI US Equity","ARD_ADDITIONAL_PAID_IN_CAPITAL","FQ3 2022","FQ3 2022","Currency=USD","Period=FQ","BEST_FPERIOD_OVERRIDE=FQ","FILING_STATUS=MR","SCALING_FORMAT=MLN","Sort=A","Dates=H","DateFormat=P","Fill=—","Direction=H","UseDPDF=Y")</f>
        <v>2124.3690000000001</v>
      </c>
      <c r="S37" s="13">
        <f>_xll.BDH("ITCI US Equity","ARD_ADDITIONAL_PAID_IN_CAPITAL","FQ4 2022","FQ4 2022","Currency=USD","Period=FQ","BEST_FPERIOD_OVERRIDE=FQ","FILING_STATUS=MR","SCALING_FORMAT=MLN","Sort=A","Dates=H","DateFormat=P","Fill=—","Direction=H","UseDPDF=Y")</f>
        <v>2137.7370000000001</v>
      </c>
      <c r="T37" s="13">
        <f>_xll.BDH("ITCI US Equity","ARD_ADDITIONAL_PAID_IN_CAPITAL","FQ1 2023","FQ1 2023","Currency=USD","Period=FQ","BEST_FPERIOD_OVERRIDE=FQ","FILING_STATUS=MR","SCALING_FORMAT=MLN","Sort=A","Dates=H","DateFormat=P","Fill=—","Direction=H","UseDPDF=Y")</f>
        <v>2151.837</v>
      </c>
      <c r="U37" s="13">
        <f>_xll.BDH("ITCI US Equity","ARD_ADDITIONAL_PAID_IN_CAPITAL","FQ2 2023","FQ2 2023","Currency=USD","Period=FQ","BEST_FPERIOD_OVERRIDE=FQ","FILING_STATUS=MR","SCALING_FORMAT=MLN","Sort=A","Dates=H","DateFormat=P","Fill=—","Direction=H","UseDPDF=Y")</f>
        <v>2173.6709999999998</v>
      </c>
      <c r="V37" s="13">
        <f>_xll.BDH("ITCI US Equity","ARD_ADDITIONAL_PAID_IN_CAPITAL","FQ3 2023","FQ3 2023","Currency=USD","Period=FQ","BEST_FPERIOD_OVERRIDE=FQ","FILING_STATUS=MR","SCALING_FORMAT=MLN","Sort=A","Dates=H","DateFormat=P","Fill=—","Direction=H","UseDPDF=Y")</f>
        <v>2190.587</v>
      </c>
      <c r="W37" s="13">
        <f>_xll.BDH("ITCI US Equity","ARD_ADDITIONAL_PAID_IN_CAPITAL","FQ4 2023","FQ4 2023","Currency=USD","Period=FQ","BEST_FPERIOD_OVERRIDE=FQ","FILING_STATUS=MR","SCALING_FORMAT=MLN","Sort=A","Dates=H","DateFormat=P","Fill=—","Direction=H","UseDPDF=Y")</f>
        <v>2208.4699999999998</v>
      </c>
      <c r="X37" s="13">
        <f>_xll.BDH("ITCI US Equity","ARD_ADDITIONAL_PAID_IN_CAPITAL","FQ1 2024","FQ1 2024","Currency=USD","Period=FQ","BEST_FPERIOD_OVERRIDE=FQ","FILING_STATUS=MR","SCALING_FORMAT=MLN","Sort=A","Dates=H","DateFormat=P","Fill=—","Direction=H","UseDPDF=Y")</f>
        <v>2232.3249999999998</v>
      </c>
      <c r="Y37" s="13">
        <f>_xll.BDH("ITCI US Equity","ARD_ADDITIONAL_PAID_IN_CAPITAL","FQ2 2024","FQ2 2024","Currency=USD","Period=FQ","BEST_FPERIOD_OVERRIDE=FQ","FILING_STATUS=MR","SCALING_FORMAT=MLN","Sort=A","Dates=H","DateFormat=P","Fill=—","Direction=H","UseDPDF=Y")</f>
        <v>2793.8960000000002</v>
      </c>
      <c r="Z37" s="13">
        <f>_xll.BDH("ITCI US Equity","ARD_ADDITIONAL_PAID_IN_CAPITAL","FQ3 2024","FQ3 2024","Currency=USD","Period=FQ","BEST_FPERIOD_OVERRIDE=FQ","FILING_STATUS=MR","SCALING_FORMAT=MLN","Sort=A","Dates=H","DateFormat=P","Fill=—","Direction=H","UseDPDF=Y")</f>
        <v>2818.1370000000002</v>
      </c>
      <c r="AA37" s="13">
        <f>_xll.BDH("ITCI US Equity","ARD_ADDITIONAL_PAID_IN_CAPITAL","FQ4 2024","FQ4 2024","Currency=USD","Period=FQ","BEST_FPERIOD_OVERRIDE=FQ","FILING_STATUS=MR","SCALING_FORMAT=MLN","Sort=A","Dates=H","DateFormat=P","Fill=—","Direction=H","UseDPDF=Y")</f>
        <v>2840.0940000000001</v>
      </c>
    </row>
    <row r="38" spans="1:27" x14ac:dyDescent="0.25">
      <c r="A38" s="10" t="s">
        <v>738</v>
      </c>
      <c r="B38" s="10" t="s">
        <v>739</v>
      </c>
      <c r="C38" s="13">
        <f>_xll.BDH("ITCI US Equity","ARD_ACC_OTH_COMPREHENSIVE_INC","FQ4 2018","FQ4 2018","Currency=USD","Period=FQ","BEST_FPERIOD_OVERRIDE=FQ","FILING_STATUS=MR","SCALING_FORMAT=MLN","Sort=A","Dates=H","DateFormat=P","Fill=—","Direction=H","UseDPDF=Y")</f>
        <v>-0.66779999999999995</v>
      </c>
      <c r="D38" s="13">
        <f>_xll.BDH("ITCI US Equity","ARD_ACC_OTH_COMPREHENSIVE_INC","FQ1 2019","FQ1 2019","Currency=USD","Period=FQ","BEST_FPERIOD_OVERRIDE=FQ","FILING_STATUS=MR","SCALING_FORMAT=MLN","Sort=A","Dates=H","DateFormat=P","Fill=—","Direction=H","UseDPDF=Y")</f>
        <v>-6.7500000000000004E-2</v>
      </c>
      <c r="E38" s="13">
        <f>_xll.BDH("ITCI US Equity","ARD_ACC_OTH_COMPREHENSIVE_INC","FQ2 2019","FQ2 2019","Currency=USD","Period=FQ","BEST_FPERIOD_OVERRIDE=FQ","FILING_STATUS=MR","SCALING_FORMAT=MLN","Sort=A","Dates=H","DateFormat=P","Fill=—","Direction=H","UseDPDF=Y")</f>
        <v>0.2324</v>
      </c>
      <c r="F38" s="13">
        <f>_xll.BDH("ITCI US Equity","ARD_ACC_OTH_COMPREHENSIVE_INC","FQ3 2019","FQ3 2019","Currency=USD","Period=FQ","BEST_FPERIOD_OVERRIDE=FQ","FILING_STATUS=MR","SCALING_FORMAT=MLN","Sort=A","Dates=H","DateFormat=P","Fill=—","Direction=H","UseDPDF=Y")</f>
        <v>0.19900000000000001</v>
      </c>
      <c r="G38" s="13">
        <f>_xll.BDH("ITCI US Equity","ARD_ACC_OTH_COMPREHENSIVE_INC","FQ4 2019","FQ4 2019","Currency=USD","Period=FQ","BEST_FPERIOD_OVERRIDE=FQ","FILING_STATUS=MR","SCALING_FORMAT=MLN","Sort=A","Dates=H","DateFormat=P","Fill=—","Direction=H","UseDPDF=Y")</f>
        <v>0.1283</v>
      </c>
      <c r="H38" s="13">
        <f>_xll.BDH("ITCI US Equity","ARD_ACC_OTH_COMPREHENSIVE_INC","FQ1 2020","FQ1 2020","Currency=USD","Period=FQ","BEST_FPERIOD_OVERRIDE=FQ","FILING_STATUS=MR","SCALING_FORMAT=MLN","Sort=A","Dates=H","DateFormat=P","Fill=—","Direction=H","UseDPDF=Y")</f>
        <v>-0.1452</v>
      </c>
      <c r="I38" s="13">
        <f>_xll.BDH("ITCI US Equity","ARD_ACC_OTH_COMPREHENSIVE_INC","FQ2 2020","FQ2 2020","Currency=USD","Period=FQ","BEST_FPERIOD_OVERRIDE=FQ","FILING_STATUS=MR","SCALING_FORMAT=MLN","Sort=A","Dates=H","DateFormat=P","Fill=—","Direction=H","UseDPDF=Y")</f>
        <v>1.1680999999999999</v>
      </c>
      <c r="J38" s="13">
        <f>_xll.BDH("ITCI US Equity","ARD_ACC_OTH_COMPREHENSIVE_INC","FQ3 2020","FQ3 2020","Currency=USD","Period=FQ","BEST_FPERIOD_OVERRIDE=FQ","FILING_STATUS=MR","SCALING_FORMAT=MLN","Sort=A","Dates=H","DateFormat=P","Fill=—","Direction=H","UseDPDF=Y")</f>
        <v>0.76870000000000005</v>
      </c>
      <c r="K38" s="13">
        <f>_xll.BDH("ITCI US Equity","ARD_ACC_OTH_COMPREHENSIVE_INC","FQ4 2020","FQ4 2020","Currency=USD","Period=FQ","BEST_FPERIOD_OVERRIDE=FQ","FILING_STATUS=MR","SCALING_FORMAT=MLN","Sort=A","Dates=H","DateFormat=P","Fill=—","Direction=H","UseDPDF=Y")</f>
        <v>0.48060000000000003</v>
      </c>
      <c r="L38" s="13">
        <f>_xll.BDH("ITCI US Equity","ARD_ACC_OTH_COMPREHENSIVE_INC","FQ1 2021","FQ1 2021","Currency=USD","Period=FQ","BEST_FPERIOD_OVERRIDE=FQ","FILING_STATUS=MR","SCALING_FORMAT=MLN","Sort=A","Dates=H","DateFormat=P","Fill=—","Direction=H","UseDPDF=Y")</f>
        <v>0.2465</v>
      </c>
      <c r="M38" s="13">
        <f>_xll.BDH("ITCI US Equity","ARD_ACC_OTH_COMPREHENSIVE_INC","FQ2 2021","FQ2 2021","Currency=USD","Period=FQ","BEST_FPERIOD_OVERRIDE=FQ","FILING_STATUS=MR","SCALING_FORMAT=MLN","Sort=A","Dates=H","DateFormat=P","Fill=—","Direction=H","UseDPDF=Y")</f>
        <v>0.17610000000000001</v>
      </c>
      <c r="N38" s="13">
        <f>_xll.BDH("ITCI US Equity","ARD_ACC_OTH_COMPREHENSIVE_INC","FQ3 2021","FQ3 2021","Currency=USD","Period=FQ","BEST_FPERIOD_OVERRIDE=FQ","FILING_STATUS=MR","SCALING_FORMAT=MLN","Sort=A","Dates=H","DateFormat=P","Fill=—","Direction=H","UseDPDF=Y")</f>
        <v>9.4200000000000006E-2</v>
      </c>
      <c r="O38" s="13">
        <f>_xll.BDH("ITCI US Equity","ARD_ACC_OTH_COMPREHENSIVE_INC","FQ4 2021","FQ4 2021","Currency=USD","Period=FQ","BEST_FPERIOD_OVERRIDE=FQ","FILING_STATUS=MR","SCALING_FORMAT=MLN","Sort=A","Dates=H","DateFormat=P","Fill=—","Direction=H","UseDPDF=Y")</f>
        <v>-0.36370000000000002</v>
      </c>
      <c r="P38" s="13">
        <f>_xll.BDH("ITCI US Equity","ARD_ACC_OTH_COMPREHENSIVE_INC","FQ1 2022","FQ1 2022","Currency=USD","Period=FQ","BEST_FPERIOD_OVERRIDE=FQ","FILING_STATUS=MR","SCALING_FORMAT=MLN","Sort=A","Dates=H","DateFormat=P","Fill=—","Direction=H","UseDPDF=Y")</f>
        <v>-3.3279999999999998</v>
      </c>
      <c r="Q38" s="13">
        <f>_xll.BDH("ITCI US Equity","ARD_ACC_OTH_COMPREHENSIVE_INC","FQ2 2022","FQ2 2022","Currency=USD","Period=FQ","BEST_FPERIOD_OVERRIDE=FQ","FILING_STATUS=MR","SCALING_FORMAT=MLN","Sort=A","Dates=H","DateFormat=P","Fill=—","Direction=H","UseDPDF=Y")</f>
        <v>-4.8019999999999996</v>
      </c>
      <c r="R38" s="13">
        <f>_xll.BDH("ITCI US Equity","ARD_ACC_OTH_COMPREHENSIVE_INC","FQ3 2022","FQ3 2022","Currency=USD","Period=FQ","BEST_FPERIOD_OVERRIDE=FQ","FILING_STATUS=MR","SCALING_FORMAT=MLN","Sort=A","Dates=H","DateFormat=P","Fill=—","Direction=H","UseDPDF=Y")</f>
        <v>-5.4960000000000004</v>
      </c>
      <c r="S38" s="13">
        <f>_xll.BDH("ITCI US Equity","ARD_ACC_OTH_COMPREHENSIVE_INC","FQ4 2022","FQ4 2022","Currency=USD","Period=FQ","BEST_FPERIOD_OVERRIDE=FQ","FILING_STATUS=MR","SCALING_FORMAT=MLN","Sort=A","Dates=H","DateFormat=P","Fill=—","Direction=H","UseDPDF=Y")</f>
        <v>-4.1900000000000004</v>
      </c>
      <c r="T38" s="13">
        <f>_xll.BDH("ITCI US Equity","ARD_ACC_OTH_COMPREHENSIVE_INC","FQ1 2023","FQ1 2023","Currency=USD","Period=FQ","BEST_FPERIOD_OVERRIDE=FQ","FILING_STATUS=MR","SCALING_FORMAT=MLN","Sort=A","Dates=H","DateFormat=P","Fill=—","Direction=H","UseDPDF=Y")</f>
        <v>-2.698</v>
      </c>
      <c r="U38" s="13">
        <f>_xll.BDH("ITCI US Equity","ARD_ACC_OTH_COMPREHENSIVE_INC","FQ2 2023","FQ2 2023","Currency=USD","Period=FQ","BEST_FPERIOD_OVERRIDE=FQ","FILING_STATUS=MR","SCALING_FORMAT=MLN","Sort=A","Dates=H","DateFormat=P","Fill=—","Direction=H","UseDPDF=Y")</f>
        <v>-2.2679999999999998</v>
      </c>
      <c r="V38" s="13">
        <f>_xll.BDH("ITCI US Equity","ARD_ACC_OTH_COMPREHENSIVE_INC","FQ3 2023","FQ3 2023","Currency=USD","Period=FQ","BEST_FPERIOD_OVERRIDE=FQ","FILING_STATUS=MR","SCALING_FORMAT=MLN","Sort=A","Dates=H","DateFormat=P","Fill=—","Direction=H","UseDPDF=Y")</f>
        <v>-1.335</v>
      </c>
      <c r="W38" s="13">
        <f>_xll.BDH("ITCI US Equity","ARD_ACC_OTH_COMPREHENSIVE_INC","FQ4 2023","FQ4 2023","Currency=USD","Period=FQ","BEST_FPERIOD_OVERRIDE=FQ","FILING_STATUS=MR","SCALING_FORMAT=MLN","Sort=A","Dates=H","DateFormat=P","Fill=—","Direction=H","UseDPDF=Y")</f>
        <v>0.104</v>
      </c>
      <c r="X38" s="13">
        <f>_xll.BDH("ITCI US Equity","ARD_ACC_OTH_COMPREHENSIVE_INC","FQ1 2024","FQ1 2024","Currency=USD","Period=FQ","BEST_FPERIOD_OVERRIDE=FQ","FILING_STATUS=MR","SCALING_FORMAT=MLN","Sort=A","Dates=H","DateFormat=P","Fill=—","Direction=H","UseDPDF=Y")</f>
        <v>-0.43</v>
      </c>
      <c r="Y38" s="13">
        <f>_xll.BDH("ITCI US Equity","ARD_ACC_OTH_COMPREHENSIVE_INC","FQ2 2024","FQ2 2024","Currency=USD","Period=FQ","BEST_FPERIOD_OVERRIDE=FQ","FILING_STATUS=MR","SCALING_FORMAT=MLN","Sort=A","Dates=H","DateFormat=P","Fill=—","Direction=H","UseDPDF=Y")</f>
        <v>-0.66800000000000004</v>
      </c>
      <c r="Z38" s="13">
        <f>_xll.BDH("ITCI US Equity","ARD_ACC_OTH_COMPREHENSIVE_INC","FQ3 2024","FQ3 2024","Currency=USD","Period=FQ","BEST_FPERIOD_OVERRIDE=FQ","FILING_STATUS=MR","SCALING_FORMAT=MLN","Sort=A","Dates=H","DateFormat=P","Fill=—","Direction=H","UseDPDF=Y")</f>
        <v>1.629</v>
      </c>
      <c r="AA38" s="13">
        <f>_xll.BDH("ITCI US Equity","ARD_ACC_OTH_COMPREHENSIVE_INC","FQ4 2024","FQ4 2024","Currency=USD","Period=FQ","BEST_FPERIOD_OVERRIDE=FQ","FILING_STATUS=MR","SCALING_FORMAT=MLN","Sort=A","Dates=H","DateFormat=P","Fill=—","Direction=H","UseDPDF=Y")</f>
        <v>0.191</v>
      </c>
    </row>
    <row r="39" spans="1:27" x14ac:dyDescent="0.25">
      <c r="A39" s="10" t="s">
        <v>740</v>
      </c>
      <c r="B39" s="10" t="s">
        <v>741</v>
      </c>
      <c r="C39" s="13">
        <f>_xll.BDH("ITCI US Equity","ARD_RETAINED_EARN_ACC_DEFICIT","FQ4 2018","FQ4 2018","Currency=USD","Period=FQ","BEST_FPERIOD_OVERRIDE=FQ","FILING_STATUS=MR","SCALING_FORMAT=MLN","Sort=A","Dates=H","DateFormat=P","Fill=—","Direction=H","UseDPDF=Y")</f>
        <v>-562.37620000000004</v>
      </c>
      <c r="D39" s="13">
        <f>_xll.BDH("ITCI US Equity","ARD_RETAINED_EARN_ACC_DEFICIT","FQ1 2019","FQ1 2019","Currency=USD","Period=FQ","BEST_FPERIOD_OVERRIDE=FQ","FILING_STATUS=MR","SCALING_FORMAT=MLN","Sort=A","Dates=H","DateFormat=P","Fill=—","Direction=H","UseDPDF=Y")</f>
        <v>-597.21199999999999</v>
      </c>
      <c r="E39" s="13">
        <f>_xll.BDH("ITCI US Equity","ARD_RETAINED_EARN_ACC_DEFICIT","FQ2 2019","FQ2 2019","Currency=USD","Period=FQ","BEST_FPERIOD_OVERRIDE=FQ","FILING_STATUS=MR","SCALING_FORMAT=MLN","Sort=A","Dates=H","DateFormat=P","Fill=—","Direction=H","UseDPDF=Y")</f>
        <v>-634.65309999999999</v>
      </c>
      <c r="F39" s="13">
        <f>_xll.BDH("ITCI US Equity","ARD_RETAINED_EARN_ACC_DEFICIT","FQ3 2019","FQ3 2019","Currency=USD","Period=FQ","BEST_FPERIOD_OVERRIDE=FQ","FILING_STATUS=MR","SCALING_FORMAT=MLN","Sort=A","Dates=H","DateFormat=P","Fill=—","Direction=H","UseDPDF=Y")</f>
        <v>-669.51549999999997</v>
      </c>
      <c r="G39" s="13">
        <f>_xll.BDH("ITCI US Equity","ARD_RETAINED_EARN_ACC_DEFICIT","FQ4 2019","FQ4 2019","Currency=USD","Period=FQ","BEST_FPERIOD_OVERRIDE=FQ","FILING_STATUS=MR","SCALING_FORMAT=MLN","Sort=A","Dates=H","DateFormat=P","Fill=—","Direction=H","UseDPDF=Y")</f>
        <v>-710.09839999999997</v>
      </c>
      <c r="H39" s="13">
        <f>_xll.BDH("ITCI US Equity","ARD_RETAINED_EARN_ACC_DEFICIT","FQ1 2020","FQ1 2020","Currency=USD","Period=FQ","BEST_FPERIOD_OVERRIDE=FQ","FILING_STATUS=MR","SCALING_FORMAT=MLN","Sort=A","Dates=H","DateFormat=P","Fill=—","Direction=H","UseDPDF=Y")</f>
        <v>-757.50900000000001</v>
      </c>
      <c r="I39" s="13">
        <f>_xll.BDH("ITCI US Equity","ARD_RETAINED_EARN_ACC_DEFICIT","FQ2 2020","FQ2 2020","Currency=USD","Period=FQ","BEST_FPERIOD_OVERRIDE=FQ","FILING_STATUS=MR","SCALING_FORMAT=MLN","Sort=A","Dates=H","DateFormat=P","Fill=—","Direction=H","UseDPDF=Y")</f>
        <v>-821.22119999999995</v>
      </c>
      <c r="J39" s="13">
        <f>_xll.BDH("ITCI US Equity","ARD_RETAINED_EARN_ACC_DEFICIT","FQ3 2020","FQ3 2020","Currency=USD","Period=FQ","BEST_FPERIOD_OVERRIDE=FQ","FILING_STATUS=MR","SCALING_FORMAT=MLN","Sort=A","Dates=H","DateFormat=P","Fill=—","Direction=H","UseDPDF=Y")</f>
        <v>-876.4049</v>
      </c>
      <c r="K39" s="13">
        <f>_xll.BDH("ITCI US Equity","ARD_RETAINED_EARN_ACC_DEFICIT","FQ4 2020","FQ4 2020","Currency=USD","Period=FQ","BEST_FPERIOD_OVERRIDE=FQ","FILING_STATUS=MR","SCALING_FORMAT=MLN","Sort=A","Dates=H","DateFormat=P","Fill=—","Direction=H","UseDPDF=Y")</f>
        <v>-937.10400000000004</v>
      </c>
      <c r="L39" s="13">
        <f>_xll.BDH("ITCI US Equity","ARD_RETAINED_EARN_ACC_DEFICIT","FQ1 2021","FQ1 2021","Currency=USD","Period=FQ","BEST_FPERIOD_OVERRIDE=FQ","FILING_STATUS=MR","SCALING_FORMAT=MLN","Sort=A","Dates=H","DateFormat=P","Fill=—","Direction=H","UseDPDF=Y")</f>
        <v>-989.84400000000005</v>
      </c>
      <c r="M39" s="13">
        <f>_xll.BDH("ITCI US Equity","ARD_RETAINED_EARN_ACC_DEFICIT","FQ2 2021","FQ2 2021","Currency=USD","Period=FQ","BEST_FPERIOD_OVERRIDE=FQ","FILING_STATUS=MR","SCALING_FORMAT=MLN","Sort=A","Dates=H","DateFormat=P","Fill=—","Direction=H","UseDPDF=Y")</f>
        <v>-1058.5878</v>
      </c>
      <c r="N39" s="13">
        <f>_xll.BDH("ITCI US Equity","ARD_RETAINED_EARN_ACC_DEFICIT","FQ3 2021","FQ3 2021","Currency=USD","Period=FQ","BEST_FPERIOD_OVERRIDE=FQ","FILING_STATUS=MR","SCALING_FORMAT=MLN","Sort=A","Dates=H","DateFormat=P","Fill=—","Direction=H","UseDPDF=Y")</f>
        <v>-1135.4957999999999</v>
      </c>
      <c r="O39" s="13">
        <f>_xll.BDH("ITCI US Equity","ARD_RETAINED_EARN_ACC_DEFICIT","FQ4 2021","FQ4 2021","Currency=USD","Period=FQ","BEST_FPERIOD_OVERRIDE=FQ","FILING_STATUS=MR","SCALING_FORMAT=MLN","Sort=A","Dates=H","DateFormat=P","Fill=—","Direction=H","UseDPDF=Y")</f>
        <v>-1221.2297000000001</v>
      </c>
      <c r="P39" s="13">
        <f>_xll.BDH("ITCI US Equity","ARD_RETAINED_EARN_ACC_DEFICIT","FQ1 2022","FQ1 2022","Currency=USD","Period=FQ","BEST_FPERIOD_OVERRIDE=FQ","FILING_STATUS=MR","SCALING_FORMAT=MLN","Sort=A","Dates=H","DateFormat=P","Fill=—","Direction=H","UseDPDF=Y")</f>
        <v>-1293.3489999999999</v>
      </c>
      <c r="Q39" s="13">
        <f>_xll.BDH("ITCI US Equity","ARD_RETAINED_EARN_ACC_DEFICIT","FQ2 2022","FQ2 2022","Currency=USD","Period=FQ","BEST_FPERIOD_OVERRIDE=FQ","FILING_STATUS=MR","SCALING_FORMAT=MLN","Sort=A","Dates=H","DateFormat=P","Fill=—","Direction=H","UseDPDF=Y")</f>
        <v>-1379.952</v>
      </c>
      <c r="R39" s="13">
        <f>_xll.BDH("ITCI US Equity","ARD_RETAINED_EARN_ACC_DEFICIT","FQ3 2022","FQ3 2022","Currency=USD","Period=FQ","BEST_FPERIOD_OVERRIDE=FQ","FILING_STATUS=MR","SCALING_FORMAT=MLN","Sort=A","Dates=H","DateFormat=P","Fill=—","Direction=H","UseDPDF=Y")</f>
        <v>-1433.46</v>
      </c>
      <c r="S39" s="13">
        <f>_xll.BDH("ITCI US Equity","ARD_RETAINED_EARN_ACC_DEFICIT","FQ4 2022","FQ4 2022","Currency=USD","Period=FQ","BEST_FPERIOD_OVERRIDE=FQ","FILING_STATUS=MR","SCALING_FORMAT=MLN","Sort=A","Dates=H","DateFormat=P","Fill=—","Direction=H","UseDPDF=Y")</f>
        <v>-1477.4860000000001</v>
      </c>
      <c r="T39" s="13">
        <f>_xll.BDH("ITCI US Equity","ARD_RETAINED_EARN_ACC_DEFICIT","FQ1 2023","FQ1 2023","Currency=USD","Period=FQ","BEST_FPERIOD_OVERRIDE=FQ","FILING_STATUS=MR","SCALING_FORMAT=MLN","Sort=A","Dates=H","DateFormat=P","Fill=—","Direction=H","UseDPDF=Y")</f>
        <v>-1521.539</v>
      </c>
      <c r="U39" s="13">
        <f>_xll.BDH("ITCI US Equity","ARD_RETAINED_EARN_ACC_DEFICIT","FQ2 2023","FQ2 2023","Currency=USD","Period=FQ","BEST_FPERIOD_OVERRIDE=FQ","FILING_STATUS=MR","SCALING_FORMAT=MLN","Sort=A","Dates=H","DateFormat=P","Fill=—","Direction=H","UseDPDF=Y")</f>
        <v>-1564.3230000000001</v>
      </c>
      <c r="V39" s="13">
        <f>_xll.BDH("ITCI US Equity","ARD_RETAINED_EARN_ACC_DEFICIT","FQ3 2023","FQ3 2023","Currency=USD","Period=FQ","BEST_FPERIOD_OVERRIDE=FQ","FILING_STATUS=MR","SCALING_FORMAT=MLN","Sort=A","Dates=H","DateFormat=P","Fill=—","Direction=H","UseDPDF=Y")</f>
        <v>-1588.5809999999999</v>
      </c>
      <c r="W39" s="13">
        <f>_xll.BDH("ITCI US Equity","ARD_RETAINED_EARN_ACC_DEFICIT","FQ4 2023","FQ4 2023","Currency=USD","Period=FQ","BEST_FPERIOD_OVERRIDE=FQ","FILING_STATUS=MR","SCALING_FORMAT=MLN","Sort=A","Dates=H","DateFormat=P","Fill=—","Direction=H","UseDPDF=Y")</f>
        <v>-1617.16</v>
      </c>
      <c r="X39" s="13">
        <f>_xll.BDH("ITCI US Equity","ARD_RETAINED_EARN_ACC_DEFICIT","FQ1 2024","FQ1 2024","Currency=USD","Period=FQ","BEST_FPERIOD_OVERRIDE=FQ","FILING_STATUS=MR","SCALING_FORMAT=MLN","Sort=A","Dates=H","DateFormat=P","Fill=—","Direction=H","UseDPDF=Y")</f>
        <v>-1632.4069999999999</v>
      </c>
      <c r="Y39" s="13">
        <f>_xll.BDH("ITCI US Equity","ARD_RETAINED_EARN_ACC_DEFICIT","FQ2 2024","FQ2 2024","Currency=USD","Period=FQ","BEST_FPERIOD_OVERRIDE=FQ","FILING_STATUS=MR","SCALING_FORMAT=MLN","Sort=A","Dates=H","DateFormat=P","Fill=—","Direction=H","UseDPDF=Y")</f>
        <v>-1648.627</v>
      </c>
      <c r="Z39" s="13">
        <f>_xll.BDH("ITCI US Equity","ARD_RETAINED_EARN_ACC_DEFICIT","FQ3 2024","FQ3 2024","Currency=USD","Period=FQ","BEST_FPERIOD_OVERRIDE=FQ","FILING_STATUS=MR","SCALING_FORMAT=MLN","Sort=A","Dates=H","DateFormat=P","Fill=—","Direction=H","UseDPDF=Y")</f>
        <v>-1674.951</v>
      </c>
      <c r="AA39" s="13">
        <f>_xll.BDH("ITCI US Equity","ARD_RETAINED_EARN_ACC_DEFICIT","FQ4 2024","FQ4 2024","Currency=USD","Period=FQ","BEST_FPERIOD_OVERRIDE=FQ","FILING_STATUS=MR","SCALING_FORMAT=MLN","Sort=A","Dates=H","DateFormat=P","Fill=—","Direction=H","UseDPDF=Y")</f>
        <v>-1691.836</v>
      </c>
    </row>
    <row r="40" spans="1:27" x14ac:dyDescent="0.25">
      <c r="A40" s="10" t="s">
        <v>661</v>
      </c>
      <c r="B40" s="10" t="s">
        <v>742</v>
      </c>
      <c r="C40" s="13">
        <f>_xll.BDH("ITCI US Equity","ARD_SHARES_OUTSTANDING","FQ4 2018","FQ4 2018","Currency=USD","Period=FQ","BEST_FPERIOD_OVERRIDE=FQ","FILING_STATUS=MR","Sort=A","Dates=H","DateFormat=P","Fill=—","Direction=H","UseDPDF=Y")</f>
        <v>54.895299999999999</v>
      </c>
      <c r="D40" s="13">
        <f>_xll.BDH("ITCI US Equity","ARD_SHARES_OUTSTANDING","FQ1 2019","FQ1 2019","Currency=USD","Period=FQ","BEST_FPERIOD_OVERRIDE=FQ","FILING_STATUS=MR","Sort=A","Dates=H","DateFormat=P","Fill=—","Direction=H","UseDPDF=Y")</f>
        <v>55.131100000000004</v>
      </c>
      <c r="E40" s="13">
        <f>_xll.BDH("ITCI US Equity","ARD_SHARES_OUTSTANDING","FQ2 2019","FQ2 2019","Currency=USD","Period=FQ","BEST_FPERIOD_OVERRIDE=FQ","FILING_STATUS=MR","Sort=A","Dates=H","DateFormat=P","Fill=—","Direction=H","UseDPDF=Y")</f>
        <v>55.186700000000002</v>
      </c>
      <c r="F40" s="13">
        <f>_xll.BDH("ITCI US Equity","ARD_SHARES_OUTSTANDING","FQ3 2019","FQ3 2019","Currency=USD","Period=FQ","BEST_FPERIOD_OVERRIDE=FQ","FILING_STATUS=MR","Sort=A","Dates=H","DateFormat=P","Fill=—","Direction=H","UseDPDF=Y")</f>
        <v>55.247599999999998</v>
      </c>
      <c r="G40" s="13">
        <f>_xll.BDH("ITCI US Equity","ARD_SHARES_OUTSTANDING","FQ4 2019","FQ4 2019","Currency=USD","Period=FQ","BEST_FPERIOD_OVERRIDE=FQ","FILING_STATUS=MR","Sort=A","Dates=H","DateFormat=P","Fill=—","Direction=H","UseDPDF=Y")</f>
        <v>55.5075</v>
      </c>
      <c r="H40" s="13" t="str">
        <f>_xll.BDH("ITCI US Equity","ARD_SHARES_OUTSTANDING","FQ1 2020","FQ1 2020","Currency=USD","Period=FQ","BEST_FPERIOD_OVERRIDE=FQ","FILING_STATUS=MR","Sort=A","Dates=H","DateFormat=P","Fill=—","Direction=H","UseDPDF=Y")</f>
        <v>—</v>
      </c>
      <c r="I40" s="13">
        <f>_xll.BDH("ITCI US Equity","ARD_SHARES_OUTSTANDING","FQ2 2020","FQ2 2020","Currency=USD","Period=FQ","BEST_FPERIOD_OVERRIDE=FQ","FILING_STATUS=MR","Sort=A","Dates=H","DateFormat=P","Fill=—","Direction=H","UseDPDF=Y")</f>
        <v>66.777699999999996</v>
      </c>
      <c r="J40" s="13">
        <f>_xll.BDH("ITCI US Equity","ARD_SHARES_OUTSTANDING","FQ3 2020","FQ3 2020","Currency=USD","Period=FQ","BEST_FPERIOD_OVERRIDE=FQ","FILING_STATUS=MR","Sort=A","Dates=H","DateFormat=P","Fill=—","Direction=H","UseDPDF=Y")</f>
        <v>80.142799999999994</v>
      </c>
      <c r="K40" s="13">
        <f>_xll.BDH("ITCI US Equity","ARD_SHARES_OUTSTANDING","FQ4 2020","FQ4 2020","Currency=USD","Period=FQ","BEST_FPERIOD_OVERRIDE=FQ","FILING_STATUS=MR","Sort=A","Dates=H","DateFormat=P","Fill=—","Direction=H","UseDPDF=Y")</f>
        <v>80.463099999999997</v>
      </c>
      <c r="L40" s="13">
        <f>_xll.BDH("ITCI US Equity","ARD_SHARES_OUTSTANDING","FQ1 2021","FQ1 2021","Currency=USD","Period=FQ","BEST_FPERIOD_OVERRIDE=FQ","FILING_STATUS=MR","Sort=A","Dates=H","DateFormat=P","Fill=—","Direction=H","UseDPDF=Y")</f>
        <v>81.133799999999994</v>
      </c>
      <c r="M40" s="13">
        <f>_xll.BDH("ITCI US Equity","ARD_SHARES_OUTSTANDING","FQ2 2021","FQ2 2021","Currency=USD","Period=FQ","BEST_FPERIOD_OVERRIDE=FQ","FILING_STATUS=MR","Sort=A","Dates=H","DateFormat=P","Fill=—","Direction=H","UseDPDF=Y")</f>
        <v>81.311899999999994</v>
      </c>
      <c r="N40" s="13">
        <f>_xll.BDH("ITCI US Equity","ARD_SHARES_OUTSTANDING","FQ3 2021","FQ3 2021","Currency=USD","Period=FQ","BEST_FPERIOD_OVERRIDE=FQ","FILING_STATUS=MR","Sort=A","Dates=H","DateFormat=P","Fill=—","Direction=H","UseDPDF=Y")</f>
        <v>81.377399999999994</v>
      </c>
      <c r="O40" s="13">
        <f>_xll.BDH("ITCI US Equity","ARD_SHARES_OUTSTANDING","FQ4 2021","FQ4 2021","Currency=USD","Period=FQ","BEST_FPERIOD_OVERRIDE=FQ","FILING_STATUS=MR","Sort=A","Dates=H","DateFormat=P","Fill=—","Direction=H","UseDPDF=Y")</f>
        <v>81.887</v>
      </c>
      <c r="P40" s="13">
        <f>_xll.BDH("ITCI US Equity","ARD_SHARES_OUTSTANDING","FQ1 2022","FQ1 2022","Currency=USD","Period=FQ","BEST_FPERIOD_OVERRIDE=FQ","FILING_STATUS=MR","Sort=A","Dates=H","DateFormat=P","Fill=—","Direction=H","UseDPDF=Y")</f>
        <v>94.020399999999995</v>
      </c>
      <c r="Q40" s="13">
        <f>_xll.BDH("ITCI US Equity","ARD_SHARES_OUTSTANDING","FQ2 2022","FQ2 2022","Currency=USD","Period=FQ","BEST_FPERIOD_OVERRIDE=FQ","FILING_STATUS=MR","Sort=A","Dates=H","DateFormat=P","Fill=—","Direction=H","UseDPDF=Y")</f>
        <v>94.367199999999997</v>
      </c>
      <c r="R40" s="13">
        <f>_xll.BDH("ITCI US Equity","ARD_SHARES_OUTSTANDING","FQ3 2022","FQ3 2022","Currency=USD","Period=FQ","BEST_FPERIOD_OVERRIDE=FQ","FILING_STATUS=MR","Sort=A","Dates=H","DateFormat=P","Fill=—","Direction=H","UseDPDF=Y")</f>
        <v>94.701700000000002</v>
      </c>
      <c r="S40" s="13">
        <f>_xll.BDH("ITCI US Equity","ARD_SHARES_OUTSTANDING","FQ4 2022","FQ4 2022","Currency=USD","Period=FQ","BEST_FPERIOD_OVERRIDE=FQ","FILING_STATUS=MR","Sort=A","Dates=H","DateFormat=P","Fill=—","Direction=H","UseDPDF=Y")</f>
        <v>94.829800000000006</v>
      </c>
      <c r="T40" s="13">
        <f>_xll.BDH("ITCI US Equity","ARD_SHARES_OUTSTANDING","FQ1 2023","FQ1 2023","Currency=USD","Period=FQ","BEST_FPERIOD_OVERRIDE=FQ","FILING_STATUS=MR","Sort=A","Dates=H","DateFormat=P","Fill=—","Direction=H","UseDPDF=Y")</f>
        <v>95.68</v>
      </c>
      <c r="U40" s="13">
        <f>_xll.BDH("ITCI US Equity","ARD_SHARES_OUTSTANDING","FQ2 2023","FQ2 2023","Currency=USD","Period=FQ","BEST_FPERIOD_OVERRIDE=FQ","FILING_STATUS=MR","Sort=A","Dates=H","DateFormat=P","Fill=—","Direction=H","UseDPDF=Y")</f>
        <v>96.083399999999997</v>
      </c>
      <c r="V40" s="13">
        <f>_xll.BDH("ITCI US Equity","ARD_SHARES_OUTSTANDING","FQ3 2023","FQ3 2023","Currency=USD","Period=FQ","BEST_FPERIOD_OVERRIDE=FQ","FILING_STATUS=MR","Sort=A","Dates=H","DateFormat=P","Fill=—","Direction=H","UseDPDF=Y")</f>
        <v>96.2256</v>
      </c>
      <c r="W40" s="13">
        <f>_xll.BDH("ITCI US Equity","ARD_SHARES_OUTSTANDING","FQ4 2023","FQ4 2023","Currency=USD","Period=FQ","BEST_FPERIOD_OVERRIDE=FQ","FILING_STATUS=MR","Sort=A","Dates=H","DateFormat=P","Fill=—","Direction=H","UseDPDF=Y")</f>
        <v>96.379800000000003</v>
      </c>
      <c r="X40" s="13">
        <f>_xll.BDH("ITCI US Equity","ARD_SHARES_OUTSTANDING","FQ1 2024","FQ1 2024","Currency=USD","Period=FQ","BEST_FPERIOD_OVERRIDE=FQ","FILING_STATUS=MR","Sort=A","Dates=H","DateFormat=P","Fill=—","Direction=H","UseDPDF=Y")</f>
        <v>97.477800000000002</v>
      </c>
      <c r="Y40" s="13">
        <f>_xll.BDH("ITCI US Equity","ARD_SHARES_OUTSTANDING","FQ2 2024","FQ2 2024","Currency=USD","Period=FQ","BEST_FPERIOD_OVERRIDE=FQ","FILING_STATUS=MR","Sort=A","Dates=H","DateFormat=P","Fill=—","Direction=H","UseDPDF=Y")</f>
        <v>105.6249</v>
      </c>
      <c r="Z40" s="13">
        <f>_xll.BDH("ITCI US Equity","ARD_SHARES_OUTSTANDING","FQ3 2024","FQ3 2024","Currency=USD","Period=FQ","BEST_FPERIOD_OVERRIDE=FQ","FILING_STATUS=MR","Sort=A","Dates=H","DateFormat=P","Fill=—","Direction=H","UseDPDF=Y")</f>
        <v>105.9988</v>
      </c>
      <c r="AA40" s="13">
        <f>_xll.BDH("ITCI US Equity","ARD_SHARES_OUTSTANDING","FQ4 2024","FQ4 2024","Currency=USD","Period=FQ","BEST_FPERIOD_OVERRIDE=FQ","FILING_STATUS=MR","Sort=A","Dates=H","DateFormat=P","Fill=—","Direction=H","UseDPDF=Y")</f>
        <v>106.24</v>
      </c>
    </row>
    <row r="41" spans="1:27" x14ac:dyDescent="0.25">
      <c r="A41" s="10" t="s">
        <v>743</v>
      </c>
      <c r="B41" s="10" t="s">
        <v>744</v>
      </c>
      <c r="C41" s="14">
        <f>_xll.BDH("ITCI US Equity","ARD_PAR_VALUE","FQ4 2018","FQ4 2018","Currency=USD","Period=FQ","BEST_FPERIOD_OVERRIDE=FQ","FILING_STATUS=MR","Sort=A","Dates=H","DateFormat=P","Fill=—","Direction=H","UseDPDF=Y")</f>
        <v>1E-4</v>
      </c>
      <c r="D41" s="14">
        <f>_xll.BDH("ITCI US Equity","ARD_PAR_VALUE","FQ1 2019","FQ1 2019","Currency=USD","Period=FQ","BEST_FPERIOD_OVERRIDE=FQ","FILING_STATUS=MR","Sort=A","Dates=H","DateFormat=P","Fill=—","Direction=H","UseDPDF=Y")</f>
        <v>1E-4</v>
      </c>
      <c r="E41" s="14">
        <f>_xll.BDH("ITCI US Equity","ARD_PAR_VALUE","FQ2 2019","FQ2 2019","Currency=USD","Period=FQ","BEST_FPERIOD_OVERRIDE=FQ","FILING_STATUS=MR","Sort=A","Dates=H","DateFormat=P","Fill=—","Direction=H","UseDPDF=Y")</f>
        <v>1E-4</v>
      </c>
      <c r="F41" s="14">
        <f>_xll.BDH("ITCI US Equity","ARD_PAR_VALUE","FQ3 2019","FQ3 2019","Currency=USD","Period=FQ","BEST_FPERIOD_OVERRIDE=FQ","FILING_STATUS=MR","Sort=A","Dates=H","DateFormat=P","Fill=—","Direction=H","UseDPDF=Y")</f>
        <v>1E-4</v>
      </c>
      <c r="G41" s="14">
        <f>_xll.BDH("ITCI US Equity","ARD_PAR_VALUE","FQ4 2019","FQ4 2019","Currency=USD","Period=FQ","BEST_FPERIOD_OVERRIDE=FQ","FILING_STATUS=MR","Sort=A","Dates=H","DateFormat=P","Fill=—","Direction=H","UseDPDF=Y")</f>
        <v>1E-4</v>
      </c>
      <c r="H41" s="14">
        <f>_xll.BDH("ITCI US Equity","ARD_PAR_VALUE","FQ1 2020","FQ1 2020","Currency=USD","Period=FQ","BEST_FPERIOD_OVERRIDE=FQ","FILING_STATUS=MR","Sort=A","Dates=H","DateFormat=P","Fill=—","Direction=H","UseDPDF=Y")</f>
        <v>1E-4</v>
      </c>
      <c r="I41" s="14">
        <f>_xll.BDH("ITCI US Equity","ARD_PAR_VALUE","FQ2 2020","FQ2 2020","Currency=USD","Period=FQ","BEST_FPERIOD_OVERRIDE=FQ","FILING_STATUS=MR","Sort=A","Dates=H","DateFormat=P","Fill=—","Direction=H","UseDPDF=Y")</f>
        <v>1E-4</v>
      </c>
      <c r="J41" s="14">
        <f>_xll.BDH("ITCI US Equity","ARD_PAR_VALUE","FQ3 2020","FQ3 2020","Currency=USD","Period=FQ","BEST_FPERIOD_OVERRIDE=FQ","FILING_STATUS=MR","Sort=A","Dates=H","DateFormat=P","Fill=—","Direction=H","UseDPDF=Y")</f>
        <v>1E-4</v>
      </c>
      <c r="K41" s="14">
        <f>_xll.BDH("ITCI US Equity","ARD_PAR_VALUE","FQ4 2020","FQ4 2020","Currency=USD","Period=FQ","BEST_FPERIOD_OVERRIDE=FQ","FILING_STATUS=MR","Sort=A","Dates=H","DateFormat=P","Fill=—","Direction=H","UseDPDF=Y")</f>
        <v>1E-4</v>
      </c>
      <c r="L41" s="14">
        <f>_xll.BDH("ITCI US Equity","ARD_PAR_VALUE","FQ1 2021","FQ1 2021","Currency=USD","Period=FQ","BEST_FPERIOD_OVERRIDE=FQ","FILING_STATUS=MR","Sort=A","Dates=H","DateFormat=P","Fill=—","Direction=H","UseDPDF=Y")</f>
        <v>1E-4</v>
      </c>
      <c r="M41" s="14">
        <f>_xll.BDH("ITCI US Equity","ARD_PAR_VALUE","FQ2 2021","FQ2 2021","Currency=USD","Period=FQ","BEST_FPERIOD_OVERRIDE=FQ","FILING_STATUS=MR","Sort=A","Dates=H","DateFormat=P","Fill=—","Direction=H","UseDPDF=Y")</f>
        <v>1E-4</v>
      </c>
      <c r="N41" s="14">
        <f>_xll.BDH("ITCI US Equity","ARD_PAR_VALUE","FQ3 2021","FQ3 2021","Currency=USD","Period=FQ","BEST_FPERIOD_OVERRIDE=FQ","FILING_STATUS=MR","Sort=A","Dates=H","DateFormat=P","Fill=—","Direction=H","UseDPDF=Y")</f>
        <v>1E-4</v>
      </c>
      <c r="O41" s="14">
        <f>_xll.BDH("ITCI US Equity","ARD_PAR_VALUE","FQ4 2021","FQ4 2021","Currency=USD","Period=FQ","BEST_FPERIOD_OVERRIDE=FQ","FILING_STATUS=MR","Sort=A","Dates=H","DateFormat=P","Fill=—","Direction=H","UseDPDF=Y")</f>
        <v>1E-4</v>
      </c>
      <c r="P41" s="14">
        <f>_xll.BDH("ITCI US Equity","ARD_PAR_VALUE","FQ1 2022","FQ1 2022","Currency=USD","Period=FQ","BEST_FPERIOD_OVERRIDE=FQ","FILING_STATUS=MR","Sort=A","Dates=H","DateFormat=P","Fill=—","Direction=H","UseDPDF=Y")</f>
        <v>1E-4</v>
      </c>
      <c r="Q41" s="14">
        <f>_xll.BDH("ITCI US Equity","ARD_PAR_VALUE","FQ2 2022","FQ2 2022","Currency=USD","Period=FQ","BEST_FPERIOD_OVERRIDE=FQ","FILING_STATUS=MR","Sort=A","Dates=H","DateFormat=P","Fill=—","Direction=H","UseDPDF=Y")</f>
        <v>1E-4</v>
      </c>
      <c r="R41" s="14">
        <f>_xll.BDH("ITCI US Equity","ARD_PAR_VALUE","FQ3 2022","FQ3 2022","Currency=USD","Period=FQ","BEST_FPERIOD_OVERRIDE=FQ","FILING_STATUS=MR","Sort=A","Dates=H","DateFormat=P","Fill=—","Direction=H","UseDPDF=Y")</f>
        <v>1E-4</v>
      </c>
      <c r="S41" s="14">
        <f>_xll.BDH("ITCI US Equity","ARD_PAR_VALUE","FQ4 2022","FQ4 2022","Currency=USD","Period=FQ","BEST_FPERIOD_OVERRIDE=FQ","FILING_STATUS=MR","Sort=A","Dates=H","DateFormat=P","Fill=—","Direction=H","UseDPDF=Y")</f>
        <v>1E-4</v>
      </c>
      <c r="T41" s="14">
        <f>_xll.BDH("ITCI US Equity","ARD_PAR_VALUE","FQ1 2023","FQ1 2023","Currency=USD","Period=FQ","BEST_FPERIOD_OVERRIDE=FQ","FILING_STATUS=MR","Sort=A","Dates=H","DateFormat=P","Fill=—","Direction=H","UseDPDF=Y")</f>
        <v>1E-4</v>
      </c>
      <c r="U41" s="14">
        <f>_xll.BDH("ITCI US Equity","ARD_PAR_VALUE","FQ2 2023","FQ2 2023","Currency=USD","Period=FQ","BEST_FPERIOD_OVERRIDE=FQ","FILING_STATUS=MR","Sort=A","Dates=H","DateFormat=P","Fill=—","Direction=H","UseDPDF=Y")</f>
        <v>1E-4</v>
      </c>
      <c r="V41" s="14">
        <f>_xll.BDH("ITCI US Equity","ARD_PAR_VALUE","FQ3 2023","FQ3 2023","Currency=USD","Period=FQ","BEST_FPERIOD_OVERRIDE=FQ","FILING_STATUS=MR","Sort=A","Dates=H","DateFormat=P","Fill=—","Direction=H","UseDPDF=Y")</f>
        <v>1E-4</v>
      </c>
      <c r="W41" s="14">
        <f>_xll.BDH("ITCI US Equity","ARD_PAR_VALUE","FQ4 2023","FQ4 2023","Currency=USD","Period=FQ","BEST_FPERIOD_OVERRIDE=FQ","FILING_STATUS=MR","Sort=A","Dates=H","DateFormat=P","Fill=—","Direction=H","UseDPDF=Y")</f>
        <v>1E-4</v>
      </c>
      <c r="X41" s="14">
        <f>_xll.BDH("ITCI US Equity","ARD_PAR_VALUE","FQ1 2024","FQ1 2024","Currency=USD","Period=FQ","BEST_FPERIOD_OVERRIDE=FQ","FILING_STATUS=MR","Sort=A","Dates=H","DateFormat=P","Fill=—","Direction=H","UseDPDF=Y")</f>
        <v>1E-4</v>
      </c>
      <c r="Y41" s="14">
        <f>_xll.BDH("ITCI US Equity","ARD_PAR_VALUE","FQ2 2024","FQ2 2024","Currency=USD","Period=FQ","BEST_FPERIOD_OVERRIDE=FQ","FILING_STATUS=MR","Sort=A","Dates=H","DateFormat=P","Fill=—","Direction=H","UseDPDF=Y")</f>
        <v>1E-4</v>
      </c>
      <c r="Z41" s="14">
        <f>_xll.BDH("ITCI US Equity","ARD_PAR_VALUE","FQ3 2024","FQ3 2024","Currency=USD","Period=FQ","BEST_FPERIOD_OVERRIDE=FQ","FILING_STATUS=MR","Sort=A","Dates=H","DateFormat=P","Fill=—","Direction=H","UseDPDF=Y")</f>
        <v>1E-4</v>
      </c>
      <c r="AA41" s="14">
        <f>_xll.BDH("ITCI US Equity","ARD_PAR_VALUE","FQ4 2024","FQ4 2024","Currency=USD","Period=FQ","BEST_FPERIOD_OVERRIDE=FQ","FILING_STATUS=MR","Sort=A","Dates=H","DateFormat=P","Fill=—","Direction=H","UseDPDF=Y")</f>
        <v>1E-4</v>
      </c>
    </row>
    <row r="42" spans="1:27" x14ac:dyDescent="0.25">
      <c r="A42" s="10" t="s">
        <v>745</v>
      </c>
      <c r="B42" s="10" t="s">
        <v>746</v>
      </c>
      <c r="C42" s="13" t="str">
        <f>_xll.BDH("ITCI US Equity","ARD_SHARES_ISSUED","FQ4 2018","FQ4 2018","Currency=USD","Period=FQ","BEST_FPERIOD_OVERRIDE=FQ","FILING_STATUS=MR","Sort=A","Dates=H","DateFormat=P","Fill=—","Direction=H","UseDPDF=Y")</f>
        <v>—</v>
      </c>
      <c r="D42" s="13" t="str">
        <f>_xll.BDH("ITCI US Equity","ARD_SHARES_ISSUED","FQ1 2019","FQ1 2019","Currency=USD","Period=FQ","BEST_FPERIOD_OVERRIDE=FQ","FILING_STATUS=MR","Sort=A","Dates=H","DateFormat=P","Fill=—","Direction=H","UseDPDF=Y")</f>
        <v>—</v>
      </c>
      <c r="E42" s="13" t="str">
        <f>_xll.BDH("ITCI US Equity","ARD_SHARES_ISSUED","FQ2 2019","FQ2 2019","Currency=USD","Period=FQ","BEST_FPERIOD_OVERRIDE=FQ","FILING_STATUS=MR","Sort=A","Dates=H","DateFormat=P","Fill=—","Direction=H","UseDPDF=Y")</f>
        <v>—</v>
      </c>
      <c r="F42" s="13" t="str">
        <f>_xll.BDH("ITCI US Equity","ARD_SHARES_ISSUED","FQ3 2019","FQ3 2019","Currency=USD","Period=FQ","BEST_FPERIOD_OVERRIDE=FQ","FILING_STATUS=MR","Sort=A","Dates=H","DateFormat=P","Fill=—","Direction=H","UseDPDF=Y")</f>
        <v>—</v>
      </c>
      <c r="G42" s="13" t="str">
        <f>_xll.BDH("ITCI US Equity","ARD_SHARES_ISSUED","FQ4 2019","FQ4 2019","Currency=USD","Period=FQ","BEST_FPERIOD_OVERRIDE=FQ","FILING_STATUS=MR","Sort=A","Dates=H","DateFormat=P","Fill=—","Direction=H","UseDPDF=Y")</f>
        <v>—</v>
      </c>
      <c r="H42" s="13" t="str">
        <f>_xll.BDH("ITCI US Equity","ARD_SHARES_ISSUED","FQ1 2020","FQ1 2020","Currency=USD","Period=FQ","BEST_FPERIOD_OVERRIDE=FQ","FILING_STATUS=MR","Sort=A","Dates=H","DateFormat=P","Fill=—","Direction=H","UseDPDF=Y")</f>
        <v>—</v>
      </c>
      <c r="I42" s="13" t="str">
        <f>_xll.BDH("ITCI US Equity","ARD_SHARES_ISSUED","FQ2 2020","FQ2 2020","Currency=USD","Period=FQ","BEST_FPERIOD_OVERRIDE=FQ","FILING_STATUS=MR","Sort=A","Dates=H","DateFormat=P","Fill=—","Direction=H","UseDPDF=Y")</f>
        <v>—</v>
      </c>
      <c r="J42" s="13" t="str">
        <f>_xll.BDH("ITCI US Equity","ARD_SHARES_ISSUED","FQ3 2020","FQ3 2020","Currency=USD","Period=FQ","BEST_FPERIOD_OVERRIDE=FQ","FILING_STATUS=MR","Sort=A","Dates=H","DateFormat=P","Fill=—","Direction=H","UseDPDF=Y")</f>
        <v>—</v>
      </c>
      <c r="K42" s="13" t="str">
        <f>_xll.BDH("ITCI US Equity","ARD_SHARES_ISSUED","FQ4 2020","FQ4 2020","Currency=USD","Period=FQ","BEST_FPERIOD_OVERRIDE=FQ","FILING_STATUS=MR","Sort=A","Dates=H","DateFormat=P","Fill=—","Direction=H","UseDPDF=Y")</f>
        <v>—</v>
      </c>
      <c r="L42" s="13" t="str">
        <f>_xll.BDH("ITCI US Equity","ARD_SHARES_ISSUED","FQ1 2021","FQ1 2021","Currency=USD","Period=FQ","BEST_FPERIOD_OVERRIDE=FQ","FILING_STATUS=MR","Sort=A","Dates=H","DateFormat=P","Fill=—","Direction=H","UseDPDF=Y")</f>
        <v>—</v>
      </c>
      <c r="M42" s="13" t="str">
        <f>_xll.BDH("ITCI US Equity","ARD_SHARES_ISSUED","FQ2 2021","FQ2 2021","Currency=USD","Period=FQ","BEST_FPERIOD_OVERRIDE=FQ","FILING_STATUS=MR","Sort=A","Dates=H","DateFormat=P","Fill=—","Direction=H","UseDPDF=Y")</f>
        <v>—</v>
      </c>
      <c r="N42" s="13" t="str">
        <f>_xll.BDH("ITCI US Equity","ARD_SHARES_ISSUED","FQ3 2021","FQ3 2021","Currency=USD","Period=FQ","BEST_FPERIOD_OVERRIDE=FQ","FILING_STATUS=MR","Sort=A","Dates=H","DateFormat=P","Fill=—","Direction=H","UseDPDF=Y")</f>
        <v>—</v>
      </c>
      <c r="O42" s="13" t="str">
        <f>_xll.BDH("ITCI US Equity","ARD_SHARES_ISSUED","FQ4 2021","FQ4 2021","Currency=USD","Period=FQ","BEST_FPERIOD_OVERRIDE=FQ","FILING_STATUS=MR","Sort=A","Dates=H","DateFormat=P","Fill=—","Direction=H","UseDPDF=Y")</f>
        <v>—</v>
      </c>
      <c r="P42" s="13" t="str">
        <f>_xll.BDH("ITCI US Equity","ARD_SHARES_ISSUED","FQ1 2022","FQ1 2022","Currency=USD","Period=FQ","BEST_FPERIOD_OVERRIDE=FQ","FILING_STATUS=MR","Sort=A","Dates=H","DateFormat=P","Fill=—","Direction=H","UseDPDF=Y")</f>
        <v>—</v>
      </c>
      <c r="Q42" s="13" t="str">
        <f>_xll.BDH("ITCI US Equity","ARD_SHARES_ISSUED","FQ2 2022","FQ2 2022","Currency=USD","Period=FQ","BEST_FPERIOD_OVERRIDE=FQ","FILING_STATUS=MR","Sort=A","Dates=H","DateFormat=P","Fill=—","Direction=H","UseDPDF=Y")</f>
        <v>—</v>
      </c>
      <c r="R42" s="13" t="str">
        <f>_xll.BDH("ITCI US Equity","ARD_SHARES_ISSUED","FQ3 2022","FQ3 2022","Currency=USD","Period=FQ","BEST_FPERIOD_OVERRIDE=FQ","FILING_STATUS=MR","Sort=A","Dates=H","DateFormat=P","Fill=—","Direction=H","UseDPDF=Y")</f>
        <v>—</v>
      </c>
      <c r="S42" s="13" t="str">
        <f>_xll.BDH("ITCI US Equity","ARD_SHARES_ISSUED","FQ4 2022","FQ4 2022","Currency=USD","Period=FQ","BEST_FPERIOD_OVERRIDE=FQ","FILING_STATUS=MR","Sort=A","Dates=H","DateFormat=P","Fill=—","Direction=H","UseDPDF=Y")</f>
        <v>—</v>
      </c>
      <c r="T42" s="13" t="str">
        <f>_xll.BDH("ITCI US Equity","ARD_SHARES_ISSUED","FQ1 2023","FQ1 2023","Currency=USD","Period=FQ","BEST_FPERIOD_OVERRIDE=FQ","FILING_STATUS=MR","Sort=A","Dates=H","DateFormat=P","Fill=—","Direction=H","UseDPDF=Y")</f>
        <v>—</v>
      </c>
      <c r="U42" s="13" t="str">
        <f>_xll.BDH("ITCI US Equity","ARD_SHARES_ISSUED","FQ2 2023","FQ2 2023","Currency=USD","Period=FQ","BEST_FPERIOD_OVERRIDE=FQ","FILING_STATUS=MR","Sort=A","Dates=H","DateFormat=P","Fill=—","Direction=H","UseDPDF=Y")</f>
        <v>—</v>
      </c>
      <c r="V42" s="13">
        <f>_xll.BDH("ITCI US Equity","ARD_SHARES_ISSUED","FQ3 2023","FQ3 2023","Currency=USD","Period=FQ","BEST_FPERIOD_OVERRIDE=FQ","FILING_STATUS=MR","Sort=A","Dates=H","DateFormat=P","Fill=—","Direction=H","UseDPDF=Y")</f>
        <v>96.2256</v>
      </c>
      <c r="W42" s="13" t="str">
        <f>_xll.BDH("ITCI US Equity","ARD_SHARES_ISSUED","FQ4 2023","FQ4 2023","Currency=USD","Period=FQ","BEST_FPERIOD_OVERRIDE=FQ","FILING_STATUS=MR","Sort=A","Dates=H","DateFormat=P","Fill=—","Direction=H","UseDPDF=Y")</f>
        <v>—</v>
      </c>
      <c r="X42" s="13">
        <f>_xll.BDH("ITCI US Equity","ARD_SHARES_ISSUED","FQ1 2024","FQ1 2024","Currency=USD","Period=FQ","BEST_FPERIOD_OVERRIDE=FQ","FILING_STATUS=MR","Sort=A","Dates=H","DateFormat=P","Fill=—","Direction=H","UseDPDF=Y")</f>
        <v>97.477800000000002</v>
      </c>
      <c r="Y42" s="13">
        <f>_xll.BDH("ITCI US Equity","ARD_SHARES_ISSUED","FQ2 2024","FQ2 2024","Currency=USD","Period=FQ","BEST_FPERIOD_OVERRIDE=FQ","FILING_STATUS=MR","Sort=A","Dates=H","DateFormat=P","Fill=—","Direction=H","UseDPDF=Y")</f>
        <v>105.6249</v>
      </c>
      <c r="Z42" s="13" t="str">
        <f>_xll.BDH("ITCI US Equity","ARD_SHARES_ISSUED","FQ3 2024","FQ3 2024","Currency=USD","Period=FQ","BEST_FPERIOD_OVERRIDE=FQ","FILING_STATUS=MR","Sort=A","Dates=H","DateFormat=P","Fill=—","Direction=H","UseDPDF=Y")</f>
        <v>—</v>
      </c>
      <c r="AA42" s="13" t="str">
        <f>_xll.BDH("ITCI US Equity","ARD_SHARES_ISSUED","FQ4 2024","FQ4 2024","Currency=USD","Period=FQ","BEST_FPERIOD_OVERRIDE=FQ","FILING_STATUS=MR","Sort=A","Dates=H","DateFormat=P","Fill=—","Direction=H","UseDPDF=Y")</f>
        <v>—</v>
      </c>
    </row>
    <row r="43" spans="1:27" x14ac:dyDescent="0.25">
      <c r="A43" s="10" t="s">
        <v>747</v>
      </c>
      <c r="B43" s="10" t="s">
        <v>748</v>
      </c>
      <c r="C43" s="13">
        <f>_xll.BDH("ITCI US Equity","ARD_TOTAL_SHAREHOLDERS_EQUITY","FQ4 2018","FQ4 2018","Currency=USD","Period=FQ","BEST_FPERIOD_OVERRIDE=FQ","FILING_STATUS=MR","SCALING_FORMAT=MLN","Sort=A","Dates=H","DateFormat=P","Fill=—","Direction=H","UseDPDF=Y")</f>
        <v>317.7149</v>
      </c>
      <c r="D43" s="13">
        <f>_xll.BDH("ITCI US Equity","ARD_TOTAL_SHAREHOLDERS_EQUITY","FQ1 2019","FQ1 2019","Currency=USD","Period=FQ","BEST_FPERIOD_OVERRIDE=FQ","FILING_STATUS=MR","SCALING_FORMAT=MLN","Sort=A","Dates=H","DateFormat=P","Fill=—","Direction=H","UseDPDF=Y")</f>
        <v>288.61439999999999</v>
      </c>
      <c r="E43" s="13">
        <f>_xll.BDH("ITCI US Equity","ARD_TOTAL_SHAREHOLDERS_EQUITY","FQ2 2019","FQ2 2019","Currency=USD","Period=FQ","BEST_FPERIOD_OVERRIDE=FQ","FILING_STATUS=MR","SCALING_FORMAT=MLN","Sort=A","Dates=H","DateFormat=P","Fill=—","Direction=H","UseDPDF=Y")</f>
        <v>256.76839999999999</v>
      </c>
      <c r="F43" s="13">
        <f>_xll.BDH("ITCI US Equity","ARD_TOTAL_SHAREHOLDERS_EQUITY","FQ3 2019","FQ3 2019","Currency=USD","Period=FQ","BEST_FPERIOD_OVERRIDE=FQ","FILING_STATUS=MR","SCALING_FORMAT=MLN","Sort=A","Dates=H","DateFormat=P","Fill=—","Direction=H","UseDPDF=Y")</f>
        <v>226.88030000000001</v>
      </c>
      <c r="G43" s="13">
        <f>_xll.BDH("ITCI US Equity","ARD_TOTAL_SHAREHOLDERS_EQUITY","FQ4 2019","FQ4 2019","Currency=USD","Period=FQ","BEST_FPERIOD_OVERRIDE=FQ","FILING_STATUS=MR","SCALING_FORMAT=MLN","Sort=A","Dates=H","DateFormat=P","Fill=—","Direction=H","UseDPDF=Y")</f>
        <v>195.00729999999999</v>
      </c>
      <c r="H43" s="13">
        <f>_xll.BDH("ITCI US Equity","ARD_TOTAL_SHAREHOLDERS_EQUITY","FQ1 2020","FQ1 2020","Currency=USD","Period=FQ","BEST_FPERIOD_OVERRIDE=FQ","FILING_STATUS=MR","SCALING_FORMAT=MLN","Sort=A","Dates=H","DateFormat=P","Fill=—","Direction=H","UseDPDF=Y")</f>
        <v>430.44830000000002</v>
      </c>
      <c r="I43" s="13">
        <f>_xll.BDH("ITCI US Equity","ARD_TOTAL_SHAREHOLDERS_EQUITY","FQ2 2020","FQ2 2020","Currency=USD","Period=FQ","BEST_FPERIOD_OVERRIDE=FQ","FILING_STATUS=MR","SCALING_FORMAT=MLN","Sort=A","Dates=H","DateFormat=P","Fill=—","Direction=H","UseDPDF=Y")</f>
        <v>379.5299</v>
      </c>
      <c r="J43" s="13">
        <f>_xll.BDH("ITCI US Equity","ARD_TOTAL_SHAREHOLDERS_EQUITY","FQ3 2020","FQ3 2020","Currency=USD","Period=FQ","BEST_FPERIOD_OVERRIDE=FQ","FILING_STATUS=MR","SCALING_FORMAT=MLN","Sort=A","Dates=H","DateFormat=P","Fill=—","Direction=H","UseDPDF=Y")</f>
        <v>709.39549999999997</v>
      </c>
      <c r="K43" s="13">
        <f>_xll.BDH("ITCI US Equity","ARD_TOTAL_SHAREHOLDERS_EQUITY","FQ4 2020","FQ4 2020","Currency=USD","Period=FQ","BEST_FPERIOD_OVERRIDE=FQ","FILING_STATUS=MR","SCALING_FORMAT=MLN","Sort=A","Dates=H","DateFormat=P","Fill=—","Direction=H","UseDPDF=Y")</f>
        <v>656.86009999999999</v>
      </c>
      <c r="L43" s="13">
        <f>_xll.BDH("ITCI US Equity","ARD_TOTAL_SHAREHOLDERS_EQUITY","FQ1 2021","FQ1 2021","Currency=USD","Period=FQ","BEST_FPERIOD_OVERRIDE=FQ","FILING_STATUS=MR","SCALING_FORMAT=MLN","Sort=A","Dates=H","DateFormat=P","Fill=—","Direction=H","UseDPDF=Y")</f>
        <v>612.14980000000003</v>
      </c>
      <c r="M43" s="13">
        <f>_xll.BDH("ITCI US Equity","ARD_TOTAL_SHAREHOLDERS_EQUITY","FQ2 2021","FQ2 2021","Currency=USD","Period=FQ","BEST_FPERIOD_OVERRIDE=FQ","FILING_STATUS=MR","SCALING_FORMAT=MLN","Sort=A","Dates=H","DateFormat=P","Fill=—","Direction=H","UseDPDF=Y")</f>
        <v>553.58590000000004</v>
      </c>
      <c r="N43" s="13">
        <f>_xll.BDH("ITCI US Equity","ARD_TOTAL_SHAREHOLDERS_EQUITY","FQ3 2021","FQ3 2021","Currency=USD","Period=FQ","BEST_FPERIOD_OVERRIDE=FQ","FILING_STATUS=MR","SCALING_FORMAT=MLN","Sort=A","Dates=H","DateFormat=P","Fill=—","Direction=H","UseDPDF=Y")</f>
        <v>486.75630000000001</v>
      </c>
      <c r="O43" s="13">
        <f>_xll.BDH("ITCI US Equity","ARD_TOTAL_SHAREHOLDERS_EQUITY","FQ4 2021","FQ4 2021","Currency=USD","Period=FQ","BEST_FPERIOD_OVERRIDE=FQ","FILING_STATUS=MR","SCALING_FORMAT=MLN","Sort=A","Dates=H","DateFormat=P","Fill=—","Direction=H","UseDPDF=Y")</f>
        <v>417.89069999999998</v>
      </c>
      <c r="P43" s="13">
        <f>_xll.BDH("ITCI US Equity","ARD_TOTAL_SHAREHOLDERS_EQUITY","FQ1 2022","FQ1 2022","Currency=USD","Period=FQ","BEST_FPERIOD_OVERRIDE=FQ","FILING_STATUS=MR","SCALING_FORMAT=MLN","Sort=A","Dates=H","DateFormat=P","Fill=—","Direction=H","UseDPDF=Y")</f>
        <v>792.75</v>
      </c>
      <c r="Q43" s="13">
        <f>_xll.BDH("ITCI US Equity","ARD_TOTAL_SHAREHOLDERS_EQUITY","FQ2 2022","FQ2 2022","Currency=USD","Period=FQ","BEST_FPERIOD_OVERRIDE=FQ","FILING_STATUS=MR","SCALING_FORMAT=MLN","Sort=A","Dates=H","DateFormat=P","Fill=—","Direction=H","UseDPDF=Y")</f>
        <v>722.197</v>
      </c>
      <c r="R43" s="13">
        <f>_xll.BDH("ITCI US Equity","ARD_TOTAL_SHAREHOLDERS_EQUITY","FQ3 2022","FQ3 2022","Currency=USD","Period=FQ","BEST_FPERIOD_OVERRIDE=FQ","FILING_STATUS=MR","SCALING_FORMAT=MLN","Sort=A","Dates=H","DateFormat=P","Fill=—","Direction=H","UseDPDF=Y")</f>
        <v>685.42200000000003</v>
      </c>
      <c r="S43" s="13">
        <f>_xll.BDH("ITCI US Equity","ARD_TOTAL_SHAREHOLDERS_EQUITY","FQ4 2022","FQ4 2022","Currency=USD","Period=FQ","BEST_FPERIOD_OVERRIDE=FQ","FILING_STATUS=MR","SCALING_FORMAT=MLN","Sort=A","Dates=H","DateFormat=P","Fill=—","Direction=H","UseDPDF=Y")</f>
        <v>656.07</v>
      </c>
      <c r="T43" s="13">
        <f>_xll.BDH("ITCI US Equity","ARD_TOTAL_SHAREHOLDERS_EQUITY","FQ1 2023","FQ1 2023","Currency=USD","Period=FQ","BEST_FPERIOD_OVERRIDE=FQ","FILING_STATUS=MR","SCALING_FORMAT=MLN","Sort=A","Dates=H","DateFormat=P","Fill=—","Direction=H","UseDPDF=Y")</f>
        <v>627.61</v>
      </c>
      <c r="U43" s="13">
        <f>_xll.BDH("ITCI US Equity","ARD_TOTAL_SHAREHOLDERS_EQUITY","FQ2 2023","FQ2 2023","Currency=USD","Period=FQ","BEST_FPERIOD_OVERRIDE=FQ","FILING_STATUS=MR","SCALING_FORMAT=MLN","Sort=A","Dates=H","DateFormat=P","Fill=—","Direction=H","UseDPDF=Y")</f>
        <v>607.09</v>
      </c>
      <c r="V43" s="13">
        <f>_xll.BDH("ITCI US Equity","ARD_TOTAL_SHAREHOLDERS_EQUITY","FQ3 2023","FQ3 2023","Currency=USD","Period=FQ","BEST_FPERIOD_OVERRIDE=FQ","FILING_STATUS=MR","SCALING_FORMAT=MLN","Sort=A","Dates=H","DateFormat=P","Fill=—","Direction=H","UseDPDF=Y")</f>
        <v>600.68100000000004</v>
      </c>
      <c r="W43" s="13">
        <f>_xll.BDH("ITCI US Equity","ARD_TOTAL_SHAREHOLDERS_EQUITY","FQ4 2023","FQ4 2023","Currency=USD","Period=FQ","BEST_FPERIOD_OVERRIDE=FQ","FILING_STATUS=MR","SCALING_FORMAT=MLN","Sort=A","Dates=H","DateFormat=P","Fill=—","Direction=H","UseDPDF=Y")</f>
        <v>591.42399999999998</v>
      </c>
      <c r="X43" s="13">
        <f>_xll.BDH("ITCI US Equity","ARD_TOTAL_SHAREHOLDERS_EQUITY","FQ1 2024","FQ1 2024","Currency=USD","Period=FQ","BEST_FPERIOD_OVERRIDE=FQ","FILING_STATUS=MR","SCALING_FORMAT=MLN","Sort=A","Dates=H","DateFormat=P","Fill=—","Direction=H","UseDPDF=Y")</f>
        <v>599.49800000000005</v>
      </c>
      <c r="Y43" s="13">
        <f>_xll.BDH("ITCI US Equity","ARD_TOTAL_SHAREHOLDERS_EQUITY","FQ2 2024","FQ2 2024","Currency=USD","Period=FQ","BEST_FPERIOD_OVERRIDE=FQ","FILING_STATUS=MR","SCALING_FORMAT=MLN","Sort=A","Dates=H","DateFormat=P","Fill=—","Direction=H","UseDPDF=Y")</f>
        <v>1144.6120000000001</v>
      </c>
      <c r="Z43" s="13">
        <f>_xll.BDH("ITCI US Equity","ARD_TOTAL_SHAREHOLDERS_EQUITY","FQ3 2024","FQ3 2024","Currency=USD","Period=FQ","BEST_FPERIOD_OVERRIDE=FQ","FILING_STATUS=MR","SCALING_FORMAT=MLN","Sort=A","Dates=H","DateFormat=P","Fill=—","Direction=H","UseDPDF=Y")</f>
        <v>1144.826</v>
      </c>
      <c r="AA43" s="13">
        <f>_xll.BDH("ITCI US Equity","ARD_TOTAL_SHAREHOLDERS_EQUITY","FQ4 2024","FQ4 2024","Currency=USD","Period=FQ","BEST_FPERIOD_OVERRIDE=FQ","FILING_STATUS=MR","SCALING_FORMAT=MLN","Sort=A","Dates=H","DateFormat=P","Fill=—","Direction=H","UseDPDF=Y")</f>
        <v>1148.46</v>
      </c>
    </row>
    <row r="44" spans="1:27" x14ac:dyDescent="0.25">
      <c r="A44" s="10" t="s">
        <v>749</v>
      </c>
      <c r="B44" s="10" t="s">
        <v>750</v>
      </c>
      <c r="C44" s="13">
        <f>_xll.BDH("ITCI US Equity","ARD_SHARES_AUTHORIZED","FQ4 2018","FQ4 2018","Currency=USD","Period=FQ","BEST_FPERIOD_OVERRIDE=FQ","FILING_STATUS=MR","SCALING_FORMAT=MLN","Sort=A","Dates=H","DateFormat=P","Fill=—","Direction=H","UseDPDF=Y")</f>
        <v>100</v>
      </c>
      <c r="D44" s="13">
        <f>_xll.BDH("ITCI US Equity","ARD_SHARES_AUTHORIZED","FQ1 2019","FQ1 2019","Currency=USD","Period=FQ","BEST_FPERIOD_OVERRIDE=FQ","FILING_STATUS=MR","SCALING_FORMAT=MLN","Sort=A","Dates=H","DateFormat=P","Fill=—","Direction=H","UseDPDF=Y")</f>
        <v>100</v>
      </c>
      <c r="E44" s="13">
        <f>_xll.BDH("ITCI US Equity","ARD_SHARES_AUTHORIZED","FQ2 2019","FQ2 2019","Currency=USD","Period=FQ","BEST_FPERIOD_OVERRIDE=FQ","FILING_STATUS=MR","SCALING_FORMAT=MLN","Sort=A","Dates=H","DateFormat=P","Fill=—","Direction=H","UseDPDF=Y")</f>
        <v>100</v>
      </c>
      <c r="F44" s="13">
        <f>_xll.BDH("ITCI US Equity","ARD_SHARES_AUTHORIZED","FQ3 2019","FQ3 2019","Currency=USD","Period=FQ","BEST_FPERIOD_OVERRIDE=FQ","FILING_STATUS=MR","SCALING_FORMAT=MLN","Sort=A","Dates=H","DateFormat=P","Fill=—","Direction=H","UseDPDF=Y")</f>
        <v>100</v>
      </c>
      <c r="G44" s="13">
        <f>_xll.BDH("ITCI US Equity","ARD_SHARES_AUTHORIZED","FQ4 2019","FQ4 2019","Currency=USD","Period=FQ","BEST_FPERIOD_OVERRIDE=FQ","FILING_STATUS=MR","SCALING_FORMAT=MLN","Sort=A","Dates=H","DateFormat=P","Fill=—","Direction=H","UseDPDF=Y")</f>
        <v>100</v>
      </c>
      <c r="H44" s="13">
        <f>_xll.BDH("ITCI US Equity","ARD_SHARES_AUTHORIZED","FQ1 2020","FQ1 2020","Currency=USD","Period=FQ","BEST_FPERIOD_OVERRIDE=FQ","FILING_STATUS=MR","SCALING_FORMAT=MLN","Sort=A","Dates=H","DateFormat=P","Fill=—","Direction=H","UseDPDF=Y")</f>
        <v>100</v>
      </c>
      <c r="I44" s="13">
        <f>_xll.BDH("ITCI US Equity","ARD_SHARES_AUTHORIZED","FQ2 2020","FQ2 2020","Currency=USD","Period=FQ","BEST_FPERIOD_OVERRIDE=FQ","FILING_STATUS=MR","SCALING_FORMAT=MLN","Sort=A","Dates=H","DateFormat=P","Fill=—","Direction=H","UseDPDF=Y")</f>
        <v>100</v>
      </c>
      <c r="J44" s="13">
        <f>_xll.BDH("ITCI US Equity","ARD_SHARES_AUTHORIZED","FQ3 2020","FQ3 2020","Currency=USD","Period=FQ","BEST_FPERIOD_OVERRIDE=FQ","FILING_STATUS=MR","SCALING_FORMAT=MLN","Sort=A","Dates=H","DateFormat=P","Fill=—","Direction=H","UseDPDF=Y")</f>
        <v>100</v>
      </c>
      <c r="K44" s="13">
        <f>_xll.BDH("ITCI US Equity","ARD_SHARES_AUTHORIZED","FQ4 2020","FQ4 2020","Currency=USD","Period=FQ","BEST_FPERIOD_OVERRIDE=FQ","FILING_STATUS=MR","SCALING_FORMAT=MLN","Sort=A","Dates=H","DateFormat=P","Fill=—","Direction=H","UseDPDF=Y")</f>
        <v>100</v>
      </c>
      <c r="L44" s="13">
        <f>_xll.BDH("ITCI US Equity","ARD_SHARES_AUTHORIZED","FQ1 2021","FQ1 2021","Currency=USD","Period=FQ","BEST_FPERIOD_OVERRIDE=FQ","FILING_STATUS=MR","SCALING_FORMAT=MLN","Sort=A","Dates=H","DateFormat=P","Fill=—","Direction=H","UseDPDF=Y")</f>
        <v>100</v>
      </c>
      <c r="M44" s="13">
        <f>_xll.BDH("ITCI US Equity","ARD_SHARES_AUTHORIZED","FQ2 2021","FQ2 2021","Currency=USD","Period=FQ","BEST_FPERIOD_OVERRIDE=FQ","FILING_STATUS=MR","SCALING_FORMAT=MLN","Sort=A","Dates=H","DateFormat=P","Fill=—","Direction=H","UseDPDF=Y")</f>
        <v>175</v>
      </c>
      <c r="N44" s="13">
        <f>_xll.BDH("ITCI US Equity","ARD_SHARES_AUTHORIZED","FQ3 2021","FQ3 2021","Currency=USD","Period=FQ","BEST_FPERIOD_OVERRIDE=FQ","FILING_STATUS=MR","SCALING_FORMAT=MLN","Sort=A","Dates=H","DateFormat=P","Fill=—","Direction=H","UseDPDF=Y")</f>
        <v>175</v>
      </c>
      <c r="O44" s="13">
        <f>_xll.BDH("ITCI US Equity","ARD_SHARES_AUTHORIZED","FQ4 2021","FQ4 2021","Currency=USD","Period=FQ","BEST_FPERIOD_OVERRIDE=FQ","FILING_STATUS=MR","SCALING_FORMAT=MLN","Sort=A","Dates=H","DateFormat=P","Fill=—","Direction=H","UseDPDF=Y")</f>
        <v>175</v>
      </c>
      <c r="P44" s="13">
        <f>_xll.BDH("ITCI US Equity","ARD_SHARES_AUTHORIZED","FQ1 2022","FQ1 2022","Currency=USD","Period=FQ","BEST_FPERIOD_OVERRIDE=FQ","FILING_STATUS=MR","SCALING_FORMAT=MLN","Sort=A","Dates=H","DateFormat=P","Fill=—","Direction=H","UseDPDF=Y")</f>
        <v>175</v>
      </c>
      <c r="Q44" s="13">
        <f>_xll.BDH("ITCI US Equity","ARD_SHARES_AUTHORIZED","FQ2 2022","FQ2 2022","Currency=USD","Period=FQ","BEST_FPERIOD_OVERRIDE=FQ","FILING_STATUS=MR","SCALING_FORMAT=MLN","Sort=A","Dates=H","DateFormat=P","Fill=—","Direction=H","UseDPDF=Y")</f>
        <v>175</v>
      </c>
      <c r="R44" s="13">
        <f>_xll.BDH("ITCI US Equity","ARD_SHARES_AUTHORIZED","FQ3 2022","FQ3 2022","Currency=USD","Period=FQ","BEST_FPERIOD_OVERRIDE=FQ","FILING_STATUS=MR","SCALING_FORMAT=MLN","Sort=A","Dates=H","DateFormat=P","Fill=—","Direction=H","UseDPDF=Y")</f>
        <v>175</v>
      </c>
      <c r="S44" s="13">
        <f>_xll.BDH("ITCI US Equity","ARD_SHARES_AUTHORIZED","FQ4 2022","FQ4 2022","Currency=USD","Period=FQ","BEST_FPERIOD_OVERRIDE=FQ","FILING_STATUS=MR","SCALING_FORMAT=MLN","Sort=A","Dates=H","DateFormat=P","Fill=—","Direction=H","UseDPDF=Y")</f>
        <v>175</v>
      </c>
      <c r="T44" s="13">
        <f>_xll.BDH("ITCI US Equity","ARD_SHARES_AUTHORIZED","FQ1 2023","FQ1 2023","Currency=USD","Period=FQ","BEST_FPERIOD_OVERRIDE=FQ","FILING_STATUS=MR","SCALING_FORMAT=MLN","Sort=A","Dates=H","DateFormat=P","Fill=—","Direction=H","UseDPDF=Y")</f>
        <v>175</v>
      </c>
      <c r="U44" s="13">
        <f>_xll.BDH("ITCI US Equity","ARD_SHARES_AUTHORIZED","FQ2 2023","FQ2 2023","Currency=USD","Period=FQ","BEST_FPERIOD_OVERRIDE=FQ","FILING_STATUS=MR","SCALING_FORMAT=MLN","Sort=A","Dates=H","DateFormat=P","Fill=—","Direction=H","UseDPDF=Y")</f>
        <v>175</v>
      </c>
      <c r="V44" s="13">
        <f>_xll.BDH("ITCI US Equity","ARD_SHARES_AUTHORIZED","FQ3 2023","FQ3 2023","Currency=USD","Period=FQ","BEST_FPERIOD_OVERRIDE=FQ","FILING_STATUS=MR","SCALING_FORMAT=MLN","Sort=A","Dates=H","DateFormat=P","Fill=—","Direction=H","UseDPDF=Y")</f>
        <v>175</v>
      </c>
      <c r="W44" s="13">
        <f>_xll.BDH("ITCI US Equity","ARD_SHARES_AUTHORIZED","FQ4 2023","FQ4 2023","Currency=USD","Period=FQ","BEST_FPERIOD_OVERRIDE=FQ","FILING_STATUS=MR","SCALING_FORMAT=MLN","Sort=A","Dates=H","DateFormat=P","Fill=—","Direction=H","UseDPDF=Y")</f>
        <v>175</v>
      </c>
      <c r="X44" s="13">
        <f>_xll.BDH("ITCI US Equity","ARD_SHARES_AUTHORIZED","FQ1 2024","FQ1 2024","Currency=USD","Period=FQ","BEST_FPERIOD_OVERRIDE=FQ","FILING_STATUS=MR","SCALING_FORMAT=MLN","Sort=A","Dates=H","DateFormat=P","Fill=—","Direction=H","UseDPDF=Y")</f>
        <v>175</v>
      </c>
      <c r="Y44" s="13">
        <f>_xll.BDH("ITCI US Equity","ARD_SHARES_AUTHORIZED","FQ2 2024","FQ2 2024","Currency=USD","Period=FQ","BEST_FPERIOD_OVERRIDE=FQ","FILING_STATUS=MR","SCALING_FORMAT=MLN","Sort=A","Dates=H","DateFormat=P","Fill=—","Direction=H","UseDPDF=Y")</f>
        <v>175</v>
      </c>
      <c r="Z44" s="13">
        <f>_xll.BDH("ITCI US Equity","ARD_SHARES_AUTHORIZED","FQ3 2024","FQ3 2024","Currency=USD","Period=FQ","BEST_FPERIOD_OVERRIDE=FQ","FILING_STATUS=MR","SCALING_FORMAT=MLN","Sort=A","Dates=H","DateFormat=P","Fill=—","Direction=H","UseDPDF=Y")</f>
        <v>175</v>
      </c>
      <c r="AA44" s="13">
        <f>_xll.BDH("ITCI US Equity","ARD_SHARES_AUTHORIZED","FQ4 2024","FQ4 2024","Currency=USD","Period=FQ","BEST_FPERIOD_OVERRIDE=FQ","FILING_STATUS=MR","SCALING_FORMAT=MLN","Sort=A","Dates=H","DateFormat=P","Fill=—","Direction=H","UseDPDF=Y")</f>
        <v>175</v>
      </c>
    </row>
    <row r="45" spans="1:27" x14ac:dyDescent="0.25">
      <c r="A45" s="10" t="s">
        <v>751</v>
      </c>
      <c r="B45" s="10" t="s">
        <v>752</v>
      </c>
      <c r="C45" s="13" t="str">
        <f>_xll.BDH("ITCI US Equity","ARD_PREFERRED_STOCK_SHARES_OUT","FQ4 2018","FQ4 2018","Currency=USD","Period=FQ","BEST_FPERIOD_OVERRIDE=FQ","FILING_STATUS=MR","Sort=A","Dates=H","DateFormat=P","Fill=—","Direction=H","UseDPDF=Y")</f>
        <v>—</v>
      </c>
      <c r="D45" s="13" t="str">
        <f>_xll.BDH("ITCI US Equity","ARD_PREFERRED_STOCK_SHARES_OUT","FQ1 2019","FQ1 2019","Currency=USD","Period=FQ","BEST_FPERIOD_OVERRIDE=FQ","FILING_STATUS=MR","Sort=A","Dates=H","DateFormat=P","Fill=—","Direction=H","UseDPDF=Y")</f>
        <v>—</v>
      </c>
      <c r="E45" s="13" t="str">
        <f>_xll.BDH("ITCI US Equity","ARD_PREFERRED_STOCK_SHARES_OUT","FQ2 2019","FQ2 2019","Currency=USD","Period=FQ","BEST_FPERIOD_OVERRIDE=FQ","FILING_STATUS=MR","Sort=A","Dates=H","DateFormat=P","Fill=—","Direction=H","UseDPDF=Y")</f>
        <v>—</v>
      </c>
      <c r="F45" s="13" t="str">
        <f>_xll.BDH("ITCI US Equity","ARD_PREFERRED_STOCK_SHARES_OUT","FQ3 2019","FQ3 2019","Currency=USD","Period=FQ","BEST_FPERIOD_OVERRIDE=FQ","FILING_STATUS=MR","Sort=A","Dates=H","DateFormat=P","Fill=—","Direction=H","UseDPDF=Y")</f>
        <v>—</v>
      </c>
      <c r="G45" s="13" t="str">
        <f>_xll.BDH("ITCI US Equity","ARD_PREFERRED_STOCK_SHARES_OUT","FQ4 2019","FQ4 2019","Currency=USD","Period=FQ","BEST_FPERIOD_OVERRIDE=FQ","FILING_STATUS=MR","Sort=A","Dates=H","DateFormat=P","Fill=—","Direction=H","UseDPDF=Y")</f>
        <v>—</v>
      </c>
      <c r="H45" s="13">
        <f>_xll.BDH("ITCI US Equity","ARD_PREFERRED_STOCK_SHARES_OUT","FQ1 2020","FQ1 2020","Currency=USD","Period=FQ","BEST_FPERIOD_OVERRIDE=FQ","FILING_STATUS=MR","Sort=A","Dates=H","DateFormat=P","Fill=—","Direction=H","UseDPDF=Y")</f>
        <v>66.200800000000001</v>
      </c>
      <c r="I45" s="13" t="str">
        <f>_xll.BDH("ITCI US Equity","ARD_PREFERRED_STOCK_SHARES_OUT","FQ2 2020","FQ2 2020","Currency=USD","Period=FQ","BEST_FPERIOD_OVERRIDE=FQ","FILING_STATUS=MR","Sort=A","Dates=H","DateFormat=P","Fill=—","Direction=H","UseDPDF=Y")</f>
        <v>—</v>
      </c>
      <c r="J45" s="13" t="str">
        <f>_xll.BDH("ITCI US Equity","ARD_PREFERRED_STOCK_SHARES_OUT","FQ3 2020","FQ3 2020","Currency=USD","Period=FQ","BEST_FPERIOD_OVERRIDE=FQ","FILING_STATUS=MR","Sort=A","Dates=H","DateFormat=P","Fill=—","Direction=H","UseDPDF=Y")</f>
        <v>—</v>
      </c>
      <c r="K45" s="13" t="str">
        <f>_xll.BDH("ITCI US Equity","ARD_PREFERRED_STOCK_SHARES_OUT","FQ4 2020","FQ4 2020","Currency=USD","Period=FQ","BEST_FPERIOD_OVERRIDE=FQ","FILING_STATUS=MR","Sort=A","Dates=H","DateFormat=P","Fill=—","Direction=H","UseDPDF=Y")</f>
        <v>—</v>
      </c>
      <c r="L45" s="13" t="str">
        <f>_xll.BDH("ITCI US Equity","ARD_PREFERRED_STOCK_SHARES_OUT","FQ1 2021","FQ1 2021","Currency=USD","Period=FQ","BEST_FPERIOD_OVERRIDE=FQ","FILING_STATUS=MR","Sort=A","Dates=H","DateFormat=P","Fill=—","Direction=H","UseDPDF=Y")</f>
        <v>—</v>
      </c>
      <c r="M45" s="13" t="str">
        <f>_xll.BDH("ITCI US Equity","ARD_PREFERRED_STOCK_SHARES_OUT","FQ2 2021","FQ2 2021","Currency=USD","Period=FQ","BEST_FPERIOD_OVERRIDE=FQ","FILING_STATUS=MR","Sort=A","Dates=H","DateFormat=P","Fill=—","Direction=H","UseDPDF=Y")</f>
        <v>—</v>
      </c>
      <c r="N45" s="13" t="str">
        <f>_xll.BDH("ITCI US Equity","ARD_PREFERRED_STOCK_SHARES_OUT","FQ3 2021","FQ3 2021","Currency=USD","Period=FQ","BEST_FPERIOD_OVERRIDE=FQ","FILING_STATUS=MR","Sort=A","Dates=H","DateFormat=P","Fill=—","Direction=H","UseDPDF=Y")</f>
        <v>—</v>
      </c>
      <c r="O45" s="13" t="str">
        <f>_xll.BDH("ITCI US Equity","ARD_PREFERRED_STOCK_SHARES_OUT","FQ4 2021","FQ4 2021","Currency=USD","Period=FQ","BEST_FPERIOD_OVERRIDE=FQ","FILING_STATUS=MR","Sort=A","Dates=H","DateFormat=P","Fill=—","Direction=H","UseDPDF=Y")</f>
        <v>—</v>
      </c>
      <c r="P45" s="13" t="str">
        <f>_xll.BDH("ITCI US Equity","ARD_PREFERRED_STOCK_SHARES_OUT","FQ1 2022","FQ1 2022","Currency=USD","Period=FQ","BEST_FPERIOD_OVERRIDE=FQ","FILING_STATUS=MR","Sort=A","Dates=H","DateFormat=P","Fill=—","Direction=H","UseDPDF=Y")</f>
        <v>—</v>
      </c>
      <c r="Q45" s="13" t="str">
        <f>_xll.BDH("ITCI US Equity","ARD_PREFERRED_STOCK_SHARES_OUT","FQ2 2022","FQ2 2022","Currency=USD","Period=FQ","BEST_FPERIOD_OVERRIDE=FQ","FILING_STATUS=MR","Sort=A","Dates=H","DateFormat=P","Fill=—","Direction=H","UseDPDF=Y")</f>
        <v>—</v>
      </c>
      <c r="R45" s="13" t="str">
        <f>_xll.BDH("ITCI US Equity","ARD_PREFERRED_STOCK_SHARES_OUT","FQ3 2022","FQ3 2022","Currency=USD","Period=FQ","BEST_FPERIOD_OVERRIDE=FQ","FILING_STATUS=MR","Sort=A","Dates=H","DateFormat=P","Fill=—","Direction=H","UseDPDF=Y")</f>
        <v>—</v>
      </c>
      <c r="S45" s="13" t="str">
        <f>_xll.BDH("ITCI US Equity","ARD_PREFERRED_STOCK_SHARES_OUT","FQ4 2022","FQ4 2022","Currency=USD","Period=FQ","BEST_FPERIOD_OVERRIDE=FQ","FILING_STATUS=MR","Sort=A","Dates=H","DateFormat=P","Fill=—","Direction=H","UseDPDF=Y")</f>
        <v>—</v>
      </c>
      <c r="T45" s="13" t="str">
        <f>_xll.BDH("ITCI US Equity","ARD_PREFERRED_STOCK_SHARES_OUT","FQ1 2023","FQ1 2023","Currency=USD","Period=FQ","BEST_FPERIOD_OVERRIDE=FQ","FILING_STATUS=MR","Sort=A","Dates=H","DateFormat=P","Fill=—","Direction=H","UseDPDF=Y")</f>
        <v>—</v>
      </c>
      <c r="U45" s="13" t="str">
        <f>_xll.BDH("ITCI US Equity","ARD_PREFERRED_STOCK_SHARES_OUT","FQ2 2023","FQ2 2023","Currency=USD","Period=FQ","BEST_FPERIOD_OVERRIDE=FQ","FILING_STATUS=MR","Sort=A","Dates=H","DateFormat=P","Fill=—","Direction=H","UseDPDF=Y")</f>
        <v>—</v>
      </c>
      <c r="V45" s="13" t="str">
        <f>_xll.BDH("ITCI US Equity","ARD_PREFERRED_STOCK_SHARES_OUT","FQ3 2023","FQ3 2023","Currency=USD","Period=FQ","BEST_FPERIOD_OVERRIDE=FQ","FILING_STATUS=MR","Sort=A","Dates=H","DateFormat=P","Fill=—","Direction=H","UseDPDF=Y")</f>
        <v>—</v>
      </c>
      <c r="W45" s="13" t="str">
        <f>_xll.BDH("ITCI US Equity","ARD_PREFERRED_STOCK_SHARES_OUT","FQ4 2023","FQ4 2023","Currency=USD","Period=FQ","BEST_FPERIOD_OVERRIDE=FQ","FILING_STATUS=MR","Sort=A","Dates=H","DateFormat=P","Fill=—","Direction=H","UseDPDF=Y")</f>
        <v>—</v>
      </c>
      <c r="X45" s="13" t="str">
        <f>_xll.BDH("ITCI US Equity","ARD_PREFERRED_STOCK_SHARES_OUT","FQ1 2024","FQ1 2024","Currency=USD","Period=FQ","BEST_FPERIOD_OVERRIDE=FQ","FILING_STATUS=MR","Sort=A","Dates=H","DateFormat=P","Fill=—","Direction=H","UseDPDF=Y")</f>
        <v>—</v>
      </c>
      <c r="Y45" s="13" t="str">
        <f>_xll.BDH("ITCI US Equity","ARD_PREFERRED_STOCK_SHARES_OUT","FQ2 2024","FQ2 2024","Currency=USD","Period=FQ","BEST_FPERIOD_OVERRIDE=FQ","FILING_STATUS=MR","Sort=A","Dates=H","DateFormat=P","Fill=—","Direction=H","UseDPDF=Y")</f>
        <v>—</v>
      </c>
      <c r="Z45" s="13" t="str">
        <f>_xll.BDH("ITCI US Equity","ARD_PREFERRED_STOCK_SHARES_OUT","FQ3 2024","FQ3 2024","Currency=USD","Period=FQ","BEST_FPERIOD_OVERRIDE=FQ","FILING_STATUS=MR","Sort=A","Dates=H","DateFormat=P","Fill=—","Direction=H","UseDPDF=Y")</f>
        <v>—</v>
      </c>
      <c r="AA45" s="13" t="str">
        <f>_xll.BDH("ITCI US Equity","ARD_PREFERRED_STOCK_SHARES_OUT","FQ4 2024","FQ4 2024","Currency=USD","Period=FQ","BEST_FPERIOD_OVERRIDE=FQ","FILING_STATUS=MR","Sort=A","Dates=H","DateFormat=P","Fill=—","Direction=H","UseDPDF=Y")</f>
        <v>—</v>
      </c>
    </row>
    <row r="46" spans="1:27" x14ac:dyDescent="0.25">
      <c r="A46" s="6" t="s">
        <v>753</v>
      </c>
      <c r="B46" s="6" t="s">
        <v>754</v>
      </c>
      <c r="C46" s="19">
        <f>_xll.BDH("ITCI US Equity","ARD_TOT_LIAB_AND_SHAREHOLDER_EQY","FQ4 2018","FQ4 2018","Currency=USD","Period=FQ","BEST_FPERIOD_OVERRIDE=FQ","FILING_STATUS=MR","SCALING_FORMAT=MLN","Sort=A","Dates=H","DateFormat=P","Fill=—","Direction=H","UseDPDF=Y")</f>
        <v>357.20650000000001</v>
      </c>
      <c r="D46" s="19">
        <f>_xll.BDH("ITCI US Equity","ARD_TOT_LIAB_AND_SHAREHOLDER_EQY","FQ1 2019","FQ1 2019","Currency=USD","Period=FQ","BEST_FPERIOD_OVERRIDE=FQ","FILING_STATUS=MR","SCALING_FORMAT=MLN","Sort=A","Dates=H","DateFormat=P","Fill=—","Direction=H","UseDPDF=Y")</f>
        <v>342.97280000000001</v>
      </c>
      <c r="E46" s="19">
        <f>_xll.BDH("ITCI US Equity","ARD_TOT_LIAB_AND_SHAREHOLDER_EQY","FQ2 2019","FQ2 2019","Currency=USD","Period=FQ","BEST_FPERIOD_OVERRIDE=FQ","FILING_STATUS=MR","SCALING_FORMAT=MLN","Sort=A","Dates=H","DateFormat=P","Fill=—","Direction=H","UseDPDF=Y")</f>
        <v>309.86259999999999</v>
      </c>
      <c r="F46" s="19">
        <f>_xll.BDH("ITCI US Equity","ARD_TOT_LIAB_AND_SHAREHOLDER_EQY","FQ3 2019","FQ3 2019","Currency=USD","Period=FQ","BEST_FPERIOD_OVERRIDE=FQ","FILING_STATUS=MR","SCALING_FORMAT=MLN","Sort=A","Dates=H","DateFormat=P","Fill=—","Direction=H","UseDPDF=Y")</f>
        <v>280.52300000000002</v>
      </c>
      <c r="G46" s="19">
        <f>_xll.BDH("ITCI US Equity","ARD_TOT_LIAB_AND_SHAREHOLDER_EQY","FQ4 2019","FQ4 2019","Currency=USD","Period=FQ","BEST_FPERIOD_OVERRIDE=FQ","FILING_STATUS=MR","SCALING_FORMAT=MLN","Sort=A","Dates=H","DateFormat=P","Fill=—","Direction=H","UseDPDF=Y")</f>
        <v>251.1865</v>
      </c>
      <c r="H46" s="19">
        <f>_xll.BDH("ITCI US Equity","ARD_TOT_LIAB_AND_SHAREHOLDER_EQY","FQ1 2020","FQ1 2020","Currency=USD","Period=FQ","BEST_FPERIOD_OVERRIDE=FQ","FILING_STATUS=MR","SCALING_FORMAT=MLN","Sort=A","Dates=H","DateFormat=P","Fill=—","Direction=H","UseDPDF=Y")</f>
        <v>481.24270000000001</v>
      </c>
      <c r="I46" s="19">
        <f>_xll.BDH("ITCI US Equity","ARD_TOT_LIAB_AND_SHAREHOLDER_EQY","FQ2 2020","FQ2 2020","Currency=USD","Period=FQ","BEST_FPERIOD_OVERRIDE=FQ","FILING_STATUS=MR","SCALING_FORMAT=MLN","Sort=A","Dates=H","DateFormat=P","Fill=—","Direction=H","UseDPDF=Y")</f>
        <v>440.93079999999998</v>
      </c>
      <c r="J46" s="19">
        <f>_xll.BDH("ITCI US Equity","ARD_TOT_LIAB_AND_SHAREHOLDER_EQY","FQ3 2020","FQ3 2020","Currency=USD","Period=FQ","BEST_FPERIOD_OVERRIDE=FQ","FILING_STATUS=MR","SCALING_FORMAT=MLN","Sort=A","Dates=H","DateFormat=P","Fill=—","Direction=H","UseDPDF=Y")</f>
        <v>771.29380000000003</v>
      </c>
      <c r="K46" s="19">
        <f>_xll.BDH("ITCI US Equity","ARD_TOT_LIAB_AND_SHAREHOLDER_EQY","FQ4 2020","FQ4 2020","Currency=USD","Period=FQ","BEST_FPERIOD_OVERRIDE=FQ","FILING_STATUS=MR","SCALING_FORMAT=MLN","Sort=A","Dates=H","DateFormat=P","Fill=—","Direction=H","UseDPDF=Y")</f>
        <v>717.31370000000004</v>
      </c>
      <c r="L46" s="19">
        <f>_xll.BDH("ITCI US Equity","ARD_TOT_LIAB_AND_SHAREHOLDER_EQY","FQ1 2021","FQ1 2021","Currency=USD","Period=FQ","BEST_FPERIOD_OVERRIDE=FQ","FILING_STATUS=MR","SCALING_FORMAT=MLN","Sort=A","Dates=H","DateFormat=P","Fill=—","Direction=H","UseDPDF=Y")</f>
        <v>674.48860000000002</v>
      </c>
      <c r="M46" s="19">
        <f>_xll.BDH("ITCI US Equity","ARD_TOT_LIAB_AND_SHAREHOLDER_EQY","FQ2 2021","FQ2 2021","Currency=USD","Period=FQ","BEST_FPERIOD_OVERRIDE=FQ","FILING_STATUS=MR","SCALING_FORMAT=MLN","Sort=A","Dates=H","DateFormat=P","Fill=—","Direction=H","UseDPDF=Y")</f>
        <v>625.69669999999996</v>
      </c>
      <c r="N46" s="19">
        <f>_xll.BDH("ITCI US Equity","ARD_TOT_LIAB_AND_SHAREHOLDER_EQY","FQ3 2021","FQ3 2021","Currency=USD","Period=FQ","BEST_FPERIOD_OVERRIDE=FQ","FILING_STATUS=MR","SCALING_FORMAT=MLN","Sort=A","Dates=H","DateFormat=P","Fill=—","Direction=H","UseDPDF=Y")</f>
        <v>556.97569999999996</v>
      </c>
      <c r="O46" s="19">
        <f>_xll.BDH("ITCI US Equity","ARD_TOT_LIAB_AND_SHAREHOLDER_EQY","FQ4 2021","FQ4 2021","Currency=USD","Period=FQ","BEST_FPERIOD_OVERRIDE=FQ","FILING_STATUS=MR","SCALING_FORMAT=MLN","Sort=A","Dates=H","DateFormat=P","Fill=—","Direction=H","UseDPDF=Y")</f>
        <v>489.9221</v>
      </c>
      <c r="P46" s="19">
        <f>_xll.BDH("ITCI US Equity","ARD_TOT_LIAB_AND_SHAREHOLDER_EQY","FQ1 2022","FQ1 2022","Currency=USD","Period=FQ","BEST_FPERIOD_OVERRIDE=FQ","FILING_STATUS=MR","SCALING_FORMAT=MLN","Sort=A","Dates=H","DateFormat=P","Fill=—","Direction=H","UseDPDF=Y")</f>
        <v>868.58</v>
      </c>
      <c r="Q46" s="19">
        <f>_xll.BDH("ITCI US Equity","ARD_TOT_LIAB_AND_SHAREHOLDER_EQY","FQ2 2022","FQ2 2022","Currency=USD","Period=FQ","BEST_FPERIOD_OVERRIDE=FQ","FILING_STATUS=MR","SCALING_FORMAT=MLN","Sort=A","Dates=H","DateFormat=P","Fill=—","Direction=H","UseDPDF=Y")</f>
        <v>811.90599999999995</v>
      </c>
      <c r="R46" s="19">
        <f>_xll.BDH("ITCI US Equity","ARD_TOT_LIAB_AND_SHAREHOLDER_EQY","FQ3 2022","FQ3 2022","Currency=USD","Period=FQ","BEST_FPERIOD_OVERRIDE=FQ","FILING_STATUS=MR","SCALING_FORMAT=MLN","Sort=A","Dates=H","DateFormat=P","Fill=—","Direction=H","UseDPDF=Y")</f>
        <v>781.99900000000002</v>
      </c>
      <c r="S46" s="19">
        <f>_xll.BDH("ITCI US Equity","ARD_TOT_LIAB_AND_SHAREHOLDER_EQY","FQ4 2022","FQ4 2022","Currency=USD","Period=FQ","BEST_FPERIOD_OVERRIDE=FQ","FILING_STATUS=MR","SCALING_FORMAT=MLN","Sort=A","Dates=H","DateFormat=P","Fill=—","Direction=H","UseDPDF=Y")</f>
        <v>754.78</v>
      </c>
      <c r="T46" s="19">
        <f>_xll.BDH("ITCI US Equity","ARD_TOT_LIAB_AND_SHAREHOLDER_EQY","FQ1 2023","FQ1 2023","Currency=USD","Period=FQ","BEST_FPERIOD_OVERRIDE=FQ","FILING_STATUS=MR","SCALING_FORMAT=MLN","Sort=A","Dates=H","DateFormat=P","Fill=—","Direction=H","UseDPDF=Y")</f>
        <v>722.15800000000002</v>
      </c>
      <c r="U46" s="19">
        <f>_xll.BDH("ITCI US Equity","ARD_TOT_LIAB_AND_SHAREHOLDER_EQY","FQ2 2023","FQ2 2023","Currency=USD","Period=FQ","BEST_FPERIOD_OVERRIDE=FQ","FILING_STATUS=MR","SCALING_FORMAT=MLN","Sort=A","Dates=H","DateFormat=P","Fill=—","Direction=H","UseDPDF=Y")</f>
        <v>713.60199999999998</v>
      </c>
      <c r="V46" s="19">
        <f>_xll.BDH("ITCI US Equity","ARD_TOT_LIAB_AND_SHAREHOLDER_EQY","FQ3 2023","FQ3 2023","Currency=USD","Period=FQ","BEST_FPERIOD_OVERRIDE=FQ","FILING_STATUS=MR","SCALING_FORMAT=MLN","Sort=A","Dates=H","DateFormat=P","Fill=—","Direction=H","UseDPDF=Y")</f>
        <v>717.66399999999999</v>
      </c>
      <c r="W46" s="19">
        <f>_xll.BDH("ITCI US Equity","ARD_TOT_LIAB_AND_SHAREHOLDER_EQY","FQ4 2023","FQ4 2023","Currency=USD","Period=FQ","BEST_FPERIOD_OVERRIDE=FQ","FILING_STATUS=MR","SCALING_FORMAT=MLN","Sort=A","Dates=H","DateFormat=P","Fill=—","Direction=H","UseDPDF=Y")</f>
        <v>728.29499999999996</v>
      </c>
      <c r="X46" s="19">
        <f>_xll.BDH("ITCI US Equity","ARD_TOT_LIAB_AND_SHAREHOLDER_EQY","FQ1 2024","FQ1 2024","Currency=USD","Period=FQ","BEST_FPERIOD_OVERRIDE=FQ","FILING_STATUS=MR","SCALING_FORMAT=MLN","Sort=A","Dates=H","DateFormat=P","Fill=—","Direction=H","UseDPDF=Y")</f>
        <v>747.03599999999994</v>
      </c>
      <c r="Y46" s="19">
        <f>_xll.BDH("ITCI US Equity","ARD_TOT_LIAB_AND_SHAREHOLDER_EQY","FQ2 2024","FQ2 2024","Currency=USD","Period=FQ","BEST_FPERIOD_OVERRIDE=FQ","FILING_STATUS=MR","SCALING_FORMAT=MLN","Sort=A","Dates=H","DateFormat=P","Fill=—","Direction=H","UseDPDF=Y")</f>
        <v>1320.5039999999999</v>
      </c>
      <c r="Z46" s="19">
        <f>_xll.BDH("ITCI US Equity","ARD_TOT_LIAB_AND_SHAREHOLDER_EQY","FQ3 2024","FQ3 2024","Currency=USD","Period=FQ","BEST_FPERIOD_OVERRIDE=FQ","FILING_STATUS=MR","SCALING_FORMAT=MLN","Sort=A","Dates=H","DateFormat=P","Fill=—","Direction=H","UseDPDF=Y")</f>
        <v>1324.4449999999999</v>
      </c>
      <c r="AA46" s="19">
        <f>_xll.BDH("ITCI US Equity","ARD_TOT_LIAB_AND_SHAREHOLDER_EQY","FQ4 2024","FQ4 2024","Currency=USD","Period=FQ","BEST_FPERIOD_OVERRIDE=FQ","FILING_STATUS=MR","SCALING_FORMAT=MLN","Sort=A","Dates=H","DateFormat=P","Fill=—","Direction=H","UseDPDF=Y")</f>
        <v>1366.912</v>
      </c>
    </row>
    <row r="47" spans="1:27" x14ac:dyDescent="0.25">
      <c r="A47" s="10" t="s">
        <v>433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25">
      <c r="A48" s="10" t="s">
        <v>755</v>
      </c>
      <c r="B48" s="10" t="s">
        <v>756</v>
      </c>
      <c r="C48" s="13" t="str">
        <f>_xll.BDH("ITCI US Equity","ARDR_NUM_OF_RSU_BEGIN_OF_PER","FQ4 2018","FQ4 2018","Currency=USD","Period=FQ","BEST_FPERIOD_OVERRIDE=FQ","FILING_STATUS=MR","Sort=A","Dates=H","DateFormat=P","Fill=—","Direction=H","UseDPDF=Y")</f>
        <v>—</v>
      </c>
      <c r="D48" s="13" t="str">
        <f>_xll.BDH("ITCI US Equity","ARDR_NUM_OF_RSU_BEGIN_OF_PER","FQ1 2019","FQ1 2019","Currency=USD","Period=FQ","BEST_FPERIOD_OVERRIDE=FQ","FILING_STATUS=MR","Sort=A","Dates=H","DateFormat=P","Fill=—","Direction=H","UseDPDF=Y")</f>
        <v>—</v>
      </c>
      <c r="E48" s="13" t="str">
        <f>_xll.BDH("ITCI US Equity","ARDR_NUM_OF_RSU_BEGIN_OF_PER","FQ2 2019","FQ2 2019","Currency=USD","Period=FQ","BEST_FPERIOD_OVERRIDE=FQ","FILING_STATUS=MR","Sort=A","Dates=H","DateFormat=P","Fill=—","Direction=H","UseDPDF=Y")</f>
        <v>—</v>
      </c>
      <c r="F48" s="13" t="str">
        <f>_xll.BDH("ITCI US Equity","ARDR_NUM_OF_RSU_BEGIN_OF_PER","FQ3 2019","FQ3 2019","Currency=USD","Period=FQ","BEST_FPERIOD_OVERRIDE=FQ","FILING_STATUS=MR","Sort=A","Dates=H","DateFormat=P","Fill=—","Direction=H","UseDPDF=Y")</f>
        <v>—</v>
      </c>
      <c r="G48" s="13" t="str">
        <f>_xll.BDH("ITCI US Equity","ARDR_NUM_OF_RSU_BEGIN_OF_PER","FQ4 2019","FQ4 2019","Currency=USD","Period=FQ","BEST_FPERIOD_OVERRIDE=FQ","FILING_STATUS=MR","Sort=A","Dates=H","DateFormat=P","Fill=—","Direction=H","UseDPDF=Y")</f>
        <v>—</v>
      </c>
      <c r="H48" s="13" t="str">
        <f>_xll.BDH("ITCI US Equity","ARDR_NUM_OF_RSU_BEGIN_OF_PER","FQ1 2020","FQ1 2020","Currency=USD","Period=FQ","BEST_FPERIOD_OVERRIDE=FQ","FILING_STATUS=MR","Sort=A","Dates=H","DateFormat=P","Fill=—","Direction=H","UseDPDF=Y")</f>
        <v>—</v>
      </c>
      <c r="I48" s="13" t="str">
        <f>_xll.BDH("ITCI US Equity","ARDR_NUM_OF_RSU_BEGIN_OF_PER","FQ2 2020","FQ2 2020","Currency=USD","Period=FQ","BEST_FPERIOD_OVERRIDE=FQ","FILING_STATUS=MR","Sort=A","Dates=H","DateFormat=P","Fill=—","Direction=H","UseDPDF=Y")</f>
        <v>—</v>
      </c>
      <c r="J48" s="13" t="str">
        <f>_xll.BDH("ITCI US Equity","ARDR_NUM_OF_RSU_BEGIN_OF_PER","FQ3 2020","FQ3 2020","Currency=USD","Period=FQ","BEST_FPERIOD_OVERRIDE=FQ","FILING_STATUS=MR","Sort=A","Dates=H","DateFormat=P","Fill=—","Direction=H","UseDPDF=Y")</f>
        <v>—</v>
      </c>
      <c r="K48" s="13" t="str">
        <f>_xll.BDH("ITCI US Equity","ARDR_NUM_OF_RSU_BEGIN_OF_PER","FQ4 2020","FQ4 2020","Currency=USD","Period=FQ","BEST_FPERIOD_OVERRIDE=FQ","FILING_STATUS=MR","Sort=A","Dates=H","DateFormat=P","Fill=—","Direction=H","UseDPDF=Y")</f>
        <v>—</v>
      </c>
      <c r="L48" s="13" t="str">
        <f>_xll.BDH("ITCI US Equity","ARDR_NUM_OF_RSU_BEGIN_OF_PER","FQ1 2021","FQ1 2021","Currency=USD","Period=FQ","BEST_FPERIOD_OVERRIDE=FQ","FILING_STATUS=MR","Sort=A","Dates=H","DateFormat=P","Fill=—","Direction=H","UseDPDF=Y")</f>
        <v>—</v>
      </c>
      <c r="M48" s="13" t="str">
        <f>_xll.BDH("ITCI US Equity","ARDR_NUM_OF_RSU_BEGIN_OF_PER","FQ2 2021","FQ2 2021","Currency=USD","Period=FQ","BEST_FPERIOD_OVERRIDE=FQ","FILING_STATUS=MR","Sort=A","Dates=H","DateFormat=P","Fill=—","Direction=H","UseDPDF=Y")</f>
        <v>—</v>
      </c>
      <c r="N48" s="13">
        <f>_xll.BDH("ITCI US Equity","ARDR_NUM_OF_RSU_BEGIN_OF_PER","FQ3 2021","FQ3 2021","Currency=USD","Period=FQ","BEST_FPERIOD_OVERRIDE=FQ","FILING_STATUS=MR","Sort=A","Dates=H","DateFormat=P","Fill=—","Direction=H","UseDPDF=Y")</f>
        <v>1.7000999999999999</v>
      </c>
      <c r="O48" s="13">
        <f>_xll.BDH("ITCI US Equity","ARDR_NUM_OF_RSU_BEGIN_OF_PER","FQ4 2021","FQ4 2021","Currency=USD","Period=FQ","BEST_FPERIOD_OVERRIDE=FQ","FILING_STATUS=MR","Sort=A","Dates=H","DateFormat=P","Fill=—","Direction=H","UseDPDF=Y")</f>
        <v>0.152</v>
      </c>
      <c r="P48" s="13">
        <f>_xll.BDH("ITCI US Equity","ARDR_NUM_OF_RSU_BEGIN_OF_PER","FQ1 2022","FQ1 2022","Currency=USD","Period=FQ","BEST_FPERIOD_OVERRIDE=FQ","FILING_STATUS=MR","Sort=A","Dates=H","DateFormat=P","Fill=—","Direction=H","UseDPDF=Y")</f>
        <v>5.4770000000000003</v>
      </c>
      <c r="Q48" s="13">
        <f>_xll.BDH("ITCI US Equity","ARDR_NUM_OF_RSU_BEGIN_OF_PER","FQ2 2022","FQ2 2022","Currency=USD","Period=FQ","BEST_FPERIOD_OVERRIDE=FQ","FILING_STATUS=MR","Sort=A","Dates=H","DateFormat=P","Fill=—","Direction=H","UseDPDF=Y")</f>
        <v>5.2417999999999996</v>
      </c>
      <c r="R48" s="13">
        <f>_xll.BDH("ITCI US Equity","ARDR_NUM_OF_RSU_BEGIN_OF_PER","FQ3 2022","FQ3 2022","Currency=USD","Period=FQ","BEST_FPERIOD_OVERRIDE=FQ","FILING_STATUS=MR","Sort=A","Dates=H","DateFormat=P","Fill=—","Direction=H","UseDPDF=Y")</f>
        <v>1.5297000000000001</v>
      </c>
      <c r="S48" s="13">
        <f>_xll.BDH("ITCI US Equity","ARDR_NUM_OF_RSU_BEGIN_OF_PER","FQ4 2022","FQ4 2022","Currency=USD","Period=FQ","BEST_FPERIOD_OVERRIDE=FQ","FILING_STATUS=MR","Sort=A","Dates=H","DateFormat=P","Fill=—","Direction=H","UseDPDF=Y")</f>
        <v>1.3007</v>
      </c>
      <c r="T48" s="13">
        <f>_xll.BDH("ITCI US Equity","ARDR_NUM_OF_RSU_BEGIN_OF_PER","FQ1 2023","FQ1 2023","Currency=USD","Period=FQ","BEST_FPERIOD_OVERRIDE=FQ","FILING_STATUS=MR","Sort=A","Dates=H","DateFormat=P","Fill=—","Direction=H","UseDPDF=Y")</f>
        <v>1.2746999999999999</v>
      </c>
      <c r="U48" s="13">
        <f>_xll.BDH("ITCI US Equity","ARDR_NUM_OF_RSU_BEGIN_OF_PER","FQ2 2023","FQ2 2023","Currency=USD","Period=FQ","BEST_FPERIOD_OVERRIDE=FQ","FILING_STATUS=MR","Sort=A","Dates=H","DateFormat=P","Fill=—","Direction=H","UseDPDF=Y")</f>
        <v>4.5152000000000001</v>
      </c>
      <c r="V48" s="13">
        <f>_xll.BDH("ITCI US Equity","ARDR_NUM_OF_RSU_BEGIN_OF_PER","FQ3 2023","FQ3 2023","Currency=USD","Period=FQ","BEST_FPERIOD_OVERRIDE=FQ","FILING_STATUS=MR","Sort=A","Dates=H","DateFormat=P","Fill=—","Direction=H","UseDPDF=Y")</f>
        <v>1.6263000000000001</v>
      </c>
      <c r="W48" s="13">
        <f>_xll.BDH("ITCI US Equity","ARDR_NUM_OF_RSU_BEGIN_OF_PER","FQ4 2023","FQ4 2023","Currency=USD","Period=FQ","BEST_FPERIOD_OVERRIDE=FQ","FILING_STATUS=MR","Sort=A","Dates=H","DateFormat=P","Fill=—","Direction=H","UseDPDF=Y")</f>
        <v>1.6476999999999999</v>
      </c>
      <c r="X48" s="13">
        <f>_xll.BDH("ITCI US Equity","ARDR_NUM_OF_RSU_BEGIN_OF_PER","FQ1 2024","FQ1 2024","Currency=USD","Period=FQ","BEST_FPERIOD_OVERRIDE=FQ","FILING_STATUS=MR","Sort=A","Dates=H","DateFormat=P","Fill=—","Direction=H","UseDPDF=Y")</f>
        <v>1.6451</v>
      </c>
      <c r="Y48" s="13">
        <f>_xll.BDH("ITCI US Equity","ARDR_NUM_OF_RSU_BEGIN_OF_PER","FQ2 2024","FQ2 2024","Currency=USD","Period=FQ","BEST_FPERIOD_OVERRIDE=FQ","FILING_STATUS=MR","Sort=A","Dates=H","DateFormat=P","Fill=—","Direction=H","UseDPDF=Y")</f>
        <v>1.9151</v>
      </c>
      <c r="Z48" s="13">
        <f>_xll.BDH("ITCI US Equity","ARDR_NUM_OF_RSU_BEGIN_OF_PER","FQ3 2024","FQ3 2024","Currency=USD","Period=FQ","BEST_FPERIOD_OVERRIDE=FQ","FILING_STATUS=MR","Sort=A","Dates=H","DateFormat=P","Fill=—","Direction=H","UseDPDF=Y")</f>
        <v>1.6451</v>
      </c>
      <c r="AA48" s="13">
        <f>_xll.BDH("ITCI US Equity","ARDR_NUM_OF_RSU_BEGIN_OF_PER","FQ4 2024","FQ4 2024","Currency=USD","Period=FQ","BEST_FPERIOD_OVERRIDE=FQ","FILING_STATUS=MR","Sort=A","Dates=H","DateFormat=P","Fill=—","Direction=H","UseDPDF=Y")</f>
        <v>1.6451</v>
      </c>
    </row>
    <row r="49" spans="1:27" x14ac:dyDescent="0.25">
      <c r="A49" s="10" t="s">
        <v>757</v>
      </c>
      <c r="B49" s="10" t="s">
        <v>758</v>
      </c>
      <c r="C49" s="13" t="str">
        <f>_xll.BDH("ITCI US Equity","ARDR_NUMBER_OF_RSU_GRANTED","FQ4 2018","FQ4 2018","Currency=USD","Period=FQ","BEST_FPERIOD_OVERRIDE=FQ","FILING_STATUS=MR","Sort=A","Dates=H","DateFormat=P","Fill=—","Direction=H","UseDPDF=Y")</f>
        <v>—</v>
      </c>
      <c r="D49" s="13" t="str">
        <f>_xll.BDH("ITCI US Equity","ARDR_NUMBER_OF_RSU_GRANTED","FQ1 2019","FQ1 2019","Currency=USD","Period=FQ","BEST_FPERIOD_OVERRIDE=FQ","FILING_STATUS=MR","Sort=A","Dates=H","DateFormat=P","Fill=—","Direction=H","UseDPDF=Y")</f>
        <v>—</v>
      </c>
      <c r="E49" s="13" t="str">
        <f>_xll.BDH("ITCI US Equity","ARDR_NUMBER_OF_RSU_GRANTED","FQ2 2019","FQ2 2019","Currency=USD","Period=FQ","BEST_FPERIOD_OVERRIDE=FQ","FILING_STATUS=MR","Sort=A","Dates=H","DateFormat=P","Fill=—","Direction=H","UseDPDF=Y")</f>
        <v>—</v>
      </c>
      <c r="F49" s="13" t="str">
        <f>_xll.BDH("ITCI US Equity","ARDR_NUMBER_OF_RSU_GRANTED","FQ3 2019","FQ3 2019","Currency=USD","Period=FQ","BEST_FPERIOD_OVERRIDE=FQ","FILING_STATUS=MR","Sort=A","Dates=H","DateFormat=P","Fill=—","Direction=H","UseDPDF=Y")</f>
        <v>—</v>
      </c>
      <c r="G49" s="13" t="str">
        <f>_xll.BDH("ITCI US Equity","ARDR_NUMBER_OF_RSU_GRANTED","FQ4 2019","FQ4 2019","Currency=USD","Period=FQ","BEST_FPERIOD_OVERRIDE=FQ","FILING_STATUS=MR","Sort=A","Dates=H","DateFormat=P","Fill=—","Direction=H","UseDPDF=Y")</f>
        <v>—</v>
      </c>
      <c r="H49" s="13" t="str">
        <f>_xll.BDH("ITCI US Equity","ARDR_NUMBER_OF_RSU_GRANTED","FQ1 2020","FQ1 2020","Currency=USD","Period=FQ","BEST_FPERIOD_OVERRIDE=FQ","FILING_STATUS=MR","Sort=A","Dates=H","DateFormat=P","Fill=—","Direction=H","UseDPDF=Y")</f>
        <v>—</v>
      </c>
      <c r="I49" s="13" t="str">
        <f>_xll.BDH("ITCI US Equity","ARDR_NUMBER_OF_RSU_GRANTED","FQ2 2020","FQ2 2020","Currency=USD","Period=FQ","BEST_FPERIOD_OVERRIDE=FQ","FILING_STATUS=MR","Sort=A","Dates=H","DateFormat=P","Fill=—","Direction=H","UseDPDF=Y")</f>
        <v>—</v>
      </c>
      <c r="J49" s="13" t="str">
        <f>_xll.BDH("ITCI US Equity","ARDR_NUMBER_OF_RSU_GRANTED","FQ3 2020","FQ3 2020","Currency=USD","Period=FQ","BEST_FPERIOD_OVERRIDE=FQ","FILING_STATUS=MR","Sort=A","Dates=H","DateFormat=P","Fill=—","Direction=H","UseDPDF=Y")</f>
        <v>—</v>
      </c>
      <c r="K49" s="13" t="str">
        <f>_xll.BDH("ITCI US Equity","ARDR_NUMBER_OF_RSU_GRANTED","FQ4 2020","FQ4 2020","Currency=USD","Period=FQ","BEST_FPERIOD_OVERRIDE=FQ","FILING_STATUS=MR","Sort=A","Dates=H","DateFormat=P","Fill=—","Direction=H","UseDPDF=Y")</f>
        <v>—</v>
      </c>
      <c r="L49" s="13" t="str">
        <f>_xll.BDH("ITCI US Equity","ARDR_NUMBER_OF_RSU_GRANTED","FQ1 2021","FQ1 2021","Currency=USD","Period=FQ","BEST_FPERIOD_OVERRIDE=FQ","FILING_STATUS=MR","Sort=A","Dates=H","DateFormat=P","Fill=—","Direction=H","UseDPDF=Y")</f>
        <v>—</v>
      </c>
      <c r="M49" s="13" t="str">
        <f>_xll.BDH("ITCI US Equity","ARDR_NUMBER_OF_RSU_GRANTED","FQ2 2021","FQ2 2021","Currency=USD","Period=FQ","BEST_FPERIOD_OVERRIDE=FQ","FILING_STATUS=MR","Sort=A","Dates=H","DateFormat=P","Fill=—","Direction=H","UseDPDF=Y")</f>
        <v>—</v>
      </c>
      <c r="N49" s="13">
        <f>_xll.BDH("ITCI US Equity","ARDR_NUMBER_OF_RSU_GRANTED","FQ3 2021","FQ3 2021","Currency=USD","Period=FQ","BEST_FPERIOD_OVERRIDE=FQ","FILING_STATUS=MR","Sort=A","Dates=H","DateFormat=P","Fill=—","Direction=H","UseDPDF=Y")</f>
        <v>5.0000000000000001E-4</v>
      </c>
      <c r="O49" s="13" t="str">
        <f>_xll.BDH("ITCI US Equity","ARDR_NUMBER_OF_RSU_GRANTED","FQ4 2021","FQ4 2021","Currency=USD","Period=FQ","BEST_FPERIOD_OVERRIDE=FQ","FILING_STATUS=MR","Sort=A","Dates=H","DateFormat=P","Fill=—","Direction=H","UseDPDF=Y")</f>
        <v>—</v>
      </c>
      <c r="P49" s="13">
        <f>_xll.BDH("ITCI US Equity","ARDR_NUMBER_OF_RSU_GRANTED","FQ1 2022","FQ1 2022","Currency=USD","Period=FQ","BEST_FPERIOD_OVERRIDE=FQ","FILING_STATUS=MR","Sort=A","Dates=H","DateFormat=P","Fill=—","Direction=H","UseDPDF=Y")</f>
        <v>0.5786</v>
      </c>
      <c r="Q49" s="13">
        <f>_xll.BDH("ITCI US Equity","ARDR_NUMBER_OF_RSU_GRANTED","FQ2 2022","FQ2 2022","Currency=USD","Period=FQ","BEST_FPERIOD_OVERRIDE=FQ","FILING_STATUS=MR","Sort=A","Dates=H","DateFormat=P","Fill=—","Direction=H","UseDPDF=Y")</f>
        <v>0.58279999999999998</v>
      </c>
      <c r="R49" s="13">
        <f>_xll.BDH("ITCI US Equity","ARDR_NUMBER_OF_RSU_GRANTED","FQ3 2022","FQ3 2022","Currency=USD","Period=FQ","BEST_FPERIOD_OVERRIDE=FQ","FILING_STATUS=MR","Sort=A","Dates=H","DateFormat=P","Fill=—","Direction=H","UseDPDF=Y")</f>
        <v>0.59089999999999998</v>
      </c>
      <c r="S49" s="13">
        <f>_xll.BDH("ITCI US Equity","ARDR_NUMBER_OF_RSU_GRANTED","FQ4 2022","FQ4 2022","Currency=USD","Period=FQ","BEST_FPERIOD_OVERRIDE=FQ","FILING_STATUS=MR","Sort=A","Dates=H","DateFormat=P","Fill=—","Direction=H","UseDPDF=Y")</f>
        <v>1.0200000000000001E-2</v>
      </c>
      <c r="T49" s="13">
        <f>_xll.BDH("ITCI US Equity","ARDR_NUMBER_OF_RSU_GRANTED","FQ1 2023","FQ1 2023","Currency=USD","Period=FQ","BEST_FPERIOD_OVERRIDE=FQ","FILING_STATUS=MR","Sort=A","Dates=H","DateFormat=P","Fill=—","Direction=H","UseDPDF=Y")</f>
        <v>1.0079</v>
      </c>
      <c r="U49" s="13">
        <f>_xll.BDH("ITCI US Equity","ARDR_NUMBER_OF_RSU_GRANTED","FQ2 2023","FQ2 2023","Currency=USD","Period=FQ","BEST_FPERIOD_OVERRIDE=FQ","FILING_STATUS=MR","Sort=A","Dates=H","DateFormat=P","Fill=—","Direction=H","UseDPDF=Y")</f>
        <v>1.0569</v>
      </c>
      <c r="V49" s="13">
        <f>_xll.BDH("ITCI US Equity","ARDR_NUMBER_OF_RSU_GRANTED","FQ3 2023","FQ3 2023","Currency=USD","Period=FQ","BEST_FPERIOD_OVERRIDE=FQ","FILING_STATUS=MR","Sort=A","Dates=H","DateFormat=P","Fill=—","Direction=H","UseDPDF=Y")</f>
        <v>3.4099999999999998E-2</v>
      </c>
      <c r="W49" s="13">
        <f>_xll.BDH("ITCI US Equity","ARDR_NUMBER_OF_RSU_GRANTED","FQ4 2023","FQ4 2023","Currency=USD","Period=FQ","BEST_FPERIOD_OVERRIDE=FQ","FILING_STATUS=MR","Sort=A","Dates=H","DateFormat=P","Fill=—","Direction=H","UseDPDF=Y")</f>
        <v>2.2004999999999999</v>
      </c>
      <c r="X49" s="13">
        <f>_xll.BDH("ITCI US Equity","ARDR_NUMBER_OF_RSU_GRANTED","FQ1 2024","FQ1 2024","Currency=USD","Period=FQ","BEST_FPERIOD_OVERRIDE=FQ","FILING_STATUS=MR","Sort=A","Dates=H","DateFormat=P","Fill=—","Direction=H","UseDPDF=Y")</f>
        <v>0.98040000000000005</v>
      </c>
      <c r="Y49" s="13">
        <f>_xll.BDH("ITCI US Equity","ARDR_NUMBER_OF_RSU_GRANTED","FQ2 2024","FQ2 2024","Currency=USD","Period=FQ","BEST_FPERIOD_OVERRIDE=FQ","FILING_STATUS=MR","Sort=A","Dates=H","DateFormat=P","Fill=—","Direction=H","UseDPDF=Y")</f>
        <v>5.3400000000000003E-2</v>
      </c>
      <c r="Z49" s="13">
        <f>_xll.BDH("ITCI US Equity","ARDR_NUMBER_OF_RSU_GRANTED","FQ3 2024","FQ3 2024","Currency=USD","Period=FQ","BEST_FPERIOD_OVERRIDE=FQ","FILING_STATUS=MR","Sort=A","Dates=H","DateFormat=P","Fill=—","Direction=H","UseDPDF=Y")</f>
        <v>6.6400000000000001E-2</v>
      </c>
      <c r="AA49" s="13">
        <f>_xll.BDH("ITCI US Equity","ARDR_NUMBER_OF_RSU_GRANTED","FQ4 2024","FQ4 2024","Currency=USD","Period=FQ","BEST_FPERIOD_OVERRIDE=FQ","FILING_STATUS=MR","Sort=A","Dates=H","DateFormat=P","Fill=—","Direction=H","UseDPDF=Y")</f>
        <v>7.8399999999999997E-2</v>
      </c>
    </row>
    <row r="50" spans="1:27" x14ac:dyDescent="0.25">
      <c r="A50" s="10" t="s">
        <v>759</v>
      </c>
      <c r="B50" s="10" t="s">
        <v>760</v>
      </c>
      <c r="C50" s="13" t="str">
        <f>_xll.BDH("ITCI US Equity","ARDR_NUMBER_OF_RSU_VESTED","FQ4 2018","FQ4 2018","Currency=USD","Period=FQ","BEST_FPERIOD_OVERRIDE=FQ","FILING_STATUS=MR","Sort=A","Dates=H","DateFormat=P","Fill=—","Direction=H","UseDPDF=Y")</f>
        <v>—</v>
      </c>
      <c r="D50" s="13" t="str">
        <f>_xll.BDH("ITCI US Equity","ARDR_NUMBER_OF_RSU_VESTED","FQ1 2019","FQ1 2019","Currency=USD","Period=FQ","BEST_FPERIOD_OVERRIDE=FQ","FILING_STATUS=MR","Sort=A","Dates=H","DateFormat=P","Fill=—","Direction=H","UseDPDF=Y")</f>
        <v>—</v>
      </c>
      <c r="E50" s="13" t="str">
        <f>_xll.BDH("ITCI US Equity","ARDR_NUMBER_OF_RSU_VESTED","FQ2 2019","FQ2 2019","Currency=USD","Period=FQ","BEST_FPERIOD_OVERRIDE=FQ","FILING_STATUS=MR","Sort=A","Dates=H","DateFormat=P","Fill=—","Direction=H","UseDPDF=Y")</f>
        <v>—</v>
      </c>
      <c r="F50" s="13" t="str">
        <f>_xll.BDH("ITCI US Equity","ARDR_NUMBER_OF_RSU_VESTED","FQ3 2019","FQ3 2019","Currency=USD","Period=FQ","BEST_FPERIOD_OVERRIDE=FQ","FILING_STATUS=MR","Sort=A","Dates=H","DateFormat=P","Fill=—","Direction=H","UseDPDF=Y")</f>
        <v>—</v>
      </c>
      <c r="G50" s="13" t="str">
        <f>_xll.BDH("ITCI US Equity","ARDR_NUMBER_OF_RSU_VESTED","FQ4 2019","FQ4 2019","Currency=USD","Period=FQ","BEST_FPERIOD_OVERRIDE=FQ","FILING_STATUS=MR","Sort=A","Dates=H","DateFormat=P","Fill=—","Direction=H","UseDPDF=Y")</f>
        <v>—</v>
      </c>
      <c r="H50" s="13" t="str">
        <f>_xll.BDH("ITCI US Equity","ARDR_NUMBER_OF_RSU_VESTED","FQ1 2020","FQ1 2020","Currency=USD","Period=FQ","BEST_FPERIOD_OVERRIDE=FQ","FILING_STATUS=MR","Sort=A","Dates=H","DateFormat=P","Fill=—","Direction=H","UseDPDF=Y")</f>
        <v>—</v>
      </c>
      <c r="I50" s="13" t="str">
        <f>_xll.BDH("ITCI US Equity","ARDR_NUMBER_OF_RSU_VESTED","FQ2 2020","FQ2 2020","Currency=USD","Period=FQ","BEST_FPERIOD_OVERRIDE=FQ","FILING_STATUS=MR","Sort=A","Dates=H","DateFormat=P","Fill=—","Direction=H","UseDPDF=Y")</f>
        <v>—</v>
      </c>
      <c r="J50" s="13" t="str">
        <f>_xll.BDH("ITCI US Equity","ARDR_NUMBER_OF_RSU_VESTED","FQ3 2020","FQ3 2020","Currency=USD","Period=FQ","BEST_FPERIOD_OVERRIDE=FQ","FILING_STATUS=MR","Sort=A","Dates=H","DateFormat=P","Fill=—","Direction=H","UseDPDF=Y")</f>
        <v>—</v>
      </c>
      <c r="K50" s="13" t="str">
        <f>_xll.BDH("ITCI US Equity","ARDR_NUMBER_OF_RSU_VESTED","FQ4 2020","FQ4 2020","Currency=USD","Period=FQ","BEST_FPERIOD_OVERRIDE=FQ","FILING_STATUS=MR","Sort=A","Dates=H","DateFormat=P","Fill=—","Direction=H","UseDPDF=Y")</f>
        <v>—</v>
      </c>
      <c r="L50" s="13" t="str">
        <f>_xll.BDH("ITCI US Equity","ARDR_NUMBER_OF_RSU_VESTED","FQ1 2021","FQ1 2021","Currency=USD","Period=FQ","BEST_FPERIOD_OVERRIDE=FQ","FILING_STATUS=MR","Sort=A","Dates=H","DateFormat=P","Fill=—","Direction=H","UseDPDF=Y")</f>
        <v>—</v>
      </c>
      <c r="M50" s="13" t="str">
        <f>_xll.BDH("ITCI US Equity","ARDR_NUMBER_OF_RSU_VESTED","FQ2 2021","FQ2 2021","Currency=USD","Period=FQ","BEST_FPERIOD_OVERRIDE=FQ","FILING_STATUS=MR","Sort=A","Dates=H","DateFormat=P","Fill=—","Direction=H","UseDPDF=Y")</f>
        <v>—</v>
      </c>
      <c r="N50" s="13">
        <f>_xll.BDH("ITCI US Equity","ARDR_NUMBER_OF_RSU_VESTED","FQ3 2021","FQ3 2021","Currency=USD","Period=FQ","BEST_FPERIOD_OVERRIDE=FQ","FILING_STATUS=MR","Sort=A","Dates=H","DateFormat=P","Fill=—","Direction=H","UseDPDF=Y")</f>
        <v>1.1900000000000001E-2</v>
      </c>
      <c r="O50" s="13" t="str">
        <f>_xll.BDH("ITCI US Equity","ARDR_NUMBER_OF_RSU_VESTED","FQ4 2021","FQ4 2021","Currency=USD","Period=FQ","BEST_FPERIOD_OVERRIDE=FQ","FILING_STATUS=MR","Sort=A","Dates=H","DateFormat=P","Fill=—","Direction=H","UseDPDF=Y")</f>
        <v>—</v>
      </c>
      <c r="P50" s="13">
        <f>_xll.BDH("ITCI US Equity","ARDR_NUMBER_OF_RSU_VESTED","FQ1 2022","FQ1 2022","Currency=USD","Period=FQ","BEST_FPERIOD_OVERRIDE=FQ","FILING_STATUS=MR","Sort=A","Dates=H","DateFormat=P","Fill=—","Direction=H","UseDPDF=Y")</f>
        <v>0.74850000000000005</v>
      </c>
      <c r="Q50" s="13">
        <f>_xll.BDH("ITCI US Equity","ARDR_NUMBER_OF_RSU_VESTED","FQ2 2022","FQ2 2022","Currency=USD","Period=FQ","BEST_FPERIOD_OVERRIDE=FQ","FILING_STATUS=MR","Sort=A","Dates=H","DateFormat=P","Fill=—","Direction=H","UseDPDF=Y")</f>
        <v>0.75170000000000003</v>
      </c>
      <c r="R50" s="13">
        <f>_xll.BDH("ITCI US Equity","ARDR_NUMBER_OF_RSU_VESTED","FQ3 2022","FQ3 2022","Currency=USD","Period=FQ","BEST_FPERIOD_OVERRIDE=FQ","FILING_STATUS=MR","Sort=A","Dates=H","DateFormat=P","Fill=—","Direction=H","UseDPDF=Y")</f>
        <v>0.76359999999999995</v>
      </c>
      <c r="S50" s="13">
        <f>_xll.BDH("ITCI US Equity","ARDR_NUMBER_OF_RSU_VESTED","FQ4 2022","FQ4 2022","Currency=USD","Period=FQ","BEST_FPERIOD_OVERRIDE=FQ","FILING_STATUS=MR","Sort=A","Dates=H","DateFormat=P","Fill=—","Direction=H","UseDPDF=Y")</f>
        <v>5.7999999999999996E-3</v>
      </c>
      <c r="T50" s="13">
        <f>_xll.BDH("ITCI US Equity","ARDR_NUMBER_OF_RSU_VESTED","FQ1 2023","FQ1 2023","Currency=USD","Period=FQ","BEST_FPERIOD_OVERRIDE=FQ","FILING_STATUS=MR","Sort=A","Dates=H","DateFormat=P","Fill=—","Direction=H","UseDPDF=Y")</f>
        <v>0.65139999999999998</v>
      </c>
      <c r="U50" s="13">
        <f>_xll.BDH("ITCI US Equity","ARDR_NUMBER_OF_RSU_VESTED","FQ2 2023","FQ2 2023","Currency=USD","Period=FQ","BEST_FPERIOD_OVERRIDE=FQ","FILING_STATUS=MR","Sort=A","Dates=H","DateFormat=P","Fill=—","Direction=H","UseDPDF=Y")</f>
        <v>0.6552</v>
      </c>
      <c r="V50" s="13">
        <f>_xll.BDH("ITCI US Equity","ARDR_NUMBER_OF_RSU_VESTED","FQ3 2023","FQ3 2023","Currency=USD","Period=FQ","BEST_FPERIOD_OVERRIDE=FQ","FILING_STATUS=MR","Sort=A","Dates=H","DateFormat=P","Fill=—","Direction=H","UseDPDF=Y")</f>
        <v>2.5999999999999999E-3</v>
      </c>
      <c r="W50" s="13">
        <f>_xll.BDH("ITCI US Equity","ARDR_NUMBER_OF_RSU_VESTED","FQ4 2023","FQ4 2023","Currency=USD","Period=FQ","BEST_FPERIOD_OVERRIDE=FQ","FILING_STATUS=MR","Sort=A","Dates=H","DateFormat=P","Fill=—","Direction=H","UseDPDF=Y")</f>
        <v>8.0000000000000002E-3</v>
      </c>
      <c r="X50" s="13">
        <f>_xll.BDH("ITCI US Equity","ARDR_NUMBER_OF_RSU_VESTED","FQ1 2024","FQ1 2024","Currency=USD","Period=FQ","BEST_FPERIOD_OVERRIDE=FQ","FILING_STATUS=MR","Sort=A","Dates=H","DateFormat=P","Fill=—","Direction=H","UseDPDF=Y")</f>
        <v>0.69769999999999999</v>
      </c>
      <c r="Y50" s="13">
        <f>_xll.BDH("ITCI US Equity","ARDR_NUMBER_OF_RSU_VESTED","FQ2 2024","FQ2 2024","Currency=USD","Period=FQ","BEST_FPERIOD_OVERRIDE=FQ","FILING_STATUS=MR","Sort=A","Dates=H","DateFormat=P","Fill=—","Direction=H","UseDPDF=Y")</f>
        <v>2.2100000000000002E-2</v>
      </c>
      <c r="Z50" s="13">
        <f>_xll.BDH("ITCI US Equity","ARDR_NUMBER_OF_RSU_VESTED","FQ3 2024","FQ3 2024","Currency=USD","Period=FQ","BEST_FPERIOD_OVERRIDE=FQ","FILING_STATUS=MR","Sort=A","Dates=H","DateFormat=P","Fill=—","Direction=H","UseDPDF=Y")</f>
        <v>1.3100000000000001E-2</v>
      </c>
      <c r="AA50" s="13">
        <f>_xll.BDH("ITCI US Equity","ARDR_NUMBER_OF_RSU_VESTED","FQ4 2024","FQ4 2024","Currency=USD","Period=FQ","BEST_FPERIOD_OVERRIDE=FQ","FILING_STATUS=MR","Sort=A","Dates=H","DateFormat=P","Fill=—","Direction=H","UseDPDF=Y")</f>
        <v>1.24E-2</v>
      </c>
    </row>
    <row r="51" spans="1:27" x14ac:dyDescent="0.25">
      <c r="A51" s="10" t="s">
        <v>761</v>
      </c>
      <c r="B51" s="10" t="s">
        <v>762</v>
      </c>
      <c r="C51" s="13" t="str">
        <f>_xll.BDH("ITCI US Equity","ARDR_NUMBER_OF_RSU_FORFTD_CANCLD","FQ4 2018","FQ4 2018","Currency=USD","Period=FQ","BEST_FPERIOD_OVERRIDE=FQ","FILING_STATUS=MR","Sort=A","Dates=H","DateFormat=P","Fill=—","Direction=H","UseDPDF=Y")</f>
        <v>—</v>
      </c>
      <c r="D51" s="13" t="str">
        <f>_xll.BDH("ITCI US Equity","ARDR_NUMBER_OF_RSU_FORFTD_CANCLD","FQ1 2019","FQ1 2019","Currency=USD","Period=FQ","BEST_FPERIOD_OVERRIDE=FQ","FILING_STATUS=MR","Sort=A","Dates=H","DateFormat=P","Fill=—","Direction=H","UseDPDF=Y")</f>
        <v>—</v>
      </c>
      <c r="E51" s="13" t="str">
        <f>_xll.BDH("ITCI US Equity","ARDR_NUMBER_OF_RSU_FORFTD_CANCLD","FQ2 2019","FQ2 2019","Currency=USD","Period=FQ","BEST_FPERIOD_OVERRIDE=FQ","FILING_STATUS=MR","Sort=A","Dates=H","DateFormat=P","Fill=—","Direction=H","UseDPDF=Y")</f>
        <v>—</v>
      </c>
      <c r="F51" s="13" t="str">
        <f>_xll.BDH("ITCI US Equity","ARDR_NUMBER_OF_RSU_FORFTD_CANCLD","FQ3 2019","FQ3 2019","Currency=USD","Period=FQ","BEST_FPERIOD_OVERRIDE=FQ","FILING_STATUS=MR","Sort=A","Dates=H","DateFormat=P","Fill=—","Direction=H","UseDPDF=Y")</f>
        <v>—</v>
      </c>
      <c r="G51" s="13" t="str">
        <f>_xll.BDH("ITCI US Equity","ARDR_NUMBER_OF_RSU_FORFTD_CANCLD","FQ4 2019","FQ4 2019","Currency=USD","Period=FQ","BEST_FPERIOD_OVERRIDE=FQ","FILING_STATUS=MR","Sort=A","Dates=H","DateFormat=P","Fill=—","Direction=H","UseDPDF=Y")</f>
        <v>—</v>
      </c>
      <c r="H51" s="13" t="str">
        <f>_xll.BDH("ITCI US Equity","ARDR_NUMBER_OF_RSU_FORFTD_CANCLD","FQ1 2020","FQ1 2020","Currency=USD","Period=FQ","BEST_FPERIOD_OVERRIDE=FQ","FILING_STATUS=MR","Sort=A","Dates=H","DateFormat=P","Fill=—","Direction=H","UseDPDF=Y")</f>
        <v>—</v>
      </c>
      <c r="I51" s="13" t="str">
        <f>_xll.BDH("ITCI US Equity","ARDR_NUMBER_OF_RSU_FORFTD_CANCLD","FQ2 2020","FQ2 2020","Currency=USD","Period=FQ","BEST_FPERIOD_OVERRIDE=FQ","FILING_STATUS=MR","Sort=A","Dates=H","DateFormat=P","Fill=—","Direction=H","UseDPDF=Y")</f>
        <v>—</v>
      </c>
      <c r="J51" s="13" t="str">
        <f>_xll.BDH("ITCI US Equity","ARDR_NUMBER_OF_RSU_FORFTD_CANCLD","FQ3 2020","FQ3 2020","Currency=USD","Period=FQ","BEST_FPERIOD_OVERRIDE=FQ","FILING_STATUS=MR","Sort=A","Dates=H","DateFormat=P","Fill=—","Direction=H","UseDPDF=Y")</f>
        <v>—</v>
      </c>
      <c r="K51" s="13" t="str">
        <f>_xll.BDH("ITCI US Equity","ARDR_NUMBER_OF_RSU_FORFTD_CANCLD","FQ4 2020","FQ4 2020","Currency=USD","Period=FQ","BEST_FPERIOD_OVERRIDE=FQ","FILING_STATUS=MR","Sort=A","Dates=H","DateFormat=P","Fill=—","Direction=H","UseDPDF=Y")</f>
        <v>—</v>
      </c>
      <c r="L51" s="13" t="str">
        <f>_xll.BDH("ITCI US Equity","ARDR_NUMBER_OF_RSU_FORFTD_CANCLD","FQ1 2021","FQ1 2021","Currency=USD","Period=FQ","BEST_FPERIOD_OVERRIDE=FQ","FILING_STATUS=MR","Sort=A","Dates=H","DateFormat=P","Fill=—","Direction=H","UseDPDF=Y")</f>
        <v>—</v>
      </c>
      <c r="M51" s="13" t="str">
        <f>_xll.BDH("ITCI US Equity","ARDR_NUMBER_OF_RSU_FORFTD_CANCLD","FQ2 2021","FQ2 2021","Currency=USD","Period=FQ","BEST_FPERIOD_OVERRIDE=FQ","FILING_STATUS=MR","Sort=A","Dates=H","DateFormat=P","Fill=—","Direction=H","UseDPDF=Y")</f>
        <v>—</v>
      </c>
      <c r="N51" s="13">
        <f>_xll.BDH("ITCI US Equity","ARDR_NUMBER_OF_RSU_FORFTD_CANCLD","FQ3 2021","FQ3 2021","Currency=USD","Period=FQ","BEST_FPERIOD_OVERRIDE=FQ","FILING_STATUS=MR","Sort=A","Dates=H","DateFormat=P","Fill=—","Direction=H","UseDPDF=Y")</f>
        <v>1.8800000000000001E-2</v>
      </c>
      <c r="O51" s="13" t="str">
        <f>_xll.BDH("ITCI US Equity","ARDR_NUMBER_OF_RSU_FORFTD_CANCLD","FQ4 2021","FQ4 2021","Currency=USD","Period=FQ","BEST_FPERIOD_OVERRIDE=FQ","FILING_STATUS=MR","Sort=A","Dates=H","DateFormat=P","Fill=—","Direction=H","UseDPDF=Y")</f>
        <v>—</v>
      </c>
      <c r="P51" s="13">
        <f>_xll.BDH("ITCI US Equity","ARDR_NUMBER_OF_RSU_FORFTD_CANCLD","FQ1 2022","FQ1 2022","Currency=USD","Period=FQ","BEST_FPERIOD_OVERRIDE=FQ","FILING_STATUS=MR","Sort=A","Dates=H","DateFormat=P","Fill=—","Direction=H","UseDPDF=Y")</f>
        <v>1.04E-2</v>
      </c>
      <c r="Q51" s="13">
        <f>_xll.BDH("ITCI US Equity","ARDR_NUMBER_OF_RSU_FORFTD_CANCLD","FQ2 2022","FQ2 2022","Currency=USD","Period=FQ","BEST_FPERIOD_OVERRIDE=FQ","FILING_STATUS=MR","Sort=A","Dates=H","DateFormat=P","Fill=—","Direction=H","UseDPDF=Y")</f>
        <v>3.7900000000000003E-2</v>
      </c>
      <c r="R51" s="13">
        <f>_xll.BDH("ITCI US Equity","ARDR_NUMBER_OF_RSU_FORFTD_CANCLD","FQ3 2022","FQ3 2022","Currency=USD","Period=FQ","BEST_FPERIOD_OVERRIDE=FQ","FILING_STATUS=MR","Sort=A","Dates=H","DateFormat=P","Fill=—","Direction=H","UseDPDF=Y")</f>
        <v>5.62E-2</v>
      </c>
      <c r="S51" s="13">
        <f>_xll.BDH("ITCI US Equity","ARDR_NUMBER_OF_RSU_FORFTD_CANCLD","FQ4 2022","FQ4 2022","Currency=USD","Period=FQ","BEST_FPERIOD_OVERRIDE=FQ","FILING_STATUS=MR","Sort=A","Dates=H","DateFormat=P","Fill=—","Direction=H","UseDPDF=Y")</f>
        <v>3.04E-2</v>
      </c>
      <c r="T51" s="13">
        <f>_xll.BDH("ITCI US Equity","ARDR_NUMBER_OF_RSU_FORFTD_CANCLD","FQ1 2023","FQ1 2023","Currency=USD","Period=FQ","BEST_FPERIOD_OVERRIDE=FQ","FILING_STATUS=MR","Sort=A","Dates=H","DateFormat=P","Fill=—","Direction=H","UseDPDF=Y")</f>
        <v>1.7600000000000001E-2</v>
      </c>
      <c r="U51" s="13">
        <f>_xll.BDH("ITCI US Equity","ARDR_NUMBER_OF_RSU_FORFTD_CANCLD","FQ2 2023","FQ2 2023","Currency=USD","Period=FQ","BEST_FPERIOD_OVERRIDE=FQ","FILING_STATUS=MR","Sort=A","Dates=H","DateFormat=P","Fill=—","Direction=H","UseDPDF=Y")</f>
        <v>5.0099999999999999E-2</v>
      </c>
      <c r="V51" s="13">
        <f>_xll.BDH("ITCI US Equity","ARDR_NUMBER_OF_RSU_FORFTD_CANCLD","FQ3 2023","FQ3 2023","Currency=USD","Period=FQ","BEST_FPERIOD_OVERRIDE=FQ","FILING_STATUS=MR","Sort=A","Dates=H","DateFormat=P","Fill=—","Direction=H","UseDPDF=Y")</f>
        <v>1.01E-2</v>
      </c>
      <c r="W51" s="13">
        <f>_xll.BDH("ITCI US Equity","ARDR_NUMBER_OF_RSU_FORFTD_CANCLD","FQ4 2023","FQ4 2023","Currency=USD","Period=FQ","BEST_FPERIOD_OVERRIDE=FQ","FILING_STATUS=MR","Sort=A","Dates=H","DateFormat=P","Fill=—","Direction=H","UseDPDF=Y")</f>
        <v>1.32E-2</v>
      </c>
      <c r="X51" s="13">
        <f>_xll.BDH("ITCI US Equity","ARDR_NUMBER_OF_RSU_FORFTD_CANCLD","FQ1 2024","FQ1 2024","Currency=USD","Period=FQ","BEST_FPERIOD_OVERRIDE=FQ","FILING_STATUS=MR","Sort=A","Dates=H","DateFormat=P","Fill=—","Direction=H","UseDPDF=Y")</f>
        <v>1.2699999999999999E-2</v>
      </c>
      <c r="Y51" s="13">
        <f>_xll.BDH("ITCI US Equity","ARDR_NUMBER_OF_RSU_FORFTD_CANCLD","FQ2 2024","FQ2 2024","Currency=USD","Period=FQ","BEST_FPERIOD_OVERRIDE=FQ","FILING_STATUS=MR","Sort=A","Dates=H","DateFormat=P","Fill=—","Direction=H","UseDPDF=Y")</f>
        <v>1.6899999999999998E-2</v>
      </c>
      <c r="Z51" s="13">
        <f>_xll.BDH("ITCI US Equity","ARDR_NUMBER_OF_RSU_FORFTD_CANCLD","FQ3 2024","FQ3 2024","Currency=USD","Period=FQ","BEST_FPERIOD_OVERRIDE=FQ","FILING_STATUS=MR","Sort=A","Dates=H","DateFormat=P","Fill=—","Direction=H","UseDPDF=Y")</f>
        <v>3.2000000000000001E-2</v>
      </c>
      <c r="AA51" s="13">
        <f>_xll.BDH("ITCI US Equity","ARDR_NUMBER_OF_RSU_FORFTD_CANCLD","FQ4 2024","FQ4 2024","Currency=USD","Period=FQ","BEST_FPERIOD_OVERRIDE=FQ","FILING_STATUS=MR","Sort=A","Dates=H","DateFormat=P","Fill=—","Direction=H","UseDPDF=Y")</f>
        <v>1.4800000000000001E-2</v>
      </c>
    </row>
    <row r="52" spans="1:27" x14ac:dyDescent="0.25">
      <c r="A52" s="10" t="s">
        <v>691</v>
      </c>
      <c r="B52" s="10" t="s">
        <v>763</v>
      </c>
      <c r="C52" s="13" t="str">
        <f>_xll.BDH("ITCI US Equity","ARDR_INVENTORY","FQ4 2018","FQ4 2018","Currency=USD","Period=FQ","BEST_FPERIOD_OVERRIDE=FQ","FILING_STATUS=MR","SCALING_FORMAT=MLN","Sort=A","Dates=H","DateFormat=P","Fill=—","Direction=H","UseDPDF=Y")</f>
        <v>—</v>
      </c>
      <c r="D52" s="13" t="str">
        <f>_xll.BDH("ITCI US Equity","ARDR_INVENTORY","FQ1 2019","FQ1 2019","Currency=USD","Period=FQ","BEST_FPERIOD_OVERRIDE=FQ","FILING_STATUS=MR","SCALING_FORMAT=MLN","Sort=A","Dates=H","DateFormat=P","Fill=—","Direction=H","UseDPDF=Y")</f>
        <v>—</v>
      </c>
      <c r="E52" s="13" t="str">
        <f>_xll.BDH("ITCI US Equity","ARDR_INVENTORY","FQ2 2019","FQ2 2019","Currency=USD","Period=FQ","BEST_FPERIOD_OVERRIDE=FQ","FILING_STATUS=MR","SCALING_FORMAT=MLN","Sort=A","Dates=H","DateFormat=P","Fill=—","Direction=H","UseDPDF=Y")</f>
        <v>—</v>
      </c>
      <c r="F52" s="13" t="str">
        <f>_xll.BDH("ITCI US Equity","ARDR_INVENTORY","FQ3 2019","FQ3 2019","Currency=USD","Period=FQ","BEST_FPERIOD_OVERRIDE=FQ","FILING_STATUS=MR","SCALING_FORMAT=MLN","Sort=A","Dates=H","DateFormat=P","Fill=—","Direction=H","UseDPDF=Y")</f>
        <v>—</v>
      </c>
      <c r="G52" s="13" t="str">
        <f>_xll.BDH("ITCI US Equity","ARDR_INVENTORY","FQ4 2019","FQ4 2019","Currency=USD","Period=FQ","BEST_FPERIOD_OVERRIDE=FQ","FILING_STATUS=MR","SCALING_FORMAT=MLN","Sort=A","Dates=H","DateFormat=P","Fill=—","Direction=H","UseDPDF=Y")</f>
        <v>—</v>
      </c>
      <c r="H52" s="13">
        <f>_xll.BDH("ITCI US Equity","ARDR_INVENTORY","FQ1 2020","FQ1 2020","Currency=USD","Period=FQ","BEST_FPERIOD_OVERRIDE=FQ","FILING_STATUS=MR","SCALING_FORMAT=MLN","Sort=A","Dates=H","DateFormat=P","Fill=—","Direction=H","UseDPDF=Y")</f>
        <v>1.3911</v>
      </c>
      <c r="I52" s="13" t="str">
        <f>_xll.BDH("ITCI US Equity","ARDR_INVENTORY","FQ2 2020","FQ2 2020","Currency=USD","Period=FQ","BEST_FPERIOD_OVERRIDE=FQ","FILING_STATUS=MR","SCALING_FORMAT=MLN","Sort=A","Dates=H","DateFormat=P","Fill=—","Direction=H","UseDPDF=Y")</f>
        <v>—</v>
      </c>
      <c r="J52" s="13" t="str">
        <f>_xll.BDH("ITCI US Equity","ARDR_INVENTORY","FQ3 2020","FQ3 2020","Currency=USD","Period=FQ","BEST_FPERIOD_OVERRIDE=FQ","FILING_STATUS=MR","SCALING_FORMAT=MLN","Sort=A","Dates=H","DateFormat=P","Fill=—","Direction=H","UseDPDF=Y")</f>
        <v>—</v>
      </c>
      <c r="K52" s="13">
        <f>_xll.BDH("ITCI US Equity","ARDR_INVENTORY","FQ4 2020","FQ4 2020","Currency=USD","Period=FQ","BEST_FPERIOD_OVERRIDE=FQ","FILING_STATUS=MR","SCALING_FORMAT=MLN","Sort=A","Dates=H","DateFormat=P","Fill=—","Direction=H","UseDPDF=Y")</f>
        <v>7.0564</v>
      </c>
      <c r="L52" s="13">
        <f>_xll.BDH("ITCI US Equity","ARDR_INVENTORY","FQ1 2021","FQ1 2021","Currency=USD","Period=FQ","BEST_FPERIOD_OVERRIDE=FQ","FILING_STATUS=MR","SCALING_FORMAT=MLN","Sort=A","Dates=H","DateFormat=P","Fill=—","Direction=H","UseDPDF=Y")</f>
        <v>7.5793999999999997</v>
      </c>
      <c r="M52" s="13">
        <f>_xll.BDH("ITCI US Equity","ARDR_INVENTORY","FQ2 2021","FQ2 2021","Currency=USD","Period=FQ","BEST_FPERIOD_OVERRIDE=FQ","FILING_STATUS=MR","SCALING_FORMAT=MLN","Sort=A","Dates=H","DateFormat=P","Fill=—","Direction=H","UseDPDF=Y")</f>
        <v>7.7687999999999997</v>
      </c>
      <c r="N52" s="13">
        <f>_xll.BDH("ITCI US Equity","ARDR_INVENTORY","FQ3 2021","FQ3 2021","Currency=USD","Period=FQ","BEST_FPERIOD_OVERRIDE=FQ","FILING_STATUS=MR","SCALING_FORMAT=MLN","Sort=A","Dates=H","DateFormat=P","Fill=—","Direction=H","UseDPDF=Y")</f>
        <v>8.1669</v>
      </c>
      <c r="O52" s="13">
        <f>_xll.BDH("ITCI US Equity","ARDR_INVENTORY","FQ4 2021","FQ4 2021","Currency=USD","Period=FQ","BEST_FPERIOD_OVERRIDE=FQ","FILING_STATUS=MR","SCALING_FORMAT=MLN","Sort=A","Dates=H","DateFormat=P","Fill=—","Direction=H","UseDPDF=Y")</f>
        <v>7.9481000000000002</v>
      </c>
      <c r="P52" s="13" t="str">
        <f>_xll.BDH("ITCI US Equity","ARDR_INVENTORY","FQ1 2022","FQ1 2022","Currency=USD","Period=FQ","BEST_FPERIOD_OVERRIDE=FQ","FILING_STATUS=MR","SCALING_FORMAT=MLN","Sort=A","Dates=H","DateFormat=P","Fill=—","Direction=H","UseDPDF=Y")</f>
        <v>—</v>
      </c>
      <c r="Q52" s="13" t="str">
        <f>_xll.BDH("ITCI US Equity","ARDR_INVENTORY","FQ2 2022","FQ2 2022","Currency=USD","Period=FQ","BEST_FPERIOD_OVERRIDE=FQ","FILING_STATUS=MR","SCALING_FORMAT=MLN","Sort=A","Dates=H","DateFormat=P","Fill=—","Direction=H","UseDPDF=Y")</f>
        <v>—</v>
      </c>
      <c r="R52" s="13">
        <f>_xll.BDH("ITCI US Equity","ARDR_INVENTORY","FQ3 2022","FQ3 2022","Currency=USD","Period=FQ","BEST_FPERIOD_OVERRIDE=FQ","FILING_STATUS=MR","SCALING_FORMAT=MLN","Sort=A","Dates=H","DateFormat=P","Fill=—","Direction=H","UseDPDF=Y")</f>
        <v>23.597000000000001</v>
      </c>
      <c r="S52" s="13">
        <f>_xll.BDH("ITCI US Equity","ARDR_INVENTORY","FQ4 2022","FQ4 2022","Currency=USD","Period=FQ","BEST_FPERIOD_OVERRIDE=FQ","FILING_STATUS=MR","SCALING_FORMAT=MLN","Sort=A","Dates=H","DateFormat=P","Fill=—","Direction=H","UseDPDF=Y")</f>
        <v>23.92</v>
      </c>
      <c r="T52" s="13" t="str">
        <f>_xll.BDH("ITCI US Equity","ARDR_INVENTORY","FQ1 2023","FQ1 2023","Currency=USD","Period=FQ","BEST_FPERIOD_OVERRIDE=FQ","FILING_STATUS=MR","SCALING_FORMAT=MLN","Sort=A","Dates=H","DateFormat=P","Fill=—","Direction=H","UseDPDF=Y")</f>
        <v>—</v>
      </c>
      <c r="U52" s="13">
        <f>_xll.BDH("ITCI US Equity","ARDR_INVENTORY","FQ2 2023","FQ2 2023","Currency=USD","Period=FQ","BEST_FPERIOD_OVERRIDE=FQ","FILING_STATUS=MR","SCALING_FORMAT=MLN","Sort=A","Dates=H","DateFormat=P","Fill=—","Direction=H","UseDPDF=Y")</f>
        <v>41.895000000000003</v>
      </c>
      <c r="V52" s="13">
        <f>_xll.BDH("ITCI US Equity","ARDR_INVENTORY","FQ3 2023","FQ3 2023","Currency=USD","Period=FQ","BEST_FPERIOD_OVERRIDE=FQ","FILING_STATUS=MR","SCALING_FORMAT=MLN","Sort=A","Dates=H","DateFormat=P","Fill=—","Direction=H","UseDPDF=Y")</f>
        <v>42.985999999999997</v>
      </c>
      <c r="W52" s="13">
        <f>_xll.BDH("ITCI US Equity","ARDR_INVENTORY","FQ4 2023","FQ4 2023","Currency=USD","Period=FQ","BEST_FPERIOD_OVERRIDE=FQ","FILING_STATUS=MR","SCALING_FORMAT=MLN","Sort=A","Dates=H","DateFormat=P","Fill=—","Direction=H","UseDPDF=Y")</f>
        <v>38.621000000000002</v>
      </c>
      <c r="X52" s="13">
        <f>_xll.BDH("ITCI US Equity","ARDR_INVENTORY","FQ1 2024","FQ1 2024","Currency=USD","Period=FQ","BEST_FPERIOD_OVERRIDE=FQ","FILING_STATUS=MR","SCALING_FORMAT=MLN","Sort=A","Dates=H","DateFormat=P","Fill=—","Direction=H","UseDPDF=Y")</f>
        <v>15.949</v>
      </c>
      <c r="Y52" s="13">
        <f>_xll.BDH("ITCI US Equity","ARDR_INVENTORY","FQ2 2024","FQ2 2024","Currency=USD","Period=FQ","BEST_FPERIOD_OVERRIDE=FQ","FILING_STATUS=MR","SCALING_FORMAT=MLN","Sort=A","Dates=H","DateFormat=P","Fill=—","Direction=H","UseDPDF=Y")</f>
        <v>20.082000000000001</v>
      </c>
      <c r="Z52" s="13">
        <f>_xll.BDH("ITCI US Equity","ARDR_INVENTORY","FQ3 2024","FQ3 2024","Currency=USD","Period=FQ","BEST_FPERIOD_OVERRIDE=FQ","FILING_STATUS=MR","SCALING_FORMAT=MLN","Sort=A","Dates=H","DateFormat=P","Fill=—","Direction=H","UseDPDF=Y")</f>
        <v>23.539000000000001</v>
      </c>
      <c r="AA52" s="13">
        <f>_xll.BDH("ITCI US Equity","ARDR_INVENTORY","FQ4 2024","FQ4 2024","Currency=USD","Period=FQ","BEST_FPERIOD_OVERRIDE=FQ","FILING_STATUS=MR","SCALING_FORMAT=MLN","Sort=A","Dates=H","DateFormat=P","Fill=—","Direction=H","UseDPDF=Y")</f>
        <v>26.283000000000001</v>
      </c>
    </row>
    <row r="53" spans="1:27" x14ac:dyDescent="0.25">
      <c r="A53" s="10" t="s">
        <v>764</v>
      </c>
      <c r="B53" s="10" t="s">
        <v>765</v>
      </c>
      <c r="C53" s="13">
        <f>_xll.BDH("ITCI US Equity","ARDR_LEASEHOLD_IMPROVEMENTS","FQ4 2018","FQ4 2018","Currency=USD","Period=FQ","BEST_FPERIOD_OVERRIDE=FQ","FILING_STATUS=MR","SCALING_FORMAT=MLN","Sort=A","Dates=H","DateFormat=P","Fill=—","Direction=H","UseDPDF=Y")</f>
        <v>0.14949999999999999</v>
      </c>
      <c r="D53" s="13">
        <f>_xll.BDH("ITCI US Equity","ARDR_LEASEHOLD_IMPROVEMENTS","FQ1 2019","FQ1 2019","Currency=USD","Period=FQ","BEST_FPERIOD_OVERRIDE=FQ","FILING_STATUS=MR","SCALING_FORMAT=MLN","Sort=A","Dates=H","DateFormat=P","Fill=—","Direction=H","UseDPDF=Y")</f>
        <v>0.14949999999999999</v>
      </c>
      <c r="E53" s="13">
        <f>_xll.BDH("ITCI US Equity","ARDR_LEASEHOLD_IMPROVEMENTS","FQ2 2019","FQ2 2019","Currency=USD","Period=FQ","BEST_FPERIOD_OVERRIDE=FQ","FILING_STATUS=MR","SCALING_FORMAT=MLN","Sort=A","Dates=H","DateFormat=P","Fill=—","Direction=H","UseDPDF=Y")</f>
        <v>1.0262</v>
      </c>
      <c r="F53" s="13">
        <f>_xll.BDH("ITCI US Equity","ARDR_LEASEHOLD_IMPROVEMENTS","FQ3 2019","FQ3 2019","Currency=USD","Period=FQ","BEST_FPERIOD_OVERRIDE=FQ","FILING_STATUS=MR","SCALING_FORMAT=MLN","Sort=A","Dates=H","DateFormat=P","Fill=—","Direction=H","UseDPDF=Y")</f>
        <v>1.2084999999999999</v>
      </c>
      <c r="G53" s="13">
        <f>_xll.BDH("ITCI US Equity","ARDR_LEASEHOLD_IMPROVEMENTS","FQ4 2019","FQ4 2019","Currency=USD","Period=FQ","BEST_FPERIOD_OVERRIDE=FQ","FILING_STATUS=MR","SCALING_FORMAT=MLN","Sort=A","Dates=H","DateFormat=P","Fill=—","Direction=H","UseDPDF=Y")</f>
        <v>1.2403</v>
      </c>
      <c r="H53" s="13">
        <f>_xll.BDH("ITCI US Equity","ARDR_LEASEHOLD_IMPROVEMENTS","FQ1 2020","FQ1 2020","Currency=USD","Period=FQ","BEST_FPERIOD_OVERRIDE=FQ","FILING_STATUS=MR","SCALING_FORMAT=MLN","Sort=A","Dates=H","DateFormat=P","Fill=—","Direction=H","UseDPDF=Y")</f>
        <v>1.2403</v>
      </c>
      <c r="I53" s="13">
        <f>_xll.BDH("ITCI US Equity","ARDR_LEASEHOLD_IMPROVEMENTS","FQ2 2020","FQ2 2020","Currency=USD","Period=FQ","BEST_FPERIOD_OVERRIDE=FQ","FILING_STATUS=MR","SCALING_FORMAT=MLN","Sort=A","Dates=H","DateFormat=P","Fill=—","Direction=H","UseDPDF=Y")</f>
        <v>1.2403</v>
      </c>
      <c r="J53" s="13">
        <f>_xll.BDH("ITCI US Equity","ARDR_LEASEHOLD_IMPROVEMENTS","FQ3 2020","FQ3 2020","Currency=USD","Period=FQ","BEST_FPERIOD_OVERRIDE=FQ","FILING_STATUS=MR","SCALING_FORMAT=MLN","Sort=A","Dates=H","DateFormat=P","Fill=—","Direction=H","UseDPDF=Y")</f>
        <v>1.2403</v>
      </c>
      <c r="K53" s="13">
        <f>_xll.BDH("ITCI US Equity","ARDR_LEASEHOLD_IMPROVEMENTS","FQ4 2020","FQ4 2020","Currency=USD","Period=FQ","BEST_FPERIOD_OVERRIDE=FQ","FILING_STATUS=MR","SCALING_FORMAT=MLN","Sort=A","Dates=H","DateFormat=P","Fill=—","Direction=H","UseDPDF=Y")</f>
        <v>1.2403</v>
      </c>
      <c r="L53" s="13">
        <f>_xll.BDH("ITCI US Equity","ARDR_LEASEHOLD_IMPROVEMENTS","FQ1 2021","FQ1 2021","Currency=USD","Period=FQ","BEST_FPERIOD_OVERRIDE=FQ","FILING_STATUS=MR","SCALING_FORMAT=MLN","Sort=A","Dates=H","DateFormat=P","Fill=—","Direction=H","UseDPDF=Y")</f>
        <v>1.2403</v>
      </c>
      <c r="M53" s="13">
        <f>_xll.BDH("ITCI US Equity","ARDR_LEASEHOLD_IMPROVEMENTS","FQ2 2021","FQ2 2021","Currency=USD","Period=FQ","BEST_FPERIOD_OVERRIDE=FQ","FILING_STATUS=MR","SCALING_FORMAT=MLN","Sort=A","Dates=H","DateFormat=P","Fill=—","Direction=H","UseDPDF=Y")</f>
        <v>1.2403</v>
      </c>
      <c r="N53" s="13">
        <f>_xll.BDH("ITCI US Equity","ARDR_LEASEHOLD_IMPROVEMENTS","FQ3 2021","FQ3 2021","Currency=USD","Period=FQ","BEST_FPERIOD_OVERRIDE=FQ","FILING_STATUS=MR","SCALING_FORMAT=MLN","Sort=A","Dates=H","DateFormat=P","Fill=—","Direction=H","UseDPDF=Y")</f>
        <v>1.2403</v>
      </c>
      <c r="O53" s="13">
        <f>_xll.BDH("ITCI US Equity","ARDR_LEASEHOLD_IMPROVEMENTS","FQ4 2021","FQ4 2021","Currency=USD","Period=FQ","BEST_FPERIOD_OVERRIDE=FQ","FILING_STATUS=MR","SCALING_FORMAT=MLN","Sort=A","Dates=H","DateFormat=P","Fill=—","Direction=H","UseDPDF=Y")</f>
        <v>1.2403</v>
      </c>
      <c r="P53" s="13" t="str">
        <f>_xll.BDH("ITCI US Equity","ARDR_LEASEHOLD_IMPROVEMENTS","FQ1 2022","FQ1 2022","Currency=USD","Period=FQ","BEST_FPERIOD_OVERRIDE=FQ","FILING_STATUS=MR","SCALING_FORMAT=MLN","Sort=A","Dates=H","DateFormat=P","Fill=—","Direction=H","UseDPDF=Y")</f>
        <v>—</v>
      </c>
      <c r="Q53" s="13" t="str">
        <f>_xll.BDH("ITCI US Equity","ARDR_LEASEHOLD_IMPROVEMENTS","FQ2 2022","FQ2 2022","Currency=USD","Period=FQ","BEST_FPERIOD_OVERRIDE=FQ","FILING_STATUS=MR","SCALING_FORMAT=MLN","Sort=A","Dates=H","DateFormat=P","Fill=—","Direction=H","UseDPDF=Y")</f>
        <v>—</v>
      </c>
      <c r="R53" s="13" t="str">
        <f>_xll.BDH("ITCI US Equity","ARDR_LEASEHOLD_IMPROVEMENTS","FQ3 2022","FQ3 2022","Currency=USD","Period=FQ","BEST_FPERIOD_OVERRIDE=FQ","FILING_STATUS=MR","SCALING_FORMAT=MLN","Sort=A","Dates=H","DateFormat=P","Fill=—","Direction=H","UseDPDF=Y")</f>
        <v>—</v>
      </c>
      <c r="S53" s="13">
        <f>_xll.BDH("ITCI US Equity","ARDR_LEASEHOLD_IMPROVEMENTS","FQ4 2022","FQ4 2022","Currency=USD","Period=FQ","BEST_FPERIOD_OVERRIDE=FQ","FILING_STATUS=MR","SCALING_FORMAT=MLN","Sort=A","Dates=H","DateFormat=P","Fill=—","Direction=H","UseDPDF=Y")</f>
        <v>1.24</v>
      </c>
      <c r="T53" s="13" t="str">
        <f>_xll.BDH("ITCI US Equity","ARDR_LEASEHOLD_IMPROVEMENTS","FQ1 2023","FQ1 2023","Currency=USD","Period=FQ","BEST_FPERIOD_OVERRIDE=FQ","FILING_STATUS=MR","SCALING_FORMAT=MLN","Sort=A","Dates=H","DateFormat=P","Fill=—","Direction=H","UseDPDF=Y")</f>
        <v>—</v>
      </c>
      <c r="U53" s="13" t="str">
        <f>_xll.BDH("ITCI US Equity","ARDR_LEASEHOLD_IMPROVEMENTS","FQ2 2023","FQ2 2023","Currency=USD","Period=FQ","BEST_FPERIOD_OVERRIDE=FQ","FILING_STATUS=MR","SCALING_FORMAT=MLN","Sort=A","Dates=H","DateFormat=P","Fill=—","Direction=H","UseDPDF=Y")</f>
        <v>—</v>
      </c>
      <c r="V53" s="13" t="str">
        <f>_xll.BDH("ITCI US Equity","ARDR_LEASEHOLD_IMPROVEMENTS","FQ3 2023","FQ3 2023","Currency=USD","Period=FQ","BEST_FPERIOD_OVERRIDE=FQ","FILING_STATUS=MR","SCALING_FORMAT=MLN","Sort=A","Dates=H","DateFormat=P","Fill=—","Direction=H","UseDPDF=Y")</f>
        <v>—</v>
      </c>
      <c r="W53" s="13" t="str">
        <f>_xll.BDH("ITCI US Equity","ARDR_LEASEHOLD_IMPROVEMENTS","FQ4 2023","FQ4 2023","Currency=USD","Period=FQ","BEST_FPERIOD_OVERRIDE=FQ","FILING_STATUS=MR","SCALING_FORMAT=MLN","Sort=A","Dates=H","DateFormat=P","Fill=—","Direction=H","UseDPDF=Y")</f>
        <v>—</v>
      </c>
      <c r="X53" s="13" t="str">
        <f>_xll.BDH("ITCI US Equity","ARDR_LEASEHOLD_IMPROVEMENTS","FQ1 2024","FQ1 2024","Currency=USD","Period=FQ","BEST_FPERIOD_OVERRIDE=FQ","FILING_STATUS=MR","SCALING_FORMAT=MLN","Sort=A","Dates=H","DateFormat=P","Fill=—","Direction=H","UseDPDF=Y")</f>
        <v>—</v>
      </c>
      <c r="Y53" s="13" t="str">
        <f>_xll.BDH("ITCI US Equity","ARDR_LEASEHOLD_IMPROVEMENTS","FQ2 2024","FQ2 2024","Currency=USD","Period=FQ","BEST_FPERIOD_OVERRIDE=FQ","FILING_STATUS=MR","SCALING_FORMAT=MLN","Sort=A","Dates=H","DateFormat=P","Fill=—","Direction=H","UseDPDF=Y")</f>
        <v>—</v>
      </c>
      <c r="Z53" s="13" t="str">
        <f>_xll.BDH("ITCI US Equity","ARDR_LEASEHOLD_IMPROVEMENTS","FQ3 2024","FQ3 2024","Currency=USD","Period=FQ","BEST_FPERIOD_OVERRIDE=FQ","FILING_STATUS=MR","SCALING_FORMAT=MLN","Sort=A","Dates=H","DateFormat=P","Fill=—","Direction=H","UseDPDF=Y")</f>
        <v>—</v>
      </c>
      <c r="AA53" s="13" t="str">
        <f>_xll.BDH("ITCI US Equity","ARDR_LEASEHOLD_IMPROVEMENTS","FQ4 2024","FQ4 2024","Currency=USD","Period=FQ","BEST_FPERIOD_OVERRIDE=FQ","FILING_STATUS=MR","SCALING_FORMAT=MLN","Sort=A","Dates=H","DateFormat=P","Fill=—","Direction=H","UseDPDF=Y")</f>
        <v>—</v>
      </c>
    </row>
    <row r="54" spans="1:27" x14ac:dyDescent="0.25">
      <c r="A54" s="10" t="s">
        <v>766</v>
      </c>
      <c r="B54" s="10" t="s">
        <v>767</v>
      </c>
      <c r="C54" s="13">
        <f>_xll.BDH("ITCI US Equity","ARDR_FURNITURE_MACHINERY_EQUIP","FQ4 2018","FQ4 2018","Currency=USD","Period=FQ","BEST_FPERIOD_OVERRIDE=FQ","FILING_STATUS=MR","SCALING_FORMAT=MLN","Sort=A","Dates=H","DateFormat=P","Fill=—","Direction=H","UseDPDF=Y")</f>
        <v>4.0442</v>
      </c>
      <c r="D54" s="13">
        <f>_xll.BDH("ITCI US Equity","ARDR_FURNITURE_MACHINERY_EQUIP","FQ1 2019","FQ1 2019","Currency=USD","Period=FQ","BEST_FPERIOD_OVERRIDE=FQ","FILING_STATUS=MR","SCALING_FORMAT=MLN","Sort=A","Dates=H","DateFormat=P","Fill=—","Direction=H","UseDPDF=Y")</f>
        <v>4.1087999999999996</v>
      </c>
      <c r="E54" s="13">
        <f>_xll.BDH("ITCI US Equity","ARDR_FURNITURE_MACHINERY_EQUIP","FQ2 2019","FQ2 2019","Currency=USD","Period=FQ","BEST_FPERIOD_OVERRIDE=FQ","FILING_STATUS=MR","SCALING_FORMAT=MLN","Sort=A","Dates=H","DateFormat=P","Fill=—","Direction=H","UseDPDF=Y")</f>
        <v>4.2945000000000002</v>
      </c>
      <c r="F54" s="13">
        <f>_xll.BDH("ITCI US Equity","ARDR_FURNITURE_MACHINERY_EQUIP","FQ3 2019","FQ3 2019","Currency=USD","Period=FQ","BEST_FPERIOD_OVERRIDE=FQ","FILING_STATUS=MR","SCALING_FORMAT=MLN","Sort=A","Dates=H","DateFormat=P","Fill=—","Direction=H","UseDPDF=Y")</f>
        <v>4.3331999999999997</v>
      </c>
      <c r="G54" s="13">
        <f>_xll.BDH("ITCI US Equity","ARDR_FURNITURE_MACHINERY_EQUIP","FQ4 2019","FQ4 2019","Currency=USD","Period=FQ","BEST_FPERIOD_OVERRIDE=FQ","FILING_STATUS=MR","SCALING_FORMAT=MLN","Sort=A","Dates=H","DateFormat=P","Fill=—","Direction=H","UseDPDF=Y")</f>
        <v>4.5278999999999998</v>
      </c>
      <c r="H54" s="13">
        <f>_xll.BDH("ITCI US Equity","ARDR_FURNITURE_MACHINERY_EQUIP","FQ1 2020","FQ1 2020","Currency=USD","Period=FQ","BEST_FPERIOD_OVERRIDE=FQ","FILING_STATUS=MR","SCALING_FORMAT=MLN","Sort=A","Dates=H","DateFormat=P","Fill=—","Direction=H","UseDPDF=Y")</f>
        <v>4.5499000000000001</v>
      </c>
      <c r="I54" s="13">
        <f>_xll.BDH("ITCI US Equity","ARDR_FURNITURE_MACHINERY_EQUIP","FQ2 2020","FQ2 2020","Currency=USD","Period=FQ","BEST_FPERIOD_OVERRIDE=FQ","FILING_STATUS=MR","SCALING_FORMAT=MLN","Sort=A","Dates=H","DateFormat=P","Fill=—","Direction=H","UseDPDF=Y")</f>
        <v>4.5499000000000001</v>
      </c>
      <c r="J54" s="13">
        <f>_xll.BDH("ITCI US Equity","ARDR_FURNITURE_MACHINERY_EQUIP","FQ3 2020","FQ3 2020","Currency=USD","Period=FQ","BEST_FPERIOD_OVERRIDE=FQ","FILING_STATUS=MR","SCALING_FORMAT=MLN","Sort=A","Dates=H","DateFormat=P","Fill=—","Direction=H","UseDPDF=Y")</f>
        <v>4.7198000000000002</v>
      </c>
      <c r="K54" s="13">
        <f>_xll.BDH("ITCI US Equity","ARDR_FURNITURE_MACHINERY_EQUIP","FQ4 2020","FQ4 2020","Currency=USD","Period=FQ","BEST_FPERIOD_OVERRIDE=FQ","FILING_STATUS=MR","SCALING_FORMAT=MLN","Sort=A","Dates=H","DateFormat=P","Fill=—","Direction=H","UseDPDF=Y")</f>
        <v>4.7946</v>
      </c>
      <c r="L54" s="13">
        <f>_xll.BDH("ITCI US Equity","ARDR_FURNITURE_MACHINERY_EQUIP","FQ1 2021","FQ1 2021","Currency=USD","Period=FQ","BEST_FPERIOD_OVERRIDE=FQ","FILING_STATUS=MR","SCALING_FORMAT=MLN","Sort=A","Dates=H","DateFormat=P","Fill=—","Direction=H","UseDPDF=Y")</f>
        <v>4.7946</v>
      </c>
      <c r="M54" s="13">
        <f>_xll.BDH("ITCI US Equity","ARDR_FURNITURE_MACHINERY_EQUIP","FQ2 2021","FQ2 2021","Currency=USD","Period=FQ","BEST_FPERIOD_OVERRIDE=FQ","FILING_STATUS=MR","SCALING_FORMAT=MLN","Sort=A","Dates=H","DateFormat=P","Fill=—","Direction=H","UseDPDF=Y")</f>
        <v>4.8098000000000001</v>
      </c>
      <c r="N54" s="13">
        <f>_xll.BDH("ITCI US Equity","ARDR_FURNITURE_MACHINERY_EQUIP","FQ3 2021","FQ3 2021","Currency=USD","Period=FQ","BEST_FPERIOD_OVERRIDE=FQ","FILING_STATUS=MR","SCALING_FORMAT=MLN","Sort=A","Dates=H","DateFormat=P","Fill=—","Direction=H","UseDPDF=Y")</f>
        <v>5.1191000000000004</v>
      </c>
      <c r="O54" s="13">
        <f>_xll.BDH("ITCI US Equity","ARDR_FURNITURE_MACHINERY_EQUIP","FQ4 2021","FQ4 2021","Currency=USD","Period=FQ","BEST_FPERIOD_OVERRIDE=FQ","FILING_STATUS=MR","SCALING_FORMAT=MLN","Sort=A","Dates=H","DateFormat=P","Fill=—","Direction=H","UseDPDF=Y")</f>
        <v>5.1191000000000004</v>
      </c>
      <c r="P54" s="13" t="str">
        <f>_xll.BDH("ITCI US Equity","ARDR_FURNITURE_MACHINERY_EQUIP","FQ1 2022","FQ1 2022","Currency=USD","Period=FQ","BEST_FPERIOD_OVERRIDE=FQ","FILING_STATUS=MR","SCALING_FORMAT=MLN","Sort=A","Dates=H","DateFormat=P","Fill=—","Direction=H","UseDPDF=Y")</f>
        <v>—</v>
      </c>
      <c r="Q54" s="13" t="str">
        <f>_xll.BDH("ITCI US Equity","ARDR_FURNITURE_MACHINERY_EQUIP","FQ2 2022","FQ2 2022","Currency=USD","Period=FQ","BEST_FPERIOD_OVERRIDE=FQ","FILING_STATUS=MR","SCALING_FORMAT=MLN","Sort=A","Dates=H","DateFormat=P","Fill=—","Direction=H","UseDPDF=Y")</f>
        <v>—</v>
      </c>
      <c r="R54" s="13" t="str">
        <f>_xll.BDH("ITCI US Equity","ARDR_FURNITURE_MACHINERY_EQUIP","FQ3 2022","FQ3 2022","Currency=USD","Period=FQ","BEST_FPERIOD_OVERRIDE=FQ","FILING_STATUS=MR","SCALING_FORMAT=MLN","Sort=A","Dates=H","DateFormat=P","Fill=—","Direction=H","UseDPDF=Y")</f>
        <v>—</v>
      </c>
      <c r="S54" s="13">
        <f>_xll.BDH("ITCI US Equity","ARDR_FURNITURE_MACHINERY_EQUIP","FQ4 2022","FQ4 2022","Currency=USD","Period=FQ","BEST_FPERIOD_OVERRIDE=FQ","FILING_STATUS=MR","SCALING_FORMAT=MLN","Sort=A","Dates=H","DateFormat=P","Fill=—","Direction=H","UseDPDF=Y")</f>
        <v>5.8970000000000002</v>
      </c>
      <c r="T54" s="13" t="str">
        <f>_xll.BDH("ITCI US Equity","ARDR_FURNITURE_MACHINERY_EQUIP","FQ1 2023","FQ1 2023","Currency=USD","Period=FQ","BEST_FPERIOD_OVERRIDE=FQ","FILING_STATUS=MR","SCALING_FORMAT=MLN","Sort=A","Dates=H","DateFormat=P","Fill=—","Direction=H","UseDPDF=Y")</f>
        <v>—</v>
      </c>
      <c r="U54" s="13" t="str">
        <f>_xll.BDH("ITCI US Equity","ARDR_FURNITURE_MACHINERY_EQUIP","FQ2 2023","FQ2 2023","Currency=USD","Period=FQ","BEST_FPERIOD_OVERRIDE=FQ","FILING_STATUS=MR","SCALING_FORMAT=MLN","Sort=A","Dates=H","DateFormat=P","Fill=—","Direction=H","UseDPDF=Y")</f>
        <v>—</v>
      </c>
      <c r="V54" s="13" t="str">
        <f>_xll.BDH("ITCI US Equity","ARDR_FURNITURE_MACHINERY_EQUIP","FQ3 2023","FQ3 2023","Currency=USD","Period=FQ","BEST_FPERIOD_OVERRIDE=FQ","FILING_STATUS=MR","SCALING_FORMAT=MLN","Sort=A","Dates=H","DateFormat=P","Fill=—","Direction=H","UseDPDF=Y")</f>
        <v>—</v>
      </c>
      <c r="W54" s="13" t="str">
        <f>_xll.BDH("ITCI US Equity","ARDR_FURNITURE_MACHINERY_EQUIP","FQ4 2023","FQ4 2023","Currency=USD","Period=FQ","BEST_FPERIOD_OVERRIDE=FQ","FILING_STATUS=MR","SCALING_FORMAT=MLN","Sort=A","Dates=H","DateFormat=P","Fill=—","Direction=H","UseDPDF=Y")</f>
        <v>—</v>
      </c>
      <c r="X54" s="13" t="str">
        <f>_xll.BDH("ITCI US Equity","ARDR_FURNITURE_MACHINERY_EQUIP","FQ1 2024","FQ1 2024","Currency=USD","Period=FQ","BEST_FPERIOD_OVERRIDE=FQ","FILING_STATUS=MR","SCALING_FORMAT=MLN","Sort=A","Dates=H","DateFormat=P","Fill=—","Direction=H","UseDPDF=Y")</f>
        <v>—</v>
      </c>
      <c r="Y54" s="13" t="str">
        <f>_xll.BDH("ITCI US Equity","ARDR_FURNITURE_MACHINERY_EQUIP","FQ2 2024","FQ2 2024","Currency=USD","Period=FQ","BEST_FPERIOD_OVERRIDE=FQ","FILING_STATUS=MR","SCALING_FORMAT=MLN","Sort=A","Dates=H","DateFormat=P","Fill=—","Direction=H","UseDPDF=Y")</f>
        <v>—</v>
      </c>
      <c r="Z54" s="13" t="str">
        <f>_xll.BDH("ITCI US Equity","ARDR_FURNITURE_MACHINERY_EQUIP","FQ3 2024","FQ3 2024","Currency=USD","Period=FQ","BEST_FPERIOD_OVERRIDE=FQ","FILING_STATUS=MR","SCALING_FORMAT=MLN","Sort=A","Dates=H","DateFormat=P","Fill=—","Direction=H","UseDPDF=Y")</f>
        <v>—</v>
      </c>
      <c r="AA54" s="13" t="str">
        <f>_xll.BDH("ITCI US Equity","ARDR_FURNITURE_MACHINERY_EQUIP","FQ4 2024","FQ4 2024","Currency=USD","Period=FQ","BEST_FPERIOD_OVERRIDE=FQ","FILING_STATUS=MR","SCALING_FORMAT=MLN","Sort=A","Dates=H","DateFormat=P","Fill=—","Direction=H","UseDPDF=Y")</f>
        <v>—</v>
      </c>
    </row>
    <row r="55" spans="1:27" x14ac:dyDescent="0.25">
      <c r="A55" s="10" t="s">
        <v>768</v>
      </c>
      <c r="B55" s="10" t="s">
        <v>769</v>
      </c>
      <c r="C55" s="13">
        <f>_xll.BDH("ITCI US Equity","ARDR_PROPERTY_PLANT_EQUIP_GROSS","FQ4 2018","FQ4 2018","Currency=USD","Period=FQ","BEST_FPERIOD_OVERRIDE=FQ","FILING_STATUS=MR","SCALING_FORMAT=MLN","Sort=A","Dates=H","DateFormat=P","Fill=—","Direction=H","UseDPDF=Y")</f>
        <v>4.1936999999999998</v>
      </c>
      <c r="D55" s="13">
        <f>_xll.BDH("ITCI US Equity","ARDR_PROPERTY_PLANT_EQUIP_GROSS","FQ1 2019","FQ1 2019","Currency=USD","Period=FQ","BEST_FPERIOD_OVERRIDE=FQ","FILING_STATUS=MR","SCALING_FORMAT=MLN","Sort=A","Dates=H","DateFormat=P","Fill=—","Direction=H","UseDPDF=Y")</f>
        <v>4.2583000000000002</v>
      </c>
      <c r="E55" s="13">
        <f>_xll.BDH("ITCI US Equity","ARDR_PROPERTY_PLANT_EQUIP_GROSS","FQ2 2019","FQ2 2019","Currency=USD","Period=FQ","BEST_FPERIOD_OVERRIDE=FQ","FILING_STATUS=MR","SCALING_FORMAT=MLN","Sort=A","Dates=H","DateFormat=P","Fill=—","Direction=H","UseDPDF=Y")</f>
        <v>5.3207000000000004</v>
      </c>
      <c r="F55" s="13">
        <f>_xll.BDH("ITCI US Equity","ARDR_PROPERTY_PLANT_EQUIP_GROSS","FQ3 2019","FQ3 2019","Currency=USD","Period=FQ","BEST_FPERIOD_OVERRIDE=FQ","FILING_STATUS=MR","SCALING_FORMAT=MLN","Sort=A","Dates=H","DateFormat=P","Fill=—","Direction=H","UseDPDF=Y")</f>
        <v>5.5418000000000003</v>
      </c>
      <c r="G55" s="13">
        <f>_xll.BDH("ITCI US Equity","ARDR_PROPERTY_PLANT_EQUIP_GROSS","FQ4 2019","FQ4 2019","Currency=USD","Period=FQ","BEST_FPERIOD_OVERRIDE=FQ","FILING_STATUS=MR","SCALING_FORMAT=MLN","Sort=A","Dates=H","DateFormat=P","Fill=—","Direction=H","UseDPDF=Y")</f>
        <v>5.7682000000000002</v>
      </c>
      <c r="H55" s="13">
        <f>_xll.BDH("ITCI US Equity","ARDR_PROPERTY_PLANT_EQUIP_GROSS","FQ1 2020","FQ1 2020","Currency=USD","Period=FQ","BEST_FPERIOD_OVERRIDE=FQ","FILING_STATUS=MR","SCALING_FORMAT=MLN","Sort=A","Dates=H","DateFormat=P","Fill=—","Direction=H","UseDPDF=Y")</f>
        <v>5.7901999999999996</v>
      </c>
      <c r="I55" s="13">
        <f>_xll.BDH("ITCI US Equity","ARDR_PROPERTY_PLANT_EQUIP_GROSS","FQ2 2020","FQ2 2020","Currency=USD","Period=FQ","BEST_FPERIOD_OVERRIDE=FQ","FILING_STATUS=MR","SCALING_FORMAT=MLN","Sort=A","Dates=H","DateFormat=P","Fill=—","Direction=H","UseDPDF=Y")</f>
        <v>5.7901999999999996</v>
      </c>
      <c r="J55" s="13">
        <f>_xll.BDH("ITCI US Equity","ARDR_PROPERTY_PLANT_EQUIP_GROSS","FQ3 2020","FQ3 2020","Currency=USD","Period=FQ","BEST_FPERIOD_OVERRIDE=FQ","FILING_STATUS=MR","SCALING_FORMAT=MLN","Sort=A","Dates=H","DateFormat=P","Fill=—","Direction=H","UseDPDF=Y")</f>
        <v>5.9600999999999997</v>
      </c>
      <c r="K55" s="13">
        <f>_xll.BDH("ITCI US Equity","ARDR_PROPERTY_PLANT_EQUIP_GROSS","FQ4 2020","FQ4 2020","Currency=USD","Period=FQ","BEST_FPERIOD_OVERRIDE=FQ","FILING_STATUS=MR","SCALING_FORMAT=MLN","Sort=A","Dates=H","DateFormat=P","Fill=—","Direction=H","UseDPDF=Y")</f>
        <v>6.0349000000000004</v>
      </c>
      <c r="L55" s="13">
        <f>_xll.BDH("ITCI US Equity","ARDR_PROPERTY_PLANT_EQUIP_GROSS","FQ1 2021","FQ1 2021","Currency=USD","Period=FQ","BEST_FPERIOD_OVERRIDE=FQ","FILING_STATUS=MR","SCALING_FORMAT=MLN","Sort=A","Dates=H","DateFormat=P","Fill=—","Direction=H","UseDPDF=Y")</f>
        <v>6.0349000000000004</v>
      </c>
      <c r="M55" s="13">
        <f>_xll.BDH("ITCI US Equity","ARDR_PROPERTY_PLANT_EQUIP_GROSS","FQ2 2021","FQ2 2021","Currency=USD","Period=FQ","BEST_FPERIOD_OVERRIDE=FQ","FILING_STATUS=MR","SCALING_FORMAT=MLN","Sort=A","Dates=H","DateFormat=P","Fill=—","Direction=H","UseDPDF=Y")</f>
        <v>6.0500999999999996</v>
      </c>
      <c r="N55" s="13">
        <f>_xll.BDH("ITCI US Equity","ARDR_PROPERTY_PLANT_EQUIP_GROSS","FQ3 2021","FQ3 2021","Currency=USD","Period=FQ","BEST_FPERIOD_OVERRIDE=FQ","FILING_STATUS=MR","SCALING_FORMAT=MLN","Sort=A","Dates=H","DateFormat=P","Fill=—","Direction=H","UseDPDF=Y")</f>
        <v>6.3593999999999999</v>
      </c>
      <c r="O55" s="13">
        <f>_xll.BDH("ITCI US Equity","ARDR_PROPERTY_PLANT_EQUIP_GROSS","FQ4 2021","FQ4 2021","Currency=USD","Period=FQ","BEST_FPERIOD_OVERRIDE=FQ","FILING_STATUS=MR","SCALING_FORMAT=MLN","Sort=A","Dates=H","DateFormat=P","Fill=—","Direction=H","UseDPDF=Y")</f>
        <v>6.3593999999999999</v>
      </c>
      <c r="P55" s="13" t="str">
        <f>_xll.BDH("ITCI US Equity","ARDR_PROPERTY_PLANT_EQUIP_GROSS","FQ1 2022","FQ1 2022","Currency=USD","Period=FQ","BEST_FPERIOD_OVERRIDE=FQ","FILING_STATUS=MR","SCALING_FORMAT=MLN","Sort=A","Dates=H","DateFormat=P","Fill=—","Direction=H","UseDPDF=Y")</f>
        <v>—</v>
      </c>
      <c r="Q55" s="13" t="str">
        <f>_xll.BDH("ITCI US Equity","ARDR_PROPERTY_PLANT_EQUIP_GROSS","FQ2 2022","FQ2 2022","Currency=USD","Period=FQ","BEST_FPERIOD_OVERRIDE=FQ","FILING_STATUS=MR","SCALING_FORMAT=MLN","Sort=A","Dates=H","DateFormat=P","Fill=—","Direction=H","UseDPDF=Y")</f>
        <v>—</v>
      </c>
      <c r="R55" s="13" t="str">
        <f>_xll.BDH("ITCI US Equity","ARDR_PROPERTY_PLANT_EQUIP_GROSS","FQ3 2022","FQ3 2022","Currency=USD","Period=FQ","BEST_FPERIOD_OVERRIDE=FQ","FILING_STATUS=MR","SCALING_FORMAT=MLN","Sort=A","Dates=H","DateFormat=P","Fill=—","Direction=H","UseDPDF=Y")</f>
        <v>—</v>
      </c>
      <c r="S55" s="13">
        <f>_xll.BDH("ITCI US Equity","ARDR_PROPERTY_PLANT_EQUIP_GROSS","FQ4 2022","FQ4 2022","Currency=USD","Period=FQ","BEST_FPERIOD_OVERRIDE=FQ","FILING_STATUS=MR","SCALING_FORMAT=MLN","Sort=A","Dates=H","DateFormat=P","Fill=—","Direction=H","UseDPDF=Y")</f>
        <v>7.1369999999999996</v>
      </c>
      <c r="T55" s="13" t="str">
        <f>_xll.BDH("ITCI US Equity","ARDR_PROPERTY_PLANT_EQUIP_GROSS","FQ1 2023","FQ1 2023","Currency=USD","Period=FQ","BEST_FPERIOD_OVERRIDE=FQ","FILING_STATUS=MR","SCALING_FORMAT=MLN","Sort=A","Dates=H","DateFormat=P","Fill=—","Direction=H","UseDPDF=Y")</f>
        <v>—</v>
      </c>
      <c r="U55" s="13" t="str">
        <f>_xll.BDH("ITCI US Equity","ARDR_PROPERTY_PLANT_EQUIP_GROSS","FQ2 2023","FQ2 2023","Currency=USD","Period=FQ","BEST_FPERIOD_OVERRIDE=FQ","FILING_STATUS=MR","SCALING_FORMAT=MLN","Sort=A","Dates=H","DateFormat=P","Fill=—","Direction=H","UseDPDF=Y")</f>
        <v>—</v>
      </c>
      <c r="V55" s="13" t="str">
        <f>_xll.BDH("ITCI US Equity","ARDR_PROPERTY_PLANT_EQUIP_GROSS","FQ3 2023","FQ3 2023","Currency=USD","Period=FQ","BEST_FPERIOD_OVERRIDE=FQ","FILING_STATUS=MR","SCALING_FORMAT=MLN","Sort=A","Dates=H","DateFormat=P","Fill=—","Direction=H","UseDPDF=Y")</f>
        <v>—</v>
      </c>
      <c r="W55" s="13" t="str">
        <f>_xll.BDH("ITCI US Equity","ARDR_PROPERTY_PLANT_EQUIP_GROSS","FQ4 2023","FQ4 2023","Currency=USD","Period=FQ","BEST_FPERIOD_OVERRIDE=FQ","FILING_STATUS=MR","SCALING_FORMAT=MLN","Sort=A","Dates=H","DateFormat=P","Fill=—","Direction=H","UseDPDF=Y")</f>
        <v>—</v>
      </c>
      <c r="X55" s="13" t="str">
        <f>_xll.BDH("ITCI US Equity","ARDR_PROPERTY_PLANT_EQUIP_GROSS","FQ1 2024","FQ1 2024","Currency=USD","Period=FQ","BEST_FPERIOD_OVERRIDE=FQ","FILING_STATUS=MR","SCALING_FORMAT=MLN","Sort=A","Dates=H","DateFormat=P","Fill=—","Direction=H","UseDPDF=Y")</f>
        <v>—</v>
      </c>
      <c r="Y55" s="13" t="str">
        <f>_xll.BDH("ITCI US Equity","ARDR_PROPERTY_PLANT_EQUIP_GROSS","FQ2 2024","FQ2 2024","Currency=USD","Period=FQ","BEST_FPERIOD_OVERRIDE=FQ","FILING_STATUS=MR","SCALING_FORMAT=MLN","Sort=A","Dates=H","DateFormat=P","Fill=—","Direction=H","UseDPDF=Y")</f>
        <v>—</v>
      </c>
      <c r="Z55" s="13" t="str">
        <f>_xll.BDH("ITCI US Equity","ARDR_PROPERTY_PLANT_EQUIP_GROSS","FQ3 2024","FQ3 2024","Currency=USD","Period=FQ","BEST_FPERIOD_OVERRIDE=FQ","FILING_STATUS=MR","SCALING_FORMAT=MLN","Sort=A","Dates=H","DateFormat=P","Fill=—","Direction=H","UseDPDF=Y")</f>
        <v>—</v>
      </c>
      <c r="AA55" s="13" t="str">
        <f>_xll.BDH("ITCI US Equity","ARDR_PROPERTY_PLANT_EQUIP_GROSS","FQ4 2024","FQ4 2024","Currency=USD","Period=FQ","BEST_FPERIOD_OVERRIDE=FQ","FILING_STATUS=MR","SCALING_FORMAT=MLN","Sort=A","Dates=H","DateFormat=P","Fill=—","Direction=H","UseDPDF=Y")</f>
        <v>—</v>
      </c>
    </row>
    <row r="56" spans="1:27" x14ac:dyDescent="0.25">
      <c r="A56" s="10" t="s">
        <v>770</v>
      </c>
      <c r="B56" s="10" t="s">
        <v>771</v>
      </c>
      <c r="C56" s="13">
        <f>_xll.BDH("ITCI US Equity","ARDR_ACCUMULATED_DEPREC","FQ4 2018","FQ4 2018","Currency=USD","Period=FQ","BEST_FPERIOD_OVERRIDE=FQ","FILING_STATUS=MR","SCALING_FORMAT=MLN","Sort=A","Dates=H","DateFormat=P","Fill=—","Direction=H","UseDPDF=Y")</f>
        <v>3.0339</v>
      </c>
      <c r="D56" s="13">
        <f>_xll.BDH("ITCI US Equity","ARDR_ACCUMULATED_DEPREC","FQ1 2019","FQ1 2019","Currency=USD","Period=FQ","BEST_FPERIOD_OVERRIDE=FQ","FILING_STATUS=MR","SCALING_FORMAT=MLN","Sort=A","Dates=H","DateFormat=P","Fill=—","Direction=H","UseDPDF=Y")</f>
        <v>3.1326999999999998</v>
      </c>
      <c r="E56" s="13">
        <f>_xll.BDH("ITCI US Equity","ARDR_ACCUMULATED_DEPREC","FQ2 2019","FQ2 2019","Currency=USD","Period=FQ","BEST_FPERIOD_OVERRIDE=FQ","FILING_STATUS=MR","SCALING_FORMAT=MLN","Sort=A","Dates=H","DateFormat=P","Fill=—","Direction=H","UseDPDF=Y")</f>
        <v>3.2376999999999998</v>
      </c>
      <c r="F56" s="13">
        <f>_xll.BDH("ITCI US Equity","ARDR_ACCUMULATED_DEPREC","FQ3 2019","FQ3 2019","Currency=USD","Period=FQ","BEST_FPERIOD_OVERRIDE=FQ","FILING_STATUS=MR","SCALING_FORMAT=MLN","Sort=A","Dates=H","DateFormat=P","Fill=—","Direction=H","UseDPDF=Y")</f>
        <v>3.3668</v>
      </c>
      <c r="G56" s="13">
        <f>_xll.BDH("ITCI US Equity","ARDR_ACCUMULATED_DEPREC","FQ4 2019","FQ4 2019","Currency=USD","Period=FQ","BEST_FPERIOD_OVERRIDE=FQ","FILING_STATUS=MR","SCALING_FORMAT=MLN","Sort=A","Dates=H","DateFormat=P","Fill=—","Direction=H","UseDPDF=Y")</f>
        <v>3.5084</v>
      </c>
      <c r="H56" s="13">
        <f>_xll.BDH("ITCI US Equity","ARDR_ACCUMULATED_DEPREC","FQ1 2020","FQ1 2020","Currency=USD","Period=FQ","BEST_FPERIOD_OVERRIDE=FQ","FILING_STATUS=MR","SCALING_FORMAT=MLN","Sort=A","Dates=H","DateFormat=P","Fill=—","Direction=H","UseDPDF=Y")</f>
        <v>3.6572</v>
      </c>
      <c r="I56" s="13">
        <f>_xll.BDH("ITCI US Equity","ARDR_ACCUMULATED_DEPREC","FQ2 2020","FQ2 2020","Currency=USD","Period=FQ","BEST_FPERIOD_OVERRIDE=FQ","FILING_STATUS=MR","SCALING_FORMAT=MLN","Sort=A","Dates=H","DateFormat=P","Fill=—","Direction=H","UseDPDF=Y")</f>
        <v>3.7894999999999999</v>
      </c>
      <c r="J56" s="13">
        <f>_xll.BDH("ITCI US Equity","ARDR_ACCUMULATED_DEPREC","FQ3 2020","FQ3 2020","Currency=USD","Period=FQ","BEST_FPERIOD_OVERRIDE=FQ","FILING_STATUS=MR","SCALING_FORMAT=MLN","Sort=A","Dates=H","DateFormat=P","Fill=—","Direction=H","UseDPDF=Y")</f>
        <v>3.9106000000000001</v>
      </c>
      <c r="K56" s="13">
        <f>_xll.BDH("ITCI US Equity","ARDR_ACCUMULATED_DEPREC","FQ4 2020","FQ4 2020","Currency=USD","Period=FQ","BEST_FPERIOD_OVERRIDE=FQ","FILING_STATUS=MR","SCALING_FORMAT=MLN","Sort=A","Dates=H","DateFormat=P","Fill=—","Direction=H","UseDPDF=Y")</f>
        <v>4.0365000000000002</v>
      </c>
      <c r="L56" s="13">
        <f>_xll.BDH("ITCI US Equity","ARDR_ACCUMULATED_DEPREC","FQ1 2021","FQ1 2021","Currency=USD","Period=FQ","BEST_FPERIOD_OVERRIDE=FQ","FILING_STATUS=MR","SCALING_FORMAT=MLN","Sort=A","Dates=H","DateFormat=P","Fill=—","Direction=H","UseDPDF=Y")</f>
        <v>4.1635999999999997</v>
      </c>
      <c r="M56" s="13">
        <f>_xll.BDH("ITCI US Equity","ARDR_ACCUMULATED_DEPREC","FQ2 2021","FQ2 2021","Currency=USD","Period=FQ","BEST_FPERIOD_OVERRIDE=FQ","FILING_STATUS=MR","SCALING_FORMAT=MLN","Sort=A","Dates=H","DateFormat=P","Fill=—","Direction=H","UseDPDF=Y")</f>
        <v>4.2891000000000004</v>
      </c>
      <c r="N56" s="13">
        <f>_xll.BDH("ITCI US Equity","ARDR_ACCUMULATED_DEPREC","FQ3 2021","FQ3 2021","Currency=USD","Period=FQ","BEST_FPERIOD_OVERRIDE=FQ","FILING_STATUS=MR","SCALING_FORMAT=MLN","Sort=A","Dates=H","DateFormat=P","Fill=—","Direction=H","UseDPDF=Y")</f>
        <v>4.4230999999999998</v>
      </c>
      <c r="O56" s="13">
        <f>_xll.BDH("ITCI US Equity","ARDR_ACCUMULATED_DEPREC","FQ4 2021","FQ4 2021","Currency=USD","Period=FQ","BEST_FPERIOD_OVERRIDE=FQ","FILING_STATUS=MR","SCALING_FORMAT=MLN","Sort=A","Dates=H","DateFormat=P","Fill=—","Direction=H","UseDPDF=Y")</f>
        <v>4.5686999999999998</v>
      </c>
      <c r="P56" s="13" t="str">
        <f>_xll.BDH("ITCI US Equity","ARDR_ACCUMULATED_DEPREC","FQ1 2022","FQ1 2022","Currency=USD","Period=FQ","BEST_FPERIOD_OVERRIDE=FQ","FILING_STATUS=MR","SCALING_FORMAT=MLN","Sort=A","Dates=H","DateFormat=P","Fill=—","Direction=H","UseDPDF=Y")</f>
        <v>—</v>
      </c>
      <c r="Q56" s="13" t="str">
        <f>_xll.BDH("ITCI US Equity","ARDR_ACCUMULATED_DEPREC","FQ2 2022","FQ2 2022","Currency=USD","Period=FQ","BEST_FPERIOD_OVERRIDE=FQ","FILING_STATUS=MR","SCALING_FORMAT=MLN","Sort=A","Dates=H","DateFormat=P","Fill=—","Direction=H","UseDPDF=Y")</f>
        <v>—</v>
      </c>
      <c r="R56" s="13" t="str">
        <f>_xll.BDH("ITCI US Equity","ARDR_ACCUMULATED_DEPREC","FQ3 2022","FQ3 2022","Currency=USD","Period=FQ","BEST_FPERIOD_OVERRIDE=FQ","FILING_STATUS=MR","SCALING_FORMAT=MLN","Sort=A","Dates=H","DateFormat=P","Fill=—","Direction=H","UseDPDF=Y")</f>
        <v>—</v>
      </c>
      <c r="S56" s="13">
        <f>_xll.BDH("ITCI US Equity","ARDR_ACCUMULATED_DEPREC","FQ4 2022","FQ4 2022","Currency=USD","Period=FQ","BEST_FPERIOD_OVERRIDE=FQ","FILING_STATUS=MR","SCALING_FORMAT=MLN","Sort=A","Dates=H","DateFormat=P","Fill=—","Direction=H","UseDPDF=Y")</f>
        <v>5.2240000000000002</v>
      </c>
      <c r="T56" s="13" t="str">
        <f>_xll.BDH("ITCI US Equity","ARDR_ACCUMULATED_DEPREC","FQ1 2023","FQ1 2023","Currency=USD","Period=FQ","BEST_FPERIOD_OVERRIDE=FQ","FILING_STATUS=MR","SCALING_FORMAT=MLN","Sort=A","Dates=H","DateFormat=P","Fill=—","Direction=H","UseDPDF=Y")</f>
        <v>—</v>
      </c>
      <c r="U56" s="13" t="str">
        <f>_xll.BDH("ITCI US Equity","ARDR_ACCUMULATED_DEPREC","FQ2 2023","FQ2 2023","Currency=USD","Period=FQ","BEST_FPERIOD_OVERRIDE=FQ","FILING_STATUS=MR","SCALING_FORMAT=MLN","Sort=A","Dates=H","DateFormat=P","Fill=—","Direction=H","UseDPDF=Y")</f>
        <v>—</v>
      </c>
      <c r="V56" s="13" t="str">
        <f>_xll.BDH("ITCI US Equity","ARDR_ACCUMULATED_DEPREC","FQ3 2023","FQ3 2023","Currency=USD","Period=FQ","BEST_FPERIOD_OVERRIDE=FQ","FILING_STATUS=MR","SCALING_FORMAT=MLN","Sort=A","Dates=H","DateFormat=P","Fill=—","Direction=H","UseDPDF=Y")</f>
        <v>—</v>
      </c>
      <c r="W56" s="13" t="str">
        <f>_xll.BDH("ITCI US Equity","ARDR_ACCUMULATED_DEPREC","FQ4 2023","FQ4 2023","Currency=USD","Period=FQ","BEST_FPERIOD_OVERRIDE=FQ","FILING_STATUS=MR","SCALING_FORMAT=MLN","Sort=A","Dates=H","DateFormat=P","Fill=—","Direction=H","UseDPDF=Y")</f>
        <v>—</v>
      </c>
      <c r="X56" s="13" t="str">
        <f>_xll.BDH("ITCI US Equity","ARDR_ACCUMULATED_DEPREC","FQ1 2024","FQ1 2024","Currency=USD","Period=FQ","BEST_FPERIOD_OVERRIDE=FQ","FILING_STATUS=MR","SCALING_FORMAT=MLN","Sort=A","Dates=H","DateFormat=P","Fill=—","Direction=H","UseDPDF=Y")</f>
        <v>—</v>
      </c>
      <c r="Y56" s="13" t="str">
        <f>_xll.BDH("ITCI US Equity","ARDR_ACCUMULATED_DEPREC","FQ2 2024","FQ2 2024","Currency=USD","Period=FQ","BEST_FPERIOD_OVERRIDE=FQ","FILING_STATUS=MR","SCALING_FORMAT=MLN","Sort=A","Dates=H","DateFormat=P","Fill=—","Direction=H","UseDPDF=Y")</f>
        <v>—</v>
      </c>
      <c r="Z56" s="13" t="str">
        <f>_xll.BDH("ITCI US Equity","ARDR_ACCUMULATED_DEPREC","FQ3 2024","FQ3 2024","Currency=USD","Period=FQ","BEST_FPERIOD_OVERRIDE=FQ","FILING_STATUS=MR","SCALING_FORMAT=MLN","Sort=A","Dates=H","DateFormat=P","Fill=—","Direction=H","UseDPDF=Y")</f>
        <v>—</v>
      </c>
      <c r="AA56" s="13" t="str">
        <f>_xll.BDH("ITCI US Equity","ARDR_ACCUMULATED_DEPREC","FQ4 2024","FQ4 2024","Currency=USD","Period=FQ","BEST_FPERIOD_OVERRIDE=FQ","FILING_STATUS=MR","SCALING_FORMAT=MLN","Sort=A","Dates=H","DateFormat=P","Fill=—","Direction=H","UseDPDF=Y")</f>
        <v>—</v>
      </c>
    </row>
    <row r="57" spans="1:27" x14ac:dyDescent="0.25">
      <c r="A57" s="10" t="s">
        <v>703</v>
      </c>
      <c r="B57" s="10" t="s">
        <v>772</v>
      </c>
      <c r="C57" s="13">
        <f>_xll.BDH("ITCI US Equity","ARDR_PROPERTY_PLANT_EQUIP_NET","FQ4 2018","FQ4 2018","Currency=USD","Period=FQ","BEST_FPERIOD_OVERRIDE=FQ","FILING_STATUS=MR","SCALING_FORMAT=MLN","Sort=A","Dates=H","DateFormat=P","Fill=—","Direction=H","UseDPDF=Y")</f>
        <v>1.1597999999999999</v>
      </c>
      <c r="D57" s="13">
        <f>_xll.BDH("ITCI US Equity","ARDR_PROPERTY_PLANT_EQUIP_NET","FQ1 2019","FQ1 2019","Currency=USD","Period=FQ","BEST_FPERIOD_OVERRIDE=FQ","FILING_STATUS=MR","SCALING_FORMAT=MLN","Sort=A","Dates=H","DateFormat=P","Fill=—","Direction=H","UseDPDF=Y")</f>
        <v>1.1255999999999999</v>
      </c>
      <c r="E57" s="13">
        <f>_xll.BDH("ITCI US Equity","ARDR_PROPERTY_PLANT_EQUIP_NET","FQ2 2019","FQ2 2019","Currency=USD","Period=FQ","BEST_FPERIOD_OVERRIDE=FQ","FILING_STATUS=MR","SCALING_FORMAT=MLN","Sort=A","Dates=H","DateFormat=P","Fill=—","Direction=H","UseDPDF=Y")</f>
        <v>2.0829</v>
      </c>
      <c r="F57" s="13">
        <f>_xll.BDH("ITCI US Equity","ARDR_PROPERTY_PLANT_EQUIP_NET","FQ3 2019","FQ3 2019","Currency=USD","Period=FQ","BEST_FPERIOD_OVERRIDE=FQ","FILING_STATUS=MR","SCALING_FORMAT=MLN","Sort=A","Dates=H","DateFormat=P","Fill=—","Direction=H","UseDPDF=Y")</f>
        <v>2.1749999999999998</v>
      </c>
      <c r="G57" s="13">
        <f>_xll.BDH("ITCI US Equity","ARDR_PROPERTY_PLANT_EQUIP_NET","FQ4 2019","FQ4 2019","Currency=USD","Period=FQ","BEST_FPERIOD_OVERRIDE=FQ","FILING_STATUS=MR","SCALING_FORMAT=MLN","Sort=A","Dates=H","DateFormat=P","Fill=—","Direction=H","UseDPDF=Y")</f>
        <v>2.2597</v>
      </c>
      <c r="H57" s="13">
        <f>_xll.BDH("ITCI US Equity","ARDR_PROPERTY_PLANT_EQUIP_NET","FQ1 2020","FQ1 2020","Currency=USD","Period=FQ","BEST_FPERIOD_OVERRIDE=FQ","FILING_STATUS=MR","SCALING_FORMAT=MLN","Sort=A","Dates=H","DateFormat=P","Fill=—","Direction=H","UseDPDF=Y")</f>
        <v>2.133</v>
      </c>
      <c r="I57" s="13">
        <f>_xll.BDH("ITCI US Equity","ARDR_PROPERTY_PLANT_EQUIP_NET","FQ2 2020","FQ2 2020","Currency=USD","Period=FQ","BEST_FPERIOD_OVERRIDE=FQ","FILING_STATUS=MR","SCALING_FORMAT=MLN","Sort=A","Dates=H","DateFormat=P","Fill=—","Direction=H","UseDPDF=Y")</f>
        <v>2.0007000000000001</v>
      </c>
      <c r="J57" s="13">
        <f>_xll.BDH("ITCI US Equity","ARDR_PROPERTY_PLANT_EQUIP_NET","FQ3 2020","FQ3 2020","Currency=USD","Period=FQ","BEST_FPERIOD_OVERRIDE=FQ","FILING_STATUS=MR","SCALING_FORMAT=MLN","Sort=A","Dates=H","DateFormat=P","Fill=—","Direction=H","UseDPDF=Y")</f>
        <v>2.0495999999999999</v>
      </c>
      <c r="K57" s="13">
        <f>_xll.BDH("ITCI US Equity","ARDR_PROPERTY_PLANT_EQUIP_NET","FQ4 2020","FQ4 2020","Currency=USD","Period=FQ","BEST_FPERIOD_OVERRIDE=FQ","FILING_STATUS=MR","SCALING_FORMAT=MLN","Sort=A","Dates=H","DateFormat=P","Fill=—","Direction=H","UseDPDF=Y")</f>
        <v>1.9983</v>
      </c>
      <c r="L57" s="13">
        <f>_xll.BDH("ITCI US Equity","ARDR_PROPERTY_PLANT_EQUIP_NET","FQ1 2021","FQ1 2021","Currency=USD","Period=FQ","BEST_FPERIOD_OVERRIDE=FQ","FILING_STATUS=MR","SCALING_FORMAT=MLN","Sort=A","Dates=H","DateFormat=P","Fill=—","Direction=H","UseDPDF=Y")</f>
        <v>1.8713</v>
      </c>
      <c r="M57" s="13">
        <f>_xll.BDH("ITCI US Equity","ARDR_PROPERTY_PLANT_EQUIP_NET","FQ2 2021","FQ2 2021","Currency=USD","Period=FQ","BEST_FPERIOD_OVERRIDE=FQ","FILING_STATUS=MR","SCALING_FORMAT=MLN","Sort=A","Dates=H","DateFormat=P","Fill=—","Direction=H","UseDPDF=Y")</f>
        <v>1.7609999999999999</v>
      </c>
      <c r="N57" s="13">
        <f>_xll.BDH("ITCI US Equity","ARDR_PROPERTY_PLANT_EQUIP_NET","FQ3 2021","FQ3 2021","Currency=USD","Period=FQ","BEST_FPERIOD_OVERRIDE=FQ","FILING_STATUS=MR","SCALING_FORMAT=MLN","Sort=A","Dates=H","DateFormat=P","Fill=—","Direction=H","UseDPDF=Y")</f>
        <v>1.9362999999999999</v>
      </c>
      <c r="O57" s="13">
        <f>_xll.BDH("ITCI US Equity","ARDR_PROPERTY_PLANT_EQUIP_NET","FQ4 2021","FQ4 2021","Currency=USD","Period=FQ","BEST_FPERIOD_OVERRIDE=FQ","FILING_STATUS=MR","SCALING_FORMAT=MLN","Sort=A","Dates=H","DateFormat=P","Fill=—","Direction=H","UseDPDF=Y")</f>
        <v>1.7907</v>
      </c>
      <c r="P57" s="13" t="str">
        <f>_xll.BDH("ITCI US Equity","ARDR_PROPERTY_PLANT_EQUIP_NET","FQ1 2022","FQ1 2022","Currency=USD","Period=FQ","BEST_FPERIOD_OVERRIDE=FQ","FILING_STATUS=MR","SCALING_FORMAT=MLN","Sort=A","Dates=H","DateFormat=P","Fill=—","Direction=H","UseDPDF=Y")</f>
        <v>—</v>
      </c>
      <c r="Q57" s="13" t="str">
        <f>_xll.BDH("ITCI US Equity","ARDR_PROPERTY_PLANT_EQUIP_NET","FQ2 2022","FQ2 2022","Currency=USD","Period=FQ","BEST_FPERIOD_OVERRIDE=FQ","FILING_STATUS=MR","SCALING_FORMAT=MLN","Sort=A","Dates=H","DateFormat=P","Fill=—","Direction=H","UseDPDF=Y")</f>
        <v>—</v>
      </c>
      <c r="R57" s="13" t="str">
        <f>_xll.BDH("ITCI US Equity","ARDR_PROPERTY_PLANT_EQUIP_NET","FQ3 2022","FQ3 2022","Currency=USD","Period=FQ","BEST_FPERIOD_OVERRIDE=FQ","FILING_STATUS=MR","SCALING_FORMAT=MLN","Sort=A","Dates=H","DateFormat=P","Fill=—","Direction=H","UseDPDF=Y")</f>
        <v>—</v>
      </c>
      <c r="S57" s="13">
        <f>_xll.BDH("ITCI US Equity","ARDR_PROPERTY_PLANT_EQUIP_NET","FQ4 2022","FQ4 2022","Currency=USD","Period=FQ","BEST_FPERIOD_OVERRIDE=FQ","FILING_STATUS=MR","SCALING_FORMAT=MLN","Sort=A","Dates=H","DateFormat=P","Fill=—","Direction=H","UseDPDF=Y")</f>
        <v>1.913</v>
      </c>
      <c r="T57" s="13" t="str">
        <f>_xll.BDH("ITCI US Equity","ARDR_PROPERTY_PLANT_EQUIP_NET","FQ1 2023","FQ1 2023","Currency=USD","Period=FQ","BEST_FPERIOD_OVERRIDE=FQ","FILING_STATUS=MR","SCALING_FORMAT=MLN","Sort=A","Dates=H","DateFormat=P","Fill=—","Direction=H","UseDPDF=Y")</f>
        <v>—</v>
      </c>
      <c r="U57" s="13" t="str">
        <f>_xll.BDH("ITCI US Equity","ARDR_PROPERTY_PLANT_EQUIP_NET","FQ2 2023","FQ2 2023","Currency=USD","Period=FQ","BEST_FPERIOD_OVERRIDE=FQ","FILING_STATUS=MR","SCALING_FORMAT=MLN","Sort=A","Dates=H","DateFormat=P","Fill=—","Direction=H","UseDPDF=Y")</f>
        <v>—</v>
      </c>
      <c r="V57" s="13" t="str">
        <f>_xll.BDH("ITCI US Equity","ARDR_PROPERTY_PLANT_EQUIP_NET","FQ3 2023","FQ3 2023","Currency=USD","Period=FQ","BEST_FPERIOD_OVERRIDE=FQ","FILING_STATUS=MR","SCALING_FORMAT=MLN","Sort=A","Dates=H","DateFormat=P","Fill=—","Direction=H","UseDPDF=Y")</f>
        <v>—</v>
      </c>
      <c r="W57" s="13" t="str">
        <f>_xll.BDH("ITCI US Equity","ARDR_PROPERTY_PLANT_EQUIP_NET","FQ4 2023","FQ4 2023","Currency=USD","Period=FQ","BEST_FPERIOD_OVERRIDE=FQ","FILING_STATUS=MR","SCALING_FORMAT=MLN","Sort=A","Dates=H","DateFormat=P","Fill=—","Direction=H","UseDPDF=Y")</f>
        <v>—</v>
      </c>
      <c r="X57" s="13" t="str">
        <f>_xll.BDH("ITCI US Equity","ARDR_PROPERTY_PLANT_EQUIP_NET","FQ1 2024","FQ1 2024","Currency=USD","Period=FQ","BEST_FPERIOD_OVERRIDE=FQ","FILING_STATUS=MR","SCALING_FORMAT=MLN","Sort=A","Dates=H","DateFormat=P","Fill=—","Direction=H","UseDPDF=Y")</f>
        <v>—</v>
      </c>
      <c r="Y57" s="13" t="str">
        <f>_xll.BDH("ITCI US Equity","ARDR_PROPERTY_PLANT_EQUIP_NET","FQ2 2024","FQ2 2024","Currency=USD","Period=FQ","BEST_FPERIOD_OVERRIDE=FQ","FILING_STATUS=MR","SCALING_FORMAT=MLN","Sort=A","Dates=H","DateFormat=P","Fill=—","Direction=H","UseDPDF=Y")</f>
        <v>—</v>
      </c>
      <c r="Z57" s="13" t="str">
        <f>_xll.BDH("ITCI US Equity","ARDR_PROPERTY_PLANT_EQUIP_NET","FQ3 2024","FQ3 2024","Currency=USD","Period=FQ","BEST_FPERIOD_OVERRIDE=FQ","FILING_STATUS=MR","SCALING_FORMAT=MLN","Sort=A","Dates=H","DateFormat=P","Fill=—","Direction=H","UseDPDF=Y")</f>
        <v>—</v>
      </c>
      <c r="AA57" s="13" t="str">
        <f>_xll.BDH("ITCI US Equity","ARDR_PROPERTY_PLANT_EQUIP_NET","FQ4 2024","FQ4 2024","Currency=USD","Period=FQ","BEST_FPERIOD_OVERRIDE=FQ","FILING_STATUS=MR","SCALING_FORMAT=MLN","Sort=A","Dates=H","DateFormat=P","Fill=—","Direction=H","UseDPDF=Y")</f>
        <v>—</v>
      </c>
    </row>
    <row r="58" spans="1:27" x14ac:dyDescent="0.25">
      <c r="A58" s="10" t="s">
        <v>773</v>
      </c>
      <c r="B58" s="10" t="s">
        <v>774</v>
      </c>
      <c r="C58" s="13">
        <f>_xll.BDH("ITCI US Equity","ARDR_DEFERRED_INC_TAX_ASSET_LT","FQ4 2018","FQ4 2018","Currency=USD","Period=FQ","BEST_FPERIOD_OVERRIDE=FQ","FILING_STATUS=MR","SCALING_FORMAT=MLN","Sort=A","Dates=H","DateFormat=P","Fill=—","Direction=H","UseDPDF=Y")</f>
        <v>0.5292</v>
      </c>
      <c r="D58" s="13" t="str">
        <f>_xll.BDH("ITCI US Equity","ARDR_DEFERRED_INC_TAX_ASSET_LT","FQ1 2019","FQ1 2019","Currency=USD","Period=FQ","BEST_FPERIOD_OVERRIDE=FQ","FILING_STATUS=MR","SCALING_FORMAT=MLN","Sort=A","Dates=H","DateFormat=P","Fill=—","Direction=H","UseDPDF=Y")</f>
        <v>—</v>
      </c>
      <c r="E58" s="13" t="str">
        <f>_xll.BDH("ITCI US Equity","ARDR_DEFERRED_INC_TAX_ASSET_LT","FQ2 2019","FQ2 2019","Currency=USD","Period=FQ","BEST_FPERIOD_OVERRIDE=FQ","FILING_STATUS=MR","SCALING_FORMAT=MLN","Sort=A","Dates=H","DateFormat=P","Fill=—","Direction=H","UseDPDF=Y")</f>
        <v>—</v>
      </c>
      <c r="F58" s="13" t="str">
        <f>_xll.BDH("ITCI US Equity","ARDR_DEFERRED_INC_TAX_ASSET_LT","FQ3 2019","FQ3 2019","Currency=USD","Period=FQ","BEST_FPERIOD_OVERRIDE=FQ","FILING_STATUS=MR","SCALING_FORMAT=MLN","Sort=A","Dates=H","DateFormat=P","Fill=—","Direction=H","UseDPDF=Y")</f>
        <v>—</v>
      </c>
      <c r="G58" s="13">
        <f>_xll.BDH("ITCI US Equity","ARDR_DEFERRED_INC_TAX_ASSET_LT","FQ4 2019","FQ4 2019","Currency=USD","Period=FQ","BEST_FPERIOD_OVERRIDE=FQ","FILING_STATUS=MR","SCALING_FORMAT=MLN","Sort=A","Dates=H","DateFormat=P","Fill=—","Direction=H","UseDPDF=Y")</f>
        <v>0.2646</v>
      </c>
      <c r="H58" s="13" t="str">
        <f>_xll.BDH("ITCI US Equity","ARDR_DEFERRED_INC_TAX_ASSET_LT","FQ1 2020","FQ1 2020","Currency=USD","Period=FQ","BEST_FPERIOD_OVERRIDE=FQ","FILING_STATUS=MR","SCALING_FORMAT=MLN","Sort=A","Dates=H","DateFormat=P","Fill=—","Direction=H","UseDPDF=Y")</f>
        <v>—</v>
      </c>
      <c r="I58" s="13" t="str">
        <f>_xll.BDH("ITCI US Equity","ARDR_DEFERRED_INC_TAX_ASSET_LT","FQ2 2020","FQ2 2020","Currency=USD","Period=FQ","BEST_FPERIOD_OVERRIDE=FQ","FILING_STATUS=MR","SCALING_FORMAT=MLN","Sort=A","Dates=H","DateFormat=P","Fill=—","Direction=H","UseDPDF=Y")</f>
        <v>—</v>
      </c>
      <c r="J58" s="13" t="str">
        <f>_xll.BDH("ITCI US Equity","ARDR_DEFERRED_INC_TAX_ASSET_LT","FQ3 2020","FQ3 2020","Currency=USD","Period=FQ","BEST_FPERIOD_OVERRIDE=FQ","FILING_STATUS=MR","SCALING_FORMAT=MLN","Sort=A","Dates=H","DateFormat=P","Fill=—","Direction=H","UseDPDF=Y")</f>
        <v>—</v>
      </c>
      <c r="K58" s="13">
        <f>_xll.BDH("ITCI US Equity","ARDR_DEFERRED_INC_TAX_ASSET_LT","FQ4 2020","FQ4 2020","Currency=USD","Period=FQ","BEST_FPERIOD_OVERRIDE=FQ","FILING_STATUS=MR","SCALING_FORMAT=MLN","Sort=A","Dates=H","DateFormat=P","Fill=—","Direction=H","UseDPDF=Y")</f>
        <v>0</v>
      </c>
      <c r="L58" s="13" t="str">
        <f>_xll.BDH("ITCI US Equity","ARDR_DEFERRED_INC_TAX_ASSET_LT","FQ1 2021","FQ1 2021","Currency=USD","Period=FQ","BEST_FPERIOD_OVERRIDE=FQ","FILING_STATUS=MR","SCALING_FORMAT=MLN","Sort=A","Dates=H","DateFormat=P","Fill=—","Direction=H","UseDPDF=Y")</f>
        <v>—</v>
      </c>
      <c r="M58" s="13" t="str">
        <f>_xll.BDH("ITCI US Equity","ARDR_DEFERRED_INC_TAX_ASSET_LT","FQ2 2021","FQ2 2021","Currency=USD","Period=FQ","BEST_FPERIOD_OVERRIDE=FQ","FILING_STATUS=MR","SCALING_FORMAT=MLN","Sort=A","Dates=H","DateFormat=P","Fill=—","Direction=H","UseDPDF=Y")</f>
        <v>—</v>
      </c>
      <c r="N58" s="13" t="str">
        <f>_xll.BDH("ITCI US Equity","ARDR_DEFERRED_INC_TAX_ASSET_LT","FQ3 2021","FQ3 2021","Currency=USD","Period=FQ","BEST_FPERIOD_OVERRIDE=FQ","FILING_STATUS=MR","SCALING_FORMAT=MLN","Sort=A","Dates=H","DateFormat=P","Fill=—","Direction=H","UseDPDF=Y")</f>
        <v>—</v>
      </c>
      <c r="O58" s="13">
        <f>_xll.BDH("ITCI US Equity","ARDR_DEFERRED_INC_TAX_ASSET_LT","FQ4 2021","FQ4 2021","Currency=USD","Period=FQ","BEST_FPERIOD_OVERRIDE=FQ","FILING_STATUS=MR","SCALING_FORMAT=MLN","Sort=A","Dates=H","DateFormat=P","Fill=—","Direction=H","UseDPDF=Y")</f>
        <v>0</v>
      </c>
      <c r="P58" s="13" t="str">
        <f>_xll.BDH("ITCI US Equity","ARDR_DEFERRED_INC_TAX_ASSET_LT","FQ1 2022","FQ1 2022","Currency=USD","Period=FQ","BEST_FPERIOD_OVERRIDE=FQ","FILING_STATUS=MR","SCALING_FORMAT=MLN","Sort=A","Dates=H","DateFormat=P","Fill=—","Direction=H","UseDPDF=Y")</f>
        <v>—</v>
      </c>
      <c r="Q58" s="13" t="str">
        <f>_xll.BDH("ITCI US Equity","ARDR_DEFERRED_INC_TAX_ASSET_LT","FQ2 2022","FQ2 2022","Currency=USD","Period=FQ","BEST_FPERIOD_OVERRIDE=FQ","FILING_STATUS=MR","SCALING_FORMAT=MLN","Sort=A","Dates=H","DateFormat=P","Fill=—","Direction=H","UseDPDF=Y")</f>
        <v>—</v>
      </c>
      <c r="R58" s="13" t="str">
        <f>_xll.BDH("ITCI US Equity","ARDR_DEFERRED_INC_TAX_ASSET_LT","FQ3 2022","FQ3 2022","Currency=USD","Period=FQ","BEST_FPERIOD_OVERRIDE=FQ","FILING_STATUS=MR","SCALING_FORMAT=MLN","Sort=A","Dates=H","DateFormat=P","Fill=—","Direction=H","UseDPDF=Y")</f>
        <v>—</v>
      </c>
      <c r="S58" s="13">
        <f>_xll.BDH("ITCI US Equity","ARDR_DEFERRED_INC_TAX_ASSET_LT","FQ4 2022","FQ4 2022","Currency=USD","Period=FQ","BEST_FPERIOD_OVERRIDE=FQ","FILING_STATUS=MR","SCALING_FORMAT=MLN","Sort=A","Dates=H","DateFormat=P","Fill=—","Direction=H","UseDPDF=Y")</f>
        <v>0</v>
      </c>
      <c r="T58" s="13" t="str">
        <f>_xll.BDH("ITCI US Equity","ARDR_DEFERRED_INC_TAX_ASSET_LT","FQ1 2023","FQ1 2023","Currency=USD","Period=FQ","BEST_FPERIOD_OVERRIDE=FQ","FILING_STATUS=MR","SCALING_FORMAT=MLN","Sort=A","Dates=H","DateFormat=P","Fill=—","Direction=H","UseDPDF=Y")</f>
        <v>—</v>
      </c>
      <c r="U58" s="13" t="str">
        <f>_xll.BDH("ITCI US Equity","ARDR_DEFERRED_INC_TAX_ASSET_LT","FQ2 2023","FQ2 2023","Currency=USD","Period=FQ","BEST_FPERIOD_OVERRIDE=FQ","FILING_STATUS=MR","SCALING_FORMAT=MLN","Sort=A","Dates=H","DateFormat=P","Fill=—","Direction=H","UseDPDF=Y")</f>
        <v>—</v>
      </c>
      <c r="V58" s="13" t="str">
        <f>_xll.BDH("ITCI US Equity","ARDR_DEFERRED_INC_TAX_ASSET_LT","FQ3 2023","FQ3 2023","Currency=USD","Period=FQ","BEST_FPERIOD_OVERRIDE=FQ","FILING_STATUS=MR","SCALING_FORMAT=MLN","Sort=A","Dates=H","DateFormat=P","Fill=—","Direction=H","UseDPDF=Y")</f>
        <v>—</v>
      </c>
      <c r="W58" s="13">
        <f>_xll.BDH("ITCI US Equity","ARDR_DEFERRED_INC_TAX_ASSET_LT","FQ4 2023","FQ4 2023","Currency=USD","Period=FQ","BEST_FPERIOD_OVERRIDE=FQ","FILING_STATUS=MR","SCALING_FORMAT=MLN","Sort=A","Dates=H","DateFormat=P","Fill=—","Direction=H","UseDPDF=Y")</f>
        <v>0</v>
      </c>
      <c r="X58" s="13" t="str">
        <f>_xll.BDH("ITCI US Equity","ARDR_DEFERRED_INC_TAX_ASSET_LT","FQ1 2024","FQ1 2024","Currency=USD","Period=FQ","BEST_FPERIOD_OVERRIDE=FQ","FILING_STATUS=MR","SCALING_FORMAT=MLN","Sort=A","Dates=H","DateFormat=P","Fill=—","Direction=H","UseDPDF=Y")</f>
        <v>—</v>
      </c>
      <c r="Y58" s="13" t="str">
        <f>_xll.BDH("ITCI US Equity","ARDR_DEFERRED_INC_TAX_ASSET_LT","FQ2 2024","FQ2 2024","Currency=USD","Period=FQ","BEST_FPERIOD_OVERRIDE=FQ","FILING_STATUS=MR","SCALING_FORMAT=MLN","Sort=A","Dates=H","DateFormat=P","Fill=—","Direction=H","UseDPDF=Y")</f>
        <v>—</v>
      </c>
      <c r="Z58" s="13" t="str">
        <f>_xll.BDH("ITCI US Equity","ARDR_DEFERRED_INC_TAX_ASSET_LT","FQ3 2024","FQ3 2024","Currency=USD","Period=FQ","BEST_FPERIOD_OVERRIDE=FQ","FILING_STATUS=MR","SCALING_FORMAT=MLN","Sort=A","Dates=H","DateFormat=P","Fill=—","Direction=H","UseDPDF=Y")</f>
        <v>—</v>
      </c>
      <c r="AA58" s="13">
        <f>_xll.BDH("ITCI US Equity","ARDR_DEFERRED_INC_TAX_ASSET_LT","FQ4 2024","FQ4 2024","Currency=USD","Period=FQ","BEST_FPERIOD_OVERRIDE=FQ","FILING_STATUS=MR","SCALING_FORMAT=MLN","Sort=A","Dates=H","DateFormat=P","Fill=—","Direction=H","UseDPDF=Y")</f>
        <v>0</v>
      </c>
    </row>
    <row r="59" spans="1:27" x14ac:dyDescent="0.25">
      <c r="A59" s="10" t="s">
        <v>734</v>
      </c>
      <c r="B59" s="10" t="s">
        <v>775</v>
      </c>
      <c r="C59" s="13">
        <f>_xll.BDH("ITCI US Equity","ARDR_COMMON_STOCK","FQ4 2018","FQ4 2018","Currency=USD","Period=FQ","BEST_FPERIOD_OVERRIDE=FQ","FILING_STATUS=MR","SCALING_FORMAT=MLN","Sort=A","Dates=H","DateFormat=P","Fill=—","Direction=H","UseDPDF=Y")</f>
        <v>5.4999999999999997E-3</v>
      </c>
      <c r="D59" s="13">
        <f>_xll.BDH("ITCI US Equity","ARDR_COMMON_STOCK","FQ1 2019","FQ1 2019","Currency=USD","Period=FQ","BEST_FPERIOD_OVERRIDE=FQ","FILING_STATUS=MR","SCALING_FORMAT=MLN","Sort=A","Dates=H","DateFormat=P","Fill=—","Direction=H","UseDPDF=Y")</f>
        <v>5.4999999999999997E-3</v>
      </c>
      <c r="E59" s="13">
        <f>_xll.BDH("ITCI US Equity","ARDR_COMMON_STOCK","FQ2 2019","FQ2 2019","Currency=USD","Period=FQ","BEST_FPERIOD_OVERRIDE=FQ","FILING_STATUS=MR","SCALING_FORMAT=MLN","Sort=A","Dates=H","DateFormat=P","Fill=—","Direction=H","UseDPDF=Y")</f>
        <v>5.4999999999999997E-3</v>
      </c>
      <c r="F59" s="13">
        <f>_xll.BDH("ITCI US Equity","ARDR_COMMON_STOCK","FQ3 2019","FQ3 2019","Currency=USD","Period=FQ","BEST_FPERIOD_OVERRIDE=FQ","FILING_STATUS=MR","SCALING_FORMAT=MLN","Sort=A","Dates=H","DateFormat=P","Fill=—","Direction=H","UseDPDF=Y")</f>
        <v>5.4999999999999997E-3</v>
      </c>
      <c r="G59" s="13">
        <f>_xll.BDH("ITCI US Equity","ARDR_COMMON_STOCK","FQ4 2019","FQ4 2019","Currency=USD","Period=FQ","BEST_FPERIOD_OVERRIDE=FQ","FILING_STATUS=MR","SCALING_FORMAT=MLN","Sort=A","Dates=H","DateFormat=P","Fill=—","Direction=H","UseDPDF=Y")</f>
        <v>5.5999999999999999E-3</v>
      </c>
      <c r="H59" s="13">
        <f>_xll.BDH("ITCI US Equity","ARDR_COMMON_STOCK","FQ1 2020","FQ1 2020","Currency=USD","Period=FQ","BEST_FPERIOD_OVERRIDE=FQ","FILING_STATUS=MR","SCALING_FORMAT=MLN","Sort=A","Dates=H","DateFormat=P","Fill=—","Direction=H","UseDPDF=Y")</f>
        <v>6.6E-3</v>
      </c>
      <c r="I59" s="13">
        <f>_xll.BDH("ITCI US Equity","ARDR_COMMON_STOCK","FQ2 2020","FQ2 2020","Currency=USD","Period=FQ","BEST_FPERIOD_OVERRIDE=FQ","FILING_STATUS=MR","SCALING_FORMAT=MLN","Sort=A","Dates=H","DateFormat=P","Fill=—","Direction=H","UseDPDF=Y")</f>
        <v>6.7000000000000002E-3</v>
      </c>
      <c r="J59" s="13">
        <f>_xll.BDH("ITCI US Equity","ARDR_COMMON_STOCK","FQ3 2020","FQ3 2020","Currency=USD","Period=FQ","BEST_FPERIOD_OVERRIDE=FQ","FILING_STATUS=MR","SCALING_FORMAT=MLN","Sort=A","Dates=H","DateFormat=P","Fill=—","Direction=H","UseDPDF=Y")</f>
        <v>8.0000000000000002E-3</v>
      </c>
      <c r="K59" s="13">
        <f>_xll.BDH("ITCI US Equity","ARDR_COMMON_STOCK","FQ4 2020","FQ4 2020","Currency=USD","Period=FQ","BEST_FPERIOD_OVERRIDE=FQ","FILING_STATUS=MR","SCALING_FORMAT=MLN","Sort=A","Dates=H","DateFormat=P","Fill=—","Direction=H","UseDPDF=Y")</f>
        <v>8.0000000000000002E-3</v>
      </c>
      <c r="L59" s="13">
        <f>_xll.BDH("ITCI US Equity","ARDR_COMMON_STOCK","FQ1 2021","FQ1 2021","Currency=USD","Period=FQ","BEST_FPERIOD_OVERRIDE=FQ","FILING_STATUS=MR","SCALING_FORMAT=MLN","Sort=A","Dates=H","DateFormat=P","Fill=—","Direction=H","UseDPDF=Y")</f>
        <v>8.0999999999999996E-3</v>
      </c>
      <c r="M59" s="13">
        <f>_xll.BDH("ITCI US Equity","ARDR_COMMON_STOCK","FQ2 2021","FQ2 2021","Currency=USD","Period=FQ","BEST_FPERIOD_OVERRIDE=FQ","FILING_STATUS=MR","SCALING_FORMAT=MLN","Sort=A","Dates=H","DateFormat=P","Fill=—","Direction=H","UseDPDF=Y")</f>
        <v>8.0999999999999996E-3</v>
      </c>
      <c r="N59" s="13">
        <f>_xll.BDH("ITCI US Equity","ARDR_COMMON_STOCK","FQ3 2021","FQ3 2021","Currency=USD","Period=FQ","BEST_FPERIOD_OVERRIDE=FQ","FILING_STATUS=MR","SCALING_FORMAT=MLN","Sort=A","Dates=H","DateFormat=P","Fill=—","Direction=H","UseDPDF=Y")</f>
        <v>8.0999999999999996E-3</v>
      </c>
      <c r="O59" s="13">
        <f>_xll.BDH("ITCI US Equity","ARDR_COMMON_STOCK","FQ4 2021","FQ4 2021","Currency=USD","Period=FQ","BEST_FPERIOD_OVERRIDE=FQ","FILING_STATUS=MR","SCALING_FORMAT=MLN","Sort=A","Dates=H","DateFormat=P","Fill=—","Direction=H","UseDPDF=Y")</f>
        <v>8.2000000000000007E-3</v>
      </c>
      <c r="P59" s="13">
        <f>_xll.BDH("ITCI US Equity","ARDR_COMMON_STOCK","FQ1 2022","FQ1 2022","Currency=USD","Period=FQ","BEST_FPERIOD_OVERRIDE=FQ","FILING_STATUS=MR","SCALING_FORMAT=MLN","Sort=A","Dates=H","DateFormat=P","Fill=—","Direction=H","UseDPDF=Y")</f>
        <v>8.9999999999999993E-3</v>
      </c>
      <c r="Q59" s="13">
        <f>_xll.BDH("ITCI US Equity","ARDR_COMMON_STOCK","FQ2 2022","FQ2 2022","Currency=USD","Period=FQ","BEST_FPERIOD_OVERRIDE=FQ","FILING_STATUS=MR","SCALING_FORMAT=MLN","Sort=A","Dates=H","DateFormat=P","Fill=—","Direction=H","UseDPDF=Y")</f>
        <v>8.9999999999999993E-3</v>
      </c>
      <c r="R59" s="13">
        <f>_xll.BDH("ITCI US Equity","ARDR_COMMON_STOCK","FQ3 2022","FQ3 2022","Currency=USD","Period=FQ","BEST_FPERIOD_OVERRIDE=FQ","FILING_STATUS=MR","SCALING_FORMAT=MLN","Sort=A","Dates=H","DateFormat=P","Fill=—","Direction=H","UseDPDF=Y")</f>
        <v>8.9999999999999993E-3</v>
      </c>
      <c r="S59" s="13">
        <f>_xll.BDH("ITCI US Equity","ARDR_COMMON_STOCK","FQ4 2022","FQ4 2022","Currency=USD","Period=FQ","BEST_FPERIOD_OVERRIDE=FQ","FILING_STATUS=MR","SCALING_FORMAT=MLN","Sort=A","Dates=H","DateFormat=P","Fill=—","Direction=H","UseDPDF=Y")</f>
        <v>8.9999999999999993E-3</v>
      </c>
      <c r="T59" s="13">
        <f>_xll.BDH("ITCI US Equity","ARDR_COMMON_STOCK","FQ1 2023","FQ1 2023","Currency=USD","Period=FQ","BEST_FPERIOD_OVERRIDE=FQ","FILING_STATUS=MR","SCALING_FORMAT=MLN","Sort=A","Dates=H","DateFormat=P","Fill=—","Direction=H","UseDPDF=Y")</f>
        <v>0.01</v>
      </c>
      <c r="U59" s="13">
        <f>_xll.BDH("ITCI US Equity","ARDR_COMMON_STOCK","FQ2 2023","FQ2 2023","Currency=USD","Period=FQ","BEST_FPERIOD_OVERRIDE=FQ","FILING_STATUS=MR","SCALING_FORMAT=MLN","Sort=A","Dates=H","DateFormat=P","Fill=—","Direction=H","UseDPDF=Y")</f>
        <v>0.01</v>
      </c>
      <c r="V59" s="13">
        <f>_xll.BDH("ITCI US Equity","ARDR_COMMON_STOCK","FQ3 2023","FQ3 2023","Currency=USD","Period=FQ","BEST_FPERIOD_OVERRIDE=FQ","FILING_STATUS=MR","SCALING_FORMAT=MLN","Sort=A","Dates=H","DateFormat=P","Fill=—","Direction=H","UseDPDF=Y")</f>
        <v>0.01</v>
      </c>
      <c r="W59" s="13">
        <f>_xll.BDH("ITCI US Equity","ARDR_COMMON_STOCK","FQ4 2023","FQ4 2023","Currency=USD","Period=FQ","BEST_FPERIOD_OVERRIDE=FQ","FILING_STATUS=MR","SCALING_FORMAT=MLN","Sort=A","Dates=H","DateFormat=P","Fill=—","Direction=H","UseDPDF=Y")</f>
        <v>0.01</v>
      </c>
      <c r="X59" s="13">
        <f>_xll.BDH("ITCI US Equity","ARDR_COMMON_STOCK","FQ1 2024","FQ1 2024","Currency=USD","Period=FQ","BEST_FPERIOD_OVERRIDE=FQ","FILING_STATUS=MR","SCALING_FORMAT=MLN","Sort=A","Dates=H","DateFormat=P","Fill=—","Direction=H","UseDPDF=Y")</f>
        <v>0.01</v>
      </c>
      <c r="Y59" s="13">
        <f>_xll.BDH("ITCI US Equity","ARDR_COMMON_STOCK","FQ2 2024","FQ2 2024","Currency=USD","Period=FQ","BEST_FPERIOD_OVERRIDE=FQ","FILING_STATUS=MR","SCALING_FORMAT=MLN","Sort=A","Dates=H","DateFormat=P","Fill=—","Direction=H","UseDPDF=Y")</f>
        <v>1.0999999999999999E-2</v>
      </c>
      <c r="Z59" s="13">
        <f>_xll.BDH("ITCI US Equity","ARDR_COMMON_STOCK","FQ3 2024","FQ3 2024","Currency=USD","Period=FQ","BEST_FPERIOD_OVERRIDE=FQ","FILING_STATUS=MR","SCALING_FORMAT=MLN","Sort=A","Dates=H","DateFormat=P","Fill=—","Direction=H","UseDPDF=Y")</f>
        <v>1.0999999999999999E-2</v>
      </c>
      <c r="AA59" s="13">
        <f>_xll.BDH("ITCI US Equity","ARDR_COMMON_STOCK","FQ4 2024","FQ4 2024","Currency=USD","Period=FQ","BEST_FPERIOD_OVERRIDE=FQ","FILING_STATUS=MR","SCALING_FORMAT=MLN","Sort=A","Dates=H","DateFormat=P","Fill=—","Direction=H","UseDPDF=Y")</f>
        <v>1.0999999999999999E-2</v>
      </c>
    </row>
    <row r="60" spans="1:27" x14ac:dyDescent="0.25">
      <c r="A60" s="10" t="s">
        <v>736</v>
      </c>
      <c r="B60" s="10" t="s">
        <v>776</v>
      </c>
      <c r="C60" s="13">
        <f>_xll.BDH("ITCI US Equity","ARDR_ADDITIONAL_PAID_IN_CAPITAL","FQ4 2018","FQ4 2018","Currency=USD","Period=FQ","BEST_FPERIOD_OVERRIDE=FQ","FILING_STATUS=MR","SCALING_FORMAT=MLN","Sort=A","Dates=H","DateFormat=P","Fill=—","Direction=H","UseDPDF=Y")</f>
        <v>880.75329999999997</v>
      </c>
      <c r="D60" s="13">
        <f>_xll.BDH("ITCI US Equity","ARDR_ADDITIONAL_PAID_IN_CAPITAL","FQ1 2019","FQ1 2019","Currency=USD","Period=FQ","BEST_FPERIOD_OVERRIDE=FQ","FILING_STATUS=MR","SCALING_FORMAT=MLN","Sort=A","Dates=H","DateFormat=P","Fill=—","Direction=H","UseDPDF=Y")</f>
        <v>885.88829999999996</v>
      </c>
      <c r="E60" s="13">
        <f>_xll.BDH("ITCI US Equity","ARDR_ADDITIONAL_PAID_IN_CAPITAL","FQ2 2019","FQ2 2019","Currency=USD","Period=FQ","BEST_FPERIOD_OVERRIDE=FQ","FILING_STATUS=MR","SCALING_FORMAT=MLN","Sort=A","Dates=H","DateFormat=P","Fill=—","Direction=H","UseDPDF=Y")</f>
        <v>891.18349999999998</v>
      </c>
      <c r="F60" s="13">
        <f>_xll.BDH("ITCI US Equity","ARDR_ADDITIONAL_PAID_IN_CAPITAL","FQ3 2019","FQ3 2019","Currency=USD","Period=FQ","BEST_FPERIOD_OVERRIDE=FQ","FILING_STATUS=MR","SCALING_FORMAT=MLN","Sort=A","Dates=H","DateFormat=P","Fill=—","Direction=H","UseDPDF=Y")</f>
        <v>896.19119999999998</v>
      </c>
      <c r="G60" s="13">
        <f>_xll.BDH("ITCI US Equity","ARDR_ADDITIONAL_PAID_IN_CAPITAL","FQ4 2019","FQ4 2019","Currency=USD","Period=FQ","BEST_FPERIOD_OVERRIDE=FQ","FILING_STATUS=MR","SCALING_FORMAT=MLN","Sort=A","Dates=H","DateFormat=P","Fill=—","Direction=H","UseDPDF=Y")</f>
        <v>904.97180000000003</v>
      </c>
      <c r="H60" s="13">
        <f>_xll.BDH("ITCI US Equity","ARDR_ADDITIONAL_PAID_IN_CAPITAL","FQ1 2020","FQ1 2020","Currency=USD","Period=FQ","BEST_FPERIOD_OVERRIDE=FQ","FILING_STATUS=MR","SCALING_FORMAT=MLN","Sort=A","Dates=H","DateFormat=P","Fill=—","Direction=H","UseDPDF=Y")</f>
        <v>1188.0959</v>
      </c>
      <c r="I60" s="13">
        <f>_xll.BDH("ITCI US Equity","ARDR_ADDITIONAL_PAID_IN_CAPITAL","FQ2 2020","FQ2 2020","Currency=USD","Period=FQ","BEST_FPERIOD_OVERRIDE=FQ","FILING_STATUS=MR","SCALING_FORMAT=MLN","Sort=A","Dates=H","DateFormat=P","Fill=—","Direction=H","UseDPDF=Y")</f>
        <v>1199.5762999999999</v>
      </c>
      <c r="J60" s="13">
        <f>_xll.BDH("ITCI US Equity","ARDR_ADDITIONAL_PAID_IN_CAPITAL","FQ3 2020","FQ3 2020","Currency=USD","Period=FQ","BEST_FPERIOD_OVERRIDE=FQ","FILING_STATUS=MR","SCALING_FORMAT=MLN","Sort=A","Dates=H","DateFormat=P","Fill=—","Direction=H","UseDPDF=Y")</f>
        <v>1585.0236</v>
      </c>
      <c r="K60" s="13">
        <f>_xll.BDH("ITCI US Equity","ARDR_ADDITIONAL_PAID_IN_CAPITAL","FQ4 2020","FQ4 2020","Currency=USD","Period=FQ","BEST_FPERIOD_OVERRIDE=FQ","FILING_STATUS=MR","SCALING_FORMAT=MLN","Sort=A","Dates=H","DateFormat=P","Fill=—","Direction=H","UseDPDF=Y")</f>
        <v>1593.4755</v>
      </c>
      <c r="L60" s="13">
        <f>_xll.BDH("ITCI US Equity","ARDR_ADDITIONAL_PAID_IN_CAPITAL","FQ1 2021","FQ1 2021","Currency=USD","Period=FQ","BEST_FPERIOD_OVERRIDE=FQ","FILING_STATUS=MR","SCALING_FORMAT=MLN","Sort=A","Dates=H","DateFormat=P","Fill=—","Direction=H","UseDPDF=Y")</f>
        <v>1601.7391</v>
      </c>
      <c r="M60" s="13">
        <f>_xll.BDH("ITCI US Equity","ARDR_ADDITIONAL_PAID_IN_CAPITAL","FQ2 2021","FQ2 2021","Currency=USD","Period=FQ","BEST_FPERIOD_OVERRIDE=FQ","FILING_STATUS=MR","SCALING_FORMAT=MLN","Sort=A","Dates=H","DateFormat=P","Fill=—","Direction=H","UseDPDF=Y")</f>
        <v>1611.9893999999999</v>
      </c>
      <c r="N60" s="13">
        <f>_xll.BDH("ITCI US Equity","ARDR_ADDITIONAL_PAID_IN_CAPITAL","FQ3 2021","FQ3 2021","Currency=USD","Period=FQ","BEST_FPERIOD_OVERRIDE=FQ","FILING_STATUS=MR","SCALING_FORMAT=MLN","Sort=A","Dates=H","DateFormat=P","Fill=—","Direction=H","UseDPDF=Y")</f>
        <v>1622.1496999999999</v>
      </c>
      <c r="O60" s="13">
        <f>_xll.BDH("ITCI US Equity","ARDR_ADDITIONAL_PAID_IN_CAPITAL","FQ4 2021","FQ4 2021","Currency=USD","Period=FQ","BEST_FPERIOD_OVERRIDE=FQ","FILING_STATUS=MR","SCALING_FORMAT=MLN","Sort=A","Dates=H","DateFormat=P","Fill=—","Direction=H","UseDPDF=Y")</f>
        <v>1639.4757999999999</v>
      </c>
      <c r="P60" s="13">
        <f>_xll.BDH("ITCI US Equity","ARDR_ADDITIONAL_PAID_IN_CAPITAL","FQ1 2022","FQ1 2022","Currency=USD","Period=FQ","BEST_FPERIOD_OVERRIDE=FQ","FILING_STATUS=MR","SCALING_FORMAT=MLN","Sort=A","Dates=H","DateFormat=P","Fill=—","Direction=H","UseDPDF=Y")</f>
        <v>2089.4180000000001</v>
      </c>
      <c r="Q60" s="13">
        <f>_xll.BDH("ITCI US Equity","ARDR_ADDITIONAL_PAID_IN_CAPITAL","FQ2 2022","FQ2 2022","Currency=USD","Period=FQ","BEST_FPERIOD_OVERRIDE=FQ","FILING_STATUS=MR","SCALING_FORMAT=MLN","Sort=A","Dates=H","DateFormat=P","Fill=—","Direction=H","UseDPDF=Y")</f>
        <v>2106.942</v>
      </c>
      <c r="R60" s="13">
        <f>_xll.BDH("ITCI US Equity","ARDR_ADDITIONAL_PAID_IN_CAPITAL","FQ3 2022","FQ3 2022","Currency=USD","Period=FQ","BEST_FPERIOD_OVERRIDE=FQ","FILING_STATUS=MR","SCALING_FORMAT=MLN","Sort=A","Dates=H","DateFormat=P","Fill=—","Direction=H","UseDPDF=Y")</f>
        <v>2124.3690000000001</v>
      </c>
      <c r="S60" s="13">
        <f>_xll.BDH("ITCI US Equity","ARDR_ADDITIONAL_PAID_IN_CAPITAL","FQ4 2022","FQ4 2022","Currency=USD","Period=FQ","BEST_FPERIOD_OVERRIDE=FQ","FILING_STATUS=MR","SCALING_FORMAT=MLN","Sort=A","Dates=H","DateFormat=P","Fill=—","Direction=H","UseDPDF=Y")</f>
        <v>2137.7370000000001</v>
      </c>
      <c r="T60" s="13">
        <f>_xll.BDH("ITCI US Equity","ARDR_ADDITIONAL_PAID_IN_CAPITAL","FQ1 2023","FQ1 2023","Currency=USD","Period=FQ","BEST_FPERIOD_OVERRIDE=FQ","FILING_STATUS=MR","SCALING_FORMAT=MLN","Sort=A","Dates=H","DateFormat=P","Fill=—","Direction=H","UseDPDF=Y")</f>
        <v>2151.837</v>
      </c>
      <c r="U60" s="13">
        <f>_xll.BDH("ITCI US Equity","ARDR_ADDITIONAL_PAID_IN_CAPITAL","FQ2 2023","FQ2 2023","Currency=USD","Period=FQ","BEST_FPERIOD_OVERRIDE=FQ","FILING_STATUS=MR","SCALING_FORMAT=MLN","Sort=A","Dates=H","DateFormat=P","Fill=—","Direction=H","UseDPDF=Y")</f>
        <v>2173.6709999999998</v>
      </c>
      <c r="V60" s="13">
        <f>_xll.BDH("ITCI US Equity","ARDR_ADDITIONAL_PAID_IN_CAPITAL","FQ3 2023","FQ3 2023","Currency=USD","Period=FQ","BEST_FPERIOD_OVERRIDE=FQ","FILING_STATUS=MR","SCALING_FORMAT=MLN","Sort=A","Dates=H","DateFormat=P","Fill=—","Direction=H","UseDPDF=Y")</f>
        <v>2190.587</v>
      </c>
      <c r="W60" s="13">
        <f>_xll.BDH("ITCI US Equity","ARDR_ADDITIONAL_PAID_IN_CAPITAL","FQ4 2023","FQ4 2023","Currency=USD","Period=FQ","BEST_FPERIOD_OVERRIDE=FQ","FILING_STATUS=MR","SCALING_FORMAT=MLN","Sort=A","Dates=H","DateFormat=P","Fill=—","Direction=H","UseDPDF=Y")</f>
        <v>2208.4699999999998</v>
      </c>
      <c r="X60" s="13">
        <f>_xll.BDH("ITCI US Equity","ARDR_ADDITIONAL_PAID_IN_CAPITAL","FQ1 2024","FQ1 2024","Currency=USD","Period=FQ","BEST_FPERIOD_OVERRIDE=FQ","FILING_STATUS=MR","SCALING_FORMAT=MLN","Sort=A","Dates=H","DateFormat=P","Fill=—","Direction=H","UseDPDF=Y")</f>
        <v>2232.3249999999998</v>
      </c>
      <c r="Y60" s="13">
        <f>_xll.BDH("ITCI US Equity","ARDR_ADDITIONAL_PAID_IN_CAPITAL","FQ2 2024","FQ2 2024","Currency=USD","Period=FQ","BEST_FPERIOD_OVERRIDE=FQ","FILING_STATUS=MR","SCALING_FORMAT=MLN","Sort=A","Dates=H","DateFormat=P","Fill=—","Direction=H","UseDPDF=Y")</f>
        <v>2793.8960000000002</v>
      </c>
      <c r="Z60" s="13">
        <f>_xll.BDH("ITCI US Equity","ARDR_ADDITIONAL_PAID_IN_CAPITAL","FQ3 2024","FQ3 2024","Currency=USD","Period=FQ","BEST_FPERIOD_OVERRIDE=FQ","FILING_STATUS=MR","SCALING_FORMAT=MLN","Sort=A","Dates=H","DateFormat=P","Fill=—","Direction=H","UseDPDF=Y")</f>
        <v>2818.1370000000002</v>
      </c>
      <c r="AA60" s="13">
        <f>_xll.BDH("ITCI US Equity","ARDR_ADDITIONAL_PAID_IN_CAPITAL","FQ4 2024","FQ4 2024","Currency=USD","Period=FQ","BEST_FPERIOD_OVERRIDE=FQ","FILING_STATUS=MR","SCALING_FORMAT=MLN","Sort=A","Dates=H","DateFormat=P","Fill=—","Direction=H","UseDPDF=Y")</f>
        <v>2840.0940000000001</v>
      </c>
    </row>
    <row r="61" spans="1:27" x14ac:dyDescent="0.25">
      <c r="A61" s="10" t="s">
        <v>738</v>
      </c>
      <c r="B61" s="10" t="s">
        <v>777</v>
      </c>
      <c r="C61" s="13">
        <f>_xll.BDH("ITCI US Equity","ARDR_ACC_OTH_COMPREHENSIVE_INC","FQ4 2018","FQ4 2018","Currency=USD","Period=FQ","BEST_FPERIOD_OVERRIDE=FQ","FILING_STATUS=MR","SCALING_FORMAT=MLN","Sort=A","Dates=H","DateFormat=P","Fill=—","Direction=H","UseDPDF=Y")</f>
        <v>-0.66779999999999995</v>
      </c>
      <c r="D61" s="13">
        <f>_xll.BDH("ITCI US Equity","ARDR_ACC_OTH_COMPREHENSIVE_INC","FQ1 2019","FQ1 2019","Currency=USD","Period=FQ","BEST_FPERIOD_OVERRIDE=FQ","FILING_STATUS=MR","SCALING_FORMAT=MLN","Sort=A","Dates=H","DateFormat=P","Fill=—","Direction=H","UseDPDF=Y")</f>
        <v>-6.7500000000000004E-2</v>
      </c>
      <c r="E61" s="13">
        <f>_xll.BDH("ITCI US Equity","ARDR_ACC_OTH_COMPREHENSIVE_INC","FQ2 2019","FQ2 2019","Currency=USD","Period=FQ","BEST_FPERIOD_OVERRIDE=FQ","FILING_STATUS=MR","SCALING_FORMAT=MLN","Sort=A","Dates=H","DateFormat=P","Fill=—","Direction=H","UseDPDF=Y")</f>
        <v>0.2324</v>
      </c>
      <c r="F61" s="13">
        <f>_xll.BDH("ITCI US Equity","ARDR_ACC_OTH_COMPREHENSIVE_INC","FQ3 2019","FQ3 2019","Currency=USD","Period=FQ","BEST_FPERIOD_OVERRIDE=FQ","FILING_STATUS=MR","SCALING_FORMAT=MLN","Sort=A","Dates=H","DateFormat=P","Fill=—","Direction=H","UseDPDF=Y")</f>
        <v>0.19900000000000001</v>
      </c>
      <c r="G61" s="13">
        <f>_xll.BDH("ITCI US Equity","ARDR_ACC_OTH_COMPREHENSIVE_INC","FQ4 2019","FQ4 2019","Currency=USD","Period=FQ","BEST_FPERIOD_OVERRIDE=FQ","FILING_STATUS=MR","SCALING_FORMAT=MLN","Sort=A","Dates=H","DateFormat=P","Fill=—","Direction=H","UseDPDF=Y")</f>
        <v>0.1283</v>
      </c>
      <c r="H61" s="13">
        <f>_xll.BDH("ITCI US Equity","ARDR_ACC_OTH_COMPREHENSIVE_INC","FQ1 2020","FQ1 2020","Currency=USD","Period=FQ","BEST_FPERIOD_OVERRIDE=FQ","FILING_STATUS=MR","SCALING_FORMAT=MLN","Sort=A","Dates=H","DateFormat=P","Fill=—","Direction=H","UseDPDF=Y")</f>
        <v>-0.1452</v>
      </c>
      <c r="I61" s="13">
        <f>_xll.BDH("ITCI US Equity","ARDR_ACC_OTH_COMPREHENSIVE_INC","FQ2 2020","FQ2 2020","Currency=USD","Period=FQ","BEST_FPERIOD_OVERRIDE=FQ","FILING_STATUS=MR","SCALING_FORMAT=MLN","Sort=A","Dates=H","DateFormat=P","Fill=—","Direction=H","UseDPDF=Y")</f>
        <v>1.1680999999999999</v>
      </c>
      <c r="J61" s="13">
        <f>_xll.BDH("ITCI US Equity","ARDR_ACC_OTH_COMPREHENSIVE_INC","FQ3 2020","FQ3 2020","Currency=USD","Period=FQ","BEST_FPERIOD_OVERRIDE=FQ","FILING_STATUS=MR","SCALING_FORMAT=MLN","Sort=A","Dates=H","DateFormat=P","Fill=—","Direction=H","UseDPDF=Y")</f>
        <v>0.76870000000000005</v>
      </c>
      <c r="K61" s="13">
        <f>_xll.BDH("ITCI US Equity","ARDR_ACC_OTH_COMPREHENSIVE_INC","FQ4 2020","FQ4 2020","Currency=USD","Period=FQ","BEST_FPERIOD_OVERRIDE=FQ","FILING_STATUS=MR","SCALING_FORMAT=MLN","Sort=A","Dates=H","DateFormat=P","Fill=—","Direction=H","UseDPDF=Y")</f>
        <v>0.48060000000000003</v>
      </c>
      <c r="L61" s="13">
        <f>_xll.BDH("ITCI US Equity","ARDR_ACC_OTH_COMPREHENSIVE_INC","FQ1 2021","FQ1 2021","Currency=USD","Period=FQ","BEST_FPERIOD_OVERRIDE=FQ","FILING_STATUS=MR","SCALING_FORMAT=MLN","Sort=A","Dates=H","DateFormat=P","Fill=—","Direction=H","UseDPDF=Y")</f>
        <v>0.2465</v>
      </c>
      <c r="M61" s="13">
        <f>_xll.BDH("ITCI US Equity","ARDR_ACC_OTH_COMPREHENSIVE_INC","FQ2 2021","FQ2 2021","Currency=USD","Period=FQ","BEST_FPERIOD_OVERRIDE=FQ","FILING_STATUS=MR","SCALING_FORMAT=MLN","Sort=A","Dates=H","DateFormat=P","Fill=—","Direction=H","UseDPDF=Y")</f>
        <v>0.17610000000000001</v>
      </c>
      <c r="N61" s="13">
        <f>_xll.BDH("ITCI US Equity","ARDR_ACC_OTH_COMPREHENSIVE_INC","FQ3 2021","FQ3 2021","Currency=USD","Period=FQ","BEST_FPERIOD_OVERRIDE=FQ","FILING_STATUS=MR","SCALING_FORMAT=MLN","Sort=A","Dates=H","DateFormat=P","Fill=—","Direction=H","UseDPDF=Y")</f>
        <v>9.4200000000000006E-2</v>
      </c>
      <c r="O61" s="13">
        <f>_xll.BDH("ITCI US Equity","ARDR_ACC_OTH_COMPREHENSIVE_INC","FQ4 2021","FQ4 2021","Currency=USD","Period=FQ","BEST_FPERIOD_OVERRIDE=FQ","FILING_STATUS=MR","SCALING_FORMAT=MLN","Sort=A","Dates=H","DateFormat=P","Fill=—","Direction=H","UseDPDF=Y")</f>
        <v>-0.36370000000000002</v>
      </c>
      <c r="P61" s="13">
        <f>_xll.BDH("ITCI US Equity","ARDR_ACC_OTH_COMPREHENSIVE_INC","FQ1 2022","FQ1 2022","Currency=USD","Period=FQ","BEST_FPERIOD_OVERRIDE=FQ","FILING_STATUS=MR","SCALING_FORMAT=MLN","Sort=A","Dates=H","DateFormat=P","Fill=—","Direction=H","UseDPDF=Y")</f>
        <v>-3.3279999999999998</v>
      </c>
      <c r="Q61" s="13">
        <f>_xll.BDH("ITCI US Equity","ARDR_ACC_OTH_COMPREHENSIVE_INC","FQ2 2022","FQ2 2022","Currency=USD","Period=FQ","BEST_FPERIOD_OVERRIDE=FQ","FILING_STATUS=MR","SCALING_FORMAT=MLN","Sort=A","Dates=H","DateFormat=P","Fill=—","Direction=H","UseDPDF=Y")</f>
        <v>-4.8019999999999996</v>
      </c>
      <c r="R61" s="13">
        <f>_xll.BDH("ITCI US Equity","ARDR_ACC_OTH_COMPREHENSIVE_INC","FQ3 2022","FQ3 2022","Currency=USD","Period=FQ","BEST_FPERIOD_OVERRIDE=FQ","FILING_STATUS=MR","SCALING_FORMAT=MLN","Sort=A","Dates=H","DateFormat=P","Fill=—","Direction=H","UseDPDF=Y")</f>
        <v>679.92600000000004</v>
      </c>
      <c r="S61" s="13">
        <f>_xll.BDH("ITCI US Equity","ARDR_ACC_OTH_COMPREHENSIVE_INC","FQ4 2022","FQ4 2022","Currency=USD","Period=FQ","BEST_FPERIOD_OVERRIDE=FQ","FILING_STATUS=MR","SCALING_FORMAT=MLN","Sort=A","Dates=H","DateFormat=P","Fill=—","Direction=H","UseDPDF=Y")</f>
        <v>-4.1900000000000004</v>
      </c>
      <c r="T61" s="13">
        <f>_xll.BDH("ITCI US Equity","ARDR_ACC_OTH_COMPREHENSIVE_INC","FQ1 2023","FQ1 2023","Currency=USD","Period=FQ","BEST_FPERIOD_OVERRIDE=FQ","FILING_STATUS=MR","SCALING_FORMAT=MLN","Sort=A","Dates=H","DateFormat=P","Fill=—","Direction=H","UseDPDF=Y")</f>
        <v>-2.698</v>
      </c>
      <c r="U61" s="13">
        <f>_xll.BDH("ITCI US Equity","ARDR_ACC_OTH_COMPREHENSIVE_INC","FQ2 2023","FQ2 2023","Currency=USD","Period=FQ","BEST_FPERIOD_OVERRIDE=FQ","FILING_STATUS=MR","SCALING_FORMAT=MLN","Sort=A","Dates=H","DateFormat=P","Fill=—","Direction=H","UseDPDF=Y")</f>
        <v>-2.2679999999999998</v>
      </c>
      <c r="V61" s="13">
        <f>_xll.BDH("ITCI US Equity","ARDR_ACC_OTH_COMPREHENSIVE_INC","FQ3 2023","FQ3 2023","Currency=USD","Period=FQ","BEST_FPERIOD_OVERRIDE=FQ","FILING_STATUS=MR","SCALING_FORMAT=MLN","Sort=A","Dates=H","DateFormat=P","Fill=—","Direction=H","UseDPDF=Y")</f>
        <v>-1.335</v>
      </c>
      <c r="W61" s="13">
        <f>_xll.BDH("ITCI US Equity","ARDR_ACC_OTH_COMPREHENSIVE_INC","FQ4 2023","FQ4 2023","Currency=USD","Period=FQ","BEST_FPERIOD_OVERRIDE=FQ","FILING_STATUS=MR","SCALING_FORMAT=MLN","Sort=A","Dates=H","DateFormat=P","Fill=—","Direction=H","UseDPDF=Y")</f>
        <v>0.104</v>
      </c>
      <c r="X61" s="13">
        <f>_xll.BDH("ITCI US Equity","ARDR_ACC_OTH_COMPREHENSIVE_INC","FQ1 2024","FQ1 2024","Currency=USD","Period=FQ","BEST_FPERIOD_OVERRIDE=FQ","FILING_STATUS=MR","SCALING_FORMAT=MLN","Sort=A","Dates=H","DateFormat=P","Fill=—","Direction=H","UseDPDF=Y")</f>
        <v>-0.43</v>
      </c>
      <c r="Y61" s="13">
        <f>_xll.BDH("ITCI US Equity","ARDR_ACC_OTH_COMPREHENSIVE_INC","FQ2 2024","FQ2 2024","Currency=USD","Period=FQ","BEST_FPERIOD_OVERRIDE=FQ","FILING_STATUS=MR","SCALING_FORMAT=MLN","Sort=A","Dates=H","DateFormat=P","Fill=—","Direction=H","UseDPDF=Y")</f>
        <v>-0.66800000000000004</v>
      </c>
      <c r="Z61" s="13">
        <f>_xll.BDH("ITCI US Equity","ARDR_ACC_OTH_COMPREHENSIVE_INC","FQ3 2024","FQ3 2024","Currency=USD","Period=FQ","BEST_FPERIOD_OVERRIDE=FQ","FILING_STATUS=MR","SCALING_FORMAT=MLN","Sort=A","Dates=H","DateFormat=P","Fill=—","Direction=H","UseDPDF=Y")</f>
        <v>1.629</v>
      </c>
      <c r="AA61" s="13">
        <f>_xll.BDH("ITCI US Equity","ARDR_ACC_OTH_COMPREHENSIVE_INC","FQ4 2024","FQ4 2024","Currency=USD","Period=FQ","BEST_FPERIOD_OVERRIDE=FQ","FILING_STATUS=MR","SCALING_FORMAT=MLN","Sort=A","Dates=H","DateFormat=P","Fill=—","Direction=H","UseDPDF=Y")</f>
        <v>0.191</v>
      </c>
    </row>
    <row r="62" spans="1:27" x14ac:dyDescent="0.25">
      <c r="A62" s="10" t="s">
        <v>740</v>
      </c>
      <c r="B62" s="10" t="s">
        <v>778</v>
      </c>
      <c r="C62" s="13">
        <f>_xll.BDH("ITCI US Equity","ARDR_RETAINED_EARN_ACC_DEFICIT","FQ4 2018","FQ4 2018","Currency=USD","Period=FQ","BEST_FPERIOD_OVERRIDE=FQ","FILING_STATUS=MR","SCALING_FORMAT=MLN","Sort=A","Dates=H","DateFormat=P","Fill=—","Direction=H","UseDPDF=Y")</f>
        <v>-562.37620000000004</v>
      </c>
      <c r="D62" s="13">
        <f>_xll.BDH("ITCI US Equity","ARDR_RETAINED_EARN_ACC_DEFICIT","FQ1 2019","FQ1 2019","Currency=USD","Period=FQ","BEST_FPERIOD_OVERRIDE=FQ","FILING_STATUS=MR","SCALING_FORMAT=MLN","Sort=A","Dates=H","DateFormat=P","Fill=—","Direction=H","UseDPDF=Y")</f>
        <v>-597.21199999999999</v>
      </c>
      <c r="E62" s="13">
        <f>_xll.BDH("ITCI US Equity","ARDR_RETAINED_EARN_ACC_DEFICIT","FQ2 2019","FQ2 2019","Currency=USD","Period=FQ","BEST_FPERIOD_OVERRIDE=FQ","FILING_STATUS=MR","SCALING_FORMAT=MLN","Sort=A","Dates=H","DateFormat=P","Fill=—","Direction=H","UseDPDF=Y")</f>
        <v>-634.65309999999999</v>
      </c>
      <c r="F62" s="13">
        <f>_xll.BDH("ITCI US Equity","ARDR_RETAINED_EARN_ACC_DEFICIT","FQ3 2019","FQ3 2019","Currency=USD","Period=FQ","BEST_FPERIOD_OVERRIDE=FQ","FILING_STATUS=MR","SCALING_FORMAT=MLN","Sort=A","Dates=H","DateFormat=P","Fill=—","Direction=H","UseDPDF=Y")</f>
        <v>-669.51549999999997</v>
      </c>
      <c r="G62" s="13">
        <f>_xll.BDH("ITCI US Equity","ARDR_RETAINED_EARN_ACC_DEFICIT","FQ4 2019","FQ4 2019","Currency=USD","Period=FQ","BEST_FPERIOD_OVERRIDE=FQ","FILING_STATUS=MR","SCALING_FORMAT=MLN","Sort=A","Dates=H","DateFormat=P","Fill=—","Direction=H","UseDPDF=Y")</f>
        <v>-710.09839999999997</v>
      </c>
      <c r="H62" s="13">
        <f>_xll.BDH("ITCI US Equity","ARDR_RETAINED_EARN_ACC_DEFICIT","FQ1 2020","FQ1 2020","Currency=USD","Period=FQ","BEST_FPERIOD_OVERRIDE=FQ","FILING_STATUS=MR","SCALING_FORMAT=MLN","Sort=A","Dates=H","DateFormat=P","Fill=—","Direction=H","UseDPDF=Y")</f>
        <v>-757.50900000000001</v>
      </c>
      <c r="I62" s="13">
        <f>_xll.BDH("ITCI US Equity","ARDR_RETAINED_EARN_ACC_DEFICIT","FQ2 2020","FQ2 2020","Currency=USD","Period=FQ","BEST_FPERIOD_OVERRIDE=FQ","FILING_STATUS=MR","SCALING_FORMAT=MLN","Sort=A","Dates=H","DateFormat=P","Fill=—","Direction=H","UseDPDF=Y")</f>
        <v>-821.22119999999995</v>
      </c>
      <c r="J62" s="13">
        <f>_xll.BDH("ITCI US Equity","ARDR_RETAINED_EARN_ACC_DEFICIT","FQ3 2020","FQ3 2020","Currency=USD","Period=FQ","BEST_FPERIOD_OVERRIDE=FQ","FILING_STATUS=MR","SCALING_FORMAT=MLN","Sort=A","Dates=H","DateFormat=P","Fill=—","Direction=H","UseDPDF=Y")</f>
        <v>-876.4049</v>
      </c>
      <c r="K62" s="13">
        <f>_xll.BDH("ITCI US Equity","ARDR_RETAINED_EARN_ACC_DEFICIT","FQ4 2020","FQ4 2020","Currency=USD","Period=FQ","BEST_FPERIOD_OVERRIDE=FQ","FILING_STATUS=MR","SCALING_FORMAT=MLN","Sort=A","Dates=H","DateFormat=P","Fill=—","Direction=H","UseDPDF=Y")</f>
        <v>-937.10400000000004</v>
      </c>
      <c r="L62" s="13">
        <f>_xll.BDH("ITCI US Equity","ARDR_RETAINED_EARN_ACC_DEFICIT","FQ1 2021","FQ1 2021","Currency=USD","Period=FQ","BEST_FPERIOD_OVERRIDE=FQ","FILING_STATUS=MR","SCALING_FORMAT=MLN","Sort=A","Dates=H","DateFormat=P","Fill=—","Direction=H","UseDPDF=Y")</f>
        <v>-989.84400000000005</v>
      </c>
      <c r="M62" s="13">
        <f>_xll.BDH("ITCI US Equity","ARDR_RETAINED_EARN_ACC_DEFICIT","FQ2 2021","FQ2 2021","Currency=USD","Period=FQ","BEST_FPERIOD_OVERRIDE=FQ","FILING_STATUS=MR","SCALING_FORMAT=MLN","Sort=A","Dates=H","DateFormat=P","Fill=—","Direction=H","UseDPDF=Y")</f>
        <v>-1058.5878</v>
      </c>
      <c r="N62" s="13">
        <f>_xll.BDH("ITCI US Equity","ARDR_RETAINED_EARN_ACC_DEFICIT","FQ3 2021","FQ3 2021","Currency=USD","Period=FQ","BEST_FPERIOD_OVERRIDE=FQ","FILING_STATUS=MR","SCALING_FORMAT=MLN","Sort=A","Dates=H","DateFormat=P","Fill=—","Direction=H","UseDPDF=Y")</f>
        <v>-1135.4957999999999</v>
      </c>
      <c r="O62" s="13">
        <f>_xll.BDH("ITCI US Equity","ARDR_RETAINED_EARN_ACC_DEFICIT","FQ4 2021","FQ4 2021","Currency=USD","Period=FQ","BEST_FPERIOD_OVERRIDE=FQ","FILING_STATUS=MR","SCALING_FORMAT=MLN","Sort=A","Dates=H","DateFormat=P","Fill=—","Direction=H","UseDPDF=Y")</f>
        <v>-1221.2297000000001</v>
      </c>
      <c r="P62" s="13">
        <f>_xll.BDH("ITCI US Equity","ARDR_RETAINED_EARN_ACC_DEFICIT","FQ1 2022","FQ1 2022","Currency=USD","Period=FQ","BEST_FPERIOD_OVERRIDE=FQ","FILING_STATUS=MR","SCALING_FORMAT=MLN","Sort=A","Dates=H","DateFormat=P","Fill=—","Direction=H","UseDPDF=Y")</f>
        <v>-1293.3489999999999</v>
      </c>
      <c r="Q62" s="13">
        <f>_xll.BDH("ITCI US Equity","ARDR_RETAINED_EARN_ACC_DEFICIT","FQ2 2022","FQ2 2022","Currency=USD","Period=FQ","BEST_FPERIOD_OVERRIDE=FQ","FILING_STATUS=MR","SCALING_FORMAT=MLN","Sort=A","Dates=H","DateFormat=P","Fill=—","Direction=H","UseDPDF=Y")</f>
        <v>-1379.952</v>
      </c>
      <c r="R62" s="13">
        <f>_xll.BDH("ITCI US Equity","ARDR_RETAINED_EARN_ACC_DEFICIT","FQ3 2022","FQ3 2022","Currency=USD","Period=FQ","BEST_FPERIOD_OVERRIDE=FQ","FILING_STATUS=MR","SCALING_FORMAT=MLN","Sort=A","Dates=H","DateFormat=P","Fill=—","Direction=H","UseDPDF=Y")</f>
        <v>-1433.46</v>
      </c>
      <c r="S62" s="13">
        <f>_xll.BDH("ITCI US Equity","ARDR_RETAINED_EARN_ACC_DEFICIT","FQ4 2022","FQ4 2022","Currency=USD","Period=FQ","BEST_FPERIOD_OVERRIDE=FQ","FILING_STATUS=MR","SCALING_FORMAT=MLN","Sort=A","Dates=H","DateFormat=P","Fill=—","Direction=H","UseDPDF=Y")</f>
        <v>-1477.4860000000001</v>
      </c>
      <c r="T62" s="13">
        <f>_xll.BDH("ITCI US Equity","ARDR_RETAINED_EARN_ACC_DEFICIT","FQ1 2023","FQ1 2023","Currency=USD","Period=FQ","BEST_FPERIOD_OVERRIDE=FQ","FILING_STATUS=MR","SCALING_FORMAT=MLN","Sort=A","Dates=H","DateFormat=P","Fill=—","Direction=H","UseDPDF=Y")</f>
        <v>-1521.539</v>
      </c>
      <c r="U62" s="13">
        <f>_xll.BDH("ITCI US Equity","ARDR_RETAINED_EARN_ACC_DEFICIT","FQ2 2023","FQ2 2023","Currency=USD","Period=FQ","BEST_FPERIOD_OVERRIDE=FQ","FILING_STATUS=MR","SCALING_FORMAT=MLN","Sort=A","Dates=H","DateFormat=P","Fill=—","Direction=H","UseDPDF=Y")</f>
        <v>-1564.3230000000001</v>
      </c>
      <c r="V62" s="13">
        <f>_xll.BDH("ITCI US Equity","ARDR_RETAINED_EARN_ACC_DEFICIT","FQ3 2023","FQ3 2023","Currency=USD","Period=FQ","BEST_FPERIOD_OVERRIDE=FQ","FILING_STATUS=MR","SCALING_FORMAT=MLN","Sort=A","Dates=H","DateFormat=P","Fill=—","Direction=H","UseDPDF=Y")</f>
        <v>-1588.5809999999999</v>
      </c>
      <c r="W62" s="13">
        <f>_xll.BDH("ITCI US Equity","ARDR_RETAINED_EARN_ACC_DEFICIT","FQ4 2023","FQ4 2023","Currency=USD","Period=FQ","BEST_FPERIOD_OVERRIDE=FQ","FILING_STATUS=MR","SCALING_FORMAT=MLN","Sort=A","Dates=H","DateFormat=P","Fill=—","Direction=H","UseDPDF=Y")</f>
        <v>-1617.16</v>
      </c>
      <c r="X62" s="13">
        <f>_xll.BDH("ITCI US Equity","ARDR_RETAINED_EARN_ACC_DEFICIT","FQ1 2024","FQ1 2024","Currency=USD","Period=FQ","BEST_FPERIOD_OVERRIDE=FQ","FILING_STATUS=MR","SCALING_FORMAT=MLN","Sort=A","Dates=H","DateFormat=P","Fill=—","Direction=H","UseDPDF=Y")</f>
        <v>-1632.4069999999999</v>
      </c>
      <c r="Y62" s="13">
        <f>_xll.BDH("ITCI US Equity","ARDR_RETAINED_EARN_ACC_DEFICIT","FQ2 2024","FQ2 2024","Currency=USD","Period=FQ","BEST_FPERIOD_OVERRIDE=FQ","FILING_STATUS=MR","SCALING_FORMAT=MLN","Sort=A","Dates=H","DateFormat=P","Fill=—","Direction=H","UseDPDF=Y")</f>
        <v>-1648.627</v>
      </c>
      <c r="Z62" s="13">
        <f>_xll.BDH("ITCI US Equity","ARDR_RETAINED_EARN_ACC_DEFICIT","FQ3 2024","FQ3 2024","Currency=USD","Period=FQ","BEST_FPERIOD_OVERRIDE=FQ","FILING_STATUS=MR","SCALING_FORMAT=MLN","Sort=A","Dates=H","DateFormat=P","Fill=—","Direction=H","UseDPDF=Y")</f>
        <v>-1674.951</v>
      </c>
      <c r="AA62" s="13">
        <f>_xll.BDH("ITCI US Equity","ARDR_RETAINED_EARN_ACC_DEFICIT","FQ4 2024","FQ4 2024","Currency=USD","Period=FQ","BEST_FPERIOD_OVERRIDE=FQ","FILING_STATUS=MR","SCALING_FORMAT=MLN","Sort=A","Dates=H","DateFormat=P","Fill=—","Direction=H","UseDPDF=Y")</f>
        <v>-1691.836</v>
      </c>
    </row>
    <row r="63" spans="1:27" x14ac:dyDescent="0.25">
      <c r="A63" s="10" t="s">
        <v>661</v>
      </c>
      <c r="B63" s="10" t="s">
        <v>779</v>
      </c>
      <c r="C63" s="13">
        <f>_xll.BDH("ITCI US Equity","ARDR_SHARES_OUTSTANDING","FQ4 2018","FQ4 2018","Currency=USD","Period=FQ","BEST_FPERIOD_OVERRIDE=FQ","FILING_STATUS=MR","Sort=A","Dates=H","DateFormat=P","Fill=—","Direction=H","UseDPDF=Y")</f>
        <v>54.895299999999999</v>
      </c>
      <c r="D63" s="13">
        <f>_xll.BDH("ITCI US Equity","ARDR_SHARES_OUTSTANDING","FQ1 2019","FQ1 2019","Currency=USD","Period=FQ","BEST_FPERIOD_OVERRIDE=FQ","FILING_STATUS=MR","Sort=A","Dates=H","DateFormat=P","Fill=—","Direction=H","UseDPDF=Y")</f>
        <v>55.131100000000004</v>
      </c>
      <c r="E63" s="13">
        <f>_xll.BDH("ITCI US Equity","ARDR_SHARES_OUTSTANDING","FQ2 2019","FQ2 2019","Currency=USD","Period=FQ","BEST_FPERIOD_OVERRIDE=FQ","FILING_STATUS=MR","Sort=A","Dates=H","DateFormat=P","Fill=—","Direction=H","UseDPDF=Y")</f>
        <v>55.186700000000002</v>
      </c>
      <c r="F63" s="13">
        <f>_xll.BDH("ITCI US Equity","ARDR_SHARES_OUTSTANDING","FQ3 2019","FQ3 2019","Currency=USD","Period=FQ","BEST_FPERIOD_OVERRIDE=FQ","FILING_STATUS=MR","Sort=A","Dates=H","DateFormat=P","Fill=—","Direction=H","UseDPDF=Y")</f>
        <v>55.247599999999998</v>
      </c>
      <c r="G63" s="13">
        <f>_xll.BDH("ITCI US Equity","ARDR_SHARES_OUTSTANDING","FQ4 2019","FQ4 2019","Currency=USD","Period=FQ","BEST_FPERIOD_OVERRIDE=FQ","FILING_STATUS=MR","Sort=A","Dates=H","DateFormat=P","Fill=—","Direction=H","UseDPDF=Y")</f>
        <v>55.5075</v>
      </c>
      <c r="H63" s="13">
        <f>_xll.BDH("ITCI US Equity","ARDR_SHARES_OUTSTANDING","FQ1 2020","FQ1 2020","Currency=USD","Period=FQ","BEST_FPERIOD_OVERRIDE=FQ","FILING_STATUS=MR","Sort=A","Dates=H","DateFormat=P","Fill=—","Direction=H","UseDPDF=Y")</f>
        <v>66.200800000000001</v>
      </c>
      <c r="I63" s="13">
        <f>_xll.BDH("ITCI US Equity","ARDR_SHARES_OUTSTANDING","FQ2 2020","FQ2 2020","Currency=USD","Period=FQ","BEST_FPERIOD_OVERRIDE=FQ","FILING_STATUS=MR","Sort=A","Dates=H","DateFormat=P","Fill=—","Direction=H","UseDPDF=Y")</f>
        <v>66.777699999999996</v>
      </c>
      <c r="J63" s="13">
        <f>_xll.BDH("ITCI US Equity","ARDR_SHARES_OUTSTANDING","FQ3 2020","FQ3 2020","Currency=USD","Period=FQ","BEST_FPERIOD_OVERRIDE=FQ","FILING_STATUS=MR","Sort=A","Dates=H","DateFormat=P","Fill=—","Direction=H","UseDPDF=Y")</f>
        <v>80.142799999999994</v>
      </c>
      <c r="K63" s="13">
        <f>_xll.BDH("ITCI US Equity","ARDR_SHARES_OUTSTANDING","FQ4 2020","FQ4 2020","Currency=USD","Period=FQ","BEST_FPERIOD_OVERRIDE=FQ","FILING_STATUS=MR","Sort=A","Dates=H","DateFormat=P","Fill=—","Direction=H","UseDPDF=Y")</f>
        <v>80.463099999999997</v>
      </c>
      <c r="L63" s="13">
        <f>_xll.BDH("ITCI US Equity","ARDR_SHARES_OUTSTANDING","FQ1 2021","FQ1 2021","Currency=USD","Period=FQ","BEST_FPERIOD_OVERRIDE=FQ","FILING_STATUS=MR","Sort=A","Dates=H","DateFormat=P","Fill=—","Direction=H","UseDPDF=Y")</f>
        <v>81.133799999999994</v>
      </c>
      <c r="M63" s="13">
        <f>_xll.BDH("ITCI US Equity","ARDR_SHARES_OUTSTANDING","FQ2 2021","FQ2 2021","Currency=USD","Period=FQ","BEST_FPERIOD_OVERRIDE=FQ","FILING_STATUS=MR","Sort=A","Dates=H","DateFormat=P","Fill=—","Direction=H","UseDPDF=Y")</f>
        <v>81.311899999999994</v>
      </c>
      <c r="N63" s="13">
        <f>_xll.BDH("ITCI US Equity","ARDR_SHARES_OUTSTANDING","FQ3 2021","FQ3 2021","Currency=USD","Period=FQ","BEST_FPERIOD_OVERRIDE=FQ","FILING_STATUS=MR","Sort=A","Dates=H","DateFormat=P","Fill=—","Direction=H","UseDPDF=Y")</f>
        <v>81.377399999999994</v>
      </c>
      <c r="O63" s="13">
        <f>_xll.BDH("ITCI US Equity","ARDR_SHARES_OUTSTANDING","FQ4 2021","FQ4 2021","Currency=USD","Period=FQ","BEST_FPERIOD_OVERRIDE=FQ","FILING_STATUS=MR","Sort=A","Dates=H","DateFormat=P","Fill=—","Direction=H","UseDPDF=Y")</f>
        <v>81.887</v>
      </c>
      <c r="P63" s="13">
        <f>_xll.BDH("ITCI US Equity","ARDR_SHARES_OUTSTANDING","FQ1 2022","FQ1 2022","Currency=USD","Period=FQ","BEST_FPERIOD_OVERRIDE=FQ","FILING_STATUS=MR","Sort=A","Dates=H","DateFormat=P","Fill=—","Direction=H","UseDPDF=Y")</f>
        <v>94.020399999999995</v>
      </c>
      <c r="Q63" s="13">
        <f>_xll.BDH("ITCI US Equity","ARDR_SHARES_OUTSTANDING","FQ2 2022","FQ2 2022","Currency=USD","Period=FQ","BEST_FPERIOD_OVERRIDE=FQ","FILING_STATUS=MR","Sort=A","Dates=H","DateFormat=P","Fill=—","Direction=H","UseDPDF=Y")</f>
        <v>94.367199999999997</v>
      </c>
      <c r="R63" s="13">
        <f>_xll.BDH("ITCI US Equity","ARDR_SHARES_OUTSTANDING","FQ3 2022","FQ3 2022","Currency=USD","Period=FQ","BEST_FPERIOD_OVERRIDE=FQ","FILING_STATUS=MR","Sort=A","Dates=H","DateFormat=P","Fill=—","Direction=H","UseDPDF=Y")</f>
        <v>94.701700000000002</v>
      </c>
      <c r="S63" s="13">
        <f>_xll.BDH("ITCI US Equity","ARDR_SHARES_OUTSTANDING","FQ4 2022","FQ4 2022","Currency=USD","Period=FQ","BEST_FPERIOD_OVERRIDE=FQ","FILING_STATUS=MR","Sort=A","Dates=H","DateFormat=P","Fill=—","Direction=H","UseDPDF=Y")</f>
        <v>94.829800000000006</v>
      </c>
      <c r="T63" s="13">
        <f>_xll.BDH("ITCI US Equity","ARDR_SHARES_OUTSTANDING","FQ1 2023","FQ1 2023","Currency=USD","Period=FQ","BEST_FPERIOD_OVERRIDE=FQ","FILING_STATUS=MR","Sort=A","Dates=H","DateFormat=P","Fill=—","Direction=H","UseDPDF=Y")</f>
        <v>95.68</v>
      </c>
      <c r="U63" s="13">
        <f>_xll.BDH("ITCI US Equity","ARDR_SHARES_OUTSTANDING","FQ2 2023","FQ2 2023","Currency=USD","Period=FQ","BEST_FPERIOD_OVERRIDE=FQ","FILING_STATUS=MR","Sort=A","Dates=H","DateFormat=P","Fill=—","Direction=H","UseDPDF=Y")</f>
        <v>96.083399999999997</v>
      </c>
      <c r="V63" s="13">
        <f>_xll.BDH("ITCI US Equity","ARDR_SHARES_OUTSTANDING","FQ3 2023","FQ3 2023","Currency=USD","Period=FQ","BEST_FPERIOD_OVERRIDE=FQ","FILING_STATUS=MR","Sort=A","Dates=H","DateFormat=P","Fill=—","Direction=H","UseDPDF=Y")</f>
        <v>96.2256</v>
      </c>
      <c r="W63" s="13">
        <f>_xll.BDH("ITCI US Equity","ARDR_SHARES_OUTSTANDING","FQ4 2023","FQ4 2023","Currency=USD","Period=FQ","BEST_FPERIOD_OVERRIDE=FQ","FILING_STATUS=MR","Sort=A","Dates=H","DateFormat=P","Fill=—","Direction=H","UseDPDF=Y")</f>
        <v>96.379800000000003</v>
      </c>
      <c r="X63" s="13">
        <f>_xll.BDH("ITCI US Equity","ARDR_SHARES_OUTSTANDING","FQ1 2024","FQ1 2024","Currency=USD","Period=FQ","BEST_FPERIOD_OVERRIDE=FQ","FILING_STATUS=MR","Sort=A","Dates=H","DateFormat=P","Fill=—","Direction=H","UseDPDF=Y")</f>
        <v>97.477800000000002</v>
      </c>
      <c r="Y63" s="13">
        <f>_xll.BDH("ITCI US Equity","ARDR_SHARES_OUTSTANDING","FQ2 2024","FQ2 2024","Currency=USD","Period=FQ","BEST_FPERIOD_OVERRIDE=FQ","FILING_STATUS=MR","Sort=A","Dates=H","DateFormat=P","Fill=—","Direction=H","UseDPDF=Y")</f>
        <v>105.6249</v>
      </c>
      <c r="Z63" s="13">
        <f>_xll.BDH("ITCI US Equity","ARDR_SHARES_OUTSTANDING","FQ3 2024","FQ3 2024","Currency=USD","Period=FQ","BEST_FPERIOD_OVERRIDE=FQ","FILING_STATUS=MR","Sort=A","Dates=H","DateFormat=P","Fill=—","Direction=H","UseDPDF=Y")</f>
        <v>105.9988</v>
      </c>
      <c r="AA63" s="13">
        <f>_xll.BDH("ITCI US Equity","ARDR_SHARES_OUTSTANDING","FQ4 2024","FQ4 2024","Currency=USD","Period=FQ","BEST_FPERIOD_OVERRIDE=FQ","FILING_STATUS=MR","Sort=A","Dates=H","DateFormat=P","Fill=—","Direction=H","UseDPDF=Y")</f>
        <v>106.24</v>
      </c>
    </row>
    <row r="64" spans="1:27" x14ac:dyDescent="0.25">
      <c r="A64" s="10" t="s">
        <v>743</v>
      </c>
      <c r="B64" s="10" t="s">
        <v>780</v>
      </c>
      <c r="C64" s="14">
        <f>_xll.BDH("ITCI US Equity","ARDR_PAR_VALUE","FQ4 2018","FQ4 2018","Currency=USD","Period=FQ","BEST_FPERIOD_OVERRIDE=FQ","FILING_STATUS=MR","Sort=A","Dates=H","DateFormat=P","Fill=—","Direction=H","UseDPDF=Y")</f>
        <v>1E-4</v>
      </c>
      <c r="D64" s="14">
        <f>_xll.BDH("ITCI US Equity","ARDR_PAR_VALUE","FQ1 2019","FQ1 2019","Currency=USD","Period=FQ","BEST_FPERIOD_OVERRIDE=FQ","FILING_STATUS=MR","Sort=A","Dates=H","DateFormat=P","Fill=—","Direction=H","UseDPDF=Y")</f>
        <v>1E-4</v>
      </c>
      <c r="E64" s="14">
        <f>_xll.BDH("ITCI US Equity","ARDR_PAR_VALUE","FQ2 2019","FQ2 2019","Currency=USD","Period=FQ","BEST_FPERIOD_OVERRIDE=FQ","FILING_STATUS=MR","Sort=A","Dates=H","DateFormat=P","Fill=—","Direction=H","UseDPDF=Y")</f>
        <v>1E-4</v>
      </c>
      <c r="F64" s="14">
        <f>_xll.BDH("ITCI US Equity","ARDR_PAR_VALUE","FQ3 2019","FQ3 2019","Currency=USD","Period=FQ","BEST_FPERIOD_OVERRIDE=FQ","FILING_STATUS=MR","Sort=A","Dates=H","DateFormat=P","Fill=—","Direction=H","UseDPDF=Y")</f>
        <v>1E-4</v>
      </c>
      <c r="G64" s="14">
        <f>_xll.BDH("ITCI US Equity","ARDR_PAR_VALUE","FQ4 2019","FQ4 2019","Currency=USD","Period=FQ","BEST_FPERIOD_OVERRIDE=FQ","FILING_STATUS=MR","Sort=A","Dates=H","DateFormat=P","Fill=—","Direction=H","UseDPDF=Y")</f>
        <v>1E-4</v>
      </c>
      <c r="H64" s="14" t="str">
        <f>_xll.BDH("ITCI US Equity","ARDR_PAR_VALUE","FQ1 2020","FQ1 2020","Currency=USD","Period=FQ","BEST_FPERIOD_OVERRIDE=FQ","FILING_STATUS=MR","Sort=A","Dates=H","DateFormat=P","Fill=—","Direction=H","UseDPDF=Y")</f>
        <v>—</v>
      </c>
      <c r="I64" s="14">
        <f>_xll.BDH("ITCI US Equity","ARDR_PAR_VALUE","FQ2 2020","FQ2 2020","Currency=USD","Period=FQ","BEST_FPERIOD_OVERRIDE=FQ","FILING_STATUS=MR","Sort=A","Dates=H","DateFormat=P","Fill=—","Direction=H","UseDPDF=Y")</f>
        <v>1E-4</v>
      </c>
      <c r="J64" s="14">
        <f>_xll.BDH("ITCI US Equity","ARDR_PAR_VALUE","FQ3 2020","FQ3 2020","Currency=USD","Period=FQ","BEST_FPERIOD_OVERRIDE=FQ","FILING_STATUS=MR","Sort=A","Dates=H","DateFormat=P","Fill=—","Direction=H","UseDPDF=Y")</f>
        <v>1E-4</v>
      </c>
      <c r="K64" s="14">
        <f>_xll.BDH("ITCI US Equity","ARDR_PAR_VALUE","FQ4 2020","FQ4 2020","Currency=USD","Period=FQ","BEST_FPERIOD_OVERRIDE=FQ","FILING_STATUS=MR","Sort=A","Dates=H","DateFormat=P","Fill=—","Direction=H","UseDPDF=Y")</f>
        <v>1E-4</v>
      </c>
      <c r="L64" s="14" t="str">
        <f>_xll.BDH("ITCI US Equity","ARDR_PAR_VALUE","FQ1 2021","FQ1 2021","Currency=USD","Period=FQ","BEST_FPERIOD_OVERRIDE=FQ","FILING_STATUS=MR","Sort=A","Dates=H","DateFormat=P","Fill=—","Direction=H","UseDPDF=Y")</f>
        <v>—</v>
      </c>
      <c r="M64" s="14">
        <f>_xll.BDH("ITCI US Equity","ARDR_PAR_VALUE","FQ2 2021","FQ2 2021","Currency=USD","Period=FQ","BEST_FPERIOD_OVERRIDE=FQ","FILING_STATUS=MR","Sort=A","Dates=H","DateFormat=P","Fill=—","Direction=H","UseDPDF=Y")</f>
        <v>1E-4</v>
      </c>
      <c r="N64" s="14">
        <f>_xll.BDH("ITCI US Equity","ARDR_PAR_VALUE","FQ3 2021","FQ3 2021","Currency=USD","Period=FQ","BEST_FPERIOD_OVERRIDE=FQ","FILING_STATUS=MR","Sort=A","Dates=H","DateFormat=P","Fill=—","Direction=H","UseDPDF=Y")</f>
        <v>1E-4</v>
      </c>
      <c r="O64" s="14" t="str">
        <f>_xll.BDH("ITCI US Equity","ARDR_PAR_VALUE","FQ4 2021","FQ4 2021","Currency=USD","Period=FQ","BEST_FPERIOD_OVERRIDE=FQ","FILING_STATUS=MR","Sort=A","Dates=H","DateFormat=P","Fill=—","Direction=H","UseDPDF=Y")</f>
        <v>—</v>
      </c>
      <c r="P64" s="14" t="str">
        <f>_xll.BDH("ITCI US Equity","ARDR_PAR_VALUE","FQ1 2022","FQ1 2022","Currency=USD","Period=FQ","BEST_FPERIOD_OVERRIDE=FQ","FILING_STATUS=MR","Sort=A","Dates=H","DateFormat=P","Fill=—","Direction=H","UseDPDF=Y")</f>
        <v>—</v>
      </c>
      <c r="Q64" s="14" t="str">
        <f>_xll.BDH("ITCI US Equity","ARDR_PAR_VALUE","FQ2 2022","FQ2 2022","Currency=USD","Period=FQ","BEST_FPERIOD_OVERRIDE=FQ","FILING_STATUS=MR","Sort=A","Dates=H","DateFormat=P","Fill=—","Direction=H","UseDPDF=Y")</f>
        <v>—</v>
      </c>
      <c r="R64" s="14" t="str">
        <f>_xll.BDH("ITCI US Equity","ARDR_PAR_VALUE","FQ3 2022","FQ3 2022","Currency=USD","Period=FQ","BEST_FPERIOD_OVERRIDE=FQ","FILING_STATUS=MR","Sort=A","Dates=H","DateFormat=P","Fill=—","Direction=H","UseDPDF=Y")</f>
        <v>—</v>
      </c>
      <c r="S64" s="14">
        <f>_xll.BDH("ITCI US Equity","ARDR_PAR_VALUE","FQ4 2022","FQ4 2022","Currency=USD","Period=FQ","BEST_FPERIOD_OVERRIDE=FQ","FILING_STATUS=MR","Sort=A","Dates=H","DateFormat=P","Fill=—","Direction=H","UseDPDF=Y")</f>
        <v>1E-4</v>
      </c>
      <c r="T64" s="14">
        <f>_xll.BDH("ITCI US Equity","ARDR_PAR_VALUE","FQ1 2023","FQ1 2023","Currency=USD","Period=FQ","BEST_FPERIOD_OVERRIDE=FQ","FILING_STATUS=MR","Sort=A","Dates=H","DateFormat=P","Fill=—","Direction=H","UseDPDF=Y")</f>
        <v>1E-4</v>
      </c>
      <c r="U64" s="14" t="str">
        <f>_xll.BDH("ITCI US Equity","ARDR_PAR_VALUE","FQ2 2023","FQ2 2023","Currency=USD","Period=FQ","BEST_FPERIOD_OVERRIDE=FQ","FILING_STATUS=MR","Sort=A","Dates=H","DateFormat=P","Fill=—","Direction=H","UseDPDF=Y")</f>
        <v>—</v>
      </c>
      <c r="V64" s="14">
        <f>_xll.BDH("ITCI US Equity","ARDR_PAR_VALUE","FQ3 2023","FQ3 2023","Currency=USD","Period=FQ","BEST_FPERIOD_OVERRIDE=FQ","FILING_STATUS=MR","Sort=A","Dates=H","DateFormat=P","Fill=—","Direction=H","UseDPDF=Y")</f>
        <v>1E-4</v>
      </c>
      <c r="W64" s="14">
        <f>_xll.BDH("ITCI US Equity","ARDR_PAR_VALUE","FQ4 2023","FQ4 2023","Currency=USD","Period=FQ","BEST_FPERIOD_OVERRIDE=FQ","FILING_STATUS=MR","Sort=A","Dates=H","DateFormat=P","Fill=—","Direction=H","UseDPDF=Y")</f>
        <v>1E-4</v>
      </c>
      <c r="X64" s="14">
        <f>_xll.BDH("ITCI US Equity","ARDR_PAR_VALUE","FQ1 2024","FQ1 2024","Currency=USD","Period=FQ","BEST_FPERIOD_OVERRIDE=FQ","FILING_STATUS=MR","Sort=A","Dates=H","DateFormat=P","Fill=—","Direction=H","UseDPDF=Y")</f>
        <v>1E-4</v>
      </c>
      <c r="Y64" s="14">
        <f>_xll.BDH("ITCI US Equity","ARDR_PAR_VALUE","FQ2 2024","FQ2 2024","Currency=USD","Period=FQ","BEST_FPERIOD_OVERRIDE=FQ","FILING_STATUS=MR","Sort=A","Dates=H","DateFormat=P","Fill=—","Direction=H","UseDPDF=Y")</f>
        <v>1E-4</v>
      </c>
      <c r="Z64" s="14">
        <f>_xll.BDH("ITCI US Equity","ARDR_PAR_VALUE","FQ3 2024","FQ3 2024","Currency=USD","Period=FQ","BEST_FPERIOD_OVERRIDE=FQ","FILING_STATUS=MR","Sort=A","Dates=H","DateFormat=P","Fill=—","Direction=H","UseDPDF=Y")</f>
        <v>1E-4</v>
      </c>
      <c r="AA64" s="14">
        <f>_xll.BDH("ITCI US Equity","ARDR_PAR_VALUE","FQ4 2024","FQ4 2024","Currency=USD","Period=FQ","BEST_FPERIOD_OVERRIDE=FQ","FILING_STATUS=MR","Sort=A","Dates=H","DateFormat=P","Fill=—","Direction=H","UseDPDF=Y")</f>
        <v>1E-4</v>
      </c>
    </row>
    <row r="65" spans="1:27" x14ac:dyDescent="0.25">
      <c r="A65" s="10" t="s">
        <v>781</v>
      </c>
      <c r="B65" s="10" t="s">
        <v>782</v>
      </c>
      <c r="C65" s="13" t="str">
        <f>_xll.BDH("ITCI US Equity","ARDR_RAW_MATERIAL","FQ4 2018","FQ4 2018","Currency=USD","Period=FQ","BEST_FPERIOD_OVERRIDE=FQ","FILING_STATUS=MR","SCALING_FORMAT=MLN","Sort=A","Dates=H","DateFormat=P","Fill=—","Direction=H","UseDPDF=Y")</f>
        <v>—</v>
      </c>
      <c r="D65" s="13" t="str">
        <f>_xll.BDH("ITCI US Equity","ARDR_RAW_MATERIAL","FQ1 2019","FQ1 2019","Currency=USD","Period=FQ","BEST_FPERIOD_OVERRIDE=FQ","FILING_STATUS=MR","SCALING_FORMAT=MLN","Sort=A","Dates=H","DateFormat=P","Fill=—","Direction=H","UseDPDF=Y")</f>
        <v>—</v>
      </c>
      <c r="E65" s="13" t="str">
        <f>_xll.BDH("ITCI US Equity","ARDR_RAW_MATERIAL","FQ2 2019","FQ2 2019","Currency=USD","Period=FQ","BEST_FPERIOD_OVERRIDE=FQ","FILING_STATUS=MR","SCALING_FORMAT=MLN","Sort=A","Dates=H","DateFormat=P","Fill=—","Direction=H","UseDPDF=Y")</f>
        <v>—</v>
      </c>
      <c r="F65" s="13" t="str">
        <f>_xll.BDH("ITCI US Equity","ARDR_RAW_MATERIAL","FQ3 2019","FQ3 2019","Currency=USD","Period=FQ","BEST_FPERIOD_OVERRIDE=FQ","FILING_STATUS=MR","SCALING_FORMAT=MLN","Sort=A","Dates=H","DateFormat=P","Fill=—","Direction=H","UseDPDF=Y")</f>
        <v>—</v>
      </c>
      <c r="G65" s="13" t="str">
        <f>_xll.BDH("ITCI US Equity","ARDR_RAW_MATERIAL","FQ4 2019","FQ4 2019","Currency=USD","Period=FQ","BEST_FPERIOD_OVERRIDE=FQ","FILING_STATUS=MR","SCALING_FORMAT=MLN","Sort=A","Dates=H","DateFormat=P","Fill=—","Direction=H","UseDPDF=Y")</f>
        <v>—</v>
      </c>
      <c r="H65" s="13">
        <f>_xll.BDH("ITCI US Equity","ARDR_RAW_MATERIAL","FQ1 2020","FQ1 2020","Currency=USD","Period=FQ","BEST_FPERIOD_OVERRIDE=FQ","FILING_STATUS=MR","SCALING_FORMAT=MLN","Sort=A","Dates=H","DateFormat=P","Fill=—","Direction=H","UseDPDF=Y")</f>
        <v>0</v>
      </c>
      <c r="I65" s="13" t="str">
        <f>_xll.BDH("ITCI US Equity","ARDR_RAW_MATERIAL","FQ2 2020","FQ2 2020","Currency=USD","Period=FQ","BEST_FPERIOD_OVERRIDE=FQ","FILING_STATUS=MR","SCALING_FORMAT=MLN","Sort=A","Dates=H","DateFormat=P","Fill=—","Direction=H","UseDPDF=Y")</f>
        <v>—</v>
      </c>
      <c r="J65" s="13" t="str">
        <f>_xll.BDH("ITCI US Equity","ARDR_RAW_MATERIAL","FQ3 2020","FQ3 2020","Currency=USD","Period=FQ","BEST_FPERIOD_OVERRIDE=FQ","FILING_STATUS=MR","SCALING_FORMAT=MLN","Sort=A","Dates=H","DateFormat=P","Fill=—","Direction=H","UseDPDF=Y")</f>
        <v>—</v>
      </c>
      <c r="K65" s="13">
        <f>_xll.BDH("ITCI US Equity","ARDR_RAW_MATERIAL","FQ4 2020","FQ4 2020","Currency=USD","Period=FQ","BEST_FPERIOD_OVERRIDE=FQ","FILING_STATUS=MR","SCALING_FORMAT=MLN","Sort=A","Dates=H","DateFormat=P","Fill=—","Direction=H","UseDPDF=Y")</f>
        <v>2.4838</v>
      </c>
      <c r="L65" s="13">
        <f>_xll.BDH("ITCI US Equity","ARDR_RAW_MATERIAL","FQ1 2021","FQ1 2021","Currency=USD","Period=FQ","BEST_FPERIOD_OVERRIDE=FQ","FILING_STATUS=MR","SCALING_FORMAT=MLN","Sort=A","Dates=H","DateFormat=P","Fill=—","Direction=H","UseDPDF=Y")</f>
        <v>2.95</v>
      </c>
      <c r="M65" s="13">
        <f>_xll.BDH("ITCI US Equity","ARDR_RAW_MATERIAL","FQ2 2021","FQ2 2021","Currency=USD","Period=FQ","BEST_FPERIOD_OVERRIDE=FQ","FILING_STATUS=MR","SCALING_FORMAT=MLN","Sort=A","Dates=H","DateFormat=P","Fill=—","Direction=H","UseDPDF=Y")</f>
        <v>3.0255999999999998</v>
      </c>
      <c r="N65" s="13">
        <f>_xll.BDH("ITCI US Equity","ARDR_RAW_MATERIAL","FQ3 2021","FQ3 2021","Currency=USD","Period=FQ","BEST_FPERIOD_OVERRIDE=FQ","FILING_STATUS=MR","SCALING_FORMAT=MLN","Sort=A","Dates=H","DateFormat=P","Fill=—","Direction=H","UseDPDF=Y")</f>
        <v>2.1823000000000001</v>
      </c>
      <c r="O65" s="13">
        <f>_xll.BDH("ITCI US Equity","ARDR_RAW_MATERIAL","FQ4 2021","FQ4 2021","Currency=USD","Period=FQ","BEST_FPERIOD_OVERRIDE=FQ","FILING_STATUS=MR","SCALING_FORMAT=MLN","Sort=A","Dates=H","DateFormat=P","Fill=—","Direction=H","UseDPDF=Y")</f>
        <v>2.4838</v>
      </c>
      <c r="P65" s="13">
        <f>_xll.BDH("ITCI US Equity","ARDR_RAW_MATERIAL","FQ1 2022","FQ1 2022","Currency=USD","Period=FQ","BEST_FPERIOD_OVERRIDE=FQ","FILING_STATUS=MR","SCALING_FORMAT=MLN","Sort=A","Dates=H","DateFormat=P","Fill=—","Direction=H","UseDPDF=Y")</f>
        <v>2.4700000000000002</v>
      </c>
      <c r="Q65" s="13">
        <f>_xll.BDH("ITCI US Equity","ARDR_RAW_MATERIAL","FQ2 2022","FQ2 2022","Currency=USD","Period=FQ","BEST_FPERIOD_OVERRIDE=FQ","FILING_STATUS=MR","SCALING_FORMAT=MLN","Sort=A","Dates=H","DateFormat=P","Fill=—","Direction=H","UseDPDF=Y")</f>
        <v>18.16</v>
      </c>
      <c r="R65" s="13">
        <f>_xll.BDH("ITCI US Equity","ARDR_RAW_MATERIAL","FQ3 2022","FQ3 2022","Currency=USD","Period=FQ","BEST_FPERIOD_OVERRIDE=FQ","FILING_STATUS=MR","SCALING_FORMAT=MLN","Sort=A","Dates=H","DateFormat=P","Fill=—","Direction=H","UseDPDF=Y")</f>
        <v>17.806999999999999</v>
      </c>
      <c r="S65" s="13">
        <f>_xll.BDH("ITCI US Equity","ARDR_RAW_MATERIAL","FQ4 2022","FQ4 2022","Currency=USD","Period=FQ","BEST_FPERIOD_OVERRIDE=FQ","FILING_STATUS=MR","SCALING_FORMAT=MLN","Sort=A","Dates=H","DateFormat=P","Fill=—","Direction=H","UseDPDF=Y")</f>
        <v>17.227</v>
      </c>
      <c r="T65" s="13">
        <f>_xll.BDH("ITCI US Equity","ARDR_RAW_MATERIAL","FQ1 2023","FQ1 2023","Currency=USD","Period=FQ","BEST_FPERIOD_OVERRIDE=FQ","FILING_STATUS=MR","SCALING_FORMAT=MLN","Sort=A","Dates=H","DateFormat=P","Fill=—","Direction=H","UseDPDF=Y")</f>
        <v>21.716000000000001</v>
      </c>
      <c r="U65" s="13">
        <f>_xll.BDH("ITCI US Equity","ARDR_RAW_MATERIAL","FQ2 2023","FQ2 2023","Currency=USD","Period=FQ","BEST_FPERIOD_OVERRIDE=FQ","FILING_STATUS=MR","SCALING_FORMAT=MLN","Sort=A","Dates=H","DateFormat=P","Fill=—","Direction=H","UseDPDF=Y")</f>
        <v>33.901000000000003</v>
      </c>
      <c r="V65" s="13">
        <f>_xll.BDH("ITCI US Equity","ARDR_RAW_MATERIAL","FQ3 2023","FQ3 2023","Currency=USD","Period=FQ","BEST_FPERIOD_OVERRIDE=FQ","FILING_STATUS=MR","SCALING_FORMAT=MLN","Sort=A","Dates=H","DateFormat=P","Fill=—","Direction=H","UseDPDF=Y")</f>
        <v>33.173000000000002</v>
      </c>
      <c r="W65" s="13" t="str">
        <f>_xll.BDH("ITCI US Equity","ARDR_RAW_MATERIAL","FQ4 2023","FQ4 2023","Currency=USD","Period=FQ","BEST_FPERIOD_OVERRIDE=FQ","FILING_STATUS=MR","SCALING_FORMAT=MLN","Sort=A","Dates=H","DateFormat=P","Fill=—","Direction=H","UseDPDF=Y")</f>
        <v>—</v>
      </c>
      <c r="X65" s="13">
        <f>_xll.BDH("ITCI US Equity","ARDR_RAW_MATERIAL","FQ1 2024","FQ1 2024","Currency=USD","Period=FQ","BEST_FPERIOD_OVERRIDE=FQ","FILING_STATUS=MR","SCALING_FORMAT=MLN","Sort=A","Dates=H","DateFormat=P","Fill=—","Direction=H","UseDPDF=Y")</f>
        <v>34.817999999999998</v>
      </c>
      <c r="Y65" s="13">
        <f>_xll.BDH("ITCI US Equity","ARDR_RAW_MATERIAL","FQ2 2024","FQ2 2024","Currency=USD","Period=FQ","BEST_FPERIOD_OVERRIDE=FQ","FILING_STATUS=MR","SCALING_FORMAT=MLN","Sort=A","Dates=H","DateFormat=P","Fill=—","Direction=H","UseDPDF=Y")</f>
        <v>32.561999999999998</v>
      </c>
      <c r="Z65" s="13">
        <f>_xll.BDH("ITCI US Equity","ARDR_RAW_MATERIAL","FQ3 2024","FQ3 2024","Currency=USD","Period=FQ","BEST_FPERIOD_OVERRIDE=FQ","FILING_STATUS=MR","SCALING_FORMAT=MLN","Sort=A","Dates=H","DateFormat=P","Fill=—","Direction=H","UseDPDF=Y")</f>
        <v>30.478999999999999</v>
      </c>
      <c r="AA65" s="13">
        <f>_xll.BDH("ITCI US Equity","ARDR_RAW_MATERIAL","FQ4 2024","FQ4 2024","Currency=USD","Period=FQ","BEST_FPERIOD_OVERRIDE=FQ","FILING_STATUS=MR","SCALING_FORMAT=MLN","Sort=A","Dates=H","DateFormat=P","Fill=—","Direction=H","UseDPDF=Y")</f>
        <v>38.89</v>
      </c>
    </row>
    <row r="66" spans="1:27" x14ac:dyDescent="0.25">
      <c r="A66" s="10" t="s">
        <v>783</v>
      </c>
      <c r="B66" s="10" t="s">
        <v>784</v>
      </c>
      <c r="C66" s="13" t="str">
        <f>_xll.BDH("ITCI US Equity","ARDR_WORK_IN_PROGRESS","FQ4 2018","FQ4 2018","Currency=USD","Period=FQ","BEST_FPERIOD_OVERRIDE=FQ","FILING_STATUS=MR","SCALING_FORMAT=MLN","Sort=A","Dates=H","DateFormat=P","Fill=—","Direction=H","UseDPDF=Y")</f>
        <v>—</v>
      </c>
      <c r="D66" s="13" t="str">
        <f>_xll.BDH("ITCI US Equity","ARDR_WORK_IN_PROGRESS","FQ1 2019","FQ1 2019","Currency=USD","Period=FQ","BEST_FPERIOD_OVERRIDE=FQ","FILING_STATUS=MR","SCALING_FORMAT=MLN","Sort=A","Dates=H","DateFormat=P","Fill=—","Direction=H","UseDPDF=Y")</f>
        <v>—</v>
      </c>
      <c r="E66" s="13" t="str">
        <f>_xll.BDH("ITCI US Equity","ARDR_WORK_IN_PROGRESS","FQ2 2019","FQ2 2019","Currency=USD","Period=FQ","BEST_FPERIOD_OVERRIDE=FQ","FILING_STATUS=MR","SCALING_FORMAT=MLN","Sort=A","Dates=H","DateFormat=P","Fill=—","Direction=H","UseDPDF=Y")</f>
        <v>—</v>
      </c>
      <c r="F66" s="13" t="str">
        <f>_xll.BDH("ITCI US Equity","ARDR_WORK_IN_PROGRESS","FQ3 2019","FQ3 2019","Currency=USD","Period=FQ","BEST_FPERIOD_OVERRIDE=FQ","FILING_STATUS=MR","SCALING_FORMAT=MLN","Sort=A","Dates=H","DateFormat=P","Fill=—","Direction=H","UseDPDF=Y")</f>
        <v>—</v>
      </c>
      <c r="G66" s="13" t="str">
        <f>_xll.BDH("ITCI US Equity","ARDR_WORK_IN_PROGRESS","FQ4 2019","FQ4 2019","Currency=USD","Period=FQ","BEST_FPERIOD_OVERRIDE=FQ","FILING_STATUS=MR","SCALING_FORMAT=MLN","Sort=A","Dates=H","DateFormat=P","Fill=—","Direction=H","UseDPDF=Y")</f>
        <v>—</v>
      </c>
      <c r="H66" s="13">
        <f>_xll.BDH("ITCI US Equity","ARDR_WORK_IN_PROGRESS","FQ1 2020","FQ1 2020","Currency=USD","Period=FQ","BEST_FPERIOD_OVERRIDE=FQ","FILING_STATUS=MR","SCALING_FORMAT=MLN","Sort=A","Dates=H","DateFormat=P","Fill=—","Direction=H","UseDPDF=Y")</f>
        <v>1.25</v>
      </c>
      <c r="I66" s="13" t="str">
        <f>_xll.BDH("ITCI US Equity","ARDR_WORK_IN_PROGRESS","FQ2 2020","FQ2 2020","Currency=USD","Period=FQ","BEST_FPERIOD_OVERRIDE=FQ","FILING_STATUS=MR","SCALING_FORMAT=MLN","Sort=A","Dates=H","DateFormat=P","Fill=—","Direction=H","UseDPDF=Y")</f>
        <v>—</v>
      </c>
      <c r="J66" s="13" t="str">
        <f>_xll.BDH("ITCI US Equity","ARDR_WORK_IN_PROGRESS","FQ3 2020","FQ3 2020","Currency=USD","Period=FQ","BEST_FPERIOD_OVERRIDE=FQ","FILING_STATUS=MR","SCALING_FORMAT=MLN","Sort=A","Dates=H","DateFormat=P","Fill=—","Direction=H","UseDPDF=Y")</f>
        <v>—</v>
      </c>
      <c r="K66" s="13">
        <f>_xll.BDH("ITCI US Equity","ARDR_WORK_IN_PROGRESS","FQ4 2020","FQ4 2020","Currency=USD","Period=FQ","BEST_FPERIOD_OVERRIDE=FQ","FILING_STATUS=MR","SCALING_FORMAT=MLN","Sort=A","Dates=H","DateFormat=P","Fill=—","Direction=H","UseDPDF=Y")</f>
        <v>1.7810999999999999</v>
      </c>
      <c r="L66" s="13">
        <f>_xll.BDH("ITCI US Equity","ARDR_WORK_IN_PROGRESS","FQ1 2021","FQ1 2021","Currency=USD","Period=FQ","BEST_FPERIOD_OVERRIDE=FQ","FILING_STATUS=MR","SCALING_FORMAT=MLN","Sort=A","Dates=H","DateFormat=P","Fill=—","Direction=H","UseDPDF=Y")</f>
        <v>1.1895</v>
      </c>
      <c r="M66" s="13">
        <f>_xll.BDH("ITCI US Equity","ARDR_WORK_IN_PROGRESS","FQ2 2021","FQ2 2021","Currency=USD","Period=FQ","BEST_FPERIOD_OVERRIDE=FQ","FILING_STATUS=MR","SCALING_FORMAT=MLN","Sort=A","Dates=H","DateFormat=P","Fill=—","Direction=H","UseDPDF=Y")</f>
        <v>1.4103000000000001</v>
      </c>
      <c r="N66" s="13">
        <f>_xll.BDH("ITCI US Equity","ARDR_WORK_IN_PROGRESS","FQ3 2021","FQ3 2021","Currency=USD","Period=FQ","BEST_FPERIOD_OVERRIDE=FQ","FILING_STATUS=MR","SCALING_FORMAT=MLN","Sort=A","Dates=H","DateFormat=P","Fill=—","Direction=H","UseDPDF=Y")</f>
        <v>3.444</v>
      </c>
      <c r="O66" s="13">
        <f>_xll.BDH("ITCI US Equity","ARDR_WORK_IN_PROGRESS","FQ4 2021","FQ4 2021","Currency=USD","Period=FQ","BEST_FPERIOD_OVERRIDE=FQ","FILING_STATUS=MR","SCALING_FORMAT=MLN","Sort=A","Dates=H","DateFormat=P","Fill=—","Direction=H","UseDPDF=Y")</f>
        <v>2.4072</v>
      </c>
      <c r="P66" s="13">
        <f>_xll.BDH("ITCI US Equity","ARDR_WORK_IN_PROGRESS","FQ1 2022","FQ1 2022","Currency=USD","Period=FQ","BEST_FPERIOD_OVERRIDE=FQ","FILING_STATUS=MR","SCALING_FORMAT=MLN","Sort=A","Dates=H","DateFormat=P","Fill=—","Direction=H","UseDPDF=Y")</f>
        <v>1.198</v>
      </c>
      <c r="Q66" s="13">
        <f>_xll.BDH("ITCI US Equity","ARDR_WORK_IN_PROGRESS","FQ2 2022","FQ2 2022","Currency=USD","Period=FQ","BEST_FPERIOD_OVERRIDE=FQ","FILING_STATUS=MR","SCALING_FORMAT=MLN","Sort=A","Dates=H","DateFormat=P","Fill=—","Direction=H","UseDPDF=Y")</f>
        <v>1.7410000000000001</v>
      </c>
      <c r="R66" s="13">
        <f>_xll.BDH("ITCI US Equity","ARDR_WORK_IN_PROGRESS","FQ3 2022","FQ3 2022","Currency=USD","Period=FQ","BEST_FPERIOD_OVERRIDE=FQ","FILING_STATUS=MR","SCALING_FORMAT=MLN","Sort=A","Dates=H","DateFormat=P","Fill=—","Direction=H","UseDPDF=Y")</f>
        <v>1.9870000000000001</v>
      </c>
      <c r="S66" s="13">
        <f>_xll.BDH("ITCI US Equity","ARDR_WORK_IN_PROGRESS","FQ4 2022","FQ4 2022","Currency=USD","Period=FQ","BEST_FPERIOD_OVERRIDE=FQ","FILING_STATUS=MR","SCALING_FORMAT=MLN","Sort=A","Dates=H","DateFormat=P","Fill=—","Direction=H","UseDPDF=Y")</f>
        <v>2.5939999999999999</v>
      </c>
      <c r="T66" s="13">
        <f>_xll.BDH("ITCI US Equity","ARDR_WORK_IN_PROGRESS","FQ1 2023","FQ1 2023","Currency=USD","Period=FQ","BEST_FPERIOD_OVERRIDE=FQ","FILING_STATUS=MR","SCALING_FORMAT=MLN","Sort=A","Dates=H","DateFormat=P","Fill=—","Direction=H","UseDPDF=Y")</f>
        <v>3.23</v>
      </c>
      <c r="U66" s="13">
        <f>_xll.BDH("ITCI US Equity","ARDR_WORK_IN_PROGRESS","FQ2 2023","FQ2 2023","Currency=USD","Period=FQ","BEST_FPERIOD_OVERRIDE=FQ","FILING_STATUS=MR","SCALING_FORMAT=MLN","Sort=A","Dates=H","DateFormat=P","Fill=—","Direction=H","UseDPDF=Y")</f>
        <v>4.0510000000000002</v>
      </c>
      <c r="V66" s="13">
        <f>_xll.BDH("ITCI US Equity","ARDR_WORK_IN_PROGRESS","FQ3 2023","FQ3 2023","Currency=USD","Period=FQ","BEST_FPERIOD_OVERRIDE=FQ","FILING_STATUS=MR","SCALING_FORMAT=MLN","Sort=A","Dates=H","DateFormat=P","Fill=—","Direction=H","UseDPDF=Y")</f>
        <v>4.7729999999999997</v>
      </c>
      <c r="W66" s="13" t="str">
        <f>_xll.BDH("ITCI US Equity","ARDR_WORK_IN_PROGRESS","FQ4 2023","FQ4 2023","Currency=USD","Period=FQ","BEST_FPERIOD_OVERRIDE=FQ","FILING_STATUS=MR","SCALING_FORMAT=MLN","Sort=A","Dates=H","DateFormat=P","Fill=—","Direction=H","UseDPDF=Y")</f>
        <v>—</v>
      </c>
      <c r="X66" s="13">
        <f>_xll.BDH("ITCI US Equity","ARDR_WORK_IN_PROGRESS","FQ1 2024","FQ1 2024","Currency=USD","Period=FQ","BEST_FPERIOD_OVERRIDE=FQ","FILING_STATUS=MR","SCALING_FORMAT=MLN","Sort=A","Dates=H","DateFormat=P","Fill=—","Direction=H","UseDPDF=Y")</f>
        <v>8.875</v>
      </c>
      <c r="Y66" s="13">
        <f>_xll.BDH("ITCI US Equity","ARDR_WORK_IN_PROGRESS","FQ2 2024","FQ2 2024","Currency=USD","Period=FQ","BEST_FPERIOD_OVERRIDE=FQ","FILING_STATUS=MR","SCALING_FORMAT=MLN","Sort=A","Dates=H","DateFormat=P","Fill=—","Direction=H","UseDPDF=Y")</f>
        <v>12.151</v>
      </c>
      <c r="Z66" s="13">
        <f>_xll.BDH("ITCI US Equity","ARDR_WORK_IN_PROGRESS","FQ3 2024","FQ3 2024","Currency=USD","Period=FQ","BEST_FPERIOD_OVERRIDE=FQ","FILING_STATUS=MR","SCALING_FORMAT=MLN","Sort=A","Dates=H","DateFormat=P","Fill=—","Direction=H","UseDPDF=Y")</f>
        <v>13.048</v>
      </c>
      <c r="AA66" s="13">
        <f>_xll.BDH("ITCI US Equity","ARDR_WORK_IN_PROGRESS","FQ4 2024","FQ4 2024","Currency=USD","Period=FQ","BEST_FPERIOD_OVERRIDE=FQ","FILING_STATUS=MR","SCALING_FORMAT=MLN","Sort=A","Dates=H","DateFormat=P","Fill=—","Direction=H","UseDPDF=Y")</f>
        <v>14.971</v>
      </c>
    </row>
    <row r="67" spans="1:27" x14ac:dyDescent="0.25">
      <c r="A67" s="10" t="s">
        <v>785</v>
      </c>
      <c r="B67" s="10" t="s">
        <v>786</v>
      </c>
      <c r="C67" s="13" t="str">
        <f>_xll.BDH("ITCI US Equity","ARDR_FINISHED_GOOD","FQ4 2018","FQ4 2018","Currency=USD","Period=FQ","BEST_FPERIOD_OVERRIDE=FQ","FILING_STATUS=MR","SCALING_FORMAT=MLN","Sort=A","Dates=H","DateFormat=P","Fill=—","Direction=H","UseDPDF=Y")</f>
        <v>—</v>
      </c>
      <c r="D67" s="13" t="str">
        <f>_xll.BDH("ITCI US Equity","ARDR_FINISHED_GOOD","FQ1 2019","FQ1 2019","Currency=USD","Period=FQ","BEST_FPERIOD_OVERRIDE=FQ","FILING_STATUS=MR","SCALING_FORMAT=MLN","Sort=A","Dates=H","DateFormat=P","Fill=—","Direction=H","UseDPDF=Y")</f>
        <v>—</v>
      </c>
      <c r="E67" s="13" t="str">
        <f>_xll.BDH("ITCI US Equity","ARDR_FINISHED_GOOD","FQ2 2019","FQ2 2019","Currency=USD","Period=FQ","BEST_FPERIOD_OVERRIDE=FQ","FILING_STATUS=MR","SCALING_FORMAT=MLN","Sort=A","Dates=H","DateFormat=P","Fill=—","Direction=H","UseDPDF=Y")</f>
        <v>—</v>
      </c>
      <c r="F67" s="13" t="str">
        <f>_xll.BDH("ITCI US Equity","ARDR_FINISHED_GOOD","FQ3 2019","FQ3 2019","Currency=USD","Period=FQ","BEST_FPERIOD_OVERRIDE=FQ","FILING_STATUS=MR","SCALING_FORMAT=MLN","Sort=A","Dates=H","DateFormat=P","Fill=—","Direction=H","UseDPDF=Y")</f>
        <v>—</v>
      </c>
      <c r="G67" s="13" t="str">
        <f>_xll.BDH("ITCI US Equity","ARDR_FINISHED_GOOD","FQ4 2019","FQ4 2019","Currency=USD","Period=FQ","BEST_FPERIOD_OVERRIDE=FQ","FILING_STATUS=MR","SCALING_FORMAT=MLN","Sort=A","Dates=H","DateFormat=P","Fill=—","Direction=H","UseDPDF=Y")</f>
        <v>—</v>
      </c>
      <c r="H67" s="13">
        <f>_xll.BDH("ITCI US Equity","ARDR_FINISHED_GOOD","FQ1 2020","FQ1 2020","Currency=USD","Period=FQ","BEST_FPERIOD_OVERRIDE=FQ","FILING_STATUS=MR","SCALING_FORMAT=MLN","Sort=A","Dates=H","DateFormat=P","Fill=—","Direction=H","UseDPDF=Y")</f>
        <v>0.1411</v>
      </c>
      <c r="I67" s="13" t="str">
        <f>_xll.BDH("ITCI US Equity","ARDR_FINISHED_GOOD","FQ2 2020","FQ2 2020","Currency=USD","Period=FQ","BEST_FPERIOD_OVERRIDE=FQ","FILING_STATUS=MR","SCALING_FORMAT=MLN","Sort=A","Dates=H","DateFormat=P","Fill=—","Direction=H","UseDPDF=Y")</f>
        <v>—</v>
      </c>
      <c r="J67" s="13" t="str">
        <f>_xll.BDH("ITCI US Equity","ARDR_FINISHED_GOOD","FQ3 2020","FQ3 2020","Currency=USD","Period=FQ","BEST_FPERIOD_OVERRIDE=FQ","FILING_STATUS=MR","SCALING_FORMAT=MLN","Sort=A","Dates=H","DateFormat=P","Fill=—","Direction=H","UseDPDF=Y")</f>
        <v>—</v>
      </c>
      <c r="K67" s="13">
        <f>_xll.BDH("ITCI US Equity","ARDR_FINISHED_GOOD","FQ4 2020","FQ4 2020","Currency=USD","Period=FQ","BEST_FPERIOD_OVERRIDE=FQ","FILING_STATUS=MR","SCALING_FORMAT=MLN","Sort=A","Dates=H","DateFormat=P","Fill=—","Direction=H","UseDPDF=Y")</f>
        <v>2.7915000000000001</v>
      </c>
      <c r="L67" s="13">
        <f>_xll.BDH("ITCI US Equity","ARDR_FINISHED_GOOD","FQ1 2021","FQ1 2021","Currency=USD","Period=FQ","BEST_FPERIOD_OVERRIDE=FQ","FILING_STATUS=MR","SCALING_FORMAT=MLN","Sort=A","Dates=H","DateFormat=P","Fill=—","Direction=H","UseDPDF=Y")</f>
        <v>3.4399000000000002</v>
      </c>
      <c r="M67" s="13">
        <f>_xll.BDH("ITCI US Equity","ARDR_FINISHED_GOOD","FQ2 2021","FQ2 2021","Currency=USD","Period=FQ","BEST_FPERIOD_OVERRIDE=FQ","FILING_STATUS=MR","SCALING_FORMAT=MLN","Sort=A","Dates=H","DateFormat=P","Fill=—","Direction=H","UseDPDF=Y")</f>
        <v>3.3330000000000002</v>
      </c>
      <c r="N67" s="13">
        <f>_xll.BDH("ITCI US Equity","ARDR_FINISHED_GOOD","FQ3 2021","FQ3 2021","Currency=USD","Period=FQ","BEST_FPERIOD_OVERRIDE=FQ","FILING_STATUS=MR","SCALING_FORMAT=MLN","Sort=A","Dates=H","DateFormat=P","Fill=—","Direction=H","UseDPDF=Y")</f>
        <v>2.5407000000000002</v>
      </c>
      <c r="O67" s="13">
        <f>_xll.BDH("ITCI US Equity","ARDR_FINISHED_GOOD","FQ4 2021","FQ4 2021","Currency=USD","Period=FQ","BEST_FPERIOD_OVERRIDE=FQ","FILING_STATUS=MR","SCALING_FORMAT=MLN","Sort=A","Dates=H","DateFormat=P","Fill=—","Direction=H","UseDPDF=Y")</f>
        <v>3.0571999999999999</v>
      </c>
      <c r="P67" s="13">
        <f>_xll.BDH("ITCI US Equity","ARDR_FINISHED_GOOD","FQ1 2022","FQ1 2022","Currency=USD","Period=FQ","BEST_FPERIOD_OVERRIDE=FQ","FILING_STATUS=MR","SCALING_FORMAT=MLN","Sort=A","Dates=H","DateFormat=P","Fill=—","Direction=H","UseDPDF=Y")</f>
        <v>4.2249999999999996</v>
      </c>
      <c r="Q67" s="13">
        <f>_xll.BDH("ITCI US Equity","ARDR_FINISHED_GOOD","FQ2 2022","FQ2 2022","Currency=USD","Period=FQ","BEST_FPERIOD_OVERRIDE=FQ","FILING_STATUS=MR","SCALING_FORMAT=MLN","Sort=A","Dates=H","DateFormat=P","Fill=—","Direction=H","UseDPDF=Y")</f>
        <v>5.1210000000000004</v>
      </c>
      <c r="R67" s="13">
        <f>_xll.BDH("ITCI US Equity","ARDR_FINISHED_GOOD","FQ3 2022","FQ3 2022","Currency=USD","Period=FQ","BEST_FPERIOD_OVERRIDE=FQ","FILING_STATUS=MR","SCALING_FORMAT=MLN","Sort=A","Dates=H","DateFormat=P","Fill=—","Direction=H","UseDPDF=Y")</f>
        <v>3.8029999999999999</v>
      </c>
      <c r="S67" s="13">
        <f>_xll.BDH("ITCI US Equity","ARDR_FINISHED_GOOD","FQ4 2022","FQ4 2022","Currency=USD","Period=FQ","BEST_FPERIOD_OVERRIDE=FQ","FILING_STATUS=MR","SCALING_FORMAT=MLN","Sort=A","Dates=H","DateFormat=P","Fill=—","Direction=H","UseDPDF=Y")</f>
        <v>4.0990000000000002</v>
      </c>
      <c r="T67" s="13">
        <f>_xll.BDH("ITCI US Equity","ARDR_FINISHED_GOOD","FQ1 2023","FQ1 2023","Currency=USD","Period=FQ","BEST_FPERIOD_OVERRIDE=FQ","FILING_STATUS=MR","SCALING_FORMAT=MLN","Sort=A","Dates=H","DateFormat=P","Fill=—","Direction=H","UseDPDF=Y")</f>
        <v>3.395</v>
      </c>
      <c r="U67" s="13">
        <f>_xll.BDH("ITCI US Equity","ARDR_FINISHED_GOOD","FQ2 2023","FQ2 2023","Currency=USD","Period=FQ","BEST_FPERIOD_OVERRIDE=FQ","FILING_STATUS=MR","SCALING_FORMAT=MLN","Sort=A","Dates=H","DateFormat=P","Fill=—","Direction=H","UseDPDF=Y")</f>
        <v>3.9430000000000001</v>
      </c>
      <c r="V67" s="13">
        <f>_xll.BDH("ITCI US Equity","ARDR_FINISHED_GOOD","FQ3 2023","FQ3 2023","Currency=USD","Period=FQ","BEST_FPERIOD_OVERRIDE=FQ","FILING_STATUS=MR","SCALING_FORMAT=MLN","Sort=A","Dates=H","DateFormat=P","Fill=—","Direction=H","UseDPDF=Y")</f>
        <v>5.04</v>
      </c>
      <c r="W67" s="13" t="str">
        <f>_xll.BDH("ITCI US Equity","ARDR_FINISHED_GOOD","FQ4 2023","FQ4 2023","Currency=USD","Period=FQ","BEST_FPERIOD_OVERRIDE=FQ","FILING_STATUS=MR","SCALING_FORMAT=MLN","Sort=A","Dates=H","DateFormat=P","Fill=—","Direction=H","UseDPDF=Y")</f>
        <v>—</v>
      </c>
      <c r="X67" s="13">
        <f>_xll.BDH("ITCI US Equity","ARDR_FINISHED_GOOD","FQ1 2024","FQ1 2024","Currency=USD","Period=FQ","BEST_FPERIOD_OVERRIDE=FQ","FILING_STATUS=MR","SCALING_FORMAT=MLN","Sort=A","Dates=H","DateFormat=P","Fill=—","Direction=H","UseDPDF=Y")</f>
        <v>7.0739999999999998</v>
      </c>
      <c r="Y67" s="13">
        <f>_xll.BDH("ITCI US Equity","ARDR_FINISHED_GOOD","FQ2 2024","FQ2 2024","Currency=USD","Period=FQ","BEST_FPERIOD_OVERRIDE=FQ","FILING_STATUS=MR","SCALING_FORMAT=MLN","Sort=A","Dates=H","DateFormat=P","Fill=—","Direction=H","UseDPDF=Y")</f>
        <v>7.931</v>
      </c>
      <c r="Z67" s="13">
        <f>_xll.BDH("ITCI US Equity","ARDR_FINISHED_GOOD","FQ3 2024","FQ3 2024","Currency=USD","Period=FQ","BEST_FPERIOD_OVERRIDE=FQ","FILING_STATUS=MR","SCALING_FORMAT=MLN","Sort=A","Dates=H","DateFormat=P","Fill=—","Direction=H","UseDPDF=Y")</f>
        <v>10.491</v>
      </c>
      <c r="AA67" s="13">
        <f>_xll.BDH("ITCI US Equity","ARDR_FINISHED_GOOD","FQ4 2024","FQ4 2024","Currency=USD","Period=FQ","BEST_FPERIOD_OVERRIDE=FQ","FILING_STATUS=MR","SCALING_FORMAT=MLN","Sort=A","Dates=H","DateFormat=P","Fill=—","Direction=H","UseDPDF=Y")</f>
        <v>11.311999999999999</v>
      </c>
    </row>
    <row r="68" spans="1:27" x14ac:dyDescent="0.25">
      <c r="A68" s="10" t="s">
        <v>787</v>
      </c>
      <c r="B68" s="10" t="s">
        <v>788</v>
      </c>
      <c r="C68" s="13" t="str">
        <f>_xll.BDH("ITCI US Equity","ARDR_OTHER_INVENTORY","FQ4 2018","FQ4 2018","Currency=USD","Period=FQ","BEST_FPERIOD_OVERRIDE=FQ","FILING_STATUS=MR","SCALING_FORMAT=MLN","Sort=A","Dates=H","DateFormat=P","Fill=—","Direction=H","UseDPDF=Y")</f>
        <v>—</v>
      </c>
      <c r="D68" s="13" t="str">
        <f>_xll.BDH("ITCI US Equity","ARDR_OTHER_INVENTORY","FQ1 2019","FQ1 2019","Currency=USD","Period=FQ","BEST_FPERIOD_OVERRIDE=FQ","FILING_STATUS=MR","SCALING_FORMAT=MLN","Sort=A","Dates=H","DateFormat=P","Fill=—","Direction=H","UseDPDF=Y")</f>
        <v>—</v>
      </c>
      <c r="E68" s="13" t="str">
        <f>_xll.BDH("ITCI US Equity","ARDR_OTHER_INVENTORY","FQ2 2019","FQ2 2019","Currency=USD","Period=FQ","BEST_FPERIOD_OVERRIDE=FQ","FILING_STATUS=MR","SCALING_FORMAT=MLN","Sort=A","Dates=H","DateFormat=P","Fill=—","Direction=H","UseDPDF=Y")</f>
        <v>—</v>
      </c>
      <c r="F68" s="13" t="str">
        <f>_xll.BDH("ITCI US Equity","ARDR_OTHER_INVENTORY","FQ3 2019","FQ3 2019","Currency=USD","Period=FQ","BEST_FPERIOD_OVERRIDE=FQ","FILING_STATUS=MR","SCALING_FORMAT=MLN","Sort=A","Dates=H","DateFormat=P","Fill=—","Direction=H","UseDPDF=Y")</f>
        <v>—</v>
      </c>
      <c r="G68" s="13" t="str">
        <f>_xll.BDH("ITCI US Equity","ARDR_OTHER_INVENTORY","FQ4 2019","FQ4 2019","Currency=USD","Period=FQ","BEST_FPERIOD_OVERRIDE=FQ","FILING_STATUS=MR","SCALING_FORMAT=MLN","Sort=A","Dates=H","DateFormat=P","Fill=—","Direction=H","UseDPDF=Y")</f>
        <v>—</v>
      </c>
      <c r="H68" s="13" t="str">
        <f>_xll.BDH("ITCI US Equity","ARDR_OTHER_INVENTORY","FQ1 2020","FQ1 2020","Currency=USD","Period=FQ","BEST_FPERIOD_OVERRIDE=FQ","FILING_STATUS=MR","SCALING_FORMAT=MLN","Sort=A","Dates=H","DateFormat=P","Fill=—","Direction=H","UseDPDF=Y")</f>
        <v>—</v>
      </c>
      <c r="I68" s="13" t="str">
        <f>_xll.BDH("ITCI US Equity","ARDR_OTHER_INVENTORY","FQ2 2020","FQ2 2020","Currency=USD","Period=FQ","BEST_FPERIOD_OVERRIDE=FQ","FILING_STATUS=MR","SCALING_FORMAT=MLN","Sort=A","Dates=H","DateFormat=P","Fill=—","Direction=H","UseDPDF=Y")</f>
        <v>—</v>
      </c>
      <c r="J68" s="13" t="str">
        <f>_xll.BDH("ITCI US Equity","ARDR_OTHER_INVENTORY","FQ3 2020","FQ3 2020","Currency=USD","Period=FQ","BEST_FPERIOD_OVERRIDE=FQ","FILING_STATUS=MR","SCALING_FORMAT=MLN","Sort=A","Dates=H","DateFormat=P","Fill=—","Direction=H","UseDPDF=Y")</f>
        <v>—</v>
      </c>
      <c r="K68" s="13" t="str">
        <f>_xll.BDH("ITCI US Equity","ARDR_OTHER_INVENTORY","FQ4 2020","FQ4 2020","Currency=USD","Period=FQ","BEST_FPERIOD_OVERRIDE=FQ","FILING_STATUS=MR","SCALING_FORMAT=MLN","Sort=A","Dates=H","DateFormat=P","Fill=—","Direction=H","UseDPDF=Y")</f>
        <v>—</v>
      </c>
      <c r="L68" s="13" t="str">
        <f>_xll.BDH("ITCI US Equity","ARDR_OTHER_INVENTORY","FQ1 2021","FQ1 2021","Currency=USD","Period=FQ","BEST_FPERIOD_OVERRIDE=FQ","FILING_STATUS=MR","SCALING_FORMAT=MLN","Sort=A","Dates=H","DateFormat=P","Fill=—","Direction=H","UseDPDF=Y")</f>
        <v>—</v>
      </c>
      <c r="M68" s="13" t="str">
        <f>_xll.BDH("ITCI US Equity","ARDR_OTHER_INVENTORY","FQ2 2021","FQ2 2021","Currency=USD","Period=FQ","BEST_FPERIOD_OVERRIDE=FQ","FILING_STATUS=MR","SCALING_FORMAT=MLN","Sort=A","Dates=H","DateFormat=P","Fill=—","Direction=H","UseDPDF=Y")</f>
        <v>—</v>
      </c>
      <c r="N68" s="13" t="str">
        <f>_xll.BDH("ITCI US Equity","ARDR_OTHER_INVENTORY","FQ3 2021","FQ3 2021","Currency=USD","Period=FQ","BEST_FPERIOD_OVERRIDE=FQ","FILING_STATUS=MR","SCALING_FORMAT=MLN","Sort=A","Dates=H","DateFormat=P","Fill=—","Direction=H","UseDPDF=Y")</f>
        <v>—</v>
      </c>
      <c r="O68" s="13" t="str">
        <f>_xll.BDH("ITCI US Equity","ARDR_OTHER_INVENTORY","FQ4 2021","FQ4 2021","Currency=USD","Period=FQ","BEST_FPERIOD_OVERRIDE=FQ","FILING_STATUS=MR","SCALING_FORMAT=MLN","Sort=A","Dates=H","DateFormat=P","Fill=—","Direction=H","UseDPDF=Y")</f>
        <v>—</v>
      </c>
      <c r="P68" s="13" t="str">
        <f>_xll.BDH("ITCI US Equity","ARDR_OTHER_INVENTORY","FQ1 2022","FQ1 2022","Currency=USD","Period=FQ","BEST_FPERIOD_OVERRIDE=FQ","FILING_STATUS=MR","SCALING_FORMAT=MLN","Sort=A","Dates=H","DateFormat=P","Fill=—","Direction=H","UseDPDF=Y")</f>
        <v>—</v>
      </c>
      <c r="Q68" s="13" t="str">
        <f>_xll.BDH("ITCI US Equity","ARDR_OTHER_INVENTORY","FQ2 2022","FQ2 2022","Currency=USD","Period=FQ","BEST_FPERIOD_OVERRIDE=FQ","FILING_STATUS=MR","SCALING_FORMAT=MLN","Sort=A","Dates=H","DateFormat=P","Fill=—","Direction=H","UseDPDF=Y")</f>
        <v>—</v>
      </c>
      <c r="R68" s="13" t="str">
        <f>_xll.BDH("ITCI US Equity","ARDR_OTHER_INVENTORY","FQ3 2022","FQ3 2022","Currency=USD","Period=FQ","BEST_FPERIOD_OVERRIDE=FQ","FILING_STATUS=MR","SCALING_FORMAT=MLN","Sort=A","Dates=H","DateFormat=P","Fill=—","Direction=H","UseDPDF=Y")</f>
        <v>—</v>
      </c>
      <c r="S68" s="13" t="str">
        <f>_xll.BDH("ITCI US Equity","ARDR_OTHER_INVENTORY","FQ4 2022","FQ4 2022","Currency=USD","Period=FQ","BEST_FPERIOD_OVERRIDE=FQ","FILING_STATUS=MR","SCALING_FORMAT=MLN","Sort=A","Dates=H","DateFormat=P","Fill=—","Direction=H","UseDPDF=Y")</f>
        <v>—</v>
      </c>
      <c r="T68" s="13" t="str">
        <f>_xll.BDH("ITCI US Equity","ARDR_OTHER_INVENTORY","FQ1 2023","FQ1 2023","Currency=USD","Period=FQ","BEST_FPERIOD_OVERRIDE=FQ","FILING_STATUS=MR","SCALING_FORMAT=MLN","Sort=A","Dates=H","DateFormat=P","Fill=—","Direction=H","UseDPDF=Y")</f>
        <v>—</v>
      </c>
      <c r="U68" s="13" t="str">
        <f>_xll.BDH("ITCI US Equity","ARDR_OTHER_INVENTORY","FQ2 2023","FQ2 2023","Currency=USD","Period=FQ","BEST_FPERIOD_OVERRIDE=FQ","FILING_STATUS=MR","SCALING_FORMAT=MLN","Sort=A","Dates=H","DateFormat=P","Fill=—","Direction=H","UseDPDF=Y")</f>
        <v>—</v>
      </c>
      <c r="V68" s="13" t="str">
        <f>_xll.BDH("ITCI US Equity","ARDR_OTHER_INVENTORY","FQ3 2023","FQ3 2023","Currency=USD","Period=FQ","BEST_FPERIOD_OVERRIDE=FQ","FILING_STATUS=MR","SCALING_FORMAT=MLN","Sort=A","Dates=H","DateFormat=P","Fill=—","Direction=H","UseDPDF=Y")</f>
        <v>—</v>
      </c>
      <c r="W68" s="13" t="str">
        <f>_xll.BDH("ITCI US Equity","ARDR_OTHER_INVENTORY","FQ4 2023","FQ4 2023","Currency=USD","Period=FQ","BEST_FPERIOD_OVERRIDE=FQ","FILING_STATUS=MR","SCALING_FORMAT=MLN","Sort=A","Dates=H","DateFormat=P","Fill=—","Direction=H","UseDPDF=Y")</f>
        <v>—</v>
      </c>
      <c r="X68" s="13">
        <f>_xll.BDH("ITCI US Equity","ARDR_OTHER_INVENTORY","FQ1 2024","FQ1 2024","Currency=USD","Period=FQ","BEST_FPERIOD_OVERRIDE=FQ","FILING_STATUS=MR","SCALING_FORMAT=MLN","Sort=A","Dates=H","DateFormat=P","Fill=—","Direction=H","UseDPDF=Y")</f>
        <v>-34.817999999999998</v>
      </c>
      <c r="Y68" s="13">
        <f>_xll.BDH("ITCI US Equity","ARDR_OTHER_INVENTORY","FQ2 2024","FQ2 2024","Currency=USD","Period=FQ","BEST_FPERIOD_OVERRIDE=FQ","FILING_STATUS=MR","SCALING_FORMAT=MLN","Sort=A","Dates=H","DateFormat=P","Fill=—","Direction=H","UseDPDF=Y")</f>
        <v>-32.561999999999998</v>
      </c>
      <c r="Z68" s="13">
        <f>_xll.BDH("ITCI US Equity","ARDR_OTHER_INVENTORY","FQ3 2024","FQ3 2024","Currency=USD","Period=FQ","BEST_FPERIOD_OVERRIDE=FQ","FILING_STATUS=MR","SCALING_FORMAT=MLN","Sort=A","Dates=H","DateFormat=P","Fill=—","Direction=H","UseDPDF=Y")</f>
        <v>-30.478999999999999</v>
      </c>
      <c r="AA68" s="13">
        <f>_xll.BDH("ITCI US Equity","ARDR_OTHER_INVENTORY","FQ4 2024","FQ4 2024","Currency=USD","Period=FQ","BEST_FPERIOD_OVERRIDE=FQ","FILING_STATUS=MR","SCALING_FORMAT=MLN","Sort=A","Dates=H","DateFormat=P","Fill=—","Direction=H","UseDPDF=Y")</f>
        <v>-38.89</v>
      </c>
    </row>
    <row r="69" spans="1:27" x14ac:dyDescent="0.25">
      <c r="A69" s="10" t="s">
        <v>666</v>
      </c>
      <c r="B69" s="10" t="s">
        <v>789</v>
      </c>
      <c r="C69" s="13">
        <f>_xll.BDH("ITCI US Equity","ARDR_FUT_MIN_OPER_LEASE_OBLIG","FQ4 2018","FQ4 2018","Currency=USD","Period=FQ","BEST_FPERIOD_OVERRIDE=FQ","FILING_STATUS=MR","SCALING_FORMAT=MLN","Sort=A","Dates=H","DateFormat=P","Fill=—","Direction=H","UseDPDF=Y")</f>
        <v>33.406399999999998</v>
      </c>
      <c r="D69" s="13">
        <f>_xll.BDH("ITCI US Equity","ARDR_FUT_MIN_OPER_LEASE_OBLIG","FQ1 2019","FQ1 2019","Currency=USD","Period=FQ","BEST_FPERIOD_OVERRIDE=FQ","FILING_STATUS=MR","SCALING_FORMAT=MLN","Sort=A","Dates=H","DateFormat=P","Fill=—","Direction=H","UseDPDF=Y")</f>
        <v>37.349800000000002</v>
      </c>
      <c r="E69" s="13">
        <f>_xll.BDH("ITCI US Equity","ARDR_FUT_MIN_OPER_LEASE_OBLIG","FQ2 2019","FQ2 2019","Currency=USD","Period=FQ","BEST_FPERIOD_OVERRIDE=FQ","FILING_STATUS=MR","SCALING_FORMAT=MLN","Sort=A","Dates=H","DateFormat=P","Fill=—","Direction=H","UseDPDF=Y")</f>
        <v>35.908900000000003</v>
      </c>
      <c r="F69" s="13">
        <f>_xll.BDH("ITCI US Equity","ARDR_FUT_MIN_OPER_LEASE_OBLIG","FQ3 2019","FQ3 2019","Currency=USD","Period=FQ","BEST_FPERIOD_OVERRIDE=FQ","FILING_STATUS=MR","SCALING_FORMAT=MLN","Sort=A","Dates=H","DateFormat=P","Fill=—","Direction=H","UseDPDF=Y")</f>
        <v>35.098399999999998</v>
      </c>
      <c r="G69" s="13">
        <f>_xll.BDH("ITCI US Equity","ARDR_FUT_MIN_OPER_LEASE_OBLIG","FQ4 2019","FQ4 2019","Currency=USD","Period=FQ","BEST_FPERIOD_OVERRIDE=FQ","FILING_STATUS=MR","SCALING_FORMAT=MLN","Sort=A","Dates=H","DateFormat=P","Fill=—","Direction=H","UseDPDF=Y")</f>
        <v>35.154600000000002</v>
      </c>
      <c r="H69" s="13">
        <f>_xll.BDH("ITCI US Equity","ARDR_FUT_MIN_OPER_LEASE_OBLIG","FQ1 2020","FQ1 2020","Currency=USD","Period=FQ","BEST_FPERIOD_OVERRIDE=FQ","FILING_STATUS=MR","SCALING_FORMAT=MLN","Sort=A","Dates=H","DateFormat=P","Fill=—","Direction=H","UseDPDF=Y")</f>
        <v>34.421599999999998</v>
      </c>
      <c r="I69" s="13">
        <f>_xll.BDH("ITCI US Equity","ARDR_FUT_MIN_OPER_LEASE_OBLIG","FQ2 2020","FQ2 2020","Currency=USD","Period=FQ","BEST_FPERIOD_OVERRIDE=FQ","FILING_STATUS=MR","SCALING_FORMAT=MLN","Sort=A","Dates=H","DateFormat=P","Fill=—","Direction=H","UseDPDF=Y")</f>
        <v>36.196800000000003</v>
      </c>
      <c r="J69" s="13">
        <f>_xll.BDH("ITCI US Equity","ARDR_FUT_MIN_OPER_LEASE_OBLIG","FQ3 2020","FQ3 2020","Currency=USD","Period=FQ","BEST_FPERIOD_OVERRIDE=FQ","FILING_STATUS=MR","SCALING_FORMAT=MLN","Sort=A","Dates=H","DateFormat=P","Fill=—","Direction=H","UseDPDF=Y")</f>
        <v>39.778799999999997</v>
      </c>
      <c r="K69" s="13">
        <f>_xll.BDH("ITCI US Equity","ARDR_FUT_MIN_OPER_LEASE_OBLIG","FQ4 2020","FQ4 2020","Currency=USD","Period=FQ","BEST_FPERIOD_OVERRIDE=FQ","FILING_STATUS=MR","SCALING_FORMAT=MLN","Sort=A","Dates=H","DateFormat=P","Fill=—","Direction=H","UseDPDF=Y")</f>
        <v>39.270000000000003</v>
      </c>
      <c r="L69" s="13">
        <f>_xll.BDH("ITCI US Equity","ARDR_FUT_MIN_OPER_LEASE_OBLIG","FQ1 2021","FQ1 2021","Currency=USD","Period=FQ","BEST_FPERIOD_OVERRIDE=FQ","FILING_STATUS=MR","SCALING_FORMAT=MLN","Sort=A","Dates=H","DateFormat=P","Fill=—","Direction=H","UseDPDF=Y")</f>
        <v>37.823900000000002</v>
      </c>
      <c r="M69" s="13">
        <f>_xll.BDH("ITCI US Equity","ARDR_FUT_MIN_OPER_LEASE_OBLIG","FQ2 2021","FQ2 2021","Currency=USD","Period=FQ","BEST_FPERIOD_OVERRIDE=FQ","FILING_STATUS=MR","SCALING_FORMAT=MLN","Sort=A","Dates=H","DateFormat=P","Fill=—","Direction=H","UseDPDF=Y")</f>
        <v>36.383899999999997</v>
      </c>
      <c r="N69" s="13">
        <f>_xll.BDH("ITCI US Equity","ARDR_FUT_MIN_OPER_LEASE_OBLIG","FQ3 2021","FQ3 2021","Currency=USD","Period=FQ","BEST_FPERIOD_OVERRIDE=FQ","FILING_STATUS=MR","SCALING_FORMAT=MLN","Sort=A","Dates=H","DateFormat=P","Fill=—","Direction=H","UseDPDF=Y")</f>
        <v>34.999200000000002</v>
      </c>
      <c r="O69" s="13">
        <f>_xll.BDH("ITCI US Equity","ARDR_FUT_MIN_OPER_LEASE_OBLIG","FQ4 2021","FQ4 2021","Currency=USD","Period=FQ","BEST_FPERIOD_OVERRIDE=FQ","FILING_STATUS=MR","SCALING_FORMAT=MLN","Sort=A","Dates=H","DateFormat=P","Fill=—","Direction=H","UseDPDF=Y")</f>
        <v>33.512599999999999</v>
      </c>
      <c r="P69" s="13">
        <f>_xll.BDH("ITCI US Equity","ARDR_FUT_MIN_OPER_LEASE_OBLIG","FQ1 2022","FQ1 2022","Currency=USD","Period=FQ","BEST_FPERIOD_OVERRIDE=FQ","FILING_STATUS=MR","SCALING_FORMAT=MLN","Sort=A","Dates=H","DateFormat=P","Fill=—","Direction=H","UseDPDF=Y")</f>
        <v>4.54</v>
      </c>
      <c r="Q69" s="13">
        <f>_xll.BDH("ITCI US Equity","ARDR_FUT_MIN_OPER_LEASE_OBLIG","FQ2 2022","FQ2 2022","Currency=USD","Period=FQ","BEST_FPERIOD_OVERRIDE=FQ","FILING_STATUS=MR","SCALING_FORMAT=MLN","Sort=A","Dates=H","DateFormat=P","Fill=—","Direction=H","UseDPDF=Y")</f>
        <v>7.1689999999999996</v>
      </c>
      <c r="R69" s="13">
        <f>_xll.BDH("ITCI US Equity","ARDR_FUT_MIN_OPER_LEASE_OBLIG","FQ3 2022","FQ3 2022","Currency=USD","Period=FQ","BEST_FPERIOD_OVERRIDE=FQ","FILING_STATUS=MR","SCALING_FORMAT=MLN","Sort=A","Dates=H","DateFormat=P","Fill=—","Direction=H","UseDPDF=Y")</f>
        <v>7.2439999999999998</v>
      </c>
      <c r="S69" s="13">
        <f>_xll.BDH("ITCI US Equity","ARDR_FUT_MIN_OPER_LEASE_OBLIG","FQ4 2022","FQ4 2022","Currency=USD","Period=FQ","BEST_FPERIOD_OVERRIDE=FQ","FILING_STATUS=MR","SCALING_FORMAT=MLN","Sort=A","Dates=H","DateFormat=P","Fill=—","Direction=H","UseDPDF=Y")</f>
        <v>26.350999999999999</v>
      </c>
      <c r="T69" s="13">
        <f>_xll.BDH("ITCI US Equity","ARDR_FUT_MIN_OPER_LEASE_OBLIG","FQ1 2023","FQ1 2023","Currency=USD","Period=FQ","BEST_FPERIOD_OVERRIDE=FQ","FILING_STATUS=MR","SCALING_FORMAT=MLN","Sort=A","Dates=H","DateFormat=P","Fill=—","Direction=H","UseDPDF=Y")</f>
        <v>24.376000000000001</v>
      </c>
      <c r="U69" s="13">
        <f>_xll.BDH("ITCI US Equity","ARDR_FUT_MIN_OPER_LEASE_OBLIG","FQ2 2023","FQ2 2023","Currency=USD","Period=FQ","BEST_FPERIOD_OVERRIDE=FQ","FILING_STATUS=MR","SCALING_FORMAT=MLN","Sort=A","Dates=H","DateFormat=P","Fill=—","Direction=H","UseDPDF=Y")</f>
        <v>23.457999999999998</v>
      </c>
      <c r="V69" s="13">
        <f>_xll.BDH("ITCI US Equity","ARDR_FUT_MIN_OPER_LEASE_OBLIG","FQ3 2023","FQ3 2023","Currency=USD","Period=FQ","BEST_FPERIOD_OVERRIDE=FQ","FILING_STATUS=MR","SCALING_FORMAT=MLN","Sort=A","Dates=H","DateFormat=P","Fill=—","Direction=H","UseDPDF=Y")</f>
        <v>22.54</v>
      </c>
      <c r="W69" s="13">
        <f>_xll.BDH("ITCI US Equity","ARDR_FUT_MIN_OPER_LEASE_OBLIG","FQ4 2023","FQ4 2023","Currency=USD","Period=FQ","BEST_FPERIOD_OVERRIDE=FQ","FILING_STATUS=MR","SCALING_FORMAT=MLN","Sort=A","Dates=H","DateFormat=P","Fill=—","Direction=H","UseDPDF=Y")</f>
        <v>21.61</v>
      </c>
      <c r="X69" s="13">
        <f>_xll.BDH("ITCI US Equity","ARDR_FUT_MIN_OPER_LEASE_OBLIG","FQ1 2024","FQ1 2024","Currency=USD","Period=FQ","BEST_FPERIOD_OVERRIDE=FQ","FILING_STATUS=MR","SCALING_FORMAT=MLN","Sort=A","Dates=H","DateFormat=P","Fill=—","Direction=H","UseDPDF=Y")</f>
        <v>20.667999999999999</v>
      </c>
      <c r="Y69" s="13">
        <f>_xll.BDH("ITCI US Equity","ARDR_FUT_MIN_OPER_LEASE_OBLIG","FQ2 2024","FQ2 2024","Currency=USD","Period=FQ","BEST_FPERIOD_OVERRIDE=FQ","FILING_STATUS=MR","SCALING_FORMAT=MLN","Sort=A","Dates=H","DateFormat=P","Fill=—","Direction=H","UseDPDF=Y")</f>
        <v>22.745000000000001</v>
      </c>
      <c r="Z69" s="13">
        <f>_xll.BDH("ITCI US Equity","ARDR_FUT_MIN_OPER_LEASE_OBLIG","FQ3 2024","FQ3 2024","Currency=USD","Period=FQ","BEST_FPERIOD_OVERRIDE=FQ","FILING_STATUS=MR","SCALING_FORMAT=MLN","Sort=A","Dates=H","DateFormat=P","Fill=—","Direction=H","UseDPDF=Y")</f>
        <v>21.797999999999998</v>
      </c>
      <c r="AA69" s="13">
        <f>_xll.BDH("ITCI US Equity","ARDR_FUT_MIN_OPER_LEASE_OBLIG","FQ4 2024","FQ4 2024","Currency=USD","Period=FQ","BEST_FPERIOD_OVERRIDE=FQ","FILING_STATUS=MR","SCALING_FORMAT=MLN","Sort=A","Dates=H","DateFormat=P","Fill=—","Direction=H","UseDPDF=Y")</f>
        <v>20.684999999999999</v>
      </c>
    </row>
    <row r="70" spans="1:27" x14ac:dyDescent="0.25">
      <c r="A70" s="10" t="s">
        <v>790</v>
      </c>
      <c r="B70" s="10" t="s">
        <v>791</v>
      </c>
      <c r="C70" s="13">
        <f>_xll.BDH("ITCI US Equity","ARDR_RENTAL_EXP_YR1","FQ4 2018","FQ4 2018","Currency=USD","Period=FQ","BEST_FPERIOD_OVERRIDE=FQ","FILING_STATUS=MR","SCALING_FORMAT=MLN","Sort=A","Dates=H","DateFormat=P","Fill=—","Direction=H","UseDPDF=Y")</f>
        <v>2.5228999999999999</v>
      </c>
      <c r="D70" s="13">
        <f>_xll.BDH("ITCI US Equity","ARDR_RENTAL_EXP_YR1","FQ1 2019","FQ1 2019","Currency=USD","Period=FQ","BEST_FPERIOD_OVERRIDE=FQ","FILING_STATUS=MR","SCALING_FORMAT=MLN","Sort=A","Dates=H","DateFormat=P","Fill=—","Direction=H","UseDPDF=Y")</f>
        <v>2.1951999999999998</v>
      </c>
      <c r="E70" s="13">
        <f>_xll.BDH("ITCI US Equity","ARDR_RENTAL_EXP_YR1","FQ2 2019","FQ2 2019","Currency=USD","Period=FQ","BEST_FPERIOD_OVERRIDE=FQ","FILING_STATUS=MR","SCALING_FORMAT=MLN","Sort=A","Dates=H","DateFormat=P","Fill=—","Direction=H","UseDPDF=Y")</f>
        <v>0.75429999999999997</v>
      </c>
      <c r="F70" s="13">
        <f>_xll.BDH("ITCI US Equity","ARDR_RENTAL_EXP_YR1","FQ3 2019","FQ3 2019","Currency=USD","Period=FQ","BEST_FPERIOD_OVERRIDE=FQ","FILING_STATUS=MR","SCALING_FORMAT=MLN","Sort=A","Dates=H","DateFormat=P","Fill=—","Direction=H","UseDPDF=Y")</f>
        <v>-5.6099999999999997E-2</v>
      </c>
      <c r="G70" s="13">
        <f>_xll.BDH("ITCI US Equity","ARDR_RENTAL_EXP_YR1","FQ4 2019","FQ4 2019","Currency=USD","Period=FQ","BEST_FPERIOD_OVERRIDE=FQ","FILING_STATUS=MR","SCALING_FORMAT=MLN","Sort=A","Dates=H","DateFormat=P","Fill=—","Direction=H","UseDPDF=Y")</f>
        <v>3.3464</v>
      </c>
      <c r="H70" s="13">
        <f>_xll.BDH("ITCI US Equity","ARDR_RENTAL_EXP_YR1","FQ1 2020","FQ1 2020","Currency=USD","Period=FQ","BEST_FPERIOD_OVERRIDE=FQ","FILING_STATUS=MR","SCALING_FORMAT=MLN","Sort=A","Dates=H","DateFormat=P","Fill=—","Direction=H","UseDPDF=Y")</f>
        <v>2.5362</v>
      </c>
      <c r="I70" s="13">
        <f>_xll.BDH("ITCI US Equity","ARDR_RENTAL_EXP_YR1","FQ2 2020","FQ2 2020","Currency=USD","Period=FQ","BEST_FPERIOD_OVERRIDE=FQ","FILING_STATUS=MR","SCALING_FORMAT=MLN","Sort=A","Dates=H","DateFormat=P","Fill=—","Direction=H","UseDPDF=Y")</f>
        <v>2.0762999999999998</v>
      </c>
      <c r="J70" s="13">
        <f>_xll.BDH("ITCI US Equity","ARDR_RENTAL_EXP_YR1","FQ3 2020","FQ3 2020","Currency=USD","Period=FQ","BEST_FPERIOD_OVERRIDE=FQ","FILING_STATUS=MR","SCALING_FORMAT=MLN","Sort=A","Dates=H","DateFormat=P","Fill=—","Direction=H","UseDPDF=Y")</f>
        <v>1.3764000000000001</v>
      </c>
      <c r="K70" s="13">
        <f>_xll.BDH("ITCI US Equity","ARDR_RENTAL_EXP_YR1","FQ4 2020","FQ4 2020","Currency=USD","Period=FQ","BEST_FPERIOD_OVERRIDE=FQ","FILING_STATUS=MR","SCALING_FORMAT=MLN","Sort=A","Dates=H","DateFormat=P","Fill=—","Direction=H","UseDPDF=Y")</f>
        <v>3.4483000000000001</v>
      </c>
      <c r="L70" s="13">
        <f>_xll.BDH("ITCI US Equity","ARDR_RENTAL_EXP_YR1","FQ1 2021","FQ1 2021","Currency=USD","Period=FQ","BEST_FPERIOD_OVERRIDE=FQ","FILING_STATUS=MR","SCALING_FORMAT=MLN","Sort=A","Dates=H","DateFormat=P","Fill=—","Direction=H","UseDPDF=Y")</f>
        <v>4.3647</v>
      </c>
      <c r="M70" s="13">
        <f>_xll.BDH("ITCI US Equity","ARDR_RENTAL_EXP_YR1","FQ2 2021","FQ2 2021","Currency=USD","Period=FQ","BEST_FPERIOD_OVERRIDE=FQ","FILING_STATUS=MR","SCALING_FORMAT=MLN","Sort=A","Dates=H","DateFormat=P","Fill=—","Direction=H","UseDPDF=Y")</f>
        <v>2.9142999999999999</v>
      </c>
      <c r="N70" s="13">
        <f>_xll.BDH("ITCI US Equity","ARDR_RENTAL_EXP_YR1","FQ3 2021","FQ3 2021","Currency=USD","Period=FQ","BEST_FPERIOD_OVERRIDE=FQ","FILING_STATUS=MR","SCALING_FORMAT=MLN","Sort=A","Dates=H","DateFormat=P","Fill=—","Direction=H","UseDPDF=Y")</f>
        <v>1.4676</v>
      </c>
      <c r="O70" s="13">
        <f>_xll.BDH("ITCI US Equity","ARDR_RENTAL_EXP_YR1","FQ4 2021","FQ4 2021","Currency=USD","Period=FQ","BEST_FPERIOD_OVERRIDE=FQ","FILING_STATUS=MR","SCALING_FORMAT=MLN","Sort=A","Dates=H","DateFormat=P","Fill=—","Direction=H","UseDPDF=Y")</f>
        <v>6.9626000000000001</v>
      </c>
      <c r="P70" s="13">
        <f>_xll.BDH("ITCI US Equity","ARDR_RENTAL_EXP_YR1","FQ1 2022","FQ1 2022","Currency=USD","Period=FQ","BEST_FPERIOD_OVERRIDE=FQ","FILING_STATUS=MR","SCALING_FORMAT=MLN","Sort=A","Dates=H","DateFormat=P","Fill=—","Direction=H","UseDPDF=Y")</f>
        <v>2.871</v>
      </c>
      <c r="Q70" s="13">
        <f>_xll.BDH("ITCI US Equity","ARDR_RENTAL_EXP_YR1","FQ2 2022","FQ2 2022","Currency=USD","Period=FQ","BEST_FPERIOD_OVERRIDE=FQ","FILING_STATUS=MR","SCALING_FORMAT=MLN","Sort=A","Dates=H","DateFormat=P","Fill=—","Direction=H","UseDPDF=Y")</f>
        <v>2.3519999999999999</v>
      </c>
      <c r="R70" s="13">
        <f>_xll.BDH("ITCI US Equity","ARDR_RENTAL_EXP_YR1","FQ3 2022","FQ3 2022","Currency=USD","Period=FQ","BEST_FPERIOD_OVERRIDE=FQ","FILING_STATUS=MR","SCALING_FORMAT=MLN","Sort=A","Dates=H","DateFormat=P","Fill=—","Direction=H","UseDPDF=Y")</f>
        <v>1.4059999999999999</v>
      </c>
      <c r="S70" s="13">
        <f>_xll.BDH("ITCI US Equity","ARDR_RENTAL_EXP_YR1","FQ4 2022","FQ4 2022","Currency=USD","Period=FQ","BEST_FPERIOD_OVERRIDE=FQ","FILING_STATUS=MR","SCALING_FORMAT=MLN","Sort=A","Dates=H","DateFormat=P","Fill=—","Direction=H","UseDPDF=Y")</f>
        <v>4.7409999999999997</v>
      </c>
      <c r="T70" s="13">
        <f>_xll.BDH("ITCI US Equity","ARDR_RENTAL_EXP_YR1","FQ1 2023","FQ1 2023","Currency=USD","Period=FQ","BEST_FPERIOD_OVERRIDE=FQ","FILING_STATUS=MR","SCALING_FORMAT=MLN","Sort=A","Dates=H","DateFormat=P","Fill=—","Direction=H","UseDPDF=Y")</f>
        <v>2.766</v>
      </c>
      <c r="U70" s="13">
        <f>_xll.BDH("ITCI US Equity","ARDR_RENTAL_EXP_YR1","FQ2 2023","FQ2 2023","Currency=USD","Period=FQ","BEST_FPERIOD_OVERRIDE=FQ","FILING_STATUS=MR","SCALING_FORMAT=MLN","Sort=A","Dates=H","DateFormat=P","Fill=—","Direction=H","UseDPDF=Y")</f>
        <v>1.8480000000000001</v>
      </c>
      <c r="V70" s="13">
        <f>_xll.BDH("ITCI US Equity","ARDR_RENTAL_EXP_YR1","FQ3 2023","FQ3 2023","Currency=USD","Period=FQ","BEST_FPERIOD_OVERRIDE=FQ","FILING_STATUS=MR","SCALING_FORMAT=MLN","Sort=A","Dates=H","DateFormat=P","Fill=—","Direction=H","UseDPDF=Y")</f>
        <v>0.93</v>
      </c>
      <c r="W70" s="13">
        <f>_xll.BDH("ITCI US Equity","ARDR_RENTAL_EXP_YR1","FQ4 2023","FQ4 2023","Currency=USD","Period=FQ","BEST_FPERIOD_OVERRIDE=FQ","FILING_STATUS=MR","SCALING_FORMAT=MLN","Sort=A","Dates=H","DateFormat=P","Fill=—","Direction=H","UseDPDF=Y")</f>
        <v>3.7919999999999998</v>
      </c>
      <c r="X70" s="13">
        <f>_xll.BDH("ITCI US Equity","ARDR_RENTAL_EXP_YR1","FQ1 2024","FQ1 2024","Currency=USD","Period=FQ","BEST_FPERIOD_OVERRIDE=FQ","FILING_STATUS=MR","SCALING_FORMAT=MLN","Sort=A","Dates=H","DateFormat=P","Fill=—","Direction=H","UseDPDF=Y")</f>
        <v>2.85</v>
      </c>
      <c r="Y70" s="13">
        <f>_xll.BDH("ITCI US Equity","ARDR_RENTAL_EXP_YR1","FQ2 2024","FQ2 2024","Currency=USD","Period=FQ","BEST_FPERIOD_OVERRIDE=FQ","FILING_STATUS=MR","SCALING_FORMAT=MLN","Sort=A","Dates=H","DateFormat=P","Fill=—","Direction=H","UseDPDF=Y")</f>
        <v>2.165</v>
      </c>
      <c r="Z70" s="13">
        <f>_xll.BDH("ITCI US Equity","ARDR_RENTAL_EXP_YR1","FQ3 2024","FQ3 2024","Currency=USD","Period=FQ","BEST_FPERIOD_OVERRIDE=FQ","FILING_STATUS=MR","SCALING_FORMAT=MLN","Sort=A","Dates=H","DateFormat=P","Fill=—","Direction=H","UseDPDF=Y")</f>
        <v>1.1120000000000001</v>
      </c>
      <c r="AA70" s="13">
        <f>_xll.BDH("ITCI US Equity","ARDR_RENTAL_EXP_YR1","FQ4 2024","FQ4 2024","Currency=USD","Period=FQ","BEST_FPERIOD_OVERRIDE=FQ","FILING_STATUS=MR","SCALING_FORMAT=MLN","Sort=A","Dates=H","DateFormat=P","Fill=—","Direction=H","UseDPDF=Y")</f>
        <v>4.4349999999999996</v>
      </c>
    </row>
    <row r="71" spans="1:27" x14ac:dyDescent="0.25">
      <c r="A71" s="10" t="s">
        <v>792</v>
      </c>
      <c r="B71" s="10" t="s">
        <v>793</v>
      </c>
      <c r="C71" s="13">
        <f>_xll.BDH("ITCI US Equity","ARDR_RENTAL_EXP_YR2","FQ4 2018","FQ4 2018","Currency=USD","Period=FQ","BEST_FPERIOD_OVERRIDE=FQ","FILING_STATUS=MR","SCALING_FORMAT=MLN","Sort=A","Dates=H","DateFormat=P","Fill=—","Direction=H","UseDPDF=Y")</f>
        <v>2.9460999999999999</v>
      </c>
      <c r="D71" s="13">
        <f>_xll.BDH("ITCI US Equity","ARDR_RENTAL_EXP_YR2","FQ1 2019","FQ1 2019","Currency=USD","Period=FQ","BEST_FPERIOD_OVERRIDE=FQ","FILING_STATUS=MR","SCALING_FORMAT=MLN","Sort=A","Dates=H","DateFormat=P","Fill=—","Direction=H","UseDPDF=Y")</f>
        <v>3.3464</v>
      </c>
      <c r="E71" s="13">
        <f>_xll.BDH("ITCI US Equity","ARDR_RENTAL_EXP_YR2","FQ2 2019","FQ2 2019","Currency=USD","Period=FQ","BEST_FPERIOD_OVERRIDE=FQ","FILING_STATUS=MR","SCALING_FORMAT=MLN","Sort=A","Dates=H","DateFormat=P","Fill=—","Direction=H","UseDPDF=Y")</f>
        <v>3.3464</v>
      </c>
      <c r="F71" s="13">
        <f>_xll.BDH("ITCI US Equity","ARDR_RENTAL_EXP_YR2","FQ3 2019","FQ3 2019","Currency=USD","Period=FQ","BEST_FPERIOD_OVERRIDE=FQ","FILING_STATUS=MR","SCALING_FORMAT=MLN","Sort=A","Dates=H","DateFormat=P","Fill=—","Direction=H","UseDPDF=Y")</f>
        <v>3.3464</v>
      </c>
      <c r="G71" s="13">
        <f>_xll.BDH("ITCI US Equity","ARDR_RENTAL_EXP_YR2","FQ4 2019","FQ4 2019","Currency=USD","Period=FQ","BEST_FPERIOD_OVERRIDE=FQ","FILING_STATUS=MR","SCALING_FORMAT=MLN","Sort=A","Dates=H","DateFormat=P","Fill=—","Direction=H","UseDPDF=Y")</f>
        <v>3.4483000000000001</v>
      </c>
      <c r="H71" s="13">
        <f>_xll.BDH("ITCI US Equity","ARDR_RENTAL_EXP_YR2","FQ1 2020","FQ1 2020","Currency=USD","Period=FQ","BEST_FPERIOD_OVERRIDE=FQ","FILING_STATUS=MR","SCALING_FORMAT=MLN","Sort=A","Dates=H","DateFormat=P","Fill=—","Direction=H","UseDPDF=Y")</f>
        <v>3.5186000000000002</v>
      </c>
      <c r="I71" s="13">
        <f>_xll.BDH("ITCI US Equity","ARDR_RENTAL_EXP_YR2","FQ2 2020","FQ2 2020","Currency=USD","Period=FQ","BEST_FPERIOD_OVERRIDE=FQ","FILING_STATUS=MR","SCALING_FORMAT=MLN","Sort=A","Dates=H","DateFormat=P","Fill=—","Direction=H","UseDPDF=Y")</f>
        <v>4.2394999999999996</v>
      </c>
      <c r="J71" s="13">
        <f>_xll.BDH("ITCI US Equity","ARDR_RENTAL_EXP_YR2","FQ3 2020","FQ3 2020","Currency=USD","Period=FQ","BEST_FPERIOD_OVERRIDE=FQ","FILING_STATUS=MR","SCALING_FORMAT=MLN","Sort=A","Dates=H","DateFormat=P","Fill=—","Direction=H","UseDPDF=Y")</f>
        <v>5.5608000000000004</v>
      </c>
      <c r="K71" s="13">
        <f>_xll.BDH("ITCI US Equity","ARDR_RENTAL_EXP_YR2","FQ4 2020","FQ4 2020","Currency=USD","Period=FQ","BEST_FPERIOD_OVERRIDE=FQ","FILING_STATUS=MR","SCALING_FORMAT=MLN","Sort=A","Dates=H","DateFormat=P","Fill=—","Direction=H","UseDPDF=Y")</f>
        <v>5.8541999999999996</v>
      </c>
      <c r="L71" s="13">
        <f>_xll.BDH("ITCI US Equity","ARDR_RENTAL_EXP_YR2","FQ1 2021","FQ1 2021","Currency=USD","Period=FQ","BEST_FPERIOD_OVERRIDE=FQ","FILING_STATUS=MR","SCALING_FORMAT=MLN","Sort=A","Dates=H","DateFormat=P","Fill=—","Direction=H","UseDPDF=Y")</f>
        <v>6.9499000000000004</v>
      </c>
      <c r="M71" s="13">
        <f>_xll.BDH("ITCI US Equity","ARDR_RENTAL_EXP_YR2","FQ2 2021","FQ2 2021","Currency=USD","Period=FQ","BEST_FPERIOD_OVERRIDE=FQ","FILING_STATUS=MR","SCALING_FORMAT=MLN","Sort=A","Dates=H","DateFormat=P","Fill=—","Direction=H","UseDPDF=Y")</f>
        <v>6.9513999999999996</v>
      </c>
      <c r="N71" s="13">
        <f>_xll.BDH("ITCI US Equity","ARDR_RENTAL_EXP_YR2","FQ3 2021","FQ3 2021","Currency=USD","Period=FQ","BEST_FPERIOD_OVERRIDE=FQ","FILING_STATUS=MR","SCALING_FORMAT=MLN","Sort=A","Dates=H","DateFormat=P","Fill=—","Direction=H","UseDPDF=Y")</f>
        <v>6.9714999999999998</v>
      </c>
      <c r="O71" s="13">
        <f>_xll.BDH("ITCI US Equity","ARDR_RENTAL_EXP_YR2","FQ4 2021","FQ4 2021","Currency=USD","Period=FQ","BEST_FPERIOD_OVERRIDE=FQ","FILING_STATUS=MR","SCALING_FORMAT=MLN","Sort=A","Dates=H","DateFormat=P","Fill=—","Direction=H","UseDPDF=Y")</f>
        <v>5.2477999999999998</v>
      </c>
      <c r="P71" s="13">
        <f>_xll.BDH("ITCI US Equity","ARDR_RENTAL_EXP_YR2","FQ1 2022","FQ1 2022","Currency=USD","Period=FQ","BEST_FPERIOD_OVERRIDE=FQ","FILING_STATUS=MR","SCALING_FORMAT=MLN","Sort=A","Dates=H","DateFormat=P","Fill=—","Direction=H","UseDPDF=Y")</f>
        <v>1.669</v>
      </c>
      <c r="Q71" s="13">
        <f>_xll.BDH("ITCI US Equity","ARDR_RENTAL_EXP_YR2","FQ2 2022","FQ2 2022","Currency=USD","Period=FQ","BEST_FPERIOD_OVERRIDE=FQ","FILING_STATUS=MR","SCALING_FORMAT=MLN","Sort=A","Dates=H","DateFormat=P","Fill=—","Direction=H","UseDPDF=Y")</f>
        <v>2.6869999999999998</v>
      </c>
      <c r="R71" s="13">
        <f>_xll.BDH("ITCI US Equity","ARDR_RENTAL_EXP_YR2","FQ3 2022","FQ3 2022","Currency=USD","Period=FQ","BEST_FPERIOD_OVERRIDE=FQ","FILING_STATUS=MR","SCALING_FORMAT=MLN","Sort=A","Dates=H","DateFormat=P","Fill=—","Direction=H","UseDPDF=Y")</f>
        <v>2.9369999999999998</v>
      </c>
      <c r="S71" s="13">
        <f>_xll.BDH("ITCI US Equity","ARDR_RENTAL_EXP_YR2","FQ4 2022","FQ4 2022","Currency=USD","Period=FQ","BEST_FPERIOD_OVERRIDE=FQ","FILING_STATUS=MR","SCALING_FORMAT=MLN","Sort=A","Dates=H","DateFormat=P","Fill=—","Direction=H","UseDPDF=Y")</f>
        <v>3.7919999999999998</v>
      </c>
      <c r="T71" s="13">
        <f>_xll.BDH("ITCI US Equity","ARDR_RENTAL_EXP_YR2","FQ1 2023","FQ1 2023","Currency=USD","Period=FQ","BEST_FPERIOD_OVERRIDE=FQ","FILING_STATUS=MR","SCALING_FORMAT=MLN","Sort=A","Dates=H","DateFormat=P","Fill=—","Direction=H","UseDPDF=Y")</f>
        <v>3.7919999999999998</v>
      </c>
      <c r="U71" s="13">
        <f>_xll.BDH("ITCI US Equity","ARDR_RENTAL_EXP_YR2","FQ2 2023","FQ2 2023","Currency=USD","Period=FQ","BEST_FPERIOD_OVERRIDE=FQ","FILING_STATUS=MR","SCALING_FORMAT=MLN","Sort=A","Dates=H","DateFormat=P","Fill=—","Direction=H","UseDPDF=Y")</f>
        <v>3.7919999999999998</v>
      </c>
      <c r="V71" s="13">
        <f>_xll.BDH("ITCI US Equity","ARDR_RENTAL_EXP_YR2","FQ3 2023","FQ3 2023","Currency=USD","Period=FQ","BEST_FPERIOD_OVERRIDE=FQ","FILING_STATUS=MR","SCALING_FORMAT=MLN","Sort=A","Dates=H","DateFormat=P","Fill=—","Direction=H","UseDPDF=Y")</f>
        <v>3.7919999999999998</v>
      </c>
      <c r="W71" s="13">
        <f>_xll.BDH("ITCI US Equity","ARDR_RENTAL_EXP_YR2","FQ4 2023","FQ4 2023","Currency=USD","Period=FQ","BEST_FPERIOD_OVERRIDE=FQ","FILING_STATUS=MR","SCALING_FORMAT=MLN","Sort=A","Dates=H","DateFormat=P","Fill=—","Direction=H","UseDPDF=Y")</f>
        <v>3.907</v>
      </c>
      <c r="X71" s="13">
        <f>_xll.BDH("ITCI US Equity","ARDR_RENTAL_EXP_YR2","FQ1 2024","FQ1 2024","Currency=USD","Period=FQ","BEST_FPERIOD_OVERRIDE=FQ","FILING_STATUS=MR","SCALING_FORMAT=MLN","Sort=A","Dates=H","DateFormat=P","Fill=—","Direction=H","UseDPDF=Y")</f>
        <v>3.907</v>
      </c>
      <c r="Y71" s="13">
        <f>_xll.BDH("ITCI US Equity","ARDR_RENTAL_EXP_YR2","FQ2 2024","FQ2 2024","Currency=USD","Period=FQ","BEST_FPERIOD_OVERRIDE=FQ","FILING_STATUS=MR","SCALING_FORMAT=MLN","Sort=A","Dates=H","DateFormat=P","Fill=—","Direction=H","UseDPDF=Y")</f>
        <v>4.4359999999999999</v>
      </c>
      <c r="Z71" s="13">
        <f>_xll.BDH("ITCI US Equity","ARDR_RENTAL_EXP_YR2","FQ3 2024","FQ3 2024","Currency=USD","Period=FQ","BEST_FPERIOD_OVERRIDE=FQ","FILING_STATUS=MR","SCALING_FORMAT=MLN","Sort=A","Dates=H","DateFormat=P","Fill=—","Direction=H","UseDPDF=Y")</f>
        <v>4.4359999999999999</v>
      </c>
      <c r="AA71" s="13">
        <f>_xll.BDH("ITCI US Equity","ARDR_RENTAL_EXP_YR2","FQ4 2024","FQ4 2024","Currency=USD","Period=FQ","BEST_FPERIOD_OVERRIDE=FQ","FILING_STATUS=MR","SCALING_FORMAT=MLN","Sort=A","Dates=H","DateFormat=P","Fill=—","Direction=H","UseDPDF=Y")</f>
        <v>4.5129999999999999</v>
      </c>
    </row>
    <row r="72" spans="1:27" x14ac:dyDescent="0.25">
      <c r="A72" s="10" t="s">
        <v>794</v>
      </c>
      <c r="B72" s="10" t="s">
        <v>795</v>
      </c>
      <c r="C72" s="13">
        <f>_xll.BDH("ITCI US Equity","ARDR_RENTAL_EXP_YR3","FQ4 2018","FQ4 2018","Currency=USD","Period=FQ","BEST_FPERIOD_OVERRIDE=FQ","FILING_STATUS=MR","SCALING_FORMAT=MLN","Sort=A","Dates=H","DateFormat=P","Fill=—","Direction=H","UseDPDF=Y")</f>
        <v>3.0345</v>
      </c>
      <c r="D72" s="13">
        <f>_xll.BDH("ITCI US Equity","ARDR_RENTAL_EXP_YR3","FQ1 2019","FQ1 2019","Currency=USD","Period=FQ","BEST_FPERIOD_OVERRIDE=FQ","FILING_STATUS=MR","SCALING_FORMAT=MLN","Sort=A","Dates=H","DateFormat=P","Fill=—","Direction=H","UseDPDF=Y")</f>
        <v>3.4483000000000001</v>
      </c>
      <c r="E72" s="13">
        <f>_xll.BDH("ITCI US Equity","ARDR_RENTAL_EXP_YR3","FQ2 2019","FQ2 2019","Currency=USD","Period=FQ","BEST_FPERIOD_OVERRIDE=FQ","FILING_STATUS=MR","SCALING_FORMAT=MLN","Sort=A","Dates=H","DateFormat=P","Fill=—","Direction=H","UseDPDF=Y")</f>
        <v>3.4483000000000001</v>
      </c>
      <c r="F72" s="13">
        <f>_xll.BDH("ITCI US Equity","ARDR_RENTAL_EXP_YR3","FQ3 2019","FQ3 2019","Currency=USD","Period=FQ","BEST_FPERIOD_OVERRIDE=FQ","FILING_STATUS=MR","SCALING_FORMAT=MLN","Sort=A","Dates=H","DateFormat=P","Fill=—","Direction=H","UseDPDF=Y")</f>
        <v>3.4483000000000001</v>
      </c>
      <c r="G72" s="13">
        <f>_xll.BDH("ITCI US Equity","ARDR_RENTAL_EXP_YR3","FQ4 2019","FQ4 2019","Currency=USD","Period=FQ","BEST_FPERIOD_OVERRIDE=FQ","FILING_STATUS=MR","SCALING_FORMAT=MLN","Sort=A","Dates=H","DateFormat=P","Fill=—","Direction=H","UseDPDF=Y")</f>
        <v>3.4912000000000001</v>
      </c>
      <c r="H72" s="13">
        <f>_xll.BDH("ITCI US Equity","ARDR_RENTAL_EXP_YR3","FQ1 2020","FQ1 2020","Currency=USD","Period=FQ","BEST_FPERIOD_OVERRIDE=FQ","FILING_STATUS=MR","SCALING_FORMAT=MLN","Sort=A","Dates=H","DateFormat=P","Fill=—","Direction=H","UseDPDF=Y")</f>
        <v>3.5409999999999999</v>
      </c>
      <c r="I72" s="13">
        <f>_xll.BDH("ITCI US Equity","ARDR_RENTAL_EXP_YR3","FQ2 2020","FQ2 2020","Currency=USD","Period=FQ","BEST_FPERIOD_OVERRIDE=FQ","FILING_STATUS=MR","SCALING_FORMAT=MLN","Sort=A","Dates=H","DateFormat=P","Fill=—","Direction=H","UseDPDF=Y")</f>
        <v>5.0122999999999998</v>
      </c>
      <c r="J72" s="13">
        <f>_xll.BDH("ITCI US Equity","ARDR_RENTAL_EXP_YR3","FQ3 2020","FQ3 2020","Currency=USD","Period=FQ","BEST_FPERIOD_OVERRIDE=FQ","FILING_STATUS=MR","SCALING_FORMAT=MLN","Sort=A","Dates=H","DateFormat=P","Fill=—","Direction=H","UseDPDF=Y")</f>
        <v>6.6990999999999996</v>
      </c>
      <c r="K72" s="13">
        <f>_xll.BDH("ITCI US Equity","ARDR_RENTAL_EXP_YR3","FQ4 2020","FQ4 2020","Currency=USD","Period=FQ","BEST_FPERIOD_OVERRIDE=FQ","FILING_STATUS=MR","SCALING_FORMAT=MLN","Sort=A","Dates=H","DateFormat=P","Fill=—","Direction=H","UseDPDF=Y")</f>
        <v>7.0248999999999997</v>
      </c>
      <c r="L72" s="13">
        <f>_xll.BDH("ITCI US Equity","ARDR_RENTAL_EXP_YR3","FQ1 2021","FQ1 2021","Currency=USD","Period=FQ","BEST_FPERIOD_OVERRIDE=FQ","FILING_STATUS=MR","SCALING_FORMAT=MLN","Sort=A","Dates=H","DateFormat=P","Fill=—","Direction=H","UseDPDF=Y")</f>
        <v>5.2070999999999996</v>
      </c>
      <c r="M72" s="13">
        <f>_xll.BDH("ITCI US Equity","ARDR_RENTAL_EXP_YR3","FQ2 2021","FQ2 2021","Currency=USD","Period=FQ","BEST_FPERIOD_OVERRIDE=FQ","FILING_STATUS=MR","SCALING_FORMAT=MLN","Sort=A","Dates=H","DateFormat=P","Fill=—","Direction=H","UseDPDF=Y")</f>
        <v>5.2159000000000004</v>
      </c>
      <c r="N72" s="13">
        <f>_xll.BDH("ITCI US Equity","ARDR_RENTAL_EXP_YR3","FQ3 2021","FQ3 2021","Currency=USD","Period=FQ","BEST_FPERIOD_OVERRIDE=FQ","FILING_STATUS=MR","SCALING_FORMAT=MLN","Sort=A","Dates=H","DateFormat=P","Fill=—","Direction=H","UseDPDF=Y")</f>
        <v>5.2579000000000002</v>
      </c>
      <c r="O72" s="13">
        <f>_xll.BDH("ITCI US Equity","ARDR_RENTAL_EXP_YR3","FQ4 2021","FQ4 2021","Currency=USD","Period=FQ","BEST_FPERIOD_OVERRIDE=FQ","FILING_STATUS=MR","SCALING_FORMAT=MLN","Sort=A","Dates=H","DateFormat=P","Fill=—","Direction=H","UseDPDF=Y")</f>
        <v>3.6751999999999998</v>
      </c>
      <c r="P72" s="13">
        <f>_xll.BDH("ITCI US Equity","ARDR_RENTAL_EXP_YR3","FQ1 2022","FQ1 2022","Currency=USD","Period=FQ","BEST_FPERIOD_OVERRIDE=FQ","FILING_STATUS=MR","SCALING_FORMAT=MLN","Sort=A","Dates=H","DateFormat=P","Fill=—","Direction=H","UseDPDF=Y")</f>
        <v>0</v>
      </c>
      <c r="Q72" s="13">
        <f>_xll.BDH("ITCI US Equity","ARDR_RENTAL_EXP_YR3","FQ2 2022","FQ2 2022","Currency=USD","Period=FQ","BEST_FPERIOD_OVERRIDE=FQ","FILING_STATUS=MR","SCALING_FORMAT=MLN","Sort=A","Dates=H","DateFormat=P","Fill=—","Direction=H","UseDPDF=Y")</f>
        <v>2.13</v>
      </c>
      <c r="R72" s="13">
        <f>_xll.BDH("ITCI US Equity","ARDR_RENTAL_EXP_YR3","FQ3 2022","FQ3 2022","Currency=USD","Period=FQ","BEST_FPERIOD_OVERRIDE=FQ","FILING_STATUS=MR","SCALING_FORMAT=MLN","Sort=A","Dates=H","DateFormat=P","Fill=—","Direction=H","UseDPDF=Y")</f>
        <v>2.6549999999999998</v>
      </c>
      <c r="S72" s="13">
        <f>_xll.BDH("ITCI US Equity","ARDR_RENTAL_EXP_YR3","FQ4 2022","FQ4 2022","Currency=USD","Period=FQ","BEST_FPERIOD_OVERRIDE=FQ","FILING_STATUS=MR","SCALING_FORMAT=MLN","Sort=A","Dates=H","DateFormat=P","Fill=—","Direction=H","UseDPDF=Y")</f>
        <v>3.907</v>
      </c>
      <c r="T72" s="13">
        <f>_xll.BDH("ITCI US Equity","ARDR_RENTAL_EXP_YR3","FQ1 2023","FQ1 2023","Currency=USD","Period=FQ","BEST_FPERIOD_OVERRIDE=FQ","FILING_STATUS=MR","SCALING_FORMAT=MLN","Sort=A","Dates=H","DateFormat=P","Fill=—","Direction=H","UseDPDF=Y")</f>
        <v>3.907</v>
      </c>
      <c r="U72" s="13">
        <f>_xll.BDH("ITCI US Equity","ARDR_RENTAL_EXP_YR3","FQ2 2023","FQ2 2023","Currency=USD","Period=FQ","BEST_FPERIOD_OVERRIDE=FQ","FILING_STATUS=MR","SCALING_FORMAT=MLN","Sort=A","Dates=H","DateFormat=P","Fill=—","Direction=H","UseDPDF=Y")</f>
        <v>3.907</v>
      </c>
      <c r="V72" s="13">
        <f>_xll.BDH("ITCI US Equity","ARDR_RENTAL_EXP_YR3","FQ3 2023","FQ3 2023","Currency=USD","Period=FQ","BEST_FPERIOD_OVERRIDE=FQ","FILING_STATUS=MR","SCALING_FORMAT=MLN","Sort=A","Dates=H","DateFormat=P","Fill=—","Direction=H","UseDPDF=Y")</f>
        <v>3.907</v>
      </c>
      <c r="W72" s="13">
        <f>_xll.BDH("ITCI US Equity","ARDR_RENTAL_EXP_YR3","FQ4 2023","FQ4 2023","Currency=USD","Period=FQ","BEST_FPERIOD_OVERRIDE=FQ","FILING_STATUS=MR","SCALING_FORMAT=MLN","Sort=A","Dates=H","DateFormat=P","Fill=—","Direction=H","UseDPDF=Y")</f>
        <v>3.9740000000000002</v>
      </c>
      <c r="X72" s="13">
        <f>_xll.BDH("ITCI US Equity","ARDR_RENTAL_EXP_YR3","FQ1 2024","FQ1 2024","Currency=USD","Period=FQ","BEST_FPERIOD_OVERRIDE=FQ","FILING_STATUS=MR","SCALING_FORMAT=MLN","Sort=A","Dates=H","DateFormat=P","Fill=—","Direction=H","UseDPDF=Y")</f>
        <v>3.9740000000000002</v>
      </c>
      <c r="Y72" s="13">
        <f>_xll.BDH("ITCI US Equity","ARDR_RENTAL_EXP_YR3","FQ2 2024","FQ2 2024","Currency=USD","Period=FQ","BEST_FPERIOD_OVERRIDE=FQ","FILING_STATUS=MR","SCALING_FORMAT=MLN","Sort=A","Dates=H","DateFormat=P","Fill=—","Direction=H","UseDPDF=Y")</f>
        <v>4.5129999999999999</v>
      </c>
      <c r="Z72" s="13">
        <f>_xll.BDH("ITCI US Equity","ARDR_RENTAL_EXP_YR3","FQ3 2024","FQ3 2024","Currency=USD","Period=FQ","BEST_FPERIOD_OVERRIDE=FQ","FILING_STATUS=MR","SCALING_FORMAT=MLN","Sort=A","Dates=H","DateFormat=P","Fill=—","Direction=H","UseDPDF=Y")</f>
        <v>4.5129999999999999</v>
      </c>
      <c r="AA72" s="13">
        <f>_xll.BDH("ITCI US Equity","ARDR_RENTAL_EXP_YR3","FQ4 2024","FQ4 2024","Currency=USD","Period=FQ","BEST_FPERIOD_OVERRIDE=FQ","FILING_STATUS=MR","SCALING_FORMAT=MLN","Sort=A","Dates=H","DateFormat=P","Fill=—","Direction=H","UseDPDF=Y")</f>
        <v>4.5730000000000004</v>
      </c>
    </row>
    <row r="73" spans="1:27" x14ac:dyDescent="0.25">
      <c r="A73" s="10" t="s">
        <v>796</v>
      </c>
      <c r="B73" s="10" t="s">
        <v>797</v>
      </c>
      <c r="C73" s="13">
        <f>_xll.BDH("ITCI US Equity","ARDR_RENTAL_EXP_YR4","FQ4 2018","FQ4 2018","Currency=USD","Period=FQ","BEST_FPERIOD_OVERRIDE=FQ","FILING_STATUS=MR","SCALING_FORMAT=MLN","Sort=A","Dates=H","DateFormat=P","Fill=—","Direction=H","UseDPDF=Y")</f>
        <v>3.1255000000000002</v>
      </c>
      <c r="D73" s="13">
        <f>_xll.BDH("ITCI US Equity","ARDR_RENTAL_EXP_YR4","FQ1 2019","FQ1 2019","Currency=USD","Period=FQ","BEST_FPERIOD_OVERRIDE=FQ","FILING_STATUS=MR","SCALING_FORMAT=MLN","Sort=A","Dates=H","DateFormat=P","Fill=—","Direction=H","UseDPDF=Y")</f>
        <v>3.4912000000000001</v>
      </c>
      <c r="E73" s="13">
        <f>_xll.BDH("ITCI US Equity","ARDR_RENTAL_EXP_YR4","FQ2 2019","FQ2 2019","Currency=USD","Period=FQ","BEST_FPERIOD_OVERRIDE=FQ","FILING_STATUS=MR","SCALING_FORMAT=MLN","Sort=A","Dates=H","DateFormat=P","Fill=—","Direction=H","UseDPDF=Y")</f>
        <v>3.4912000000000001</v>
      </c>
      <c r="F73" s="13">
        <f>_xll.BDH("ITCI US Equity","ARDR_RENTAL_EXP_YR4","FQ3 2019","FQ3 2019","Currency=USD","Period=FQ","BEST_FPERIOD_OVERRIDE=FQ","FILING_STATUS=MR","SCALING_FORMAT=MLN","Sort=A","Dates=H","DateFormat=P","Fill=—","Direction=H","UseDPDF=Y")</f>
        <v>3.4912000000000001</v>
      </c>
      <c r="G73" s="13">
        <f>_xll.BDH("ITCI US Equity","ARDR_RENTAL_EXP_YR4","FQ4 2019","FQ4 2019","Currency=USD","Period=FQ","BEST_FPERIOD_OVERRIDE=FQ","FILING_STATUS=MR","SCALING_FORMAT=MLN","Sort=A","Dates=H","DateFormat=P","Fill=—","Direction=H","UseDPDF=Y")</f>
        <v>3.5665</v>
      </c>
      <c r="H73" s="13">
        <f>_xll.BDH("ITCI US Equity","ARDR_RENTAL_EXP_YR4","FQ1 2020","FQ1 2020","Currency=USD","Period=FQ","BEST_FPERIOD_OVERRIDE=FQ","FILING_STATUS=MR","SCALING_FORMAT=MLN","Sort=A","Dates=H","DateFormat=P","Fill=—","Direction=H","UseDPDF=Y")</f>
        <v>3.5665</v>
      </c>
      <c r="I73" s="13">
        <f>_xll.BDH("ITCI US Equity","ARDR_RENTAL_EXP_YR4","FQ2 2020","FQ2 2020","Currency=USD","Period=FQ","BEST_FPERIOD_OVERRIDE=FQ","FILING_STATUS=MR","SCALING_FORMAT=MLN","Sort=A","Dates=H","DateFormat=P","Fill=—","Direction=H","UseDPDF=Y")</f>
        <v>3.5665</v>
      </c>
      <c r="J73" s="13">
        <f>_xll.BDH("ITCI US Equity","ARDR_RENTAL_EXP_YR4","FQ3 2020","FQ3 2020","Currency=USD","Period=FQ","BEST_FPERIOD_OVERRIDE=FQ","FILING_STATUS=MR","SCALING_FORMAT=MLN","Sort=A","Dates=H","DateFormat=P","Fill=—","Direction=H","UseDPDF=Y")</f>
        <v>4.8403</v>
      </c>
      <c r="K73" s="13">
        <f>_xll.BDH("ITCI US Equity","ARDR_RENTAL_EXP_YR4","FQ4 2020","FQ4 2020","Currency=USD","Period=FQ","BEST_FPERIOD_OVERRIDE=FQ","FILING_STATUS=MR","SCALING_FORMAT=MLN","Sort=A","Dates=H","DateFormat=P","Fill=—","Direction=H","UseDPDF=Y")</f>
        <v>5.3155000000000001</v>
      </c>
      <c r="L73" s="13">
        <f>_xll.BDH("ITCI US Equity","ARDR_RENTAL_EXP_YR4","FQ1 2021","FQ1 2021","Currency=USD","Period=FQ","BEST_FPERIOD_OVERRIDE=FQ","FILING_STATUS=MR","SCALING_FORMAT=MLN","Sort=A","Dates=H","DateFormat=P","Fill=—","Direction=H","UseDPDF=Y")</f>
        <v>3.6751999999999998</v>
      </c>
      <c r="M73" s="13">
        <f>_xll.BDH("ITCI US Equity","ARDR_RENTAL_EXP_YR4","FQ2 2021","FQ2 2021","Currency=USD","Period=FQ","BEST_FPERIOD_OVERRIDE=FQ","FILING_STATUS=MR","SCALING_FORMAT=MLN","Sort=A","Dates=H","DateFormat=P","Fill=—","Direction=H","UseDPDF=Y")</f>
        <v>3.6751999999999998</v>
      </c>
      <c r="N73" s="13">
        <f>_xll.BDH("ITCI US Equity","ARDR_RENTAL_EXP_YR4","FQ3 2021","FQ3 2021","Currency=USD","Period=FQ","BEST_FPERIOD_OVERRIDE=FQ","FILING_STATUS=MR","SCALING_FORMAT=MLN","Sort=A","Dates=H","DateFormat=P","Fill=—","Direction=H","UseDPDF=Y")</f>
        <v>3.6751999999999998</v>
      </c>
      <c r="O73" s="13">
        <f>_xll.BDH("ITCI US Equity","ARDR_RENTAL_EXP_YR4","FQ4 2021","FQ4 2021","Currency=USD","Period=FQ","BEST_FPERIOD_OVERRIDE=FQ","FILING_STATUS=MR","SCALING_FORMAT=MLN","Sort=A","Dates=H","DateFormat=P","Fill=—","Direction=H","UseDPDF=Y")</f>
        <v>3.7871999999999999</v>
      </c>
      <c r="P73" s="13">
        <f>_xll.BDH("ITCI US Equity","ARDR_RENTAL_EXP_YR4","FQ1 2022","FQ1 2022","Currency=USD","Period=FQ","BEST_FPERIOD_OVERRIDE=FQ","FILING_STATUS=MR","SCALING_FORMAT=MLN","Sort=A","Dates=H","DateFormat=P","Fill=—","Direction=H","UseDPDF=Y")</f>
        <v>0</v>
      </c>
      <c r="Q73" s="13">
        <f>_xll.BDH("ITCI US Equity","ARDR_RENTAL_EXP_YR4","FQ2 2022","FQ2 2022","Currency=USD","Period=FQ","BEST_FPERIOD_OVERRIDE=FQ","FILING_STATUS=MR","SCALING_FORMAT=MLN","Sort=A","Dates=H","DateFormat=P","Fill=—","Direction=H","UseDPDF=Y")</f>
        <v>0</v>
      </c>
      <c r="R73" s="13">
        <f>_xll.BDH("ITCI US Equity","ARDR_RENTAL_EXP_YR4","FQ3 2022","FQ3 2022","Currency=USD","Period=FQ","BEST_FPERIOD_OVERRIDE=FQ","FILING_STATUS=MR","SCALING_FORMAT=MLN","Sort=A","Dates=H","DateFormat=P","Fill=—","Direction=H","UseDPDF=Y")</f>
        <v>0.246</v>
      </c>
      <c r="S73" s="13">
        <f>_xll.BDH("ITCI US Equity","ARDR_RENTAL_EXP_YR4","FQ4 2022","FQ4 2022","Currency=USD","Period=FQ","BEST_FPERIOD_OVERRIDE=FQ","FILING_STATUS=MR","SCALING_FORMAT=MLN","Sort=A","Dates=H","DateFormat=P","Fill=—","Direction=H","UseDPDF=Y")</f>
        <v>3.9740000000000002</v>
      </c>
      <c r="T73" s="13">
        <f>_xll.BDH("ITCI US Equity","ARDR_RENTAL_EXP_YR4","FQ1 2023","FQ1 2023","Currency=USD","Period=FQ","BEST_FPERIOD_OVERRIDE=FQ","FILING_STATUS=MR","SCALING_FORMAT=MLN","Sort=A","Dates=H","DateFormat=P","Fill=—","Direction=H","UseDPDF=Y")</f>
        <v>3.9740000000000002</v>
      </c>
      <c r="U73" s="13">
        <f>_xll.BDH("ITCI US Equity","ARDR_RENTAL_EXP_YR4","FQ2 2023","FQ2 2023","Currency=USD","Period=FQ","BEST_FPERIOD_OVERRIDE=FQ","FILING_STATUS=MR","SCALING_FORMAT=MLN","Sort=A","Dates=H","DateFormat=P","Fill=—","Direction=H","UseDPDF=Y")</f>
        <v>3.9740000000000002</v>
      </c>
      <c r="V73" s="13">
        <f>_xll.BDH("ITCI US Equity","ARDR_RENTAL_EXP_YR4","FQ3 2023","FQ3 2023","Currency=USD","Period=FQ","BEST_FPERIOD_OVERRIDE=FQ","FILING_STATUS=MR","SCALING_FORMAT=MLN","Sort=A","Dates=H","DateFormat=P","Fill=—","Direction=H","UseDPDF=Y")</f>
        <v>3.9740000000000002</v>
      </c>
      <c r="W73" s="13">
        <f>_xll.BDH("ITCI US Equity","ARDR_RENTAL_EXP_YR4","FQ4 2023","FQ4 2023","Currency=USD","Period=FQ","BEST_FPERIOD_OVERRIDE=FQ","FILING_STATUS=MR","SCALING_FORMAT=MLN","Sort=A","Dates=H","DateFormat=P","Fill=—","Direction=H","UseDPDF=Y")</f>
        <v>4.0220000000000002</v>
      </c>
      <c r="X73" s="13">
        <f>_xll.BDH("ITCI US Equity","ARDR_RENTAL_EXP_YR4","FQ1 2024","FQ1 2024","Currency=USD","Period=FQ","BEST_FPERIOD_OVERRIDE=FQ","FILING_STATUS=MR","SCALING_FORMAT=MLN","Sort=A","Dates=H","DateFormat=P","Fill=—","Direction=H","UseDPDF=Y")</f>
        <v>4.0220000000000002</v>
      </c>
      <c r="Y73" s="13">
        <f>_xll.BDH("ITCI US Equity","ARDR_RENTAL_EXP_YR4","FQ2 2024","FQ2 2024","Currency=USD","Period=FQ","BEST_FPERIOD_OVERRIDE=FQ","FILING_STATUS=MR","SCALING_FORMAT=MLN","Sort=A","Dates=H","DateFormat=P","Fill=—","Direction=H","UseDPDF=Y")</f>
        <v>4.5730000000000004</v>
      </c>
      <c r="Z73" s="13">
        <f>_xll.BDH("ITCI US Equity","ARDR_RENTAL_EXP_YR4","FQ3 2024","FQ3 2024","Currency=USD","Period=FQ","BEST_FPERIOD_OVERRIDE=FQ","FILING_STATUS=MR","SCALING_FORMAT=MLN","Sort=A","Dates=H","DateFormat=P","Fill=—","Direction=H","UseDPDF=Y")</f>
        <v>4.5730000000000004</v>
      </c>
      <c r="AA73" s="13">
        <f>_xll.BDH("ITCI US Equity","ARDR_RENTAL_EXP_YR4","FQ4 2024","FQ4 2024","Currency=USD","Period=FQ","BEST_FPERIOD_OVERRIDE=FQ","FILING_STATUS=MR","SCALING_FORMAT=MLN","Sort=A","Dates=H","DateFormat=P","Fill=—","Direction=H","UseDPDF=Y")</f>
        <v>4.7069999999999999</v>
      </c>
    </row>
    <row r="74" spans="1:27" x14ac:dyDescent="0.25">
      <c r="A74" s="10" t="s">
        <v>798</v>
      </c>
      <c r="B74" s="10" t="s">
        <v>799</v>
      </c>
      <c r="C74" s="13">
        <f>_xll.BDH("ITCI US Equity","ARDR_RENTAL_EXP_YR5","FQ4 2018","FQ4 2018","Currency=USD","Period=FQ","BEST_FPERIOD_OVERRIDE=FQ","FILING_STATUS=MR","SCALING_FORMAT=MLN","Sort=A","Dates=H","DateFormat=P","Fill=—","Direction=H","UseDPDF=Y")</f>
        <v>3.2193000000000001</v>
      </c>
      <c r="D74" s="13">
        <f>_xll.BDH("ITCI US Equity","ARDR_RENTAL_EXP_YR5","FQ1 2019","FQ1 2019","Currency=USD","Period=FQ","BEST_FPERIOD_OVERRIDE=FQ","FILING_STATUS=MR","SCALING_FORMAT=MLN","Sort=A","Dates=H","DateFormat=P","Fill=—","Direction=H","UseDPDF=Y")</f>
        <v>3.5665</v>
      </c>
      <c r="E74" s="13">
        <f>_xll.BDH("ITCI US Equity","ARDR_RENTAL_EXP_YR5","FQ2 2019","FQ2 2019","Currency=USD","Period=FQ","BEST_FPERIOD_OVERRIDE=FQ","FILING_STATUS=MR","SCALING_FORMAT=MLN","Sort=A","Dates=H","DateFormat=P","Fill=—","Direction=H","UseDPDF=Y")</f>
        <v>3.5665</v>
      </c>
      <c r="F74" s="13">
        <f>_xll.BDH("ITCI US Equity","ARDR_RENTAL_EXP_YR5","FQ3 2019","FQ3 2019","Currency=USD","Period=FQ","BEST_FPERIOD_OVERRIDE=FQ","FILING_STATUS=MR","SCALING_FORMAT=MLN","Sort=A","Dates=H","DateFormat=P","Fill=—","Direction=H","UseDPDF=Y")</f>
        <v>3.5665</v>
      </c>
      <c r="G74" s="13">
        <f>_xll.BDH("ITCI US Equity","ARDR_RENTAL_EXP_YR5","FQ4 2019","FQ4 2019","Currency=USD","Period=FQ","BEST_FPERIOD_OVERRIDE=FQ","FILING_STATUS=MR","SCALING_FORMAT=MLN","Sort=A","Dates=H","DateFormat=P","Fill=—","Direction=H","UseDPDF=Y")</f>
        <v>3.6751999999999998</v>
      </c>
      <c r="H74" s="13">
        <f>_xll.BDH("ITCI US Equity","ARDR_RENTAL_EXP_YR5","FQ1 2020","FQ1 2020","Currency=USD","Period=FQ","BEST_FPERIOD_OVERRIDE=FQ","FILING_STATUS=MR","SCALING_FORMAT=MLN","Sort=A","Dates=H","DateFormat=P","Fill=—","Direction=H","UseDPDF=Y")</f>
        <v>3.6751999999999998</v>
      </c>
      <c r="I74" s="13">
        <f>_xll.BDH("ITCI US Equity","ARDR_RENTAL_EXP_YR5","FQ2 2020","FQ2 2020","Currency=USD","Period=FQ","BEST_FPERIOD_OVERRIDE=FQ","FILING_STATUS=MR","SCALING_FORMAT=MLN","Sort=A","Dates=H","DateFormat=P","Fill=—","Direction=H","UseDPDF=Y")</f>
        <v>3.6751999999999998</v>
      </c>
      <c r="J74" s="13">
        <f>_xll.BDH("ITCI US Equity","ARDR_RENTAL_EXP_YR5","FQ3 2020","FQ3 2020","Currency=USD","Period=FQ","BEST_FPERIOD_OVERRIDE=FQ","FILING_STATUS=MR","SCALING_FORMAT=MLN","Sort=A","Dates=H","DateFormat=P","Fill=—","Direction=H","UseDPDF=Y")</f>
        <v>3.6751999999999998</v>
      </c>
      <c r="K74" s="13">
        <f>_xll.BDH("ITCI US Equity","ARDR_RENTAL_EXP_YR5","FQ4 2020","FQ4 2020","Currency=USD","Period=FQ","BEST_FPERIOD_OVERRIDE=FQ","FILING_STATUS=MR","SCALING_FORMAT=MLN","Sort=A","Dates=H","DateFormat=P","Fill=—","Direction=H","UseDPDF=Y")</f>
        <v>3.7871999999999999</v>
      </c>
      <c r="L74" s="13">
        <f>_xll.BDH("ITCI US Equity","ARDR_RENTAL_EXP_YR5","FQ1 2021","FQ1 2021","Currency=USD","Period=FQ","BEST_FPERIOD_OVERRIDE=FQ","FILING_STATUS=MR","SCALING_FORMAT=MLN","Sort=A","Dates=H","DateFormat=P","Fill=—","Direction=H","UseDPDF=Y")</f>
        <v>3.7871999999999999</v>
      </c>
      <c r="M74" s="13">
        <f>_xll.BDH("ITCI US Equity","ARDR_RENTAL_EXP_YR5","FQ2 2021","FQ2 2021","Currency=USD","Period=FQ","BEST_FPERIOD_OVERRIDE=FQ","FILING_STATUS=MR","SCALING_FORMAT=MLN","Sort=A","Dates=H","DateFormat=P","Fill=—","Direction=H","UseDPDF=Y")</f>
        <v>3.7871999999999999</v>
      </c>
      <c r="N74" s="13">
        <f>_xll.BDH("ITCI US Equity","ARDR_RENTAL_EXP_YR5","FQ3 2021","FQ3 2021","Currency=USD","Period=FQ","BEST_FPERIOD_OVERRIDE=FQ","FILING_STATUS=MR","SCALING_FORMAT=MLN","Sort=A","Dates=H","DateFormat=P","Fill=—","Direction=H","UseDPDF=Y")</f>
        <v>3.7871999999999999</v>
      </c>
      <c r="O74" s="13">
        <f>_xll.BDH("ITCI US Equity","ARDR_RENTAL_EXP_YR5","FQ4 2021","FQ4 2021","Currency=USD","Period=FQ","BEST_FPERIOD_OVERRIDE=FQ","FILING_STATUS=MR","SCALING_FORMAT=MLN","Sort=A","Dates=H","DateFormat=P","Fill=—","Direction=H","UseDPDF=Y")</f>
        <v>3.9026999999999998</v>
      </c>
      <c r="P74" s="13">
        <f>_xll.BDH("ITCI US Equity","ARDR_RENTAL_EXP_YR5","FQ1 2022","FQ1 2022","Currency=USD","Period=FQ","BEST_FPERIOD_OVERRIDE=FQ","FILING_STATUS=MR","SCALING_FORMAT=MLN","Sort=A","Dates=H","DateFormat=P","Fill=—","Direction=H","UseDPDF=Y")</f>
        <v>0</v>
      </c>
      <c r="Q74" s="13">
        <f>_xll.BDH("ITCI US Equity","ARDR_RENTAL_EXP_YR5","FQ2 2022","FQ2 2022","Currency=USD","Period=FQ","BEST_FPERIOD_OVERRIDE=FQ","FILING_STATUS=MR","SCALING_FORMAT=MLN","Sort=A","Dates=H","DateFormat=P","Fill=—","Direction=H","UseDPDF=Y")</f>
        <v>0</v>
      </c>
      <c r="R74" s="13">
        <f>_xll.BDH("ITCI US Equity","ARDR_RENTAL_EXP_YR5","FQ3 2022","FQ3 2022","Currency=USD","Period=FQ","BEST_FPERIOD_OVERRIDE=FQ","FILING_STATUS=MR","SCALING_FORMAT=MLN","Sort=A","Dates=H","DateFormat=P","Fill=—","Direction=H","UseDPDF=Y")</f>
        <v>0</v>
      </c>
      <c r="S74" s="13">
        <f>_xll.BDH("ITCI US Equity","ARDR_RENTAL_EXP_YR5","FQ4 2022","FQ4 2022","Currency=USD","Period=FQ","BEST_FPERIOD_OVERRIDE=FQ","FILING_STATUS=MR","SCALING_FORMAT=MLN","Sort=A","Dates=H","DateFormat=P","Fill=—","Direction=H","UseDPDF=Y")</f>
        <v>4.0220000000000002</v>
      </c>
      <c r="T74" s="13">
        <f>_xll.BDH("ITCI US Equity","ARDR_RENTAL_EXP_YR5","FQ1 2023","FQ1 2023","Currency=USD","Period=FQ","BEST_FPERIOD_OVERRIDE=FQ","FILING_STATUS=MR","SCALING_FORMAT=MLN","Sort=A","Dates=H","DateFormat=P","Fill=—","Direction=H","UseDPDF=Y")</f>
        <v>4.0220000000000002</v>
      </c>
      <c r="U74" s="13">
        <f>_xll.BDH("ITCI US Equity","ARDR_RENTAL_EXP_YR5","FQ2 2023","FQ2 2023","Currency=USD","Period=FQ","BEST_FPERIOD_OVERRIDE=FQ","FILING_STATUS=MR","SCALING_FORMAT=MLN","Sort=A","Dates=H","DateFormat=P","Fill=—","Direction=H","UseDPDF=Y")</f>
        <v>4.0220000000000002</v>
      </c>
      <c r="V74" s="13">
        <f>_xll.BDH("ITCI US Equity","ARDR_RENTAL_EXP_YR5","FQ3 2023","FQ3 2023","Currency=USD","Period=FQ","BEST_FPERIOD_OVERRIDE=FQ","FILING_STATUS=MR","SCALING_FORMAT=MLN","Sort=A","Dates=H","DateFormat=P","Fill=—","Direction=H","UseDPDF=Y")</f>
        <v>4.0220000000000002</v>
      </c>
      <c r="W74" s="13">
        <f>_xll.BDH("ITCI US Equity","ARDR_RENTAL_EXP_YR5","FQ4 2023","FQ4 2023","Currency=USD","Period=FQ","BEST_FPERIOD_OVERRIDE=FQ","FILING_STATUS=MR","SCALING_FORMAT=MLN","Sort=A","Dates=H","DateFormat=P","Fill=—","Direction=H","UseDPDF=Y")</f>
        <v>4.1440000000000001</v>
      </c>
      <c r="X74" s="13">
        <f>_xll.BDH("ITCI US Equity","ARDR_RENTAL_EXP_YR5","FQ1 2024","FQ1 2024","Currency=USD","Period=FQ","BEST_FPERIOD_OVERRIDE=FQ","FILING_STATUS=MR","SCALING_FORMAT=MLN","Sort=A","Dates=H","DateFormat=P","Fill=—","Direction=H","UseDPDF=Y")</f>
        <v>4.1440000000000001</v>
      </c>
      <c r="Y74" s="13">
        <f>_xll.BDH("ITCI US Equity","ARDR_RENTAL_EXP_YR5","FQ2 2024","FQ2 2024","Currency=USD","Period=FQ","BEST_FPERIOD_OVERRIDE=FQ","FILING_STATUS=MR","SCALING_FORMAT=MLN","Sort=A","Dates=H","DateFormat=P","Fill=—","Direction=H","UseDPDF=Y")</f>
        <v>4.7069999999999999</v>
      </c>
      <c r="Z74" s="13">
        <f>_xll.BDH("ITCI US Equity","ARDR_RENTAL_EXP_YR5","FQ3 2024","FQ3 2024","Currency=USD","Period=FQ","BEST_FPERIOD_OVERRIDE=FQ","FILING_STATUS=MR","SCALING_FORMAT=MLN","Sort=A","Dates=H","DateFormat=P","Fill=—","Direction=H","UseDPDF=Y")</f>
        <v>4.7069999999999999</v>
      </c>
      <c r="AA74" s="13">
        <f>_xll.BDH("ITCI US Equity","ARDR_RENTAL_EXP_YR5","FQ4 2024","FQ4 2024","Currency=USD","Period=FQ","BEST_FPERIOD_OVERRIDE=FQ","FILING_STATUS=MR","SCALING_FORMAT=MLN","Sort=A","Dates=H","DateFormat=P","Fill=—","Direction=H","UseDPDF=Y")</f>
        <v>2.4510000000000001</v>
      </c>
    </row>
    <row r="75" spans="1:27" x14ac:dyDescent="0.25">
      <c r="A75" s="10" t="s">
        <v>800</v>
      </c>
      <c r="B75" s="10" t="s">
        <v>801</v>
      </c>
      <c r="C75" s="13">
        <f>_xll.BDH("ITCI US Equity","ARDR_RENTAL_EXP_BEYOND_YR5","FQ4 2018","FQ4 2018","Currency=USD","Period=FQ","BEST_FPERIOD_OVERRIDE=FQ","FILING_STATUS=MR","SCALING_FORMAT=MLN","Sort=A","Dates=H","DateFormat=P","Fill=—","Direction=H","UseDPDF=Y")</f>
        <v>18.558199999999999</v>
      </c>
      <c r="D75" s="13">
        <f>_xll.BDH("ITCI US Equity","ARDR_RENTAL_EXP_BEYOND_YR5","FQ1 2019","FQ1 2019","Currency=USD","Period=FQ","BEST_FPERIOD_OVERRIDE=FQ","FILING_STATUS=MR","SCALING_FORMAT=MLN","Sort=A","Dates=H","DateFormat=P","Fill=—","Direction=H","UseDPDF=Y")</f>
        <v>21.302199999999999</v>
      </c>
      <c r="E75" s="13">
        <f>_xll.BDH("ITCI US Equity","ARDR_RENTAL_EXP_BEYOND_YR5","FQ2 2019","FQ2 2019","Currency=USD","Period=FQ","BEST_FPERIOD_OVERRIDE=FQ","FILING_STATUS=MR","SCALING_FORMAT=MLN","Sort=A","Dates=H","DateFormat=P","Fill=—","Direction=H","UseDPDF=Y")</f>
        <v>21.302199999999999</v>
      </c>
      <c r="F75" s="13">
        <f>_xll.BDH("ITCI US Equity","ARDR_RENTAL_EXP_BEYOND_YR5","FQ3 2019","FQ3 2019","Currency=USD","Period=FQ","BEST_FPERIOD_OVERRIDE=FQ","FILING_STATUS=MR","SCALING_FORMAT=MLN","Sort=A","Dates=H","DateFormat=P","Fill=—","Direction=H","UseDPDF=Y")</f>
        <v>21.302199999999999</v>
      </c>
      <c r="G75" s="13">
        <f>_xll.BDH("ITCI US Equity","ARDR_RENTAL_EXP_BEYOND_YR5","FQ4 2019","FQ4 2019","Currency=USD","Period=FQ","BEST_FPERIOD_OVERRIDE=FQ","FILING_STATUS=MR","SCALING_FORMAT=MLN","Sort=A","Dates=H","DateFormat=P","Fill=—","Direction=H","UseDPDF=Y")</f>
        <v>17.626999999999999</v>
      </c>
      <c r="H75" s="13">
        <f>_xll.BDH("ITCI US Equity","ARDR_RENTAL_EXP_BEYOND_YR5","FQ1 2020","FQ1 2020","Currency=USD","Period=FQ","BEST_FPERIOD_OVERRIDE=FQ","FILING_STATUS=MR","SCALING_FORMAT=MLN","Sort=A","Dates=H","DateFormat=P","Fill=—","Direction=H","UseDPDF=Y")</f>
        <v>17.626999999999999</v>
      </c>
      <c r="I75" s="13">
        <f>_xll.BDH("ITCI US Equity","ARDR_RENTAL_EXP_BEYOND_YR5","FQ2 2020","FQ2 2020","Currency=USD","Period=FQ","BEST_FPERIOD_OVERRIDE=FQ","FILING_STATUS=MR","SCALING_FORMAT=MLN","Sort=A","Dates=H","DateFormat=P","Fill=—","Direction=H","UseDPDF=Y")</f>
        <v>17.626999999999999</v>
      </c>
      <c r="J75" s="13">
        <f>_xll.BDH("ITCI US Equity","ARDR_RENTAL_EXP_BEYOND_YR5","FQ3 2020","FQ3 2020","Currency=USD","Period=FQ","BEST_FPERIOD_OVERRIDE=FQ","FILING_STATUS=MR","SCALING_FORMAT=MLN","Sort=A","Dates=H","DateFormat=P","Fill=—","Direction=H","UseDPDF=Y")</f>
        <v>17.626999999999999</v>
      </c>
      <c r="K75" s="13">
        <f>_xll.BDH("ITCI US Equity","ARDR_RENTAL_EXP_BEYOND_YR5","FQ4 2020","FQ4 2020","Currency=USD","Period=FQ","BEST_FPERIOD_OVERRIDE=FQ","FILING_STATUS=MR","SCALING_FORMAT=MLN","Sort=A","Dates=H","DateFormat=P","Fill=—","Direction=H","UseDPDF=Y")</f>
        <v>13.8398</v>
      </c>
      <c r="L75" s="13">
        <f>_xll.BDH("ITCI US Equity","ARDR_RENTAL_EXP_BEYOND_YR5","FQ1 2021","FQ1 2021","Currency=USD","Period=FQ","BEST_FPERIOD_OVERRIDE=FQ","FILING_STATUS=MR","SCALING_FORMAT=MLN","Sort=A","Dates=H","DateFormat=P","Fill=—","Direction=H","UseDPDF=Y")</f>
        <v>13.8398</v>
      </c>
      <c r="M75" s="13">
        <f>_xll.BDH("ITCI US Equity","ARDR_RENTAL_EXP_BEYOND_YR5","FQ2 2021","FQ2 2021","Currency=USD","Period=FQ","BEST_FPERIOD_OVERRIDE=FQ","FILING_STATUS=MR","SCALING_FORMAT=MLN","Sort=A","Dates=H","DateFormat=P","Fill=—","Direction=H","UseDPDF=Y")</f>
        <v>13.8398</v>
      </c>
      <c r="N75" s="13">
        <f>_xll.BDH("ITCI US Equity","ARDR_RENTAL_EXP_BEYOND_YR5","FQ3 2021","FQ3 2021","Currency=USD","Period=FQ","BEST_FPERIOD_OVERRIDE=FQ","FILING_STATUS=MR","SCALING_FORMAT=MLN","Sort=A","Dates=H","DateFormat=P","Fill=—","Direction=H","UseDPDF=Y")</f>
        <v>13.8398</v>
      </c>
      <c r="O75" s="13">
        <f>_xll.BDH("ITCI US Equity","ARDR_RENTAL_EXP_BEYOND_YR5","FQ4 2021","FQ4 2021","Currency=USD","Period=FQ","BEST_FPERIOD_OVERRIDE=FQ","FILING_STATUS=MR","SCALING_FORMAT=MLN","Sort=A","Dates=H","DateFormat=P","Fill=—","Direction=H","UseDPDF=Y")</f>
        <v>9.9370999999999992</v>
      </c>
      <c r="P75" s="13">
        <f>_xll.BDH("ITCI US Equity","ARDR_RENTAL_EXP_BEYOND_YR5","FQ1 2022","FQ1 2022","Currency=USD","Period=FQ","BEST_FPERIOD_OVERRIDE=FQ","FILING_STATUS=MR","SCALING_FORMAT=MLN","Sort=A","Dates=H","DateFormat=P","Fill=—","Direction=H","UseDPDF=Y")</f>
        <v>0</v>
      </c>
      <c r="Q75" s="13">
        <f>_xll.BDH("ITCI US Equity","ARDR_RENTAL_EXP_BEYOND_YR5","FQ2 2022","FQ2 2022","Currency=USD","Period=FQ","BEST_FPERIOD_OVERRIDE=FQ","FILING_STATUS=MR","SCALING_FORMAT=MLN","Sort=A","Dates=H","DateFormat=P","Fill=—","Direction=H","UseDPDF=Y")</f>
        <v>0</v>
      </c>
      <c r="R75" s="13">
        <f>_xll.BDH("ITCI US Equity","ARDR_RENTAL_EXP_BEYOND_YR5","FQ3 2022","FQ3 2022","Currency=USD","Period=FQ","BEST_FPERIOD_OVERRIDE=FQ","FILING_STATUS=MR","SCALING_FORMAT=MLN","Sort=A","Dates=H","DateFormat=P","Fill=—","Direction=H","UseDPDF=Y")</f>
        <v>0</v>
      </c>
      <c r="S75" s="13">
        <f>_xll.BDH("ITCI US Equity","ARDR_RENTAL_EXP_BEYOND_YR5","FQ4 2022","FQ4 2022","Currency=USD","Period=FQ","BEST_FPERIOD_OVERRIDE=FQ","FILING_STATUS=MR","SCALING_FORMAT=MLN","Sort=A","Dates=H","DateFormat=P","Fill=—","Direction=H","UseDPDF=Y")</f>
        <v>5.915</v>
      </c>
      <c r="T75" s="13">
        <f>_xll.BDH("ITCI US Equity","ARDR_RENTAL_EXP_BEYOND_YR5","FQ1 2023","FQ1 2023","Currency=USD","Period=FQ","BEST_FPERIOD_OVERRIDE=FQ","FILING_STATUS=MR","SCALING_FORMAT=MLN","Sort=A","Dates=H","DateFormat=P","Fill=—","Direction=H","UseDPDF=Y")</f>
        <v>5.915</v>
      </c>
      <c r="U75" s="13">
        <f>_xll.BDH("ITCI US Equity","ARDR_RENTAL_EXP_BEYOND_YR5","FQ2 2023","FQ2 2023","Currency=USD","Period=FQ","BEST_FPERIOD_OVERRIDE=FQ","FILING_STATUS=MR","SCALING_FORMAT=MLN","Sort=A","Dates=H","DateFormat=P","Fill=—","Direction=H","UseDPDF=Y")</f>
        <v>5.915</v>
      </c>
      <c r="V75" s="13">
        <f>_xll.BDH("ITCI US Equity","ARDR_RENTAL_EXP_BEYOND_YR5","FQ3 2023","FQ3 2023","Currency=USD","Period=FQ","BEST_FPERIOD_OVERRIDE=FQ","FILING_STATUS=MR","SCALING_FORMAT=MLN","Sort=A","Dates=H","DateFormat=P","Fill=—","Direction=H","UseDPDF=Y")</f>
        <v>5.915</v>
      </c>
      <c r="W75" s="13">
        <f>_xll.BDH("ITCI US Equity","ARDR_RENTAL_EXP_BEYOND_YR5","FQ4 2023","FQ4 2023","Currency=USD","Period=FQ","BEST_FPERIOD_OVERRIDE=FQ","FILING_STATUS=MR","SCALING_FORMAT=MLN","Sort=A","Dates=H","DateFormat=P","Fill=—","Direction=H","UseDPDF=Y")</f>
        <v>1.7709999999999999</v>
      </c>
      <c r="X75" s="13">
        <f>_xll.BDH("ITCI US Equity","ARDR_RENTAL_EXP_BEYOND_YR5","FQ1 2024","FQ1 2024","Currency=USD","Period=FQ","BEST_FPERIOD_OVERRIDE=FQ","FILING_STATUS=MR","SCALING_FORMAT=MLN","Sort=A","Dates=H","DateFormat=P","Fill=—","Direction=H","UseDPDF=Y")</f>
        <v>1.7709999999999999</v>
      </c>
      <c r="Y75" s="13">
        <f>_xll.BDH("ITCI US Equity","ARDR_RENTAL_EXP_BEYOND_YR5","FQ2 2024","FQ2 2024","Currency=USD","Period=FQ","BEST_FPERIOD_OVERRIDE=FQ","FILING_STATUS=MR","SCALING_FORMAT=MLN","Sort=A","Dates=H","DateFormat=P","Fill=—","Direction=H","UseDPDF=Y")</f>
        <v>2.351</v>
      </c>
      <c r="Z75" s="13">
        <f>_xll.BDH("ITCI US Equity","ARDR_RENTAL_EXP_BEYOND_YR5","FQ3 2024","FQ3 2024","Currency=USD","Period=FQ","BEST_FPERIOD_OVERRIDE=FQ","FILING_STATUS=MR","SCALING_FORMAT=MLN","Sort=A","Dates=H","DateFormat=P","Fill=—","Direction=H","UseDPDF=Y")</f>
        <v>2.4569999999999999</v>
      </c>
      <c r="AA75" s="13">
        <f>_xll.BDH("ITCI US Equity","ARDR_RENTAL_EXP_BEYOND_YR5","FQ4 2024","FQ4 2024","Currency=USD","Period=FQ","BEST_FPERIOD_OVERRIDE=FQ","FILING_STATUS=MR","SCALING_FORMAT=MLN","Sort=A","Dates=H","DateFormat=P","Fill=—","Direction=H","UseDPDF=Y")</f>
        <v>6.0000000000000001E-3</v>
      </c>
    </row>
    <row r="76" spans="1:27" x14ac:dyDescent="0.25">
      <c r="A76" s="10" t="s">
        <v>747</v>
      </c>
      <c r="B76" s="10" t="s">
        <v>802</v>
      </c>
      <c r="C76" s="13">
        <f>_xll.BDH("ITCI US Equity","ARDR_TOTAL_SHAREHOLDERS_EQUITY","FQ4 2018","FQ4 2018","Currency=USD","Period=FQ","BEST_FPERIOD_OVERRIDE=FQ","FILING_STATUS=MR","SCALING_FORMAT=MLN","Sort=A","Dates=H","DateFormat=P","Fill=—","Direction=H","UseDPDF=Y")</f>
        <v>317.7149</v>
      </c>
      <c r="D76" s="13">
        <f>_xll.BDH("ITCI US Equity","ARDR_TOTAL_SHAREHOLDERS_EQUITY","FQ1 2019","FQ1 2019","Currency=USD","Period=FQ","BEST_FPERIOD_OVERRIDE=FQ","FILING_STATUS=MR","SCALING_FORMAT=MLN","Sort=A","Dates=H","DateFormat=P","Fill=—","Direction=H","UseDPDF=Y")</f>
        <v>288.61439999999999</v>
      </c>
      <c r="E76" s="13">
        <f>_xll.BDH("ITCI US Equity","ARDR_TOTAL_SHAREHOLDERS_EQUITY","FQ2 2019","FQ2 2019","Currency=USD","Period=FQ","BEST_FPERIOD_OVERRIDE=FQ","FILING_STATUS=MR","SCALING_FORMAT=MLN","Sort=A","Dates=H","DateFormat=P","Fill=—","Direction=H","UseDPDF=Y")</f>
        <v>256.76839999999999</v>
      </c>
      <c r="F76" s="13">
        <f>_xll.BDH("ITCI US Equity","ARDR_TOTAL_SHAREHOLDERS_EQUITY","FQ3 2019","FQ3 2019","Currency=USD","Period=FQ","BEST_FPERIOD_OVERRIDE=FQ","FILING_STATUS=MR","SCALING_FORMAT=MLN","Sort=A","Dates=H","DateFormat=P","Fill=—","Direction=H","UseDPDF=Y")</f>
        <v>226.88030000000001</v>
      </c>
      <c r="G76" s="13">
        <f>_xll.BDH("ITCI US Equity","ARDR_TOTAL_SHAREHOLDERS_EQUITY","FQ4 2019","FQ4 2019","Currency=USD","Period=FQ","BEST_FPERIOD_OVERRIDE=FQ","FILING_STATUS=MR","SCALING_FORMAT=MLN","Sort=A","Dates=H","DateFormat=P","Fill=—","Direction=H","UseDPDF=Y")</f>
        <v>195.00729999999999</v>
      </c>
      <c r="H76" s="13">
        <f>_xll.BDH("ITCI US Equity","ARDR_TOTAL_SHAREHOLDERS_EQUITY","FQ1 2020","FQ1 2020","Currency=USD","Period=FQ","BEST_FPERIOD_OVERRIDE=FQ","FILING_STATUS=MR","SCALING_FORMAT=MLN","Sort=A","Dates=H","DateFormat=P","Fill=—","Direction=H","UseDPDF=Y")</f>
        <v>430.44830000000002</v>
      </c>
      <c r="I76" s="13">
        <f>_xll.BDH("ITCI US Equity","ARDR_TOTAL_SHAREHOLDERS_EQUITY","FQ2 2020","FQ2 2020","Currency=USD","Period=FQ","BEST_FPERIOD_OVERRIDE=FQ","FILING_STATUS=MR","SCALING_FORMAT=MLN","Sort=A","Dates=H","DateFormat=P","Fill=—","Direction=H","UseDPDF=Y")</f>
        <v>379.5299</v>
      </c>
      <c r="J76" s="13">
        <f>_xll.BDH("ITCI US Equity","ARDR_TOTAL_SHAREHOLDERS_EQUITY","FQ3 2020","FQ3 2020","Currency=USD","Period=FQ","BEST_FPERIOD_OVERRIDE=FQ","FILING_STATUS=MR","SCALING_FORMAT=MLN","Sort=A","Dates=H","DateFormat=P","Fill=—","Direction=H","UseDPDF=Y")</f>
        <v>709.39549999999997</v>
      </c>
      <c r="K76" s="13">
        <f>_xll.BDH("ITCI US Equity","ARDR_TOTAL_SHAREHOLDERS_EQUITY","FQ4 2020","FQ4 2020","Currency=USD","Period=FQ","BEST_FPERIOD_OVERRIDE=FQ","FILING_STATUS=MR","SCALING_FORMAT=MLN","Sort=A","Dates=H","DateFormat=P","Fill=—","Direction=H","UseDPDF=Y")</f>
        <v>656.86009999999999</v>
      </c>
      <c r="L76" s="13">
        <f>_xll.BDH("ITCI US Equity","ARDR_TOTAL_SHAREHOLDERS_EQUITY","FQ1 2021","FQ1 2021","Currency=USD","Period=FQ","BEST_FPERIOD_OVERRIDE=FQ","FILING_STATUS=MR","SCALING_FORMAT=MLN","Sort=A","Dates=H","DateFormat=P","Fill=—","Direction=H","UseDPDF=Y")</f>
        <v>612.14980000000003</v>
      </c>
      <c r="M76" s="13">
        <f>_xll.BDH("ITCI US Equity","ARDR_TOTAL_SHAREHOLDERS_EQUITY","FQ2 2021","FQ2 2021","Currency=USD","Period=FQ","BEST_FPERIOD_OVERRIDE=FQ","FILING_STATUS=MR","SCALING_FORMAT=MLN","Sort=A","Dates=H","DateFormat=P","Fill=—","Direction=H","UseDPDF=Y")</f>
        <v>553.58590000000004</v>
      </c>
      <c r="N76" s="13">
        <f>_xll.BDH("ITCI US Equity","ARDR_TOTAL_SHAREHOLDERS_EQUITY","FQ3 2021","FQ3 2021","Currency=USD","Period=FQ","BEST_FPERIOD_OVERRIDE=FQ","FILING_STATUS=MR","SCALING_FORMAT=MLN","Sort=A","Dates=H","DateFormat=P","Fill=—","Direction=H","UseDPDF=Y")</f>
        <v>486.75630000000001</v>
      </c>
      <c r="O76" s="13">
        <f>_xll.BDH("ITCI US Equity","ARDR_TOTAL_SHAREHOLDERS_EQUITY","FQ4 2021","FQ4 2021","Currency=USD","Period=FQ","BEST_FPERIOD_OVERRIDE=FQ","FILING_STATUS=MR","SCALING_FORMAT=MLN","Sort=A","Dates=H","DateFormat=P","Fill=—","Direction=H","UseDPDF=Y")</f>
        <v>417.89069999999998</v>
      </c>
      <c r="P76" s="13">
        <f>_xll.BDH("ITCI US Equity","ARDR_TOTAL_SHAREHOLDERS_EQUITY","FQ1 2022","FQ1 2022","Currency=USD","Period=FQ","BEST_FPERIOD_OVERRIDE=FQ","FILING_STATUS=MR","SCALING_FORMAT=MLN","Sort=A","Dates=H","DateFormat=P","Fill=—","Direction=H","UseDPDF=Y")</f>
        <v>792.75</v>
      </c>
      <c r="Q76" s="13">
        <f>_xll.BDH("ITCI US Equity","ARDR_TOTAL_SHAREHOLDERS_EQUITY","FQ2 2022","FQ2 2022","Currency=USD","Period=FQ","BEST_FPERIOD_OVERRIDE=FQ","FILING_STATUS=MR","SCALING_FORMAT=MLN","Sort=A","Dates=H","DateFormat=P","Fill=—","Direction=H","UseDPDF=Y")</f>
        <v>722.197</v>
      </c>
      <c r="R76" s="13" t="str">
        <f>_xll.BDH("ITCI US Equity","ARDR_TOTAL_SHAREHOLDERS_EQUITY","FQ3 2022","FQ3 2022","Currency=USD","Period=FQ","BEST_FPERIOD_OVERRIDE=FQ","FILING_STATUS=MR","SCALING_FORMAT=MLN","Sort=A","Dates=H","DateFormat=P","Fill=—","Direction=H","UseDPDF=Y")</f>
        <v>—</v>
      </c>
      <c r="S76" s="13">
        <f>_xll.BDH("ITCI US Equity","ARDR_TOTAL_SHAREHOLDERS_EQUITY","FQ4 2022","FQ4 2022","Currency=USD","Period=FQ","BEST_FPERIOD_OVERRIDE=FQ","FILING_STATUS=MR","SCALING_FORMAT=MLN","Sort=A","Dates=H","DateFormat=P","Fill=—","Direction=H","UseDPDF=Y")</f>
        <v>656.07</v>
      </c>
      <c r="T76" s="13">
        <f>_xll.BDH("ITCI US Equity","ARDR_TOTAL_SHAREHOLDERS_EQUITY","FQ1 2023","FQ1 2023","Currency=USD","Period=FQ","BEST_FPERIOD_OVERRIDE=FQ","FILING_STATUS=MR","SCALING_FORMAT=MLN","Sort=A","Dates=H","DateFormat=P","Fill=—","Direction=H","UseDPDF=Y")</f>
        <v>627.61</v>
      </c>
      <c r="U76" s="13">
        <f>_xll.BDH("ITCI US Equity","ARDR_TOTAL_SHAREHOLDERS_EQUITY","FQ2 2023","FQ2 2023","Currency=USD","Period=FQ","BEST_FPERIOD_OVERRIDE=FQ","FILING_STATUS=MR","SCALING_FORMAT=MLN","Sort=A","Dates=H","DateFormat=P","Fill=—","Direction=H","UseDPDF=Y")</f>
        <v>607.09</v>
      </c>
      <c r="V76" s="13">
        <f>_xll.BDH("ITCI US Equity","ARDR_TOTAL_SHAREHOLDERS_EQUITY","FQ3 2023","FQ3 2023","Currency=USD","Period=FQ","BEST_FPERIOD_OVERRIDE=FQ","FILING_STATUS=MR","SCALING_FORMAT=MLN","Sort=A","Dates=H","DateFormat=P","Fill=—","Direction=H","UseDPDF=Y")</f>
        <v>600.68100000000004</v>
      </c>
      <c r="W76" s="13">
        <f>_xll.BDH("ITCI US Equity","ARDR_TOTAL_SHAREHOLDERS_EQUITY","FQ4 2023","FQ4 2023","Currency=USD","Period=FQ","BEST_FPERIOD_OVERRIDE=FQ","FILING_STATUS=MR","SCALING_FORMAT=MLN","Sort=A","Dates=H","DateFormat=P","Fill=—","Direction=H","UseDPDF=Y")</f>
        <v>591.42399999999998</v>
      </c>
      <c r="X76" s="13">
        <f>_xll.BDH("ITCI US Equity","ARDR_TOTAL_SHAREHOLDERS_EQUITY","FQ1 2024","FQ1 2024","Currency=USD","Period=FQ","BEST_FPERIOD_OVERRIDE=FQ","FILING_STATUS=MR","SCALING_FORMAT=MLN","Sort=A","Dates=H","DateFormat=P","Fill=—","Direction=H","UseDPDF=Y")</f>
        <v>599.49800000000005</v>
      </c>
      <c r="Y76" s="13">
        <f>_xll.BDH("ITCI US Equity","ARDR_TOTAL_SHAREHOLDERS_EQUITY","FQ2 2024","FQ2 2024","Currency=USD","Period=FQ","BEST_FPERIOD_OVERRIDE=FQ","FILING_STATUS=MR","SCALING_FORMAT=MLN","Sort=A","Dates=H","DateFormat=P","Fill=—","Direction=H","UseDPDF=Y")</f>
        <v>1144.6120000000001</v>
      </c>
      <c r="Z76" s="13">
        <f>_xll.BDH("ITCI US Equity","ARDR_TOTAL_SHAREHOLDERS_EQUITY","FQ3 2024","FQ3 2024","Currency=USD","Period=FQ","BEST_FPERIOD_OVERRIDE=FQ","FILING_STATUS=MR","SCALING_FORMAT=MLN","Sort=A","Dates=H","DateFormat=P","Fill=—","Direction=H","UseDPDF=Y")</f>
        <v>1144.826</v>
      </c>
      <c r="AA76" s="13">
        <f>_xll.BDH("ITCI US Equity","ARDR_TOTAL_SHAREHOLDERS_EQUITY","FQ4 2024","FQ4 2024","Currency=USD","Period=FQ","BEST_FPERIOD_OVERRIDE=FQ","FILING_STATUS=MR","SCALING_FORMAT=MLN","Sort=A","Dates=H","DateFormat=P","Fill=—","Direction=H","UseDPDF=Y")</f>
        <v>1148.46</v>
      </c>
    </row>
    <row r="77" spans="1:27" x14ac:dyDescent="0.25">
      <c r="A77" s="10" t="s">
        <v>684</v>
      </c>
      <c r="B77" s="10" t="s">
        <v>803</v>
      </c>
      <c r="C77" s="14">
        <f>_xll.BDH("ITCI US Equity","ARDR_NUMBER_EMPLOYEES","FQ4 2018","FQ4 2018","Currency=USD","Period=FQ","BEST_FPERIOD_OVERRIDE=FQ","FILING_STATUS=MR","Sort=A","Dates=H","DateFormat=P","Fill=—","Direction=H","UseDPDF=Y")</f>
        <v>73</v>
      </c>
      <c r="D77" s="14" t="str">
        <f>_xll.BDH("ITCI US Equity","ARDR_NUMBER_EMPLOYEES","FQ1 2019","FQ1 2019","Currency=USD","Period=FQ","BEST_FPERIOD_OVERRIDE=FQ","FILING_STATUS=MR","Sort=A","Dates=H","DateFormat=P","Fill=—","Direction=H","UseDPDF=Y")</f>
        <v>—</v>
      </c>
      <c r="E77" s="14" t="str">
        <f>_xll.BDH("ITCI US Equity","ARDR_NUMBER_EMPLOYEES","FQ2 2019","FQ2 2019","Currency=USD","Period=FQ","BEST_FPERIOD_OVERRIDE=FQ","FILING_STATUS=MR","Sort=A","Dates=H","DateFormat=P","Fill=—","Direction=H","UseDPDF=Y")</f>
        <v>—</v>
      </c>
      <c r="F77" s="14" t="str">
        <f>_xll.BDH("ITCI US Equity","ARDR_NUMBER_EMPLOYEES","FQ3 2019","FQ3 2019","Currency=USD","Period=FQ","BEST_FPERIOD_OVERRIDE=FQ","FILING_STATUS=MR","Sort=A","Dates=H","DateFormat=P","Fill=—","Direction=H","UseDPDF=Y")</f>
        <v>—</v>
      </c>
      <c r="G77" s="14">
        <f>_xll.BDH("ITCI US Equity","ARDR_NUMBER_EMPLOYEES","FQ4 2019","FQ4 2019","Currency=USD","Period=FQ","BEST_FPERIOD_OVERRIDE=FQ","FILING_STATUS=MR","Sort=A","Dates=H","DateFormat=P","Fill=—","Direction=H","UseDPDF=Y")</f>
        <v>330</v>
      </c>
      <c r="H77" s="14" t="str">
        <f>_xll.BDH("ITCI US Equity","ARDR_NUMBER_EMPLOYEES","FQ1 2020","FQ1 2020","Currency=USD","Period=FQ","BEST_FPERIOD_OVERRIDE=FQ","FILING_STATUS=MR","Sort=A","Dates=H","DateFormat=P","Fill=—","Direction=H","UseDPDF=Y")</f>
        <v>—</v>
      </c>
      <c r="I77" s="14" t="str">
        <f>_xll.BDH("ITCI US Equity","ARDR_NUMBER_EMPLOYEES","FQ2 2020","FQ2 2020","Currency=USD","Period=FQ","BEST_FPERIOD_OVERRIDE=FQ","FILING_STATUS=MR","Sort=A","Dates=H","DateFormat=P","Fill=—","Direction=H","UseDPDF=Y")</f>
        <v>—</v>
      </c>
      <c r="J77" s="14" t="str">
        <f>_xll.BDH("ITCI US Equity","ARDR_NUMBER_EMPLOYEES","FQ3 2020","FQ3 2020","Currency=USD","Period=FQ","BEST_FPERIOD_OVERRIDE=FQ","FILING_STATUS=MR","Sort=A","Dates=H","DateFormat=P","Fill=—","Direction=H","UseDPDF=Y")</f>
        <v>—</v>
      </c>
      <c r="K77" s="14">
        <f>_xll.BDH("ITCI US Equity","ARDR_NUMBER_EMPLOYEES","FQ4 2020","FQ4 2020","Currency=USD","Period=FQ","BEST_FPERIOD_OVERRIDE=FQ","FILING_STATUS=MR","Sort=A","Dates=H","DateFormat=P","Fill=—","Direction=H","UseDPDF=Y")</f>
        <v>383</v>
      </c>
      <c r="L77" s="14" t="str">
        <f>_xll.BDH("ITCI US Equity","ARDR_NUMBER_EMPLOYEES","FQ1 2021","FQ1 2021","Currency=USD","Period=FQ","BEST_FPERIOD_OVERRIDE=FQ","FILING_STATUS=MR","Sort=A","Dates=H","DateFormat=P","Fill=—","Direction=H","UseDPDF=Y")</f>
        <v>—</v>
      </c>
      <c r="M77" s="14" t="str">
        <f>_xll.BDH("ITCI US Equity","ARDR_NUMBER_EMPLOYEES","FQ2 2021","FQ2 2021","Currency=USD","Period=FQ","BEST_FPERIOD_OVERRIDE=FQ","FILING_STATUS=MR","Sort=A","Dates=H","DateFormat=P","Fill=—","Direction=H","UseDPDF=Y")</f>
        <v>—</v>
      </c>
      <c r="N77" s="14" t="str">
        <f>_xll.BDH("ITCI US Equity","ARDR_NUMBER_EMPLOYEES","FQ3 2021","FQ3 2021","Currency=USD","Period=FQ","BEST_FPERIOD_OVERRIDE=FQ","FILING_STATUS=MR","Sort=A","Dates=H","DateFormat=P","Fill=—","Direction=H","UseDPDF=Y")</f>
        <v>—</v>
      </c>
      <c r="O77" s="14">
        <f>_xll.BDH("ITCI US Equity","ARDR_NUMBER_EMPLOYEES","FQ4 2021","FQ4 2021","Currency=USD","Period=FQ","BEST_FPERIOD_OVERRIDE=FQ","FILING_STATUS=MR","Sort=A","Dates=H","DateFormat=P","Fill=—","Direction=H","UseDPDF=Y")</f>
        <v>512</v>
      </c>
      <c r="P77" s="14" t="str">
        <f>_xll.BDH("ITCI US Equity","ARDR_NUMBER_EMPLOYEES","FQ1 2022","FQ1 2022","Currency=USD","Period=FQ","BEST_FPERIOD_OVERRIDE=FQ","FILING_STATUS=MR","Sort=A","Dates=H","DateFormat=P","Fill=—","Direction=H","UseDPDF=Y")</f>
        <v>—</v>
      </c>
      <c r="Q77" s="14" t="str">
        <f>_xll.BDH("ITCI US Equity","ARDR_NUMBER_EMPLOYEES","FQ2 2022","FQ2 2022","Currency=USD","Period=FQ","BEST_FPERIOD_OVERRIDE=FQ","FILING_STATUS=MR","Sort=A","Dates=H","DateFormat=P","Fill=—","Direction=H","UseDPDF=Y")</f>
        <v>—</v>
      </c>
      <c r="R77" s="14" t="str">
        <f>_xll.BDH("ITCI US Equity","ARDR_NUMBER_EMPLOYEES","FQ3 2022","FQ3 2022","Currency=USD","Period=FQ","BEST_FPERIOD_OVERRIDE=FQ","FILING_STATUS=MR","Sort=A","Dates=H","DateFormat=P","Fill=—","Direction=H","UseDPDF=Y")</f>
        <v>—</v>
      </c>
      <c r="S77" s="14">
        <f>_xll.BDH("ITCI US Equity","ARDR_NUMBER_EMPLOYEES","FQ4 2022","FQ4 2022","Currency=USD","Period=FQ","BEST_FPERIOD_OVERRIDE=FQ","FILING_STATUS=MR","Sort=A","Dates=H","DateFormat=P","Fill=—","Direction=H","UseDPDF=Y")</f>
        <v>561</v>
      </c>
      <c r="T77" s="14" t="str">
        <f>_xll.BDH("ITCI US Equity","ARDR_NUMBER_EMPLOYEES","FQ1 2023","FQ1 2023","Currency=USD","Period=FQ","BEST_FPERIOD_OVERRIDE=FQ","FILING_STATUS=MR","Sort=A","Dates=H","DateFormat=P","Fill=—","Direction=H","UseDPDF=Y")</f>
        <v>—</v>
      </c>
      <c r="U77" s="14" t="str">
        <f>_xll.BDH("ITCI US Equity","ARDR_NUMBER_EMPLOYEES","FQ2 2023","FQ2 2023","Currency=USD","Period=FQ","BEST_FPERIOD_OVERRIDE=FQ","FILING_STATUS=MR","Sort=A","Dates=H","DateFormat=P","Fill=—","Direction=H","UseDPDF=Y")</f>
        <v>—</v>
      </c>
      <c r="V77" s="14" t="str">
        <f>_xll.BDH("ITCI US Equity","ARDR_NUMBER_EMPLOYEES","FQ3 2023","FQ3 2023","Currency=USD","Period=FQ","BEST_FPERIOD_OVERRIDE=FQ","FILING_STATUS=MR","Sort=A","Dates=H","DateFormat=P","Fill=—","Direction=H","UseDPDF=Y")</f>
        <v>—</v>
      </c>
      <c r="W77" s="14">
        <f>_xll.BDH("ITCI US Equity","ARDR_NUMBER_EMPLOYEES","FQ4 2023","FQ4 2023","Currency=USD","Period=FQ","BEST_FPERIOD_OVERRIDE=FQ","FILING_STATUS=MR","Sort=A","Dates=H","DateFormat=P","Fill=—","Direction=H","UseDPDF=Y")</f>
        <v>610</v>
      </c>
      <c r="X77" s="14" t="str">
        <f>_xll.BDH("ITCI US Equity","ARDR_NUMBER_EMPLOYEES","FQ1 2024","FQ1 2024","Currency=USD","Period=FQ","BEST_FPERIOD_OVERRIDE=FQ","FILING_STATUS=MR","Sort=A","Dates=H","DateFormat=P","Fill=—","Direction=H","UseDPDF=Y")</f>
        <v>—</v>
      </c>
      <c r="Y77" s="14" t="str">
        <f>_xll.BDH("ITCI US Equity","ARDR_NUMBER_EMPLOYEES","FQ2 2024","FQ2 2024","Currency=USD","Period=FQ","BEST_FPERIOD_OVERRIDE=FQ","FILING_STATUS=MR","Sort=A","Dates=H","DateFormat=P","Fill=—","Direction=H","UseDPDF=Y")</f>
        <v>—</v>
      </c>
      <c r="Z77" s="14" t="str">
        <f>_xll.BDH("ITCI US Equity","ARDR_NUMBER_EMPLOYEES","FQ3 2024","FQ3 2024","Currency=USD","Period=FQ","BEST_FPERIOD_OVERRIDE=FQ","FILING_STATUS=MR","Sort=A","Dates=H","DateFormat=P","Fill=—","Direction=H","UseDPDF=Y")</f>
        <v>—</v>
      </c>
      <c r="AA77" s="14">
        <f>_xll.BDH("ITCI US Equity","ARDR_NUMBER_EMPLOYEES","FQ4 2024","FQ4 2024","Currency=USD","Period=FQ","BEST_FPERIOD_OVERRIDE=FQ","FILING_STATUS=MR","Sort=A","Dates=H","DateFormat=P","Fill=—","Direction=H","UseDPDF=Y")</f>
        <v>860</v>
      </c>
    </row>
    <row r="78" spans="1:27" x14ac:dyDescent="0.25">
      <c r="A78" s="10" t="s">
        <v>804</v>
      </c>
      <c r="B78" s="10" t="s">
        <v>805</v>
      </c>
      <c r="C78" s="13">
        <f>_xll.BDH("ITCI US Equity","ARDR_SHARE_OUT_FROM_FRONT_COVER","FQ4 2018","FQ4 2018","Currency=USD","Period=FQ","BEST_FPERIOD_OVERRIDE=FQ","FILING_STATUS=MR","Sort=A","Dates=H","DateFormat=P","Fill=—","Direction=H","UseDPDF=Y")</f>
        <v>55.116700000000002</v>
      </c>
      <c r="D78" s="13">
        <f>_xll.BDH("ITCI US Equity","ARDR_SHARE_OUT_FROM_FRONT_COVER","FQ1 2019","FQ1 2019","Currency=USD","Period=FQ","BEST_FPERIOD_OVERRIDE=FQ","FILING_STATUS=MR","Sort=A","Dates=H","DateFormat=P","Fill=—","Direction=H","UseDPDF=Y")</f>
        <v>55.134599999999999</v>
      </c>
      <c r="E78" s="13">
        <f>_xll.BDH("ITCI US Equity","ARDR_SHARE_OUT_FROM_FRONT_COVER","FQ2 2019","FQ2 2019","Currency=USD","Period=FQ","BEST_FPERIOD_OVERRIDE=FQ","FILING_STATUS=MR","Sort=A","Dates=H","DateFormat=P","Fill=—","Direction=H","UseDPDF=Y")</f>
        <v>55.173200000000001</v>
      </c>
      <c r="F78" s="13">
        <f>_xll.BDH("ITCI US Equity","ARDR_SHARE_OUT_FROM_FRONT_COVER","FQ3 2019","FQ3 2019","Currency=USD","Period=FQ","BEST_FPERIOD_OVERRIDE=FQ","FILING_STATUS=MR","Sort=A","Dates=H","DateFormat=P","Fill=—","Direction=H","UseDPDF=Y")</f>
        <v>55.261000000000003</v>
      </c>
      <c r="G78" s="13">
        <f>_xll.BDH("ITCI US Equity","ARDR_SHARE_OUT_FROM_FRONT_COVER","FQ4 2019","FQ4 2019","Currency=USD","Period=FQ","BEST_FPERIOD_OVERRIDE=FQ","FILING_STATUS=MR","Sort=A","Dates=H","DateFormat=P","Fill=—","Direction=H","UseDPDF=Y")</f>
        <v>66.133200000000002</v>
      </c>
      <c r="H78" s="13">
        <f>_xll.BDH("ITCI US Equity","ARDR_SHARE_OUT_FROM_FRONT_COVER","FQ1 2020","FQ1 2020","Currency=USD","Period=FQ","BEST_FPERIOD_OVERRIDE=FQ","FILING_STATUS=MR","Sort=A","Dates=H","DateFormat=P","Fill=—","Direction=H","UseDPDF=Y")</f>
        <v>66.450500000000005</v>
      </c>
      <c r="I78" s="13">
        <f>_xll.BDH("ITCI US Equity","ARDR_SHARE_OUT_FROM_FRONT_COVER","FQ2 2020","FQ2 2020","Currency=USD","Period=FQ","BEST_FPERIOD_OVERRIDE=FQ","FILING_STATUS=MR","Sort=A","Dates=H","DateFormat=P","Fill=—","Direction=H","UseDPDF=Y")</f>
        <v>67.306100000000001</v>
      </c>
      <c r="J78" s="13">
        <f>_xll.BDH("ITCI US Equity","ARDR_SHARE_OUT_FROM_FRONT_COVER","FQ3 2020","FQ3 2020","Currency=USD","Period=FQ","BEST_FPERIOD_OVERRIDE=FQ","FILING_STATUS=MR","Sort=A","Dates=H","DateFormat=P","Fill=—","Direction=H","UseDPDF=Y")</f>
        <v>80.157600000000002</v>
      </c>
      <c r="K78" s="13">
        <f>_xll.BDH("ITCI US Equity","ARDR_SHARE_OUT_FROM_FRONT_COVER","FQ4 2020","FQ4 2020","Currency=USD","Period=FQ","BEST_FPERIOD_OVERRIDE=FQ","FILING_STATUS=MR","Sort=A","Dates=H","DateFormat=P","Fill=—","Direction=H","UseDPDF=Y")</f>
        <v>80.917000000000002</v>
      </c>
      <c r="L78" s="13" t="str">
        <f>_xll.BDH("ITCI US Equity","ARDR_SHARE_OUT_FROM_FRONT_COVER","FQ1 2021","FQ1 2021","Currency=USD","Period=FQ","BEST_FPERIOD_OVERRIDE=FQ","FILING_STATUS=MR","Sort=A","Dates=H","DateFormat=P","Fill=—","Direction=H","UseDPDF=Y")</f>
        <v>—</v>
      </c>
      <c r="M78" s="13">
        <f>_xll.BDH("ITCI US Equity","ARDR_SHARE_OUT_FROM_FRONT_COVER","FQ2 2021","FQ2 2021","Currency=USD","Period=FQ","BEST_FPERIOD_OVERRIDE=FQ","FILING_STATUS=MR","Sort=A","Dates=H","DateFormat=P","Fill=—","Direction=H","UseDPDF=Y")</f>
        <v>81.3416</v>
      </c>
      <c r="N78" s="13">
        <f>_xll.BDH("ITCI US Equity","ARDR_SHARE_OUT_FROM_FRONT_COVER","FQ3 2021","FQ3 2021","Currency=USD","Period=FQ","BEST_FPERIOD_OVERRIDE=FQ","FILING_STATUS=MR","Sort=A","Dates=H","DateFormat=P","Fill=—","Direction=H","UseDPDF=Y")</f>
        <v>81.463300000000004</v>
      </c>
      <c r="O78" s="13">
        <f>_xll.BDH("ITCI US Equity","ARDR_SHARE_OUT_FROM_FRONT_COVER","FQ4 2021","FQ4 2021","Currency=USD","Period=FQ","BEST_FPERIOD_OVERRIDE=FQ","FILING_STATUS=MR","Sort=A","Dates=H","DateFormat=P","Fill=—","Direction=H","UseDPDF=Y")</f>
        <v>93.593699999999998</v>
      </c>
      <c r="P78" s="13" t="str">
        <f>_xll.BDH("ITCI US Equity","ARDR_SHARE_OUT_FROM_FRONT_COVER","FQ1 2022","FQ1 2022","Currency=USD","Period=FQ","BEST_FPERIOD_OVERRIDE=FQ","FILING_STATUS=MR","Sort=A","Dates=H","DateFormat=P","Fill=—","Direction=H","UseDPDF=Y")</f>
        <v>—</v>
      </c>
      <c r="Q78" s="13">
        <f>_xll.BDH("ITCI US Equity","ARDR_SHARE_OUT_FROM_FRONT_COVER","FQ2 2022","FQ2 2022","Currency=USD","Period=FQ","BEST_FPERIOD_OVERRIDE=FQ","FILING_STATUS=MR","Sort=A","Dates=H","DateFormat=P","Fill=—","Direction=H","UseDPDF=Y")</f>
        <v>94.401700000000005</v>
      </c>
      <c r="R78" s="13">
        <f>_xll.BDH("ITCI US Equity","ARDR_SHARE_OUT_FROM_FRONT_COVER","FQ3 2022","FQ3 2022","Currency=USD","Period=FQ","BEST_FPERIOD_OVERRIDE=FQ","FILING_STATUS=MR","Sort=A","Dates=H","DateFormat=P","Fill=—","Direction=H","UseDPDF=Y")</f>
        <v>94.401700000000005</v>
      </c>
      <c r="S78" s="13">
        <f>_xll.BDH("ITCI US Equity","ARDR_SHARE_OUT_FROM_FRONT_COVER","FQ4 2022","FQ4 2022","Currency=USD","Period=FQ","BEST_FPERIOD_OVERRIDE=FQ","FILING_STATUS=MR","Sort=A","Dates=H","DateFormat=P","Fill=—","Direction=H","UseDPDF=Y")</f>
        <v>95.28</v>
      </c>
      <c r="T78" s="13">
        <f>_xll.BDH("ITCI US Equity","ARDR_SHARE_OUT_FROM_FRONT_COVER","FQ1 2023","FQ1 2023","Currency=USD","Period=FQ","BEST_FPERIOD_OVERRIDE=FQ","FILING_STATUS=MR","Sort=A","Dates=H","DateFormat=P","Fill=—","Direction=H","UseDPDF=Y")</f>
        <v>95.925600000000003</v>
      </c>
      <c r="U78" s="13">
        <f>_xll.BDH("ITCI US Equity","ARDR_SHARE_OUT_FROM_FRONT_COVER","FQ2 2023","FQ2 2023","Currency=USD","Period=FQ","BEST_FPERIOD_OVERRIDE=FQ","FILING_STATUS=MR","Sort=A","Dates=H","DateFormat=P","Fill=—","Direction=H","UseDPDF=Y")</f>
        <v>96.0916</v>
      </c>
      <c r="V78" s="13">
        <f>_xll.BDH("ITCI US Equity","ARDR_SHARE_OUT_FROM_FRONT_COVER","FQ3 2023","FQ3 2023","Currency=USD","Period=FQ","BEST_FPERIOD_OVERRIDE=FQ","FILING_STATUS=MR","Sort=A","Dates=H","DateFormat=P","Fill=—","Direction=H","UseDPDF=Y")</f>
        <v>96.238100000000003</v>
      </c>
      <c r="W78" s="13">
        <f>_xll.BDH("ITCI US Equity","ARDR_SHARE_OUT_FROM_FRONT_COVER","FQ4 2023","FQ4 2023","Currency=USD","Period=FQ","BEST_FPERIOD_OVERRIDE=FQ","FILING_STATUS=MR","Sort=A","Dates=H","DateFormat=P","Fill=—","Direction=H","UseDPDF=Y")</f>
        <v>96.807199999999995</v>
      </c>
      <c r="X78" s="13">
        <f>_xll.BDH("ITCI US Equity","ARDR_SHARE_OUT_FROM_FRONT_COVER","FQ1 2024","FQ1 2024","Currency=USD","Period=FQ","BEST_FPERIOD_OVERRIDE=FQ","FILING_STATUS=MR","Sort=A","Dates=H","DateFormat=P","Fill=—","Direction=H","UseDPDF=Y")</f>
        <v>105.5749</v>
      </c>
      <c r="Y78" s="13">
        <f>_xll.BDH("ITCI US Equity","ARDR_SHARE_OUT_FROM_FRONT_COVER","FQ2 2024","FQ2 2024","Currency=USD","Period=FQ","BEST_FPERIOD_OVERRIDE=FQ","FILING_STATUS=MR","Sort=A","Dates=H","DateFormat=P","Fill=—","Direction=H","UseDPDF=Y")</f>
        <v>105.6669</v>
      </c>
      <c r="Z78" s="13">
        <f>_xll.BDH("ITCI US Equity","ARDR_SHARE_OUT_FROM_FRONT_COVER","FQ3 2024","FQ3 2024","Currency=USD","Period=FQ","BEST_FPERIOD_OVERRIDE=FQ","FILING_STATUS=MR","Sort=A","Dates=H","DateFormat=P","Fill=—","Direction=H","UseDPDF=Y")</f>
        <v>106.0171</v>
      </c>
      <c r="AA78" s="13">
        <f>_xll.BDH("ITCI US Equity","ARDR_SHARE_OUT_FROM_FRONT_COVER","FQ4 2024","FQ4 2024","Currency=USD","Period=FQ","BEST_FPERIOD_OVERRIDE=FQ","FILING_STATUS=MR","Sort=A","Dates=H","DateFormat=P","Fill=—","Direction=H","UseDPDF=Y")</f>
        <v>106.328</v>
      </c>
    </row>
    <row r="79" spans="1:27" x14ac:dyDescent="0.25">
      <c r="A79" s="10" t="s">
        <v>670</v>
      </c>
      <c r="B79" s="10" t="s">
        <v>806</v>
      </c>
      <c r="C79" s="13">
        <f>_xll.BDH("ITCI US Equity","ARDR_OPTIONS_GRANTED_DURING_PER","FQ4 2018","FQ4 2018","Currency=USD","Period=FQ","BEST_FPERIOD_OVERRIDE=FQ","FILING_STATUS=MR","SCALING_FORMAT=MLN","Sort=A","Dates=H","DateFormat=P","Fill=—","Direction=H","UseDPDF=Y")</f>
        <v>0.3387</v>
      </c>
      <c r="D79" s="13">
        <f>_xll.BDH("ITCI US Equity","ARDR_OPTIONS_GRANTED_DURING_PER","FQ1 2019","FQ1 2019","Currency=USD","Period=FQ","BEST_FPERIOD_OVERRIDE=FQ","FILING_STATUS=MR","SCALING_FORMAT=MLN","Sort=A","Dates=H","DateFormat=P","Fill=—","Direction=H","UseDPDF=Y")</f>
        <v>1.3043</v>
      </c>
      <c r="E79" s="13">
        <f>_xll.BDH("ITCI US Equity","ARDR_OPTIONS_GRANTED_DURING_PER","FQ2 2019","FQ2 2019","Currency=USD","Period=FQ","BEST_FPERIOD_OVERRIDE=FQ","FILING_STATUS=MR","SCALING_FORMAT=MLN","Sort=A","Dates=H","DateFormat=P","Fill=—","Direction=H","UseDPDF=Y")</f>
        <v>0.46689999999999998</v>
      </c>
      <c r="F79" s="13">
        <f>_xll.BDH("ITCI US Equity","ARDR_OPTIONS_GRANTED_DURING_PER","FQ3 2019","FQ3 2019","Currency=USD","Period=FQ","BEST_FPERIOD_OVERRIDE=FQ","FILING_STATUS=MR","SCALING_FORMAT=MLN","Sort=A","Dates=H","DateFormat=P","Fill=—","Direction=H","UseDPDF=Y")</f>
        <v>5.0099999999999999E-2</v>
      </c>
      <c r="G79" s="13">
        <f>_xll.BDH("ITCI US Equity","ARDR_OPTIONS_GRANTED_DURING_PER","FQ4 2019","FQ4 2019","Currency=USD","Period=FQ","BEST_FPERIOD_OVERRIDE=FQ","FILING_STATUS=MR","SCALING_FORMAT=MLN","Sort=A","Dates=H","DateFormat=P","Fill=—","Direction=H","UseDPDF=Y")</f>
        <v>1.18E-2</v>
      </c>
      <c r="H79" s="13">
        <f>_xll.BDH("ITCI US Equity","ARDR_OPTIONS_GRANTED_DURING_PER","FQ1 2020","FQ1 2020","Currency=USD","Period=FQ","BEST_FPERIOD_OVERRIDE=FQ","FILING_STATUS=MR","SCALING_FORMAT=MLN","Sort=A","Dates=H","DateFormat=P","Fill=—","Direction=H","UseDPDF=Y")</f>
        <v>0.69620000000000004</v>
      </c>
      <c r="I79" s="13">
        <f>_xll.BDH("ITCI US Equity","ARDR_OPTIONS_GRANTED_DURING_PER","FQ2 2020","FQ2 2020","Currency=USD","Period=FQ","BEST_FPERIOD_OVERRIDE=FQ","FILING_STATUS=MR","SCALING_FORMAT=MLN","Sort=A","Dates=H","DateFormat=P","Fill=—","Direction=H","UseDPDF=Y")</f>
        <v>4.6300000000000001E-2</v>
      </c>
      <c r="J79" s="13">
        <f>_xll.BDH("ITCI US Equity","ARDR_OPTIONS_GRANTED_DURING_PER","FQ3 2020","FQ3 2020","Currency=USD","Period=FQ","BEST_FPERIOD_OVERRIDE=FQ","FILING_STATUS=MR","SCALING_FORMAT=MLN","Sort=A","Dates=H","DateFormat=P","Fill=—","Direction=H","UseDPDF=Y")</f>
        <v>3.9699999999999999E-2</v>
      </c>
      <c r="K79" s="13">
        <f>_xll.BDH("ITCI US Equity","ARDR_OPTIONS_GRANTED_DURING_PER","FQ4 2020","FQ4 2020","Currency=USD","Period=FQ","BEST_FPERIOD_OVERRIDE=FQ","FILING_STATUS=MR","SCALING_FORMAT=MLN","Sort=A","Dates=H","DateFormat=P","Fill=—","Direction=H","UseDPDF=Y")</f>
        <v>1.7999999999999999E-2</v>
      </c>
      <c r="L79" s="13">
        <f>_xll.BDH("ITCI US Equity","ARDR_OPTIONS_GRANTED_DURING_PER","FQ1 2021","FQ1 2021","Currency=USD","Period=FQ","BEST_FPERIOD_OVERRIDE=FQ","FILING_STATUS=MR","SCALING_FORMAT=MLN","Sort=A","Dates=H","DateFormat=P","Fill=—","Direction=H","UseDPDF=Y")</f>
        <v>0.51190000000000002</v>
      </c>
      <c r="M79" s="13">
        <f>_xll.BDH("ITCI US Equity","ARDR_OPTIONS_GRANTED_DURING_PER","FQ2 2021","FQ2 2021","Currency=USD","Period=FQ","BEST_FPERIOD_OVERRIDE=FQ","FILING_STATUS=MR","SCALING_FORMAT=MLN","Sort=A","Dates=H","DateFormat=P","Fill=—","Direction=H","UseDPDF=Y")</f>
        <v>0.16239999999999999</v>
      </c>
      <c r="N79" s="13">
        <f>_xll.BDH("ITCI US Equity","ARDR_OPTIONS_GRANTED_DURING_PER","FQ3 2021","FQ3 2021","Currency=USD","Period=FQ","BEST_FPERIOD_OVERRIDE=FQ","FILING_STATUS=MR","SCALING_FORMAT=MLN","Sort=A","Dates=H","DateFormat=P","Fill=—","Direction=H","UseDPDF=Y")</f>
        <v>0</v>
      </c>
      <c r="O79" s="13">
        <f>_xll.BDH("ITCI US Equity","ARDR_OPTIONS_GRANTED_DURING_PER","FQ4 2021","FQ4 2021","Currency=USD","Period=FQ","BEST_FPERIOD_OVERRIDE=FQ","FILING_STATUS=MR","SCALING_FORMAT=MLN","Sort=A","Dates=H","DateFormat=P","Fill=—","Direction=H","UseDPDF=Y")</f>
        <v>0.68359999999999999</v>
      </c>
      <c r="P79" s="13">
        <f>_xll.BDH("ITCI US Equity","ARDR_OPTIONS_GRANTED_DURING_PER","FQ1 2022","FQ1 2022","Currency=USD","Period=FQ","BEST_FPERIOD_OVERRIDE=FQ","FILING_STATUS=MR","SCALING_FORMAT=MLN","Sort=A","Dates=H","DateFormat=P","Fill=—","Direction=H","UseDPDF=Y")</f>
        <v>0.45739999999999997</v>
      </c>
      <c r="Q79" s="13">
        <f>_xll.BDH("ITCI US Equity","ARDR_OPTIONS_GRANTED_DURING_PER","FQ2 2022","FQ2 2022","Currency=USD","Period=FQ","BEST_FPERIOD_OVERRIDE=FQ","FILING_STATUS=MR","SCALING_FORMAT=MLN","Sort=A","Dates=H","DateFormat=P","Fill=—","Direction=H","UseDPDF=Y")</f>
        <v>0.59230000000000005</v>
      </c>
      <c r="R79" s="13">
        <f>_xll.BDH("ITCI US Equity","ARDR_OPTIONS_GRANTED_DURING_PER","FQ3 2022","FQ3 2022","Currency=USD","Period=FQ","BEST_FPERIOD_OVERRIDE=FQ","FILING_STATUS=MR","SCALING_FORMAT=MLN","Sort=A","Dates=H","DateFormat=P","Fill=—","Direction=H","UseDPDF=Y")</f>
        <v>1.24E-2</v>
      </c>
      <c r="S79" s="13">
        <f>_xll.BDH("ITCI US Equity","ARDR_OPTIONS_GRANTED_DURING_PER","FQ4 2022","FQ4 2022","Currency=USD","Period=FQ","BEST_FPERIOD_OVERRIDE=FQ","FILING_STATUS=MR","SCALING_FORMAT=MLN","Sort=A","Dates=H","DateFormat=P","Fill=—","Direction=H","UseDPDF=Y")</f>
        <v>8.2000000000000007E-3</v>
      </c>
      <c r="T79" s="13">
        <f>_xll.BDH("ITCI US Equity","ARDR_OPTIONS_GRANTED_DURING_PER","FQ1 2023","FQ1 2023","Currency=USD","Period=FQ","BEST_FPERIOD_OVERRIDE=FQ","FILING_STATUS=MR","SCALING_FORMAT=MLN","Sort=A","Dates=H","DateFormat=P","Fill=—","Direction=H","UseDPDF=Y")</f>
        <v>0.23980000000000001</v>
      </c>
      <c r="U79" s="13">
        <f>_xll.BDH("ITCI US Equity","ARDR_OPTIONS_GRANTED_DURING_PER","FQ2 2023","FQ2 2023","Currency=USD","Period=FQ","BEST_FPERIOD_OVERRIDE=FQ","FILING_STATUS=MR","SCALING_FORMAT=MLN","Sort=A","Dates=H","DateFormat=P","Fill=—","Direction=H","UseDPDF=Y")</f>
        <v>3.5700000000000003E-2</v>
      </c>
      <c r="V79" s="13">
        <f>_xll.BDH("ITCI US Equity","ARDR_OPTIONS_GRANTED_DURING_PER","FQ3 2023","FQ3 2023","Currency=USD","Period=FQ","BEST_FPERIOD_OVERRIDE=FQ","FILING_STATUS=MR","SCALING_FORMAT=MLN","Sort=A","Dates=H","DateFormat=P","Fill=—","Direction=H","UseDPDF=Y")</f>
        <v>8.8000000000000005E-3</v>
      </c>
      <c r="W79" s="13">
        <f>_xll.BDH("ITCI US Equity","ARDR_OPTIONS_GRANTED_DURING_PER","FQ4 2023","FQ4 2023","Currency=USD","Period=FQ","BEST_FPERIOD_OVERRIDE=FQ","FILING_STATUS=MR","SCALING_FORMAT=MLN","Sort=A","Dates=H","DateFormat=P","Fill=—","Direction=H","UseDPDF=Y")</f>
        <v>4.8999999999999998E-3</v>
      </c>
      <c r="X79" s="13">
        <f>_xll.BDH("ITCI US Equity","ARDR_OPTIONS_GRANTED_DURING_PER","FQ1 2024","FQ1 2024","Currency=USD","Period=FQ","BEST_FPERIOD_OVERRIDE=FQ","FILING_STATUS=MR","SCALING_FORMAT=MLN","Sort=A","Dates=H","DateFormat=P","Fill=—","Direction=H","UseDPDF=Y")</f>
        <v>0</v>
      </c>
      <c r="Y79" s="13">
        <f>_xll.BDH("ITCI US Equity","ARDR_OPTIONS_GRANTED_DURING_PER","FQ2 2024","FQ2 2024","Currency=USD","Period=FQ","BEST_FPERIOD_OVERRIDE=FQ","FILING_STATUS=MR","SCALING_FORMAT=MLN","Sort=A","Dates=H","DateFormat=P","Fill=—","Direction=H","UseDPDF=Y")</f>
        <v>1.7299999999999999E-2</v>
      </c>
      <c r="Z79" s="13">
        <f>_xll.BDH("ITCI US Equity","ARDR_OPTIONS_GRANTED_DURING_PER","FQ3 2024","FQ3 2024","Currency=USD","Period=FQ","BEST_FPERIOD_OVERRIDE=FQ","FILING_STATUS=MR","SCALING_FORMAT=MLN","Sort=A","Dates=H","DateFormat=P","Fill=—","Direction=H","UseDPDF=Y")</f>
        <v>1.7299999999999999E-2</v>
      </c>
      <c r="AA79" s="13">
        <f>_xll.BDH("ITCI US Equity","ARDR_OPTIONS_GRANTED_DURING_PER","FQ4 2024","FQ4 2024","Currency=USD","Period=FQ","BEST_FPERIOD_OVERRIDE=FQ","FILING_STATUS=MR","SCALING_FORMAT=MLN","Sort=A","Dates=H","DateFormat=P","Fill=—","Direction=H","UseDPDF=Y")</f>
        <v>0</v>
      </c>
    </row>
    <row r="80" spans="1:27" x14ac:dyDescent="0.25">
      <c r="A80" s="10" t="s">
        <v>807</v>
      </c>
      <c r="B80" s="10" t="s">
        <v>808</v>
      </c>
      <c r="C80" s="13">
        <f>_xll.BDH("ITCI US Equity","ARDR_OPTIONS_OUTSTANDING_END_PER","FQ4 2018","FQ4 2018","Currency=USD","Period=FQ","BEST_FPERIOD_OVERRIDE=FQ","FILING_STATUS=MR","Sort=A","Dates=H","DateFormat=P","Fill=—","Direction=H","UseDPDF=Y")</f>
        <v>4.7484000000000002</v>
      </c>
      <c r="D80" s="13">
        <f>_xll.BDH("ITCI US Equity","ARDR_OPTIONS_OUTSTANDING_END_PER","FQ1 2019","FQ1 2019","Currency=USD","Period=FQ","BEST_FPERIOD_OVERRIDE=FQ","FILING_STATUS=MR","Sort=A","Dates=H","DateFormat=P","Fill=—","Direction=H","UseDPDF=Y")</f>
        <v>6.0121000000000002</v>
      </c>
      <c r="E80" s="13">
        <f>_xll.BDH("ITCI US Equity","ARDR_OPTIONS_OUTSTANDING_END_PER","FQ2 2019","FQ2 2019","Currency=USD","Period=FQ","BEST_FPERIOD_OVERRIDE=FQ","FILING_STATUS=MR","Sort=A","Dates=H","DateFormat=P","Fill=—","Direction=H","UseDPDF=Y")</f>
        <v>6.4062000000000001</v>
      </c>
      <c r="F80" s="13">
        <f>_xll.BDH("ITCI US Equity","ARDR_OPTIONS_OUTSTANDING_END_PER","FQ3 2019","FQ3 2019","Currency=USD","Period=FQ","BEST_FPERIOD_OVERRIDE=FQ","FILING_STATUS=MR","Sort=A","Dates=H","DateFormat=P","Fill=—","Direction=H","UseDPDF=Y")</f>
        <v>6.3308999999999997</v>
      </c>
      <c r="G80" s="13">
        <f>_xll.BDH("ITCI US Equity","ARDR_OPTIONS_OUTSTANDING_END_PER","FQ4 2019","FQ4 2019","Currency=USD","Period=FQ","BEST_FPERIOD_OVERRIDE=FQ","FILING_STATUS=MR","Sort=A","Dates=H","DateFormat=P","Fill=—","Direction=H","UseDPDF=Y")</f>
        <v>6.0399000000000003</v>
      </c>
      <c r="H80" s="13">
        <f>_xll.BDH("ITCI US Equity","ARDR_OPTIONS_OUTSTANDING_END_PER","FQ1 2020","FQ1 2020","Currency=USD","Period=FQ","BEST_FPERIOD_OVERRIDE=FQ","FILING_STATUS=MR","Sort=A","Dates=H","DateFormat=P","Fill=—","Direction=H","UseDPDF=Y")</f>
        <v>6.4084000000000003</v>
      </c>
      <c r="I80" s="13">
        <f>_xll.BDH("ITCI US Equity","ARDR_OPTIONS_OUTSTANDING_END_PER","FQ2 2020","FQ2 2020","Currency=USD","Period=FQ","BEST_FPERIOD_OVERRIDE=FQ","FILING_STATUS=MR","Sort=A","Dates=H","DateFormat=P","Fill=—","Direction=H","UseDPDF=Y")</f>
        <v>6.1121999999999996</v>
      </c>
      <c r="J80" s="13">
        <f>_xll.BDH("ITCI US Equity","ARDR_OPTIONS_OUTSTANDING_END_PER","FQ3 2020","FQ3 2020","Currency=USD","Period=FQ","BEST_FPERIOD_OVERRIDE=FQ","FILING_STATUS=MR","Sort=A","Dates=H","DateFormat=P","Fill=—","Direction=H","UseDPDF=Y")</f>
        <v>5.9641000000000002</v>
      </c>
      <c r="K80" s="13">
        <f>_xll.BDH("ITCI US Equity","ARDR_OPTIONS_OUTSTANDING_END_PER","FQ4 2020","FQ4 2020","Currency=USD","Period=FQ","BEST_FPERIOD_OVERRIDE=FQ","FILING_STATUS=MR","Sort=A","Dates=H","DateFormat=P","Fill=—","Direction=H","UseDPDF=Y")</f>
        <v>5.5175999999999998</v>
      </c>
      <c r="L80" s="13">
        <f>_xll.BDH("ITCI US Equity","ARDR_OPTIONS_OUTSTANDING_END_PER","FQ1 2021","FQ1 2021","Currency=USD","Period=FQ","BEST_FPERIOD_OVERRIDE=FQ","FILING_STATUS=MR","Sort=A","Dates=H","DateFormat=P","Fill=—","Direction=H","UseDPDF=Y")</f>
        <v>5.9298999999999999</v>
      </c>
      <c r="M80" s="13">
        <f>_xll.BDH("ITCI US Equity","ARDR_OPTIONS_OUTSTANDING_END_PER","FQ2 2021","FQ2 2021","Currency=USD","Period=FQ","BEST_FPERIOD_OVERRIDE=FQ","FILING_STATUS=MR","Sort=A","Dates=H","DateFormat=P","Fill=—","Direction=H","UseDPDF=Y")</f>
        <v>6.0140000000000002</v>
      </c>
      <c r="N80" s="13">
        <f>_xll.BDH("ITCI US Equity","ARDR_OPTIONS_OUTSTANDING_END_PER","FQ3 2021","FQ3 2021","Currency=USD","Period=FQ","BEST_FPERIOD_OVERRIDE=FQ","FILING_STATUS=MR","Sort=A","Dates=H","DateFormat=P","Fill=—","Direction=H","UseDPDF=Y")</f>
        <v>5.9523000000000001</v>
      </c>
      <c r="O80" s="13">
        <f>_xll.BDH("ITCI US Equity","ARDR_OPTIONS_OUTSTANDING_END_PER","FQ4 2021","FQ4 2021","Currency=USD","Period=FQ","BEST_FPERIOD_OVERRIDE=FQ","FILING_STATUS=MR","Sort=A","Dates=H","DateFormat=P","Fill=—","Direction=H","UseDPDF=Y")</f>
        <v>5.4513999999999996</v>
      </c>
      <c r="P80" s="13">
        <f>_xll.BDH("ITCI US Equity","ARDR_OPTIONS_OUTSTANDING_END_PER","FQ1 2022","FQ1 2022","Currency=USD","Period=FQ","BEST_FPERIOD_OVERRIDE=FQ","FILING_STATUS=MR","Sort=A","Dates=H","DateFormat=P","Fill=—","Direction=H","UseDPDF=Y")</f>
        <v>5.4770000000000003</v>
      </c>
      <c r="Q80" s="13">
        <f>_xll.BDH("ITCI US Equity","ARDR_OPTIONS_OUTSTANDING_END_PER","FQ2 2022","FQ2 2022","Currency=USD","Period=FQ","BEST_FPERIOD_OVERRIDE=FQ","FILING_STATUS=MR","Sort=A","Dates=H","DateFormat=P","Fill=—","Direction=H","UseDPDF=Y")</f>
        <v>5.2417999999999996</v>
      </c>
      <c r="R80" s="13">
        <f>_xll.BDH("ITCI US Equity","ARDR_OPTIONS_OUTSTANDING_END_PER","FQ3 2022","FQ3 2022","Currency=USD","Period=FQ","BEST_FPERIOD_OVERRIDE=FQ","FILING_STATUS=MR","Sort=A","Dates=H","DateFormat=P","Fill=—","Direction=H","UseDPDF=Y")</f>
        <v>4.9260999999999999</v>
      </c>
      <c r="S80" s="13">
        <f>_xll.BDH("ITCI US Equity","ARDR_OPTIONS_OUTSTANDING_END_PER","FQ4 2022","FQ4 2022","Currency=USD","Period=FQ","BEST_FPERIOD_OVERRIDE=FQ","FILING_STATUS=MR","Sort=A","Dates=H","DateFormat=P","Fill=—","Direction=H","UseDPDF=Y")</f>
        <v>4.7859999999999996</v>
      </c>
      <c r="T80" s="13">
        <f>_xll.BDH("ITCI US Equity","ARDR_OPTIONS_OUTSTANDING_END_PER","FQ1 2023","FQ1 2023","Currency=USD","Period=FQ","BEST_FPERIOD_OVERRIDE=FQ","FILING_STATUS=MR","Sort=A","Dates=H","DateFormat=P","Fill=—","Direction=H","UseDPDF=Y")</f>
        <v>4.7380000000000004</v>
      </c>
      <c r="U80" s="13">
        <f>_xll.BDH("ITCI US Equity","ARDR_OPTIONS_OUTSTANDING_END_PER","FQ2 2023","FQ2 2023","Currency=USD","Period=FQ","BEST_FPERIOD_OVERRIDE=FQ","FILING_STATUS=MR","Sort=A","Dates=H","DateFormat=P","Fill=—","Direction=H","UseDPDF=Y")</f>
        <v>4.5152000000000001</v>
      </c>
      <c r="V80" s="13">
        <f>_xll.BDH("ITCI US Equity","ARDR_OPTIONS_OUTSTANDING_END_PER","FQ3 2023","FQ3 2023","Currency=USD","Period=FQ","BEST_FPERIOD_OVERRIDE=FQ","FILING_STATUS=MR","Sort=A","Dates=H","DateFormat=P","Fill=—","Direction=H","UseDPDF=Y")</f>
        <v>4.3856000000000002</v>
      </c>
      <c r="W80" s="13">
        <f>_xll.BDH("ITCI US Equity","ARDR_OPTIONS_OUTSTANDING_END_PER","FQ4 2023","FQ4 2023","Currency=USD","Period=FQ","BEST_FPERIOD_OVERRIDE=FQ","FILING_STATUS=MR","Sort=A","Dates=H","DateFormat=P","Fill=—","Direction=H","UseDPDF=Y")</f>
        <v>4.24</v>
      </c>
      <c r="X80" s="13">
        <f>_xll.BDH("ITCI US Equity","ARDR_OPTIONS_OUTSTANDING_END_PER","FQ1 2024","FQ1 2024","Currency=USD","Period=FQ","BEST_FPERIOD_OVERRIDE=FQ","FILING_STATUS=MR","Sort=A","Dates=H","DateFormat=P","Fill=—","Direction=H","UseDPDF=Y")</f>
        <v>3.7730999999999999</v>
      </c>
      <c r="Y80" s="13">
        <f>_xll.BDH("ITCI US Equity","ARDR_OPTIONS_OUTSTANDING_END_PER","FQ2 2024","FQ2 2024","Currency=USD","Period=FQ","BEST_FPERIOD_OVERRIDE=FQ","FILING_STATUS=MR","Sort=A","Dates=H","DateFormat=P","Fill=—","Direction=H","UseDPDF=Y")</f>
        <v>3.6736</v>
      </c>
      <c r="Z80" s="13">
        <f>_xll.BDH("ITCI US Equity","ARDR_OPTIONS_OUTSTANDING_END_PER","FQ3 2024","FQ3 2024","Currency=USD","Period=FQ","BEST_FPERIOD_OVERRIDE=FQ","FILING_STATUS=MR","Sort=A","Dates=H","DateFormat=P","Fill=—","Direction=H","UseDPDF=Y")</f>
        <v>3.3294999999999999</v>
      </c>
      <c r="AA80" s="13">
        <f>_xll.BDH("ITCI US Equity","ARDR_OPTIONS_OUTSTANDING_END_PER","FQ4 2024","FQ4 2024","Currency=USD","Period=FQ","BEST_FPERIOD_OVERRIDE=FQ","FILING_STATUS=MR","Sort=A","Dates=H","DateFormat=P","Fill=—","Direction=H","UseDPDF=Y")</f>
        <v>3.0979999999999999</v>
      </c>
    </row>
    <row r="81" spans="1:27" x14ac:dyDescent="0.25">
      <c r="A81" s="10" t="s">
        <v>749</v>
      </c>
      <c r="B81" s="10" t="s">
        <v>809</v>
      </c>
      <c r="C81" s="13" t="str">
        <f>_xll.BDH("ITCI US Equity","ARDR_SHARES_AUTHORIZED","FQ4 2018","FQ4 2018","Currency=USD","Period=FQ","BEST_FPERIOD_OVERRIDE=FQ","FILING_STATUS=MR","SCALING_FORMAT=MLN","Sort=A","Dates=H","DateFormat=P","Fill=—","Direction=H","UseDPDF=Y")</f>
        <v>—</v>
      </c>
      <c r="D81" s="13" t="str">
        <f>_xll.BDH("ITCI US Equity","ARDR_SHARES_AUTHORIZED","FQ1 2019","FQ1 2019","Currency=USD","Period=FQ","BEST_FPERIOD_OVERRIDE=FQ","FILING_STATUS=MR","SCALING_FORMAT=MLN","Sort=A","Dates=H","DateFormat=P","Fill=—","Direction=H","UseDPDF=Y")</f>
        <v>—</v>
      </c>
      <c r="E81" s="13" t="str">
        <f>_xll.BDH("ITCI US Equity","ARDR_SHARES_AUTHORIZED","FQ2 2019","FQ2 2019","Currency=USD","Period=FQ","BEST_FPERIOD_OVERRIDE=FQ","FILING_STATUS=MR","SCALING_FORMAT=MLN","Sort=A","Dates=H","DateFormat=P","Fill=—","Direction=H","UseDPDF=Y")</f>
        <v>—</v>
      </c>
      <c r="F81" s="13" t="str">
        <f>_xll.BDH("ITCI US Equity","ARDR_SHARES_AUTHORIZED","FQ3 2019","FQ3 2019","Currency=USD","Period=FQ","BEST_FPERIOD_OVERRIDE=FQ","FILING_STATUS=MR","SCALING_FORMAT=MLN","Sort=A","Dates=H","DateFormat=P","Fill=—","Direction=H","UseDPDF=Y")</f>
        <v>—</v>
      </c>
      <c r="G81" s="13" t="str">
        <f>_xll.BDH("ITCI US Equity","ARDR_SHARES_AUTHORIZED","FQ4 2019","FQ4 2019","Currency=USD","Period=FQ","BEST_FPERIOD_OVERRIDE=FQ","FILING_STATUS=MR","SCALING_FORMAT=MLN","Sort=A","Dates=H","DateFormat=P","Fill=—","Direction=H","UseDPDF=Y")</f>
        <v>—</v>
      </c>
      <c r="H81" s="13" t="str">
        <f>_xll.BDH("ITCI US Equity","ARDR_SHARES_AUTHORIZED","FQ1 2020","FQ1 2020","Currency=USD","Period=FQ","BEST_FPERIOD_OVERRIDE=FQ","FILING_STATUS=MR","SCALING_FORMAT=MLN","Sort=A","Dates=H","DateFormat=P","Fill=—","Direction=H","UseDPDF=Y")</f>
        <v>—</v>
      </c>
      <c r="I81" s="13" t="str">
        <f>_xll.BDH("ITCI US Equity","ARDR_SHARES_AUTHORIZED","FQ2 2020","FQ2 2020","Currency=USD","Period=FQ","BEST_FPERIOD_OVERRIDE=FQ","FILING_STATUS=MR","SCALING_FORMAT=MLN","Sort=A","Dates=H","DateFormat=P","Fill=—","Direction=H","UseDPDF=Y")</f>
        <v>—</v>
      </c>
      <c r="J81" s="13" t="str">
        <f>_xll.BDH("ITCI US Equity","ARDR_SHARES_AUTHORIZED","FQ3 2020","FQ3 2020","Currency=USD","Period=FQ","BEST_FPERIOD_OVERRIDE=FQ","FILING_STATUS=MR","SCALING_FORMAT=MLN","Sort=A","Dates=H","DateFormat=P","Fill=—","Direction=H","UseDPDF=Y")</f>
        <v>—</v>
      </c>
      <c r="K81" s="13" t="str">
        <f>_xll.BDH("ITCI US Equity","ARDR_SHARES_AUTHORIZED","FQ4 2020","FQ4 2020","Currency=USD","Period=FQ","BEST_FPERIOD_OVERRIDE=FQ","FILING_STATUS=MR","SCALING_FORMAT=MLN","Sort=A","Dates=H","DateFormat=P","Fill=—","Direction=H","UseDPDF=Y")</f>
        <v>—</v>
      </c>
      <c r="L81" s="13" t="str">
        <f>_xll.BDH("ITCI US Equity","ARDR_SHARES_AUTHORIZED","FQ1 2021","FQ1 2021","Currency=USD","Period=FQ","BEST_FPERIOD_OVERRIDE=FQ","FILING_STATUS=MR","SCALING_FORMAT=MLN","Sort=A","Dates=H","DateFormat=P","Fill=—","Direction=H","UseDPDF=Y")</f>
        <v>—</v>
      </c>
      <c r="M81" s="13" t="str">
        <f>_xll.BDH("ITCI US Equity","ARDR_SHARES_AUTHORIZED","FQ2 2021","FQ2 2021","Currency=USD","Period=FQ","BEST_FPERIOD_OVERRIDE=FQ","FILING_STATUS=MR","SCALING_FORMAT=MLN","Sort=A","Dates=H","DateFormat=P","Fill=—","Direction=H","UseDPDF=Y")</f>
        <v>—</v>
      </c>
      <c r="N81" s="13" t="str">
        <f>_xll.BDH("ITCI US Equity","ARDR_SHARES_AUTHORIZED","FQ3 2021","FQ3 2021","Currency=USD","Period=FQ","BEST_FPERIOD_OVERRIDE=FQ","FILING_STATUS=MR","SCALING_FORMAT=MLN","Sort=A","Dates=H","DateFormat=P","Fill=—","Direction=H","UseDPDF=Y")</f>
        <v>—</v>
      </c>
      <c r="O81" s="13" t="str">
        <f>_xll.BDH("ITCI US Equity","ARDR_SHARES_AUTHORIZED","FQ4 2021","FQ4 2021","Currency=USD","Period=FQ","BEST_FPERIOD_OVERRIDE=FQ","FILING_STATUS=MR","SCALING_FORMAT=MLN","Sort=A","Dates=H","DateFormat=P","Fill=—","Direction=H","UseDPDF=Y")</f>
        <v>—</v>
      </c>
      <c r="P81" s="13" t="str">
        <f>_xll.BDH("ITCI US Equity","ARDR_SHARES_AUTHORIZED","FQ1 2022","FQ1 2022","Currency=USD","Period=FQ","BEST_FPERIOD_OVERRIDE=FQ","FILING_STATUS=MR","SCALING_FORMAT=MLN","Sort=A","Dates=H","DateFormat=P","Fill=—","Direction=H","UseDPDF=Y")</f>
        <v>—</v>
      </c>
      <c r="Q81" s="13" t="str">
        <f>_xll.BDH("ITCI US Equity","ARDR_SHARES_AUTHORIZED","FQ2 2022","FQ2 2022","Currency=USD","Period=FQ","BEST_FPERIOD_OVERRIDE=FQ","FILING_STATUS=MR","SCALING_FORMAT=MLN","Sort=A","Dates=H","DateFormat=P","Fill=—","Direction=H","UseDPDF=Y")</f>
        <v>—</v>
      </c>
      <c r="R81" s="13" t="str">
        <f>_xll.BDH("ITCI US Equity","ARDR_SHARES_AUTHORIZED","FQ3 2022","FQ3 2022","Currency=USD","Period=FQ","BEST_FPERIOD_OVERRIDE=FQ","FILING_STATUS=MR","SCALING_FORMAT=MLN","Sort=A","Dates=H","DateFormat=P","Fill=—","Direction=H","UseDPDF=Y")</f>
        <v>—</v>
      </c>
      <c r="S81" s="13" t="str">
        <f>_xll.BDH("ITCI US Equity","ARDR_SHARES_AUTHORIZED","FQ4 2022","FQ4 2022","Currency=USD","Period=FQ","BEST_FPERIOD_OVERRIDE=FQ","FILING_STATUS=MR","SCALING_FORMAT=MLN","Sort=A","Dates=H","DateFormat=P","Fill=—","Direction=H","UseDPDF=Y")</f>
        <v>—</v>
      </c>
      <c r="T81" s="13" t="str">
        <f>_xll.BDH("ITCI US Equity","ARDR_SHARES_AUTHORIZED","FQ1 2023","FQ1 2023","Currency=USD","Period=FQ","BEST_FPERIOD_OVERRIDE=FQ","FILING_STATUS=MR","SCALING_FORMAT=MLN","Sort=A","Dates=H","DateFormat=P","Fill=—","Direction=H","UseDPDF=Y")</f>
        <v>—</v>
      </c>
      <c r="U81" s="13" t="str">
        <f>_xll.BDH("ITCI US Equity","ARDR_SHARES_AUTHORIZED","FQ2 2023","FQ2 2023","Currency=USD","Period=FQ","BEST_FPERIOD_OVERRIDE=FQ","FILING_STATUS=MR","SCALING_FORMAT=MLN","Sort=A","Dates=H","DateFormat=P","Fill=—","Direction=H","UseDPDF=Y")</f>
        <v>—</v>
      </c>
      <c r="V81" s="13" t="str">
        <f>_xll.BDH("ITCI US Equity","ARDR_SHARES_AUTHORIZED","FQ3 2023","FQ3 2023","Currency=USD","Period=FQ","BEST_FPERIOD_OVERRIDE=FQ","FILING_STATUS=MR","SCALING_FORMAT=MLN","Sort=A","Dates=H","DateFormat=P","Fill=—","Direction=H","UseDPDF=Y")</f>
        <v>—</v>
      </c>
      <c r="W81" s="13">
        <f>_xll.BDH("ITCI US Equity","ARDR_SHARES_AUTHORIZED","FQ4 2023","FQ4 2023","Currency=USD","Period=FQ","BEST_FPERIOD_OVERRIDE=FQ","FILING_STATUS=MR","SCALING_FORMAT=MLN","Sort=A","Dates=H","DateFormat=P","Fill=—","Direction=H","UseDPDF=Y")</f>
        <v>175</v>
      </c>
      <c r="X81" s="13" t="str">
        <f>_xll.BDH("ITCI US Equity","ARDR_SHARES_AUTHORIZED","FQ1 2024","FQ1 2024","Currency=USD","Period=FQ","BEST_FPERIOD_OVERRIDE=FQ","FILING_STATUS=MR","SCALING_FORMAT=MLN","Sort=A","Dates=H","DateFormat=P","Fill=—","Direction=H","UseDPDF=Y")</f>
        <v>—</v>
      </c>
      <c r="Y81" s="13" t="str">
        <f>_xll.BDH("ITCI US Equity","ARDR_SHARES_AUTHORIZED","FQ2 2024","FQ2 2024","Currency=USD","Period=FQ","BEST_FPERIOD_OVERRIDE=FQ","FILING_STATUS=MR","SCALING_FORMAT=MLN","Sort=A","Dates=H","DateFormat=P","Fill=—","Direction=H","UseDPDF=Y")</f>
        <v>—</v>
      </c>
      <c r="Z81" s="13">
        <f>_xll.BDH("ITCI US Equity","ARDR_SHARES_AUTHORIZED","FQ3 2024","FQ3 2024","Currency=USD","Period=FQ","BEST_FPERIOD_OVERRIDE=FQ","FILING_STATUS=MR","SCALING_FORMAT=MLN","Sort=A","Dates=H","DateFormat=P","Fill=—","Direction=H","UseDPDF=Y")</f>
        <v>175</v>
      </c>
      <c r="AA81" s="13">
        <f>_xll.BDH("ITCI US Equity","ARDR_SHARES_AUTHORIZED","FQ4 2024","FQ4 2024","Currency=USD","Period=FQ","BEST_FPERIOD_OVERRIDE=FQ","FILING_STATUS=MR","SCALING_FORMAT=MLN","Sort=A","Dates=H","DateFormat=P","Fill=—","Direction=H","UseDPDF=Y")</f>
        <v>175</v>
      </c>
    </row>
    <row r="82" spans="1:27" x14ac:dyDescent="0.25">
      <c r="A82" s="10" t="s">
        <v>810</v>
      </c>
      <c r="B82" s="10" t="s">
        <v>811</v>
      </c>
      <c r="C82" s="13">
        <f>_xll.BDH("ITCI US Equity","ARDR_OPTIONS_EXERCISED_DUR_PER","FQ4 2018","FQ4 2018","Currency=USD","Period=FQ","BEST_FPERIOD_OVERRIDE=FQ","FILING_STATUS=MR","SCALING_FORMAT=MLN","Sort=A","Dates=H","DateFormat=P","Fill=—","Direction=H","UseDPDF=Y")</f>
        <v>0.10680000000000001</v>
      </c>
      <c r="D82" s="13">
        <f>_xll.BDH("ITCI US Equity","ARDR_OPTIONS_EXERCISED_DUR_PER","FQ1 2019","FQ1 2019","Currency=USD","Period=FQ","BEST_FPERIOD_OVERRIDE=FQ","FILING_STATUS=MR","SCALING_FORMAT=MLN","Sort=A","Dates=H","DateFormat=P","Fill=—","Direction=H","UseDPDF=Y")</f>
        <v>1.14E-2</v>
      </c>
      <c r="E82" s="13">
        <f>_xll.BDH("ITCI US Equity","ARDR_OPTIONS_EXERCISED_DUR_PER","FQ2 2019","FQ2 2019","Currency=USD","Period=FQ","BEST_FPERIOD_OVERRIDE=FQ","FILING_STATUS=MR","SCALING_FORMAT=MLN","Sort=A","Dates=H","DateFormat=P","Fill=—","Direction=H","UseDPDF=Y")</f>
        <v>2.35E-2</v>
      </c>
      <c r="F82" s="13">
        <f>_xll.BDH("ITCI US Equity","ARDR_OPTIONS_EXERCISED_DUR_PER","FQ3 2019","FQ3 2019","Currency=USD","Period=FQ","BEST_FPERIOD_OVERRIDE=FQ","FILING_STATUS=MR","SCALING_FORMAT=MLN","Sort=A","Dates=H","DateFormat=P","Fill=—","Direction=H","UseDPDF=Y")</f>
        <v>5.0799999999999998E-2</v>
      </c>
      <c r="G82" s="13">
        <f>_xll.BDH("ITCI US Equity","ARDR_OPTIONS_EXERCISED_DUR_PER","FQ4 2019","FQ4 2019","Currency=USD","Period=FQ","BEST_FPERIOD_OVERRIDE=FQ","FILING_STATUS=MR","SCALING_FORMAT=MLN","Sort=A","Dates=H","DateFormat=P","Fill=—","Direction=H","UseDPDF=Y")</f>
        <v>0.17899999999999999</v>
      </c>
      <c r="H82" s="13">
        <f>_xll.BDH("ITCI US Equity","ARDR_OPTIONS_EXERCISED_DUR_PER","FQ1 2020","FQ1 2020","Currency=USD","Period=FQ","BEST_FPERIOD_OVERRIDE=FQ","FILING_STATUS=MR","SCALING_FORMAT=MLN","Sort=A","Dates=H","DateFormat=P","Fill=—","Direction=H","UseDPDF=Y")</f>
        <v>0.21199999999999999</v>
      </c>
      <c r="I82" s="13">
        <f>_xll.BDH("ITCI US Equity","ARDR_OPTIONS_EXERCISED_DUR_PER","FQ2 2020","FQ2 2020","Currency=USD","Period=FQ","BEST_FPERIOD_OVERRIDE=FQ","FILING_STATUS=MR","SCALING_FORMAT=MLN","Sort=A","Dates=H","DateFormat=P","Fill=—","Direction=H","UseDPDF=Y")</f>
        <v>0.31490000000000001</v>
      </c>
      <c r="J82" s="13">
        <f>_xll.BDH("ITCI US Equity","ARDR_OPTIONS_EXERCISED_DUR_PER","FQ3 2020","FQ3 2020","Currency=USD","Period=FQ","BEST_FPERIOD_OVERRIDE=FQ","FILING_STATUS=MR","SCALING_FORMAT=MLN","Sort=A","Dates=H","DateFormat=P","Fill=—","Direction=H","UseDPDF=Y")</f>
        <v>0.17</v>
      </c>
      <c r="K82" s="13">
        <f>_xll.BDH("ITCI US Equity","ARDR_OPTIONS_EXERCISED_DUR_PER","FQ4 2020","FQ4 2020","Currency=USD","Period=FQ","BEST_FPERIOD_OVERRIDE=FQ","FILING_STATUS=MR","SCALING_FORMAT=MLN","Sort=A","Dates=H","DateFormat=P","Fill=—","Direction=H","UseDPDF=Y")</f>
        <v>0.30249999999999999</v>
      </c>
      <c r="L82" s="13">
        <f>_xll.BDH("ITCI US Equity","ARDR_OPTIONS_EXERCISED_DUR_PER","FQ1 2021","FQ1 2021","Currency=USD","Period=FQ","BEST_FPERIOD_OVERRIDE=FQ","FILING_STATUS=MR","SCALING_FORMAT=MLN","Sort=A","Dates=H","DateFormat=P","Fill=—","Direction=H","UseDPDF=Y")</f>
        <v>7.9000000000000001E-2</v>
      </c>
      <c r="M82" s="13">
        <f>_xll.BDH("ITCI US Equity","ARDR_OPTIONS_EXERCISED_DUR_PER","FQ2 2021","FQ2 2021","Currency=USD","Period=FQ","BEST_FPERIOD_OVERRIDE=FQ","FILING_STATUS=MR","SCALING_FORMAT=MLN","Sort=A","Dates=H","DateFormat=P","Fill=—","Direction=H","UseDPDF=Y")</f>
        <v>7.5800000000000006E-2</v>
      </c>
      <c r="N82" s="13">
        <f>_xll.BDH("ITCI US Equity","ARDR_OPTIONS_EXERCISED_DUR_PER","FQ3 2021","FQ3 2021","Currency=USD","Period=FQ","BEST_FPERIOD_OVERRIDE=FQ","FILING_STATUS=MR","SCALING_FORMAT=MLN","Sort=A","Dates=H","DateFormat=P","Fill=—","Direction=H","UseDPDF=Y")</f>
        <v>5.16E-2</v>
      </c>
      <c r="O82" s="13">
        <f>_xll.BDH("ITCI US Equity","ARDR_OPTIONS_EXERCISED_DUR_PER","FQ4 2021","FQ4 2021","Currency=USD","Period=FQ","BEST_FPERIOD_OVERRIDE=FQ","FILING_STATUS=MR","SCALING_FORMAT=MLN","Sort=A","Dates=H","DateFormat=P","Fill=—","Direction=H","UseDPDF=Y")</f>
        <v>0.49419999999999997</v>
      </c>
      <c r="P82" s="13">
        <f>_xll.BDH("ITCI US Equity","ARDR_OPTIONS_EXERCISED_DUR_PER","FQ1 2022","FQ1 2022","Currency=USD","Period=FQ","BEST_FPERIOD_OVERRIDE=FQ","FILING_STATUS=MR","SCALING_FORMAT=MLN","Sort=A","Dates=H","DateFormat=P","Fill=—","Direction=H","UseDPDF=Y")</f>
        <v>0.42549999999999999</v>
      </c>
      <c r="Q82" s="13">
        <f>_xll.BDH("ITCI US Equity","ARDR_OPTIONS_EXERCISED_DUR_PER","FQ2 2022","FQ2 2022","Currency=USD","Period=FQ","BEST_FPERIOD_OVERRIDE=FQ","FILING_STATUS=MR","SCALING_FORMAT=MLN","Sort=A","Dates=H","DateFormat=P","Fill=—","Direction=H","UseDPDF=Y")</f>
        <v>0.77890000000000004</v>
      </c>
      <c r="R82" s="13">
        <f>_xll.BDH("ITCI US Equity","ARDR_OPTIONS_EXERCISED_DUR_PER","FQ3 2022","FQ3 2022","Currency=USD","Period=FQ","BEST_FPERIOD_OVERRIDE=FQ","FILING_STATUS=MR","SCALING_FORMAT=MLN","Sort=A","Dates=H","DateFormat=P","Fill=—","Direction=H","UseDPDF=Y")</f>
        <v>0.31859999999999999</v>
      </c>
      <c r="S82" s="13">
        <f>_xll.BDH("ITCI US Equity","ARDR_OPTIONS_EXERCISED_DUR_PER","FQ4 2022","FQ4 2022","Currency=USD","Period=FQ","BEST_FPERIOD_OVERRIDE=FQ","FILING_STATUS=MR","SCALING_FORMAT=MLN","Sort=A","Dates=H","DateFormat=P","Fill=—","Direction=H","UseDPDF=Y")</f>
        <v>0.12189999999999999</v>
      </c>
      <c r="T82" s="13">
        <f>_xll.BDH("ITCI US Equity","ARDR_OPTIONS_EXERCISED_DUR_PER","FQ1 2023","FQ1 2023","Currency=USD","Period=FQ","BEST_FPERIOD_OVERRIDE=FQ","FILING_STATUS=MR","SCALING_FORMAT=MLN","Sort=A","Dates=H","DateFormat=P","Fill=—","Direction=H","UseDPDF=Y")</f>
        <v>0.26279999999999998</v>
      </c>
      <c r="U82" s="13">
        <f>_xll.BDH("ITCI US Equity","ARDR_OPTIONS_EXERCISED_DUR_PER","FQ2 2023","FQ2 2023","Currency=USD","Period=FQ","BEST_FPERIOD_OVERRIDE=FQ","FILING_STATUS=MR","SCALING_FORMAT=MLN","Sort=A","Dates=H","DateFormat=P","Fill=—","Direction=H","UseDPDF=Y")</f>
        <v>0.2475</v>
      </c>
      <c r="V82" s="13">
        <f>_xll.BDH("ITCI US Equity","ARDR_OPTIONS_EXERCISED_DUR_PER","FQ3 2023","FQ3 2023","Currency=USD","Period=FQ","BEST_FPERIOD_OVERRIDE=FQ","FILING_STATUS=MR","SCALING_FORMAT=MLN","Sort=A","Dates=H","DateFormat=P","Fill=—","Direction=H","UseDPDF=Y")</f>
        <v>0.13569999999999999</v>
      </c>
      <c r="W82" s="13">
        <f>_xll.BDH("ITCI US Equity","ARDR_OPTIONS_EXERCISED_DUR_PER","FQ4 2023","FQ4 2023","Currency=USD","Period=FQ","BEST_FPERIOD_OVERRIDE=FQ","FILING_STATUS=MR","SCALING_FORMAT=MLN","Sort=A","Dates=H","DateFormat=P","Fill=—","Direction=H","UseDPDF=Y")</f>
        <v>0.14580000000000001</v>
      </c>
      <c r="X82" s="13">
        <f>_xll.BDH("ITCI US Equity","ARDR_OPTIONS_EXERCISED_DUR_PER","FQ1 2024","FQ1 2024","Currency=USD","Period=FQ","BEST_FPERIOD_OVERRIDE=FQ","FILING_STATUS=MR","SCALING_FORMAT=MLN","Sort=A","Dates=H","DateFormat=P","Fill=—","Direction=H","UseDPDF=Y")</f>
        <v>0.46189999999999998</v>
      </c>
      <c r="Y82" s="13">
        <f>_xll.BDH("ITCI US Equity","ARDR_OPTIONS_EXERCISED_DUR_PER","FQ2 2024","FQ2 2024","Currency=USD","Period=FQ","BEST_FPERIOD_OVERRIDE=FQ","FILING_STATUS=MR","SCALING_FORMAT=MLN","Sort=A","Dates=H","DateFormat=P","Fill=—","Direction=H","UseDPDF=Y")</f>
        <v>0.1124</v>
      </c>
      <c r="Z82" s="13">
        <f>_xll.BDH("ITCI US Equity","ARDR_OPTIONS_EXERCISED_DUR_PER","FQ3 2024","FQ3 2024","Currency=USD","Period=FQ","BEST_FPERIOD_OVERRIDE=FQ","FILING_STATUS=MR","SCALING_FORMAT=MLN","Sort=A","Dates=H","DateFormat=P","Fill=—","Direction=H","UseDPDF=Y")</f>
        <v>0.35930000000000001</v>
      </c>
      <c r="AA82" s="13">
        <f>_xll.BDH("ITCI US Equity","ARDR_OPTIONS_EXERCISED_DUR_PER","FQ4 2024","FQ4 2024","Currency=USD","Period=FQ","BEST_FPERIOD_OVERRIDE=FQ","FILING_STATUS=MR","SCALING_FORMAT=MLN","Sort=A","Dates=H","DateFormat=P","Fill=—","Direction=H","UseDPDF=Y")</f>
        <v>0.23100000000000001</v>
      </c>
    </row>
    <row r="83" spans="1:27" x14ac:dyDescent="0.25">
      <c r="A83" s="10" t="s">
        <v>812</v>
      </c>
      <c r="B83" s="10" t="s">
        <v>813</v>
      </c>
      <c r="C83" s="13" t="str">
        <f>_xll.BDH("ITCI US Equity","ARDR_OPTIONS_EXPIRED_DUR_PER","FQ4 2018","FQ4 2018","Currency=USD","Period=FQ","BEST_FPERIOD_OVERRIDE=FQ","FILING_STATUS=MR","SCALING_FORMAT=MLN","Sort=A","Dates=H","DateFormat=P","Fill=—","Direction=H","UseDPDF=Y")</f>
        <v>—</v>
      </c>
      <c r="D83" s="13" t="str">
        <f>_xll.BDH("ITCI US Equity","ARDR_OPTIONS_EXPIRED_DUR_PER","FQ1 2019","FQ1 2019","Currency=USD","Period=FQ","BEST_FPERIOD_OVERRIDE=FQ","FILING_STATUS=MR","SCALING_FORMAT=MLN","Sort=A","Dates=H","DateFormat=P","Fill=—","Direction=H","UseDPDF=Y")</f>
        <v>—</v>
      </c>
      <c r="E83" s="13" t="str">
        <f>_xll.BDH("ITCI US Equity","ARDR_OPTIONS_EXPIRED_DUR_PER","FQ2 2019","FQ2 2019","Currency=USD","Period=FQ","BEST_FPERIOD_OVERRIDE=FQ","FILING_STATUS=MR","SCALING_FORMAT=MLN","Sort=A","Dates=H","DateFormat=P","Fill=—","Direction=H","UseDPDF=Y")</f>
        <v>—</v>
      </c>
      <c r="F83" s="13" t="str">
        <f>_xll.BDH("ITCI US Equity","ARDR_OPTIONS_EXPIRED_DUR_PER","FQ3 2019","FQ3 2019","Currency=USD","Period=FQ","BEST_FPERIOD_OVERRIDE=FQ","FILING_STATUS=MR","SCALING_FORMAT=MLN","Sort=A","Dates=H","DateFormat=P","Fill=—","Direction=H","UseDPDF=Y")</f>
        <v>—</v>
      </c>
      <c r="G83" s="13" t="str">
        <f>_xll.BDH("ITCI US Equity","ARDR_OPTIONS_EXPIRED_DUR_PER","FQ4 2019","FQ4 2019","Currency=USD","Period=FQ","BEST_FPERIOD_OVERRIDE=FQ","FILING_STATUS=MR","SCALING_FORMAT=MLN","Sort=A","Dates=H","DateFormat=P","Fill=—","Direction=H","UseDPDF=Y")</f>
        <v>—</v>
      </c>
      <c r="H83" s="13" t="str">
        <f>_xll.BDH("ITCI US Equity","ARDR_OPTIONS_EXPIRED_DUR_PER","FQ1 2020","FQ1 2020","Currency=USD","Period=FQ","BEST_FPERIOD_OVERRIDE=FQ","FILING_STATUS=MR","SCALING_FORMAT=MLN","Sort=A","Dates=H","DateFormat=P","Fill=—","Direction=H","UseDPDF=Y")</f>
        <v>—</v>
      </c>
      <c r="I83" s="13" t="str">
        <f>_xll.BDH("ITCI US Equity","ARDR_OPTIONS_EXPIRED_DUR_PER","FQ2 2020","FQ2 2020","Currency=USD","Period=FQ","BEST_FPERIOD_OVERRIDE=FQ","FILING_STATUS=MR","SCALING_FORMAT=MLN","Sort=A","Dates=H","DateFormat=P","Fill=—","Direction=H","UseDPDF=Y")</f>
        <v>—</v>
      </c>
      <c r="J83" s="13" t="str">
        <f>_xll.BDH("ITCI US Equity","ARDR_OPTIONS_EXPIRED_DUR_PER","FQ3 2020","FQ3 2020","Currency=USD","Period=FQ","BEST_FPERIOD_OVERRIDE=FQ","FILING_STATUS=MR","SCALING_FORMAT=MLN","Sort=A","Dates=H","DateFormat=P","Fill=—","Direction=H","UseDPDF=Y")</f>
        <v>—</v>
      </c>
      <c r="K83" s="13" t="str">
        <f>_xll.BDH("ITCI US Equity","ARDR_OPTIONS_EXPIRED_DUR_PER","FQ4 2020","FQ4 2020","Currency=USD","Period=FQ","BEST_FPERIOD_OVERRIDE=FQ","FILING_STATUS=MR","SCALING_FORMAT=MLN","Sort=A","Dates=H","DateFormat=P","Fill=—","Direction=H","UseDPDF=Y")</f>
        <v>—</v>
      </c>
      <c r="L83" s="13" t="str">
        <f>_xll.BDH("ITCI US Equity","ARDR_OPTIONS_EXPIRED_DUR_PER","FQ1 2021","FQ1 2021","Currency=USD","Period=FQ","BEST_FPERIOD_OVERRIDE=FQ","FILING_STATUS=MR","SCALING_FORMAT=MLN","Sort=A","Dates=H","DateFormat=P","Fill=—","Direction=H","UseDPDF=Y")</f>
        <v>—</v>
      </c>
      <c r="M83" s="13" t="str">
        <f>_xll.BDH("ITCI US Equity","ARDR_OPTIONS_EXPIRED_DUR_PER","FQ2 2021","FQ2 2021","Currency=USD","Period=FQ","BEST_FPERIOD_OVERRIDE=FQ","FILING_STATUS=MR","SCALING_FORMAT=MLN","Sort=A","Dates=H","DateFormat=P","Fill=—","Direction=H","UseDPDF=Y")</f>
        <v>—</v>
      </c>
      <c r="N83" s="13" t="str">
        <f>_xll.BDH("ITCI US Equity","ARDR_OPTIONS_EXPIRED_DUR_PER","FQ3 2021","FQ3 2021","Currency=USD","Period=FQ","BEST_FPERIOD_OVERRIDE=FQ","FILING_STATUS=MR","SCALING_FORMAT=MLN","Sort=A","Dates=H","DateFormat=P","Fill=—","Direction=H","UseDPDF=Y")</f>
        <v>—</v>
      </c>
      <c r="O83" s="13" t="str">
        <f>_xll.BDH("ITCI US Equity","ARDR_OPTIONS_EXPIRED_DUR_PER","FQ4 2021","FQ4 2021","Currency=USD","Period=FQ","BEST_FPERIOD_OVERRIDE=FQ","FILING_STATUS=MR","SCALING_FORMAT=MLN","Sort=A","Dates=H","DateFormat=P","Fill=—","Direction=H","UseDPDF=Y")</f>
        <v>—</v>
      </c>
      <c r="P83" s="13" t="str">
        <f>_xll.BDH("ITCI US Equity","ARDR_OPTIONS_EXPIRED_DUR_PER","FQ1 2022","FQ1 2022","Currency=USD","Period=FQ","BEST_FPERIOD_OVERRIDE=FQ","FILING_STATUS=MR","SCALING_FORMAT=MLN","Sort=A","Dates=H","DateFormat=P","Fill=—","Direction=H","UseDPDF=Y")</f>
        <v>—</v>
      </c>
      <c r="Q83" s="13" t="str">
        <f>_xll.BDH("ITCI US Equity","ARDR_OPTIONS_EXPIRED_DUR_PER","FQ2 2022","FQ2 2022","Currency=USD","Period=FQ","BEST_FPERIOD_OVERRIDE=FQ","FILING_STATUS=MR","SCALING_FORMAT=MLN","Sort=A","Dates=H","DateFormat=P","Fill=—","Direction=H","UseDPDF=Y")</f>
        <v>—</v>
      </c>
      <c r="R83" s="13" t="str">
        <f>_xll.BDH("ITCI US Equity","ARDR_OPTIONS_EXPIRED_DUR_PER","FQ3 2022","FQ3 2022","Currency=USD","Period=FQ","BEST_FPERIOD_OVERRIDE=FQ","FILING_STATUS=MR","SCALING_FORMAT=MLN","Sort=A","Dates=H","DateFormat=P","Fill=—","Direction=H","UseDPDF=Y")</f>
        <v>—</v>
      </c>
      <c r="S83" s="13">
        <f>_xll.BDH("ITCI US Equity","ARDR_OPTIONS_EXPIRED_DUR_PER","FQ4 2022","FQ4 2022","Currency=USD","Period=FQ","BEST_FPERIOD_OVERRIDE=FQ","FILING_STATUS=MR","SCALING_FORMAT=MLN","Sort=A","Dates=H","DateFormat=P","Fill=—","Direction=H","UseDPDF=Y")</f>
        <v>2.2000000000000001E-3</v>
      </c>
      <c r="T83" s="13" t="str">
        <f>_xll.BDH("ITCI US Equity","ARDR_OPTIONS_EXPIRED_DUR_PER","FQ1 2023","FQ1 2023","Currency=USD","Period=FQ","BEST_FPERIOD_OVERRIDE=FQ","FILING_STATUS=MR","SCALING_FORMAT=MLN","Sort=A","Dates=H","DateFormat=P","Fill=—","Direction=H","UseDPDF=Y")</f>
        <v>—</v>
      </c>
      <c r="U83" s="13" t="str">
        <f>_xll.BDH("ITCI US Equity","ARDR_OPTIONS_EXPIRED_DUR_PER","FQ2 2023","FQ2 2023","Currency=USD","Period=FQ","BEST_FPERIOD_OVERRIDE=FQ","FILING_STATUS=MR","SCALING_FORMAT=MLN","Sort=A","Dates=H","DateFormat=P","Fill=—","Direction=H","UseDPDF=Y")</f>
        <v>—</v>
      </c>
      <c r="V83" s="13" t="str">
        <f>_xll.BDH("ITCI US Equity","ARDR_OPTIONS_EXPIRED_DUR_PER","FQ3 2023","FQ3 2023","Currency=USD","Period=FQ","BEST_FPERIOD_OVERRIDE=FQ","FILING_STATUS=MR","SCALING_FORMAT=MLN","Sort=A","Dates=H","DateFormat=P","Fill=—","Direction=H","UseDPDF=Y")</f>
        <v>—</v>
      </c>
      <c r="W83" s="13">
        <f>_xll.BDH("ITCI US Equity","ARDR_OPTIONS_EXPIRED_DUR_PER","FQ4 2023","FQ4 2023","Currency=USD","Period=FQ","BEST_FPERIOD_OVERRIDE=FQ","FILING_STATUS=MR","SCALING_FORMAT=MLN","Sort=A","Dates=H","DateFormat=P","Fill=—","Direction=H","UseDPDF=Y")</f>
        <v>3.3999999999999998E-3</v>
      </c>
      <c r="X83" s="13" t="str">
        <f>_xll.BDH("ITCI US Equity","ARDR_OPTIONS_EXPIRED_DUR_PER","FQ1 2024","FQ1 2024","Currency=USD","Period=FQ","BEST_FPERIOD_OVERRIDE=FQ","FILING_STATUS=MR","SCALING_FORMAT=MLN","Sort=A","Dates=H","DateFormat=P","Fill=—","Direction=H","UseDPDF=Y")</f>
        <v>—</v>
      </c>
      <c r="Y83" s="13" t="str">
        <f>_xll.BDH("ITCI US Equity","ARDR_OPTIONS_EXPIRED_DUR_PER","FQ2 2024","FQ2 2024","Currency=USD","Period=FQ","BEST_FPERIOD_OVERRIDE=FQ","FILING_STATUS=MR","SCALING_FORMAT=MLN","Sort=A","Dates=H","DateFormat=P","Fill=—","Direction=H","UseDPDF=Y")</f>
        <v>—</v>
      </c>
      <c r="Z83" s="13" t="str">
        <f>_xll.BDH("ITCI US Equity","ARDR_OPTIONS_EXPIRED_DUR_PER","FQ3 2024","FQ3 2024","Currency=USD","Period=FQ","BEST_FPERIOD_OVERRIDE=FQ","FILING_STATUS=MR","SCALING_FORMAT=MLN","Sort=A","Dates=H","DateFormat=P","Fill=—","Direction=H","UseDPDF=Y")</f>
        <v>—</v>
      </c>
      <c r="AA83" s="13">
        <f>_xll.BDH("ITCI US Equity","ARDR_OPTIONS_EXPIRED_DUR_PER","FQ4 2024","FQ4 2024","Currency=USD","Period=FQ","BEST_FPERIOD_OVERRIDE=FQ","FILING_STATUS=MR","SCALING_FORMAT=MLN","Sort=A","Dates=H","DateFormat=P","Fill=—","Direction=H","UseDPDF=Y")</f>
        <v>0</v>
      </c>
    </row>
    <row r="84" spans="1:27" x14ac:dyDescent="0.25">
      <c r="A84" s="10" t="s">
        <v>814</v>
      </c>
      <c r="B84" s="10" t="s">
        <v>815</v>
      </c>
      <c r="C84" s="13" t="str">
        <f>_xll.BDH("ITCI US Equity","ARDR_CASH_EQUIVS","FQ4 2018","FQ4 2018","Currency=USD","Period=FQ","BEST_FPERIOD_OVERRIDE=FQ","FILING_STATUS=MR","SCALING_FORMAT=MLN","Sort=A","Dates=H","DateFormat=P","Fill=—","Direction=H","UseDPDF=Y")</f>
        <v>—</v>
      </c>
      <c r="D84" s="13" t="str">
        <f>_xll.BDH("ITCI US Equity","ARDR_CASH_EQUIVS","FQ1 2019","FQ1 2019","Currency=USD","Period=FQ","BEST_FPERIOD_OVERRIDE=FQ","FILING_STATUS=MR","SCALING_FORMAT=MLN","Sort=A","Dates=H","DateFormat=P","Fill=—","Direction=H","UseDPDF=Y")</f>
        <v>—</v>
      </c>
      <c r="E84" s="13" t="str">
        <f>_xll.BDH("ITCI US Equity","ARDR_CASH_EQUIVS","FQ2 2019","FQ2 2019","Currency=USD","Period=FQ","BEST_FPERIOD_OVERRIDE=FQ","FILING_STATUS=MR","SCALING_FORMAT=MLN","Sort=A","Dates=H","DateFormat=P","Fill=—","Direction=H","UseDPDF=Y")</f>
        <v>—</v>
      </c>
      <c r="F84" s="13" t="str">
        <f>_xll.BDH("ITCI US Equity","ARDR_CASH_EQUIVS","FQ3 2019","FQ3 2019","Currency=USD","Period=FQ","BEST_FPERIOD_OVERRIDE=FQ","FILING_STATUS=MR","SCALING_FORMAT=MLN","Sort=A","Dates=H","DateFormat=P","Fill=—","Direction=H","UseDPDF=Y")</f>
        <v>—</v>
      </c>
      <c r="G84" s="13" t="str">
        <f>_xll.BDH("ITCI US Equity","ARDR_CASH_EQUIVS","FQ4 2019","FQ4 2019","Currency=USD","Period=FQ","BEST_FPERIOD_OVERRIDE=FQ","FILING_STATUS=MR","SCALING_FORMAT=MLN","Sort=A","Dates=H","DateFormat=P","Fill=—","Direction=H","UseDPDF=Y")</f>
        <v>—</v>
      </c>
      <c r="H84" s="13" t="str">
        <f>_xll.BDH("ITCI US Equity","ARDR_CASH_EQUIVS","FQ1 2020","FQ1 2020","Currency=USD","Period=FQ","BEST_FPERIOD_OVERRIDE=FQ","FILING_STATUS=MR","SCALING_FORMAT=MLN","Sort=A","Dates=H","DateFormat=P","Fill=—","Direction=H","UseDPDF=Y")</f>
        <v>—</v>
      </c>
      <c r="I84" s="13" t="str">
        <f>_xll.BDH("ITCI US Equity","ARDR_CASH_EQUIVS","FQ2 2020","FQ2 2020","Currency=USD","Period=FQ","BEST_FPERIOD_OVERRIDE=FQ","FILING_STATUS=MR","SCALING_FORMAT=MLN","Sort=A","Dates=H","DateFormat=P","Fill=—","Direction=H","UseDPDF=Y")</f>
        <v>—</v>
      </c>
      <c r="J84" s="13" t="str">
        <f>_xll.BDH("ITCI US Equity","ARDR_CASH_EQUIVS","FQ3 2020","FQ3 2020","Currency=USD","Period=FQ","BEST_FPERIOD_OVERRIDE=FQ","FILING_STATUS=MR","SCALING_FORMAT=MLN","Sort=A","Dates=H","DateFormat=P","Fill=—","Direction=H","UseDPDF=Y")</f>
        <v>—</v>
      </c>
      <c r="K84" s="13" t="str">
        <f>_xll.BDH("ITCI US Equity","ARDR_CASH_EQUIVS","FQ4 2020","FQ4 2020","Currency=USD","Period=FQ","BEST_FPERIOD_OVERRIDE=FQ","FILING_STATUS=MR","SCALING_FORMAT=MLN","Sort=A","Dates=H","DateFormat=P","Fill=—","Direction=H","UseDPDF=Y")</f>
        <v>—</v>
      </c>
      <c r="L84" s="13" t="str">
        <f>_xll.BDH("ITCI US Equity","ARDR_CASH_EQUIVS","FQ1 2021","FQ1 2021","Currency=USD","Period=FQ","BEST_FPERIOD_OVERRIDE=FQ","FILING_STATUS=MR","SCALING_FORMAT=MLN","Sort=A","Dates=H","DateFormat=P","Fill=—","Direction=H","UseDPDF=Y")</f>
        <v>—</v>
      </c>
      <c r="M84" s="13" t="str">
        <f>_xll.BDH("ITCI US Equity","ARDR_CASH_EQUIVS","FQ2 2021","FQ2 2021","Currency=USD","Period=FQ","BEST_FPERIOD_OVERRIDE=FQ","FILING_STATUS=MR","SCALING_FORMAT=MLN","Sort=A","Dates=H","DateFormat=P","Fill=—","Direction=H","UseDPDF=Y")</f>
        <v>—</v>
      </c>
      <c r="N84" s="13">
        <f>_xll.BDH("ITCI US Equity","ARDR_CASH_EQUIVS","FQ3 2021","FQ3 2021","Currency=USD","Period=FQ","BEST_FPERIOD_OVERRIDE=FQ","FILING_STATUS=MR","SCALING_FORMAT=MLN","Sort=A","Dates=H","DateFormat=P","Fill=—","Direction=H","UseDPDF=Y")</f>
        <v>106.126</v>
      </c>
      <c r="O84" s="13" t="str">
        <f>_xll.BDH("ITCI US Equity","ARDR_CASH_EQUIVS","FQ4 2021","FQ4 2021","Currency=USD","Period=FQ","BEST_FPERIOD_OVERRIDE=FQ","FILING_STATUS=MR","SCALING_FORMAT=MLN","Sort=A","Dates=H","DateFormat=P","Fill=—","Direction=H","UseDPDF=Y")</f>
        <v>—</v>
      </c>
      <c r="P84" s="13">
        <f>_xll.BDH("ITCI US Equity","ARDR_CASH_EQUIVS","FQ1 2022","FQ1 2022","Currency=USD","Period=FQ","BEST_FPERIOD_OVERRIDE=FQ","FILING_STATUS=MR","SCALING_FORMAT=MLN","Sort=A","Dates=H","DateFormat=P","Fill=—","Direction=H","UseDPDF=Y")</f>
        <v>129.29499999999999</v>
      </c>
      <c r="Q84" s="13">
        <f>_xll.BDH("ITCI US Equity","ARDR_CASH_EQUIVS","FQ2 2022","FQ2 2022","Currency=USD","Period=FQ","BEST_FPERIOD_OVERRIDE=FQ","FILING_STATUS=MR","SCALING_FORMAT=MLN","Sort=A","Dates=H","DateFormat=P","Fill=—","Direction=H","UseDPDF=Y")</f>
        <v>7.7200000000000005E-2</v>
      </c>
      <c r="R84" s="13">
        <f>_xll.BDH("ITCI US Equity","ARDR_CASH_EQUIVS","FQ3 2022","FQ3 2022","Currency=USD","Period=FQ","BEST_FPERIOD_OVERRIDE=FQ","FILING_STATUS=MR","SCALING_FORMAT=MLN","Sort=A","Dates=H","DateFormat=P","Fill=—","Direction=H","UseDPDF=Y")</f>
        <v>77.234999999999999</v>
      </c>
      <c r="S84" s="13">
        <f>_xll.BDH("ITCI US Equity","ARDR_CASH_EQUIVS","FQ4 2022","FQ4 2022","Currency=USD","Period=FQ","BEST_FPERIOD_OVERRIDE=FQ","FILING_STATUS=MR","SCALING_FORMAT=MLN","Sort=A","Dates=H","DateFormat=P","Fill=—","Direction=H","UseDPDF=Y")</f>
        <v>148.61500000000001</v>
      </c>
      <c r="T84" s="13">
        <f>_xll.BDH("ITCI US Equity","ARDR_CASH_EQUIVS","FQ1 2023","FQ1 2023","Currency=USD","Period=FQ","BEST_FPERIOD_OVERRIDE=FQ","FILING_STATUS=MR","SCALING_FORMAT=MLN","Sort=A","Dates=H","DateFormat=P","Fill=—","Direction=H","UseDPDF=Y")</f>
        <v>75.727000000000004</v>
      </c>
      <c r="U84" s="13">
        <f>_xll.BDH("ITCI US Equity","ARDR_CASH_EQUIVS","FQ2 2023","FQ2 2023","Currency=USD","Period=FQ","BEST_FPERIOD_OVERRIDE=FQ","FILING_STATUS=MR","SCALING_FORMAT=MLN","Sort=A","Dates=H","DateFormat=P","Fill=—","Direction=H","UseDPDF=Y")</f>
        <v>142.25800000000001</v>
      </c>
      <c r="V84" s="13">
        <f>_xll.BDH("ITCI US Equity","ARDR_CASH_EQUIVS","FQ3 2023","FQ3 2023","Currency=USD","Period=FQ","BEST_FPERIOD_OVERRIDE=FQ","FILING_STATUS=MR","SCALING_FORMAT=MLN","Sort=A","Dates=H","DateFormat=P","Fill=—","Direction=H","UseDPDF=Y")</f>
        <v>99.402000000000001</v>
      </c>
      <c r="W84" s="13">
        <f>_xll.BDH("ITCI US Equity","ARDR_CASH_EQUIVS","FQ4 2023","FQ4 2023","Currency=USD","Period=FQ","BEST_FPERIOD_OVERRIDE=FQ","FILING_STATUS=MR","SCALING_FORMAT=MLN","Sort=A","Dates=H","DateFormat=P","Fill=—","Direction=H","UseDPDF=Y")</f>
        <v>147.767</v>
      </c>
      <c r="X84" s="13">
        <f>_xll.BDH("ITCI US Equity","ARDR_CASH_EQUIVS","FQ1 2024","FQ1 2024","Currency=USD","Period=FQ","BEST_FPERIOD_OVERRIDE=FQ","FILING_STATUS=MR","SCALING_FORMAT=MLN","Sort=A","Dates=H","DateFormat=P","Fill=—","Direction=H","UseDPDF=Y")</f>
        <v>139.81899999999999</v>
      </c>
      <c r="Y84" s="13">
        <f>_xll.BDH("ITCI US Equity","ARDR_CASH_EQUIVS","FQ2 2024","FQ2 2024","Currency=USD","Period=FQ","BEST_FPERIOD_OVERRIDE=FQ","FILING_STATUS=MR","SCALING_FORMAT=MLN","Sort=A","Dates=H","DateFormat=P","Fill=—","Direction=H","UseDPDF=Y")</f>
        <v>693.30600000000004</v>
      </c>
      <c r="Z84" s="13">
        <f>_xll.BDH("ITCI US Equity","ARDR_CASH_EQUIVS","FQ3 2024","FQ3 2024","Currency=USD","Period=FQ","BEST_FPERIOD_OVERRIDE=FQ","FILING_STATUS=MR","SCALING_FORMAT=MLN","Sort=A","Dates=H","DateFormat=P","Fill=—","Direction=H","UseDPDF=Y")</f>
        <v>464.31200000000001</v>
      </c>
      <c r="AA84" s="13">
        <f>_xll.BDH("ITCI US Equity","ARDR_CASH_EQUIVS","FQ4 2024","FQ4 2024","Currency=USD","Period=FQ","BEST_FPERIOD_OVERRIDE=FQ","FILING_STATUS=MR","SCALING_FORMAT=MLN","Sort=A","Dates=H","DateFormat=P","Fill=—","Direction=H","UseDPDF=Y")</f>
        <v>306.94799999999998</v>
      </c>
    </row>
    <row r="85" spans="1:27" x14ac:dyDescent="0.25">
      <c r="A85" s="10" t="s">
        <v>816</v>
      </c>
      <c r="B85" s="10" t="s">
        <v>817</v>
      </c>
      <c r="C85" s="13" t="str">
        <f>_xll.BDH("ITCI US Equity","ARDR_TOTAL_OPERATING_LIABILITIES","FQ4 2018","FQ4 2018","Currency=USD","Period=FQ","BEST_FPERIOD_OVERRIDE=FQ","FILING_STATUS=MR","Sort=A","Dates=H","DateFormat=P","Fill=—","Direction=H","UseDPDF=Y")</f>
        <v>—</v>
      </c>
      <c r="D85" s="13">
        <f>_xll.BDH("ITCI US Equity","ARDR_TOTAL_OPERATING_LIABILITIES","FQ1 2019","FQ1 2019","Currency=USD","Period=FQ","BEST_FPERIOD_OVERRIDE=FQ","FILING_STATUS=MR","Sort=A","Dates=H","DateFormat=P","Fill=—","Direction=H","UseDPDF=Y")</f>
        <v>23.732099999999999</v>
      </c>
      <c r="E85" s="13">
        <f>_xll.BDH("ITCI US Equity","ARDR_TOTAL_OPERATING_LIABILITIES","FQ2 2019","FQ2 2019","Currency=USD","Period=FQ","BEST_FPERIOD_OVERRIDE=FQ","FILING_STATUS=MR","Sort=A","Dates=H","DateFormat=P","Fill=—","Direction=H","UseDPDF=Y")</f>
        <v>22.8307</v>
      </c>
      <c r="F85" s="13">
        <f>_xll.BDH("ITCI US Equity","ARDR_TOTAL_OPERATING_LIABILITIES","FQ3 2019","FQ3 2019","Currency=USD","Period=FQ","BEST_FPERIOD_OVERRIDE=FQ","FILING_STATUS=MR","Sort=A","Dates=H","DateFormat=P","Fill=—","Direction=H","UseDPDF=Y")</f>
        <v>22.5565</v>
      </c>
      <c r="G85" s="13">
        <f>_xll.BDH("ITCI US Equity","ARDR_TOTAL_OPERATING_LIABILITIES","FQ4 2019","FQ4 2019","Currency=USD","Period=FQ","BEST_FPERIOD_OVERRIDE=FQ","FILING_STATUS=MR","Sort=A","Dates=H","DateFormat=P","Fill=—","Direction=H","UseDPDF=Y")</f>
        <v>23.142600000000002</v>
      </c>
      <c r="H85" s="13">
        <f>_xll.BDH("ITCI US Equity","ARDR_TOTAL_OPERATING_LIABILITIES","FQ1 2020","FQ1 2020","Currency=USD","Period=FQ","BEST_FPERIOD_OVERRIDE=FQ","FILING_STATUS=MR","Sort=A","Dates=H","DateFormat=P","Fill=—","Direction=H","UseDPDF=Y")</f>
        <v>22.929300000000001</v>
      </c>
      <c r="I85" s="13">
        <f>_xll.BDH("ITCI US Equity","ARDR_TOTAL_OPERATING_LIABILITIES","FQ2 2020","FQ2 2020","Currency=USD","Period=FQ","BEST_FPERIOD_OVERRIDE=FQ","FILING_STATUS=MR","Sort=A","Dates=H","DateFormat=P","Fill=—","Direction=H","UseDPDF=Y")</f>
        <v>25.132200000000001</v>
      </c>
      <c r="J85" s="13">
        <f>_xll.BDH("ITCI US Equity","ARDR_TOTAL_OPERATING_LIABILITIES","FQ3 2020","FQ3 2020","Currency=USD","Period=FQ","BEST_FPERIOD_OVERRIDE=FQ","FILING_STATUS=MR","Sort=A","Dates=H","DateFormat=P","Fill=—","Direction=H","UseDPDF=Y")</f>
        <v>29.136800000000001</v>
      </c>
      <c r="K85" s="13">
        <f>_xll.BDH("ITCI US Equity","ARDR_TOTAL_OPERATING_LIABILITIES","FQ4 2020","FQ4 2020","Currency=USD","Period=FQ","BEST_FPERIOD_OVERRIDE=FQ","FILING_STATUS=MR","Sort=A","Dates=H","DateFormat=P","Fill=—","Direction=H","UseDPDF=Y")</f>
        <v>29.142099999999999</v>
      </c>
      <c r="L85" s="13">
        <f>_xll.BDH("ITCI US Equity","ARDR_TOTAL_OPERATING_LIABILITIES","FQ1 2021","FQ1 2021","Currency=USD","Period=FQ","BEST_FPERIOD_OVERRIDE=FQ","FILING_STATUS=MR","Sort=A","Dates=H","DateFormat=P","Fill=—","Direction=H","UseDPDF=Y")</f>
        <v>28.2103</v>
      </c>
      <c r="M85" s="13">
        <f>_xll.BDH("ITCI US Equity","ARDR_TOTAL_OPERATING_LIABILITIES","FQ2 2021","FQ2 2021","Currency=USD","Period=FQ","BEST_FPERIOD_OVERRIDE=FQ","FILING_STATUS=MR","Sort=A","Dates=H","DateFormat=P","Fill=—","Direction=H","UseDPDF=Y")</f>
        <v>27.283899999999999</v>
      </c>
      <c r="N85" s="13">
        <f>_xll.BDH("ITCI US Equity","ARDR_TOTAL_OPERATING_LIABILITIES","FQ3 2021","FQ3 2021","Currency=USD","Period=FQ","BEST_FPERIOD_OVERRIDE=FQ","FILING_STATUS=MR","Sort=A","Dates=H","DateFormat=P","Fill=—","Direction=H","UseDPDF=Y")</f>
        <v>26.405999999999999</v>
      </c>
      <c r="O85" s="13">
        <f>_xll.BDH("ITCI US Equity","ARDR_TOTAL_OPERATING_LIABILITIES","FQ4 2021","FQ4 2021","Currency=USD","Period=FQ","BEST_FPERIOD_OVERRIDE=FQ","FILING_STATUS=MR","Sort=A","Dates=H","DateFormat=P","Fill=—","Direction=H","UseDPDF=Y")</f>
        <v>25.406700000000001</v>
      </c>
      <c r="P85" s="13" t="str">
        <f>_xll.BDH("ITCI US Equity","ARDR_TOTAL_OPERATING_LIABILITIES","FQ1 2022","FQ1 2022","Currency=USD","Period=FQ","BEST_FPERIOD_OVERRIDE=FQ","FILING_STATUS=MR","Sort=A","Dates=H","DateFormat=P","Fill=—","Direction=H","UseDPDF=Y")</f>
        <v>—</v>
      </c>
      <c r="Q85" s="13" t="str">
        <f>_xll.BDH("ITCI US Equity","ARDR_TOTAL_OPERATING_LIABILITIES","FQ2 2022","FQ2 2022","Currency=USD","Period=FQ","BEST_FPERIOD_OVERRIDE=FQ","FILING_STATUS=MR","Sort=A","Dates=H","DateFormat=P","Fill=—","Direction=H","UseDPDF=Y")</f>
        <v>—</v>
      </c>
      <c r="R85" s="13" t="str">
        <f>_xll.BDH("ITCI US Equity","ARDR_TOTAL_OPERATING_LIABILITIES","FQ3 2022","FQ3 2022","Currency=USD","Period=FQ","BEST_FPERIOD_OVERRIDE=FQ","FILING_STATUS=MR","Sort=A","Dates=H","DateFormat=P","Fill=—","Direction=H","UseDPDF=Y")</f>
        <v>—</v>
      </c>
      <c r="S85" s="13">
        <f>_xll.BDH("ITCI US Equity","ARDR_TOTAL_OPERATING_LIABILITIES","FQ4 2022","FQ4 2022","Currency=USD","Period=FQ","BEST_FPERIOD_OVERRIDE=FQ","FILING_STATUS=MR","Sort=A","Dates=H","DateFormat=P","Fill=—","Direction=H","UseDPDF=Y")</f>
        <v>20.041</v>
      </c>
      <c r="T85" s="13">
        <f>_xll.BDH("ITCI US Equity","ARDR_TOTAL_OPERATING_LIABILITIES","FQ1 2023","FQ1 2023","Currency=USD","Period=FQ","BEST_FPERIOD_OVERRIDE=FQ","FILING_STATUS=MR","Sort=A","Dates=H","DateFormat=P","Fill=—","Direction=H","UseDPDF=Y")</f>
        <v>18.492000000000001</v>
      </c>
      <c r="U85" s="13" t="str">
        <f>_xll.BDH("ITCI US Equity","ARDR_TOTAL_OPERATING_LIABILITIES","FQ2 2023","FQ2 2023","Currency=USD","Period=FQ","BEST_FPERIOD_OVERRIDE=FQ","FILING_STATUS=MR","Sort=A","Dates=H","DateFormat=P","Fill=—","Direction=H","UseDPDF=Y")</f>
        <v>—</v>
      </c>
      <c r="V85" s="13">
        <f>_xll.BDH("ITCI US Equity","ARDR_TOTAL_OPERATING_LIABILITIES","FQ3 2023","FQ3 2023","Currency=USD","Period=FQ","BEST_FPERIOD_OVERRIDE=FQ","FILING_STATUS=MR","Sort=A","Dates=H","DateFormat=P","Fill=—","Direction=H","UseDPDF=Y")</f>
        <v>17.475000000000001</v>
      </c>
      <c r="W85" s="13">
        <f>_xll.BDH("ITCI US Equity","ARDR_TOTAL_OPERATING_LIABILITIES","FQ4 2023","FQ4 2023","Currency=USD","Period=FQ","BEST_FPERIOD_OVERRIDE=FQ","FILING_STATUS=MR","Sort=A","Dates=H","DateFormat=P","Fill=—","Direction=H","UseDPDF=Y")</f>
        <v>16.937999999999999</v>
      </c>
      <c r="X85" s="13">
        <f>_xll.BDH("ITCI US Equity","ARDR_TOTAL_OPERATING_LIABILITIES","FQ1 2024","FQ1 2024","Currency=USD","Period=FQ","BEST_FPERIOD_OVERRIDE=FQ","FILING_STATUS=MR","Sort=A","Dates=H","DateFormat=P","Fill=—","Direction=H","UseDPDF=Y")</f>
        <v>151.17699999999999</v>
      </c>
      <c r="Y85" s="13">
        <f>_xll.BDH("ITCI US Equity","ARDR_TOTAL_OPERATING_LIABILITIES","FQ2 2024","FQ2 2024","Currency=USD","Period=FQ","BEST_FPERIOD_OVERRIDE=FQ","FILING_STATUS=MR","Sort=A","Dates=H","DateFormat=P","Fill=—","Direction=H","UseDPDF=Y")</f>
        <v>18.288</v>
      </c>
      <c r="Z85" s="13">
        <f>_xll.BDH("ITCI US Equity","ARDR_TOTAL_OPERATING_LIABILITIES","FQ3 2024","FQ3 2024","Currency=USD","Period=FQ","BEST_FPERIOD_OVERRIDE=FQ","FILING_STATUS=MR","Sort=A","Dates=H","DateFormat=P","Fill=—","Direction=H","UseDPDF=Y")</f>
        <v>17.709</v>
      </c>
      <c r="AA85" s="13">
        <f>_xll.BDH("ITCI US Equity","ARDR_TOTAL_OPERATING_LIABILITIES","FQ4 2024","FQ4 2024","Currency=USD","Period=FQ","BEST_FPERIOD_OVERRIDE=FQ","FILING_STATUS=MR","Sort=A","Dates=H","DateFormat=P","Fill=—","Direction=H","UseDPDF=Y")</f>
        <v>16.981000000000002</v>
      </c>
    </row>
    <row r="86" spans="1:27" x14ac:dyDescent="0.25">
      <c r="A86" s="10" t="s">
        <v>818</v>
      </c>
      <c r="B86" s="10" t="s">
        <v>819</v>
      </c>
      <c r="C86" s="13">
        <f>_xll.BDH("ITCI US Equity","ARDR_FV_ASSETS_REC_LEVEL_1","FQ4 2018","FQ4 2018","Currency=USD","Period=FQ","BEST_FPERIOD_OVERRIDE=FQ","FILING_STATUS=MR","SCALING_FORMAT=MLN","Sort=A","Dates=H","DateFormat=P","Fill=—","Direction=H","UseDPDF=Y")</f>
        <v>39.591000000000001</v>
      </c>
      <c r="D86" s="13">
        <f>_xll.BDH("ITCI US Equity","ARDR_FV_ASSETS_REC_LEVEL_1","FQ1 2019","FQ1 2019","Currency=USD","Period=FQ","BEST_FPERIOD_OVERRIDE=FQ","FILING_STATUS=MR","SCALING_FORMAT=MLN","Sort=A","Dates=H","DateFormat=P","Fill=—","Direction=H","UseDPDF=Y")</f>
        <v>39.311999999999998</v>
      </c>
      <c r="E86" s="13">
        <f>_xll.BDH("ITCI US Equity","ARDR_FV_ASSETS_REC_LEVEL_1","FQ2 2019","FQ2 2019","Currency=USD","Period=FQ","BEST_FPERIOD_OVERRIDE=FQ","FILING_STATUS=MR","SCALING_FORMAT=MLN","Sort=A","Dates=H","DateFormat=P","Fill=—","Direction=H","UseDPDF=Y")</f>
        <v>54.146000000000001</v>
      </c>
      <c r="F86" s="13">
        <f>_xll.BDH("ITCI US Equity","ARDR_FV_ASSETS_REC_LEVEL_1","FQ3 2019","FQ3 2019","Currency=USD","Period=FQ","BEST_FPERIOD_OVERRIDE=FQ","FILING_STATUS=MR","SCALING_FORMAT=MLN","Sort=A","Dates=H","DateFormat=P","Fill=—","Direction=H","UseDPDF=Y")</f>
        <v>55.354999999999997</v>
      </c>
      <c r="G86" s="13">
        <f>_xll.BDH("ITCI US Equity","ARDR_FV_ASSETS_REC_LEVEL_1","FQ4 2019","FQ4 2019","Currency=USD","Period=FQ","BEST_FPERIOD_OVERRIDE=FQ","FILING_STATUS=MR","SCALING_FORMAT=MLN","Sort=A","Dates=H","DateFormat=P","Fill=—","Direction=H","UseDPDF=Y")</f>
        <v>49.881999999999998</v>
      </c>
      <c r="H86" s="13">
        <f>_xll.BDH("ITCI US Equity","ARDR_FV_ASSETS_REC_LEVEL_1","FQ1 2020","FQ1 2020","Currency=USD","Period=FQ","BEST_FPERIOD_OVERRIDE=FQ","FILING_STATUS=MR","SCALING_FORMAT=MLN","Sort=A","Dates=H","DateFormat=P","Fill=—","Direction=H","UseDPDF=Y")</f>
        <v>86.366</v>
      </c>
      <c r="I86" s="13">
        <f>_xll.BDH("ITCI US Equity","ARDR_FV_ASSETS_REC_LEVEL_1","FQ2 2020","FQ2 2020","Currency=USD","Period=FQ","BEST_FPERIOD_OVERRIDE=FQ","FILING_STATUS=MR","SCALING_FORMAT=MLN","Sort=A","Dates=H","DateFormat=P","Fill=—","Direction=H","UseDPDF=Y")</f>
        <v>100.85599999999999</v>
      </c>
      <c r="J86" s="13">
        <f>_xll.BDH("ITCI US Equity","ARDR_FV_ASSETS_REC_LEVEL_1","FQ3 2020","FQ3 2020","Currency=USD","Period=FQ","BEST_FPERIOD_OVERRIDE=FQ","FILING_STATUS=MR","SCALING_FORMAT=MLN","Sort=A","Dates=H","DateFormat=P","Fill=—","Direction=H","UseDPDF=Y")</f>
        <v>224.239</v>
      </c>
      <c r="K86" s="13">
        <f>_xll.BDH("ITCI US Equity","ARDR_FV_ASSETS_REC_LEVEL_1","FQ4 2020","FQ4 2020","Currency=USD","Period=FQ","BEST_FPERIOD_OVERRIDE=FQ","FILING_STATUS=MR","SCALING_FORMAT=MLN","Sort=A","Dates=H","DateFormat=P","Fill=—","Direction=H","UseDPDF=Y")</f>
        <v>27.917000000000002</v>
      </c>
      <c r="L86" s="13">
        <f>_xll.BDH("ITCI US Equity","ARDR_FV_ASSETS_REC_LEVEL_1","FQ1 2021","FQ1 2021","Currency=USD","Period=FQ","BEST_FPERIOD_OVERRIDE=FQ","FILING_STATUS=MR","SCALING_FORMAT=MLN","Sort=A","Dates=H","DateFormat=P","Fill=—","Direction=H","UseDPDF=Y")</f>
        <v>83.602000000000004</v>
      </c>
      <c r="M86" s="13">
        <f>_xll.BDH("ITCI US Equity","ARDR_FV_ASSETS_REC_LEVEL_1","FQ2 2021","FQ2 2021","Currency=USD","Period=FQ","BEST_FPERIOD_OVERRIDE=FQ","FILING_STATUS=MR","SCALING_FORMAT=MLN","Sort=A","Dates=H","DateFormat=P","Fill=—","Direction=H","UseDPDF=Y")</f>
        <v>97.146000000000001</v>
      </c>
      <c r="N86" s="13">
        <f>_xll.BDH("ITCI US Equity","ARDR_FV_ASSETS_REC_LEVEL_1","FQ3 2021","FQ3 2021","Currency=USD","Period=FQ","BEST_FPERIOD_OVERRIDE=FQ","FILING_STATUS=MR","SCALING_FORMAT=MLN","Sort=A","Dates=H","DateFormat=P","Fill=—","Direction=H","UseDPDF=Y")</f>
        <v>88.25</v>
      </c>
      <c r="O86" s="13">
        <f>_xll.BDH("ITCI US Equity","ARDR_FV_ASSETS_REC_LEVEL_1","FQ4 2021","FQ4 2021","Currency=USD","Period=FQ","BEST_FPERIOD_OVERRIDE=FQ","FILING_STATUS=MR","SCALING_FORMAT=MLN","Sort=A","Dates=H","DateFormat=P","Fill=—","Direction=H","UseDPDF=Y")</f>
        <v>56.539000000000001</v>
      </c>
      <c r="P86" s="13">
        <f>_xll.BDH("ITCI US Equity","ARDR_FV_ASSETS_REC_LEVEL_1","FQ1 2022","FQ1 2022","Currency=USD","Period=FQ","BEST_FPERIOD_OVERRIDE=FQ","FILING_STATUS=MR","SCALING_FORMAT=MLN","Sort=A","Dates=H","DateFormat=P","Fill=—","Direction=H","UseDPDF=Y")</f>
        <v>65.866</v>
      </c>
      <c r="Q86" s="13">
        <f>_xll.BDH("ITCI US Equity","ARDR_FV_ASSETS_REC_LEVEL_1","FQ2 2022","FQ2 2022","Currency=USD","Period=FQ","BEST_FPERIOD_OVERRIDE=FQ","FILING_STATUS=MR","SCALING_FORMAT=MLN","Sort=A","Dates=H","DateFormat=P","Fill=—","Direction=H","UseDPDF=Y")</f>
        <v>55.774999999999999</v>
      </c>
      <c r="R86" s="13">
        <f>_xll.BDH("ITCI US Equity","ARDR_FV_ASSETS_REC_LEVEL_1","FQ3 2022","FQ3 2022","Currency=USD","Period=FQ","BEST_FPERIOD_OVERRIDE=FQ","FILING_STATUS=MR","SCALING_FORMAT=MLN","Sort=A","Dates=H","DateFormat=P","Fill=—","Direction=H","UseDPDF=Y")</f>
        <v>47.122</v>
      </c>
      <c r="S86" s="13">
        <f>_xll.BDH("ITCI US Equity","ARDR_FV_ASSETS_REC_LEVEL_1","FQ4 2022","FQ4 2022","Currency=USD","Period=FQ","BEST_FPERIOD_OVERRIDE=FQ","FILING_STATUS=MR","SCALING_FORMAT=MLN","Sort=A","Dates=H","DateFormat=P","Fill=—","Direction=H","UseDPDF=Y")</f>
        <v>12.202999999999999</v>
      </c>
      <c r="T86" s="13">
        <f>_xll.BDH("ITCI US Equity","ARDR_FV_ASSETS_REC_LEVEL_1","FQ1 2023","FQ1 2023","Currency=USD","Period=FQ","BEST_FPERIOD_OVERRIDE=FQ","FILING_STATUS=MR","SCALING_FORMAT=MLN","Sort=A","Dates=H","DateFormat=P","Fill=—","Direction=H","UseDPDF=Y")</f>
        <v>30.917000000000002</v>
      </c>
      <c r="U86" s="13">
        <f>_xll.BDH("ITCI US Equity","ARDR_FV_ASSETS_REC_LEVEL_1","FQ2 2023","FQ2 2023","Currency=USD","Period=FQ","BEST_FPERIOD_OVERRIDE=FQ","FILING_STATUS=MR","SCALING_FORMAT=MLN","Sort=A","Dates=H","DateFormat=P","Fill=—","Direction=H","UseDPDF=Y")</f>
        <v>12.202999999999999</v>
      </c>
      <c r="V86" s="13">
        <f>_xll.BDH("ITCI US Equity","ARDR_FV_ASSETS_REC_LEVEL_1","FQ3 2023","FQ3 2023","Currency=USD","Period=FQ","BEST_FPERIOD_OVERRIDE=FQ","FILING_STATUS=MR","SCALING_FORMAT=MLN","Sort=A","Dates=H","DateFormat=P","Fill=—","Direction=H","UseDPDF=Y")</f>
        <v>4.42</v>
      </c>
      <c r="W86" s="13">
        <f>_xll.BDH("ITCI US Equity","ARDR_FV_ASSETS_REC_LEVEL_1","FQ4 2023","FQ4 2023","Currency=USD","Period=FQ","BEST_FPERIOD_OVERRIDE=FQ","FILING_STATUS=MR","SCALING_FORMAT=MLN","Sort=A","Dates=H","DateFormat=P","Fill=—","Direction=H","UseDPDF=Y")</f>
        <v>10.698</v>
      </c>
      <c r="X86" s="13">
        <f>_xll.BDH("ITCI US Equity","ARDR_FV_ASSETS_REC_LEVEL_1","FQ1 2024","FQ1 2024","Currency=USD","Period=FQ","BEST_FPERIOD_OVERRIDE=FQ","FILING_STATUS=MR","SCALING_FORMAT=MLN","Sort=A","Dates=H","DateFormat=P","Fill=—","Direction=H","UseDPDF=Y")</f>
        <v>31.207999999999998</v>
      </c>
      <c r="Y86" s="13">
        <f>_xll.BDH("ITCI US Equity","ARDR_FV_ASSETS_REC_LEVEL_1","FQ2 2024","FQ2 2024","Currency=USD","Period=FQ","BEST_FPERIOD_OVERRIDE=FQ","FILING_STATUS=MR","SCALING_FORMAT=MLN","Sort=A","Dates=H","DateFormat=P","Fill=—","Direction=H","UseDPDF=Y")</f>
        <v>81.94</v>
      </c>
      <c r="Z86" s="13">
        <f>_xll.BDH("ITCI US Equity","ARDR_FV_ASSETS_REC_LEVEL_1","FQ3 2024","FQ3 2024","Currency=USD","Period=FQ","BEST_FPERIOD_OVERRIDE=FQ","FILING_STATUS=MR","SCALING_FORMAT=MLN","Sort=A","Dates=H","DateFormat=P","Fill=—","Direction=H","UseDPDF=Y")</f>
        <v>225.09899999999999</v>
      </c>
      <c r="AA86" s="13">
        <f>_xll.BDH("ITCI US Equity","ARDR_FV_ASSETS_REC_LEVEL_1","FQ4 2024","FQ4 2024","Currency=USD","Period=FQ","BEST_FPERIOD_OVERRIDE=FQ","FILING_STATUS=MR","SCALING_FORMAT=MLN","Sort=A","Dates=H","DateFormat=P","Fill=—","Direction=H","UseDPDF=Y")</f>
        <v>193.52199999999999</v>
      </c>
    </row>
    <row r="87" spans="1:27" x14ac:dyDescent="0.25">
      <c r="A87" s="10" t="s">
        <v>820</v>
      </c>
      <c r="B87" s="10" t="s">
        <v>821</v>
      </c>
      <c r="C87" s="13">
        <f>_xll.BDH("ITCI US Equity","ARDR_FV_ASSETS_REC_LEVEL_2","FQ4 2018","FQ4 2018","Currency=USD","Period=FQ","BEST_FPERIOD_OVERRIDE=FQ","FILING_STATUS=MR","SCALING_FORMAT=MLN","Sort=A","Dates=H","DateFormat=P","Fill=—","Direction=H","UseDPDF=Y")</f>
        <v>300.08300000000003</v>
      </c>
      <c r="D87" s="13">
        <f>_xll.BDH("ITCI US Equity","ARDR_FV_ASSETS_REC_LEVEL_2","FQ1 2019","FQ1 2019","Currency=USD","Period=FQ","BEST_FPERIOD_OVERRIDE=FQ","FILING_STATUS=MR","SCALING_FORMAT=MLN","Sort=A","Dates=H","DateFormat=P","Fill=—","Direction=H","UseDPDF=Y")</f>
        <v>272.73099999999999</v>
      </c>
      <c r="E87" s="13">
        <f>_xll.BDH("ITCI US Equity","ARDR_FV_ASSETS_REC_LEVEL_2","FQ2 2019","FQ2 2019","Currency=USD","Period=FQ","BEST_FPERIOD_OVERRIDE=FQ","FILING_STATUS=MR","SCALING_FORMAT=MLN","Sort=A","Dates=H","DateFormat=P","Fill=—","Direction=H","UseDPDF=Y")</f>
        <v>225.03700000000001</v>
      </c>
      <c r="F87" s="13">
        <f>_xll.BDH("ITCI US Equity","ARDR_FV_ASSETS_REC_LEVEL_2","FQ3 2019","FQ3 2019","Currency=USD","Period=FQ","BEST_FPERIOD_OVERRIDE=FQ","FILING_STATUS=MR","SCALING_FORMAT=MLN","Sort=A","Dates=H","DateFormat=P","Fill=—","Direction=H","UseDPDF=Y")</f>
        <v>192.27099999999999</v>
      </c>
      <c r="G87" s="13">
        <f>_xll.BDH("ITCI US Equity","ARDR_FV_ASSETS_REC_LEVEL_2","FQ4 2019","FQ4 2019","Currency=USD","Period=FQ","BEST_FPERIOD_OVERRIDE=FQ","FILING_STATUS=MR","SCALING_FORMAT=MLN","Sort=A","Dates=H","DateFormat=P","Fill=—","Direction=H","UseDPDF=Y")</f>
        <v>166.99199999999999</v>
      </c>
      <c r="H87" s="13">
        <f>_xll.BDH("ITCI US Equity","ARDR_FV_ASSETS_REC_LEVEL_2","FQ1 2020","FQ1 2020","Currency=USD","Period=FQ","BEST_FPERIOD_OVERRIDE=FQ","FILING_STATUS=MR","SCALING_FORMAT=MLN","Sort=A","Dates=H","DateFormat=P","Fill=—","Direction=H","UseDPDF=Y")</f>
        <v>359.60899999999998</v>
      </c>
      <c r="I87" s="13">
        <f>_xll.BDH("ITCI US Equity","ARDR_FV_ASSETS_REC_LEVEL_2","FQ2 2020","FQ2 2020","Currency=USD","Period=FQ","BEST_FPERIOD_OVERRIDE=FQ","FILING_STATUS=MR","SCALING_FORMAT=MLN","Sort=A","Dates=H","DateFormat=P","Fill=—","Direction=H","UseDPDF=Y")</f>
        <v>292.47300000000001</v>
      </c>
      <c r="J87" s="13">
        <f>_xll.BDH("ITCI US Equity","ARDR_FV_ASSETS_REC_LEVEL_2","FQ3 2020","FQ3 2020","Currency=USD","Period=FQ","BEST_FPERIOD_OVERRIDE=FQ","FILING_STATUS=MR","SCALING_FORMAT=MLN","Sort=A","Dates=H","DateFormat=P","Fill=—","Direction=H","UseDPDF=Y")</f>
        <v>420.959</v>
      </c>
      <c r="K87" s="13">
        <f>_xll.BDH("ITCI US Equity","ARDR_FV_ASSETS_REC_LEVEL_2","FQ4 2020","FQ4 2020","Currency=USD","Period=FQ","BEST_FPERIOD_OVERRIDE=FQ","FILING_STATUS=MR","SCALING_FORMAT=MLN","Sort=A","Dates=H","DateFormat=P","Fill=—","Direction=H","UseDPDF=Y")</f>
        <v>597.40200000000004</v>
      </c>
      <c r="L87" s="13">
        <f>_xll.BDH("ITCI US Equity","ARDR_FV_ASSETS_REC_LEVEL_2","FQ1 2021","FQ1 2021","Currency=USD","Period=FQ","BEST_FPERIOD_OVERRIDE=FQ","FILING_STATUS=MR","SCALING_FORMAT=MLN","Sort=A","Dates=H","DateFormat=P","Fill=—","Direction=H","UseDPDF=Y")</f>
        <v>481.98500000000001</v>
      </c>
      <c r="M87" s="13">
        <f>_xll.BDH("ITCI US Equity","ARDR_FV_ASSETS_REC_LEVEL_2","FQ2 2021","FQ2 2021","Currency=USD","Period=FQ","BEST_FPERIOD_OVERRIDE=FQ","FILING_STATUS=MR","SCALING_FORMAT=MLN","Sort=A","Dates=H","DateFormat=P","Fill=—","Direction=H","UseDPDF=Y")</f>
        <v>433.72699999999998</v>
      </c>
      <c r="N87" s="13">
        <f>_xll.BDH("ITCI US Equity","ARDR_FV_ASSETS_REC_LEVEL_2","FQ3 2021","FQ3 2021","Currency=USD","Period=FQ","BEST_FPERIOD_OVERRIDE=FQ","FILING_STATUS=MR","SCALING_FORMAT=MLN","Sort=A","Dates=H","DateFormat=P","Fill=—","Direction=H","UseDPDF=Y")</f>
        <v>378.15699999999998</v>
      </c>
      <c r="O87" s="13">
        <f>_xll.BDH("ITCI US Equity","ARDR_FV_ASSETS_REC_LEVEL_2","FQ4 2021","FQ4 2021","Currency=USD","Period=FQ","BEST_FPERIOD_OVERRIDE=FQ","FILING_STATUS=MR","SCALING_FORMAT=MLN","Sort=A","Dates=H","DateFormat=P","Fill=—","Direction=H","UseDPDF=Y")</f>
        <v>319.96800000000002</v>
      </c>
      <c r="P87" s="13">
        <f>_xll.BDH("ITCI US Equity","ARDR_FV_ASSETS_REC_LEVEL_2","FQ1 2022","FQ1 2022","Currency=USD","Period=FQ","BEST_FPERIOD_OVERRIDE=FQ","FILING_STATUS=MR","SCALING_FORMAT=MLN","Sort=A","Dates=H","DateFormat=P","Fill=—","Direction=H","UseDPDF=Y")</f>
        <v>697.54399999999998</v>
      </c>
      <c r="Q87" s="13">
        <f>_xll.BDH("ITCI US Equity","ARDR_FV_ASSETS_REC_LEVEL_2","FQ2 2022","FQ2 2022","Currency=USD","Period=FQ","BEST_FPERIOD_OVERRIDE=FQ","FILING_STATUS=MR","SCALING_FORMAT=MLN","Sort=A","Dates=H","DateFormat=P","Fill=—","Direction=H","UseDPDF=Y")</f>
        <v>601.59299999999996</v>
      </c>
      <c r="R87" s="13">
        <f>_xll.BDH("ITCI US Equity","ARDR_FV_ASSETS_REC_LEVEL_2","FQ3 2022","FQ3 2022","Currency=USD","Period=FQ","BEST_FPERIOD_OVERRIDE=FQ","FILING_STATUS=MR","SCALING_FORMAT=MLN","Sort=A","Dates=H","DateFormat=P","Fill=—","Direction=H","UseDPDF=Y")</f>
        <v>529.35500000000002</v>
      </c>
      <c r="S87" s="13">
        <f>_xll.BDH("ITCI US Equity","ARDR_FV_ASSETS_REC_LEVEL_2","FQ4 2022","FQ4 2022","Currency=USD","Period=FQ","BEST_FPERIOD_OVERRIDE=FQ","FILING_STATUS=MR","SCALING_FORMAT=MLN","Sort=A","Dates=H","DateFormat=P","Fill=—","Direction=H","UseDPDF=Y")</f>
        <v>486.22899999999998</v>
      </c>
      <c r="T87" s="13">
        <f>_xll.BDH("ITCI US Equity","ARDR_FV_ASSETS_REC_LEVEL_2","FQ1 2023","FQ1 2023","Currency=USD","Period=FQ","BEST_FPERIOD_OVERRIDE=FQ","FILING_STATUS=MR","SCALING_FORMAT=MLN","Sort=A","Dates=H","DateFormat=P","Fill=—","Direction=H","UseDPDF=Y")</f>
        <v>462.98099999999999</v>
      </c>
      <c r="U87" s="13">
        <f>_xll.BDH("ITCI US Equity","ARDR_FV_ASSETS_REC_LEVEL_2","FQ2 2023","FQ2 2023","Currency=USD","Period=FQ","BEST_FPERIOD_OVERRIDE=FQ","FILING_STATUS=MR","SCALING_FORMAT=MLN","Sort=A","Dates=H","DateFormat=P","Fill=—","Direction=H","UseDPDF=Y")</f>
        <v>482.14299999999997</v>
      </c>
      <c r="V87" s="13">
        <f>_xll.BDH("ITCI US Equity","ARDR_FV_ASSETS_REC_LEVEL_2","FQ3 2023","FQ3 2023","Currency=USD","Period=FQ","BEST_FPERIOD_OVERRIDE=FQ","FILING_STATUS=MR","SCALING_FORMAT=MLN","Sort=A","Dates=H","DateFormat=P","Fill=—","Direction=H","UseDPDF=Y")</f>
        <v>413.61900000000003</v>
      </c>
      <c r="W87" s="13">
        <f>_xll.BDH("ITCI US Equity","ARDR_FV_ASSETS_REC_LEVEL_2","FQ4 2023","FQ4 2023","Currency=USD","Period=FQ","BEST_FPERIOD_OVERRIDE=FQ","FILING_STATUS=MR","SCALING_FORMAT=MLN","Sort=A","Dates=H","DateFormat=P","Fill=—","Direction=H","UseDPDF=Y")</f>
        <v>412.67399999999998</v>
      </c>
      <c r="X87" s="13">
        <f>_xll.BDH("ITCI US Equity","ARDR_FV_ASSETS_REC_LEVEL_2","FQ1 2024","FQ1 2024","Currency=USD","Period=FQ","BEST_FPERIOD_OVERRIDE=FQ","FILING_STATUS=MR","SCALING_FORMAT=MLN","Sort=A","Dates=H","DateFormat=P","Fill=—","Direction=H","UseDPDF=Y")</f>
        <v>395.80399999999997</v>
      </c>
      <c r="Y87" s="13">
        <f>_xll.BDH("ITCI US Equity","ARDR_FV_ASSETS_REC_LEVEL_2","FQ2 2024","FQ2 2024","Currency=USD","Period=FQ","BEST_FPERIOD_OVERRIDE=FQ","FILING_STATUS=MR","SCALING_FORMAT=MLN","Sort=A","Dates=H","DateFormat=P","Fill=—","Direction=H","UseDPDF=Y")</f>
        <v>349.601</v>
      </c>
      <c r="Z87" s="13">
        <f>_xll.BDH("ITCI US Equity","ARDR_FV_ASSETS_REC_LEVEL_2","FQ3 2024","FQ3 2024","Currency=USD","Period=FQ","BEST_FPERIOD_OVERRIDE=FQ","FILING_STATUS=MR","SCALING_FORMAT=MLN","Sort=A","Dates=H","DateFormat=P","Fill=—","Direction=H","UseDPDF=Y")</f>
        <v>565.54600000000005</v>
      </c>
      <c r="AA87" s="13">
        <f>_xll.BDH("ITCI US Equity","ARDR_FV_ASSETS_REC_LEVEL_2","FQ4 2024","FQ4 2024","Currency=USD","Period=FQ","BEST_FPERIOD_OVERRIDE=FQ","FILING_STATUS=MR","SCALING_FORMAT=MLN","Sort=A","Dates=H","DateFormat=P","Fill=—","Direction=H","UseDPDF=Y")</f>
        <v>694.11800000000005</v>
      </c>
    </row>
    <row r="88" spans="1:27" x14ac:dyDescent="0.25">
      <c r="A88" s="10" t="s">
        <v>822</v>
      </c>
      <c r="B88" s="10" t="s">
        <v>823</v>
      </c>
      <c r="C88" s="13">
        <f>_xll.BDH("ITCI US Equity","ARDR_FV_ASSETS_REC_LEVEL_3","FQ4 2018","FQ4 2018","Currency=USD","Period=FQ","BEST_FPERIOD_OVERRIDE=FQ","FILING_STATUS=MR","SCALING_FORMAT=MLN","Sort=A","Dates=H","DateFormat=P","Fill=—","Direction=H","UseDPDF=Y")</f>
        <v>0</v>
      </c>
      <c r="D88" s="13">
        <f>_xll.BDH("ITCI US Equity","ARDR_FV_ASSETS_REC_LEVEL_3","FQ1 2019","FQ1 2019","Currency=USD","Period=FQ","BEST_FPERIOD_OVERRIDE=FQ","FILING_STATUS=MR","SCALING_FORMAT=MLN","Sort=A","Dates=H","DateFormat=P","Fill=—","Direction=H","UseDPDF=Y")</f>
        <v>0</v>
      </c>
      <c r="E88" s="13">
        <f>_xll.BDH("ITCI US Equity","ARDR_FV_ASSETS_REC_LEVEL_3","FQ2 2019","FQ2 2019","Currency=USD","Period=FQ","BEST_FPERIOD_OVERRIDE=FQ","FILING_STATUS=MR","SCALING_FORMAT=MLN","Sort=A","Dates=H","DateFormat=P","Fill=—","Direction=H","UseDPDF=Y")</f>
        <v>0</v>
      </c>
      <c r="F88" s="13">
        <f>_xll.BDH("ITCI US Equity","ARDR_FV_ASSETS_REC_LEVEL_3","FQ3 2019","FQ3 2019","Currency=USD","Period=FQ","BEST_FPERIOD_OVERRIDE=FQ","FILING_STATUS=MR","SCALING_FORMAT=MLN","Sort=A","Dates=H","DateFormat=P","Fill=—","Direction=H","UseDPDF=Y")</f>
        <v>0</v>
      </c>
      <c r="G88" s="13">
        <f>_xll.BDH("ITCI US Equity","ARDR_FV_ASSETS_REC_LEVEL_3","FQ4 2019","FQ4 2019","Currency=USD","Period=FQ","BEST_FPERIOD_OVERRIDE=FQ","FILING_STATUS=MR","SCALING_FORMAT=MLN","Sort=A","Dates=H","DateFormat=P","Fill=—","Direction=H","UseDPDF=Y")</f>
        <v>0</v>
      </c>
      <c r="H88" s="13">
        <f>_xll.BDH("ITCI US Equity","ARDR_FV_ASSETS_REC_LEVEL_3","FQ1 2020","FQ1 2020","Currency=USD","Period=FQ","BEST_FPERIOD_OVERRIDE=FQ","FILING_STATUS=MR","SCALING_FORMAT=MLN","Sort=A","Dates=H","DateFormat=P","Fill=—","Direction=H","UseDPDF=Y")</f>
        <v>0</v>
      </c>
      <c r="I88" s="13">
        <f>_xll.BDH("ITCI US Equity","ARDR_FV_ASSETS_REC_LEVEL_3","FQ2 2020","FQ2 2020","Currency=USD","Period=FQ","BEST_FPERIOD_OVERRIDE=FQ","FILING_STATUS=MR","SCALING_FORMAT=MLN","Sort=A","Dates=H","DateFormat=P","Fill=—","Direction=H","UseDPDF=Y")</f>
        <v>0</v>
      </c>
      <c r="J88" s="13" t="str">
        <f>_xll.BDH("ITCI US Equity","ARDR_FV_ASSETS_REC_LEVEL_3","FQ3 2020","FQ3 2020","Currency=USD","Period=FQ","BEST_FPERIOD_OVERRIDE=FQ","FILING_STATUS=MR","SCALING_FORMAT=MLN","Sort=A","Dates=H","DateFormat=P","Fill=—","Direction=H","UseDPDF=Y")</f>
        <v>—</v>
      </c>
      <c r="K88" s="13">
        <f>_xll.BDH("ITCI US Equity","ARDR_FV_ASSETS_REC_LEVEL_3","FQ4 2020","FQ4 2020","Currency=USD","Period=FQ","BEST_FPERIOD_OVERRIDE=FQ","FILING_STATUS=MR","SCALING_FORMAT=MLN","Sort=A","Dates=H","DateFormat=P","Fill=—","Direction=H","UseDPDF=Y")</f>
        <v>0</v>
      </c>
      <c r="L88" s="13">
        <f>_xll.BDH("ITCI US Equity","ARDR_FV_ASSETS_REC_LEVEL_3","FQ1 2021","FQ1 2021","Currency=USD","Period=FQ","BEST_FPERIOD_OVERRIDE=FQ","FILING_STATUS=MR","SCALING_FORMAT=MLN","Sort=A","Dates=H","DateFormat=P","Fill=—","Direction=H","UseDPDF=Y")</f>
        <v>0</v>
      </c>
      <c r="M88" s="13">
        <f>_xll.BDH("ITCI US Equity","ARDR_FV_ASSETS_REC_LEVEL_3","FQ2 2021","FQ2 2021","Currency=USD","Period=FQ","BEST_FPERIOD_OVERRIDE=FQ","FILING_STATUS=MR","SCALING_FORMAT=MLN","Sort=A","Dates=H","DateFormat=P","Fill=—","Direction=H","UseDPDF=Y")</f>
        <v>0</v>
      </c>
      <c r="N88" s="13">
        <f>_xll.BDH("ITCI US Equity","ARDR_FV_ASSETS_REC_LEVEL_3","FQ3 2021","FQ3 2021","Currency=USD","Period=FQ","BEST_FPERIOD_OVERRIDE=FQ","FILING_STATUS=MR","SCALING_FORMAT=MLN","Sort=A","Dates=H","DateFormat=P","Fill=—","Direction=H","UseDPDF=Y")</f>
        <v>0</v>
      </c>
      <c r="O88" s="13">
        <f>_xll.BDH("ITCI US Equity","ARDR_FV_ASSETS_REC_LEVEL_3","FQ4 2021","FQ4 2021","Currency=USD","Period=FQ","BEST_FPERIOD_OVERRIDE=FQ","FILING_STATUS=MR","SCALING_FORMAT=MLN","Sort=A","Dates=H","DateFormat=P","Fill=—","Direction=H","UseDPDF=Y")</f>
        <v>0</v>
      </c>
      <c r="P88" s="13">
        <f>_xll.BDH("ITCI US Equity","ARDR_FV_ASSETS_REC_LEVEL_3","FQ1 2022","FQ1 2022","Currency=USD","Period=FQ","BEST_FPERIOD_OVERRIDE=FQ","FILING_STATUS=MR","SCALING_FORMAT=MLN","Sort=A","Dates=H","DateFormat=P","Fill=—","Direction=H","UseDPDF=Y")</f>
        <v>0</v>
      </c>
      <c r="Q88" s="13">
        <f>_xll.BDH("ITCI US Equity","ARDR_FV_ASSETS_REC_LEVEL_3","FQ2 2022","FQ2 2022","Currency=USD","Period=FQ","BEST_FPERIOD_OVERRIDE=FQ","FILING_STATUS=MR","SCALING_FORMAT=MLN","Sort=A","Dates=H","DateFormat=P","Fill=—","Direction=H","UseDPDF=Y")</f>
        <v>0</v>
      </c>
      <c r="R88" s="13">
        <f>_xll.BDH("ITCI US Equity","ARDR_FV_ASSETS_REC_LEVEL_3","FQ3 2022","FQ3 2022","Currency=USD","Period=FQ","BEST_FPERIOD_OVERRIDE=FQ","FILING_STATUS=MR","SCALING_FORMAT=MLN","Sort=A","Dates=H","DateFormat=P","Fill=—","Direction=H","UseDPDF=Y")</f>
        <v>0</v>
      </c>
      <c r="S88" s="13">
        <f>_xll.BDH("ITCI US Equity","ARDR_FV_ASSETS_REC_LEVEL_3","FQ4 2022","FQ4 2022","Currency=USD","Period=FQ","BEST_FPERIOD_OVERRIDE=FQ","FILING_STATUS=MR","SCALING_FORMAT=MLN","Sort=A","Dates=H","DateFormat=P","Fill=—","Direction=H","UseDPDF=Y")</f>
        <v>0</v>
      </c>
      <c r="T88" s="13">
        <f>_xll.BDH("ITCI US Equity","ARDR_FV_ASSETS_REC_LEVEL_3","FQ1 2023","FQ1 2023","Currency=USD","Period=FQ","BEST_FPERIOD_OVERRIDE=FQ","FILING_STATUS=MR","SCALING_FORMAT=MLN","Sort=A","Dates=H","DateFormat=P","Fill=—","Direction=H","UseDPDF=Y")</f>
        <v>0</v>
      </c>
      <c r="U88" s="13">
        <f>_xll.BDH("ITCI US Equity","ARDR_FV_ASSETS_REC_LEVEL_3","FQ2 2023","FQ2 2023","Currency=USD","Period=FQ","BEST_FPERIOD_OVERRIDE=FQ","FILING_STATUS=MR","SCALING_FORMAT=MLN","Sort=A","Dates=H","DateFormat=P","Fill=—","Direction=H","UseDPDF=Y")</f>
        <v>0</v>
      </c>
      <c r="V88" s="13">
        <f>_xll.BDH("ITCI US Equity","ARDR_FV_ASSETS_REC_LEVEL_3","FQ3 2023","FQ3 2023","Currency=USD","Period=FQ","BEST_FPERIOD_OVERRIDE=FQ","FILING_STATUS=MR","SCALING_FORMAT=MLN","Sort=A","Dates=H","DateFormat=P","Fill=—","Direction=H","UseDPDF=Y")</f>
        <v>0</v>
      </c>
      <c r="W88" s="13">
        <f>_xll.BDH("ITCI US Equity","ARDR_FV_ASSETS_REC_LEVEL_3","FQ4 2023","FQ4 2023","Currency=USD","Period=FQ","BEST_FPERIOD_OVERRIDE=FQ","FILING_STATUS=MR","SCALING_FORMAT=MLN","Sort=A","Dates=H","DateFormat=P","Fill=—","Direction=H","UseDPDF=Y")</f>
        <v>0</v>
      </c>
      <c r="X88" s="13">
        <f>_xll.BDH("ITCI US Equity","ARDR_FV_ASSETS_REC_LEVEL_3","FQ1 2024","FQ1 2024","Currency=USD","Period=FQ","BEST_FPERIOD_OVERRIDE=FQ","FILING_STATUS=MR","SCALING_FORMAT=MLN","Sort=A","Dates=H","DateFormat=P","Fill=—","Direction=H","UseDPDF=Y")</f>
        <v>0</v>
      </c>
      <c r="Y88" s="13">
        <f>_xll.BDH("ITCI US Equity","ARDR_FV_ASSETS_REC_LEVEL_3","FQ2 2024","FQ2 2024","Currency=USD","Period=FQ","BEST_FPERIOD_OVERRIDE=FQ","FILING_STATUS=MR","SCALING_FORMAT=MLN","Sort=A","Dates=H","DateFormat=P","Fill=—","Direction=H","UseDPDF=Y")</f>
        <v>0</v>
      </c>
      <c r="Z88" s="13">
        <f>_xll.BDH("ITCI US Equity","ARDR_FV_ASSETS_REC_LEVEL_3","FQ3 2024","FQ3 2024","Currency=USD","Period=FQ","BEST_FPERIOD_OVERRIDE=FQ","FILING_STATUS=MR","SCALING_FORMAT=MLN","Sort=A","Dates=H","DateFormat=P","Fill=—","Direction=H","UseDPDF=Y")</f>
        <v>0</v>
      </c>
      <c r="AA88" s="13">
        <f>_xll.BDH("ITCI US Equity","ARDR_FV_ASSETS_REC_LEVEL_3","FQ4 2024","FQ4 2024","Currency=USD","Period=FQ","BEST_FPERIOD_OVERRIDE=FQ","FILING_STATUS=MR","SCALING_FORMAT=MLN","Sort=A","Dates=H","DateFormat=P","Fill=—","Direction=H","UseDPDF=Y")</f>
        <v>0</v>
      </c>
    </row>
    <row r="89" spans="1:27" x14ac:dyDescent="0.25">
      <c r="A89" s="10" t="s">
        <v>824</v>
      </c>
      <c r="B89" s="10" t="s">
        <v>825</v>
      </c>
      <c r="C89" s="13">
        <f>_xll.BDH("ITCI US Equity","ARDR_FV_ASSETS_REC_TOTAL","FQ4 2018","FQ4 2018","Currency=USD","Period=FQ","BEST_FPERIOD_OVERRIDE=FQ","FILING_STATUS=MR","SCALING_FORMAT=MLN","Sort=A","Dates=H","DateFormat=P","Fill=—","Direction=H","UseDPDF=Y")</f>
        <v>339.67399999999998</v>
      </c>
      <c r="D89" s="13">
        <f>_xll.BDH("ITCI US Equity","ARDR_FV_ASSETS_REC_TOTAL","FQ1 2019","FQ1 2019","Currency=USD","Period=FQ","BEST_FPERIOD_OVERRIDE=FQ","FILING_STATUS=MR","SCALING_FORMAT=MLN","Sort=A","Dates=H","DateFormat=P","Fill=—","Direction=H","UseDPDF=Y")</f>
        <v>312.04300000000001</v>
      </c>
      <c r="E89" s="13">
        <f>_xll.BDH("ITCI US Equity","ARDR_FV_ASSETS_REC_TOTAL","FQ2 2019","FQ2 2019","Currency=USD","Period=FQ","BEST_FPERIOD_OVERRIDE=FQ","FILING_STATUS=MR","SCALING_FORMAT=MLN","Sort=A","Dates=H","DateFormat=P","Fill=—","Direction=H","UseDPDF=Y")</f>
        <v>279.18299999999999</v>
      </c>
      <c r="F89" s="13">
        <f>_xll.BDH("ITCI US Equity","ARDR_FV_ASSETS_REC_TOTAL","FQ3 2019","FQ3 2019","Currency=USD","Period=FQ","BEST_FPERIOD_OVERRIDE=FQ","FILING_STATUS=MR","SCALING_FORMAT=MLN","Sort=A","Dates=H","DateFormat=P","Fill=—","Direction=H","UseDPDF=Y")</f>
        <v>247.626</v>
      </c>
      <c r="G89" s="13">
        <f>_xll.BDH("ITCI US Equity","ARDR_FV_ASSETS_REC_TOTAL","FQ4 2019","FQ4 2019","Currency=USD","Period=FQ","BEST_FPERIOD_OVERRIDE=FQ","FILING_STATUS=MR","SCALING_FORMAT=MLN","Sort=A","Dates=H","DateFormat=P","Fill=—","Direction=H","UseDPDF=Y")</f>
        <v>216.874</v>
      </c>
      <c r="H89" s="13">
        <f>_xll.BDH("ITCI US Equity","ARDR_FV_ASSETS_REC_TOTAL","FQ1 2020","FQ1 2020","Currency=USD","Period=FQ","BEST_FPERIOD_OVERRIDE=FQ","FILING_STATUS=MR","SCALING_FORMAT=MLN","Sort=A","Dates=H","DateFormat=P","Fill=—","Direction=H","UseDPDF=Y")</f>
        <v>445.97500000000002</v>
      </c>
      <c r="I89" s="13">
        <f>_xll.BDH("ITCI US Equity","ARDR_FV_ASSETS_REC_TOTAL","FQ2 2020","FQ2 2020","Currency=USD","Period=FQ","BEST_FPERIOD_OVERRIDE=FQ","FILING_STATUS=MR","SCALING_FORMAT=MLN","Sort=A","Dates=H","DateFormat=P","Fill=—","Direction=H","UseDPDF=Y")</f>
        <v>393.32900000000001</v>
      </c>
      <c r="J89" s="13">
        <f>_xll.BDH("ITCI US Equity","ARDR_FV_ASSETS_REC_TOTAL","FQ3 2020","FQ3 2020","Currency=USD","Period=FQ","BEST_FPERIOD_OVERRIDE=FQ","FILING_STATUS=MR","SCALING_FORMAT=MLN","Sort=A","Dates=H","DateFormat=P","Fill=—","Direction=H","UseDPDF=Y")</f>
        <v>645.19799999999998</v>
      </c>
      <c r="K89" s="13">
        <f>_xll.BDH("ITCI US Equity","ARDR_FV_ASSETS_REC_TOTAL","FQ4 2020","FQ4 2020","Currency=USD","Period=FQ","BEST_FPERIOD_OVERRIDE=FQ","FILING_STATUS=MR","SCALING_FORMAT=MLN","Sort=A","Dates=H","DateFormat=P","Fill=—","Direction=H","UseDPDF=Y")</f>
        <v>625.31899999999996</v>
      </c>
      <c r="L89" s="13">
        <f>_xll.BDH("ITCI US Equity","ARDR_FV_ASSETS_REC_TOTAL","FQ1 2021","FQ1 2021","Currency=USD","Period=FQ","BEST_FPERIOD_OVERRIDE=FQ","FILING_STATUS=MR","SCALING_FORMAT=MLN","Sort=A","Dates=H","DateFormat=P","Fill=—","Direction=H","UseDPDF=Y")</f>
        <v>565.58699999999999</v>
      </c>
      <c r="M89" s="13">
        <f>_xll.BDH("ITCI US Equity","ARDR_FV_ASSETS_REC_TOTAL","FQ2 2021","FQ2 2021","Currency=USD","Period=FQ","BEST_FPERIOD_OVERRIDE=FQ","FILING_STATUS=MR","SCALING_FORMAT=MLN","Sort=A","Dates=H","DateFormat=P","Fill=—","Direction=H","UseDPDF=Y")</f>
        <v>530.87300000000005</v>
      </c>
      <c r="N89" s="13">
        <f>_xll.BDH("ITCI US Equity","ARDR_FV_ASSETS_REC_TOTAL","FQ3 2021","FQ3 2021","Currency=USD","Period=FQ","BEST_FPERIOD_OVERRIDE=FQ","FILING_STATUS=MR","SCALING_FORMAT=MLN","Sort=A","Dates=H","DateFormat=P","Fill=—","Direction=H","UseDPDF=Y")</f>
        <v>466.40699999999998</v>
      </c>
      <c r="O89" s="13">
        <f>_xll.BDH("ITCI US Equity","ARDR_FV_ASSETS_REC_TOTAL","FQ4 2021","FQ4 2021","Currency=USD","Period=FQ","BEST_FPERIOD_OVERRIDE=FQ","FILING_STATUS=MR","SCALING_FORMAT=MLN","Sort=A","Dates=H","DateFormat=P","Fill=—","Direction=H","UseDPDF=Y")</f>
        <v>376.50700000000001</v>
      </c>
      <c r="P89" s="13">
        <f>_xll.BDH("ITCI US Equity","ARDR_FV_ASSETS_REC_TOTAL","FQ1 2022","FQ1 2022","Currency=USD","Period=FQ","BEST_FPERIOD_OVERRIDE=FQ","FILING_STATUS=MR","SCALING_FORMAT=MLN","Sort=A","Dates=H","DateFormat=P","Fill=—","Direction=H","UseDPDF=Y")</f>
        <v>376.50700000000001</v>
      </c>
      <c r="Q89" s="13">
        <f>_xll.BDH("ITCI US Equity","ARDR_FV_ASSETS_REC_TOTAL","FQ2 2022","FQ2 2022","Currency=USD","Period=FQ","BEST_FPERIOD_OVERRIDE=FQ","FILING_STATUS=MR","SCALING_FORMAT=MLN","Sort=A","Dates=H","DateFormat=P","Fill=—","Direction=H","UseDPDF=Y")</f>
        <v>657.36800000000005</v>
      </c>
      <c r="R89" s="13">
        <f>_xll.BDH("ITCI US Equity","ARDR_FV_ASSETS_REC_TOTAL","FQ3 2022","FQ3 2022","Currency=USD","Period=FQ","BEST_FPERIOD_OVERRIDE=FQ","FILING_STATUS=MR","SCALING_FORMAT=MLN","Sort=A","Dates=H","DateFormat=P","Fill=—","Direction=H","UseDPDF=Y")</f>
        <v>576.47699999999998</v>
      </c>
      <c r="S89" s="13">
        <f>_xll.BDH("ITCI US Equity","ARDR_FV_ASSETS_REC_TOTAL","FQ4 2022","FQ4 2022","Currency=USD","Period=FQ","BEST_FPERIOD_OVERRIDE=FQ","FILING_STATUS=MR","SCALING_FORMAT=MLN","Sort=A","Dates=H","DateFormat=P","Fill=—","Direction=H","UseDPDF=Y")</f>
        <v>498.43200000000002</v>
      </c>
      <c r="T89" s="13">
        <f>_xll.BDH("ITCI US Equity","ARDR_FV_ASSETS_REC_TOTAL","FQ1 2023","FQ1 2023","Currency=USD","Period=FQ","BEST_FPERIOD_OVERRIDE=FQ","FILING_STATUS=MR","SCALING_FORMAT=MLN","Sort=A","Dates=H","DateFormat=P","Fill=—","Direction=H","UseDPDF=Y")</f>
        <v>493.89800000000002</v>
      </c>
      <c r="U89" s="13">
        <f>_xll.BDH("ITCI US Equity","ARDR_FV_ASSETS_REC_TOTAL","FQ2 2023","FQ2 2023","Currency=USD","Period=FQ","BEST_FPERIOD_OVERRIDE=FQ","FILING_STATUS=MR","SCALING_FORMAT=MLN","Sort=A","Dates=H","DateFormat=P","Fill=—","Direction=H","UseDPDF=Y")</f>
        <v>494.346</v>
      </c>
      <c r="V89" s="13">
        <f>_xll.BDH("ITCI US Equity","ARDR_FV_ASSETS_REC_TOTAL","FQ3 2023","FQ3 2023","Currency=USD","Period=FQ","BEST_FPERIOD_OVERRIDE=FQ","FILING_STATUS=MR","SCALING_FORMAT=MLN","Sort=A","Dates=H","DateFormat=P","Fill=—","Direction=H","UseDPDF=Y")</f>
        <v>418.03899999999999</v>
      </c>
      <c r="W89" s="13">
        <f>_xll.BDH("ITCI US Equity","ARDR_FV_ASSETS_REC_TOTAL","FQ4 2023","FQ4 2023","Currency=USD","Period=FQ","BEST_FPERIOD_OVERRIDE=FQ","FILING_STATUS=MR","SCALING_FORMAT=MLN","Sort=A","Dates=H","DateFormat=P","Fill=—","Direction=H","UseDPDF=Y")</f>
        <v>423.37200000000001</v>
      </c>
      <c r="X89" s="13">
        <f>_xll.BDH("ITCI US Equity","ARDR_FV_ASSETS_REC_TOTAL","FQ1 2024","FQ1 2024","Currency=USD","Period=FQ","BEST_FPERIOD_OVERRIDE=FQ","FILING_STATUS=MR","SCALING_FORMAT=MLN","Sort=A","Dates=H","DateFormat=P","Fill=—","Direction=H","UseDPDF=Y")</f>
        <v>427.012</v>
      </c>
      <c r="Y89" s="13">
        <f>_xll.BDH("ITCI US Equity","ARDR_FV_ASSETS_REC_TOTAL","FQ2 2024","FQ2 2024","Currency=USD","Period=FQ","BEST_FPERIOD_OVERRIDE=FQ","FILING_STATUS=MR","SCALING_FORMAT=MLN","Sort=A","Dates=H","DateFormat=P","Fill=—","Direction=H","UseDPDF=Y")</f>
        <v>431.541</v>
      </c>
      <c r="Z89" s="13">
        <f>_xll.BDH("ITCI US Equity","ARDR_FV_ASSETS_REC_TOTAL","FQ3 2024","FQ3 2024","Currency=USD","Period=FQ","BEST_FPERIOD_OVERRIDE=FQ","FILING_STATUS=MR","SCALING_FORMAT=MLN","Sort=A","Dates=H","DateFormat=P","Fill=—","Direction=H","UseDPDF=Y")</f>
        <v>790.64499999999998</v>
      </c>
      <c r="AA89" s="13">
        <f>_xll.BDH("ITCI US Equity","ARDR_FV_ASSETS_REC_TOTAL","FQ4 2024","FQ4 2024","Currency=USD","Period=FQ","BEST_FPERIOD_OVERRIDE=FQ","FILING_STATUS=MR","SCALING_FORMAT=MLN","Sort=A","Dates=H","DateFormat=P","Fill=—","Direction=H","UseDPDF=Y")</f>
        <v>887.64</v>
      </c>
    </row>
    <row r="90" spans="1:27" x14ac:dyDescent="0.25">
      <c r="A90" s="10" t="s">
        <v>826</v>
      </c>
      <c r="B90" s="10" t="s">
        <v>827</v>
      </c>
      <c r="C90" s="13">
        <f>_xll.BDH("ITCI US Equity","ARDR_OPTIONS_CANCELLED_FORFEITED","FQ4 2018","FQ4 2018","Currency=USD","Period=FQ","BEST_FPERIOD_OVERRIDE=FQ","FILING_STATUS=MR","SCALING_FORMAT=MLN","Sort=A","Dates=H","DateFormat=P","Fill=—","Direction=H","UseDPDF=Y")</f>
        <v>5.5999999999999999E-3</v>
      </c>
      <c r="D90" s="13">
        <f>_xll.BDH("ITCI US Equity","ARDR_OPTIONS_CANCELLED_FORFEITED","FQ1 2019","FQ1 2019","Currency=USD","Period=FQ","BEST_FPERIOD_OVERRIDE=FQ","FILING_STATUS=MR","SCALING_FORMAT=MLN","Sort=A","Dates=H","DateFormat=P","Fill=—","Direction=H","UseDPDF=Y")</f>
        <v>2.92E-2</v>
      </c>
      <c r="E90" s="13">
        <f>_xll.BDH("ITCI US Equity","ARDR_OPTIONS_CANCELLED_FORFEITED","FQ2 2019","FQ2 2019","Currency=USD","Period=FQ","BEST_FPERIOD_OVERRIDE=FQ","FILING_STATUS=MR","SCALING_FORMAT=MLN","Sort=A","Dates=H","DateFormat=P","Fill=—","Direction=H","UseDPDF=Y")</f>
        <v>4.9200000000000001E-2</v>
      </c>
      <c r="F90" s="13">
        <f>_xll.BDH("ITCI US Equity","ARDR_OPTIONS_CANCELLED_FORFEITED","FQ3 2019","FQ3 2019","Currency=USD","Period=FQ","BEST_FPERIOD_OVERRIDE=FQ","FILING_STATUS=MR","SCALING_FORMAT=MLN","Sort=A","Dates=H","DateFormat=P","Fill=—","Direction=H","UseDPDF=Y")</f>
        <v>7.46E-2</v>
      </c>
      <c r="G90" s="13">
        <f>_xll.BDH("ITCI US Equity","ARDR_OPTIONS_CANCELLED_FORFEITED","FQ4 2019","FQ4 2019","Currency=USD","Period=FQ","BEST_FPERIOD_OVERRIDE=FQ","FILING_STATUS=MR","SCALING_FORMAT=MLN","Sort=A","Dates=H","DateFormat=P","Fill=—","Direction=H","UseDPDF=Y")</f>
        <v>0.12379999999999999</v>
      </c>
      <c r="H90" s="13">
        <f>_xll.BDH("ITCI US Equity","ARDR_OPTIONS_CANCELLED_FORFEITED","FQ1 2020","FQ1 2020","Currency=USD","Period=FQ","BEST_FPERIOD_OVERRIDE=FQ","FILING_STATUS=MR","SCALING_FORMAT=MLN","Sort=A","Dates=H","DateFormat=P","Fill=—","Direction=H","UseDPDF=Y")</f>
        <v>0.1158</v>
      </c>
      <c r="I90" s="13">
        <f>_xll.BDH("ITCI US Equity","ARDR_OPTIONS_CANCELLED_FORFEITED","FQ2 2020","FQ2 2020","Currency=USD","Period=FQ","BEST_FPERIOD_OVERRIDE=FQ","FILING_STATUS=MR","SCALING_FORMAT=MLN","Sort=A","Dates=H","DateFormat=P","Fill=—","Direction=H","UseDPDF=Y")</f>
        <v>2.76E-2</v>
      </c>
      <c r="J90" s="13">
        <f>_xll.BDH("ITCI US Equity","ARDR_OPTIONS_CANCELLED_FORFEITED","FQ3 2020","FQ3 2020","Currency=USD","Period=FQ","BEST_FPERIOD_OVERRIDE=FQ","FILING_STATUS=MR","SCALING_FORMAT=MLN","Sort=A","Dates=H","DateFormat=P","Fill=—","Direction=H","UseDPDF=Y")</f>
        <v>1.77E-2</v>
      </c>
      <c r="K90" s="13">
        <f>_xll.BDH("ITCI US Equity","ARDR_OPTIONS_CANCELLED_FORFEITED","FQ4 2020","FQ4 2020","Currency=USD","Period=FQ","BEST_FPERIOD_OVERRIDE=FQ","FILING_STATUS=MR","SCALING_FORMAT=MLN","Sort=A","Dates=H","DateFormat=P","Fill=—","Direction=H","UseDPDF=Y")</f>
        <v>0.16189999999999999</v>
      </c>
      <c r="L90" s="13">
        <f>_xll.BDH("ITCI US Equity","ARDR_OPTIONS_CANCELLED_FORFEITED","FQ1 2021","FQ1 2021","Currency=USD","Period=FQ","BEST_FPERIOD_OVERRIDE=FQ","FILING_STATUS=MR","SCALING_FORMAT=MLN","Sort=A","Dates=H","DateFormat=P","Fill=—","Direction=H","UseDPDF=Y")</f>
        <v>2.07E-2</v>
      </c>
      <c r="M90" s="13">
        <f>_xll.BDH("ITCI US Equity","ARDR_OPTIONS_CANCELLED_FORFEITED","FQ2 2021","FQ2 2021","Currency=USD","Period=FQ","BEST_FPERIOD_OVERRIDE=FQ","FILING_STATUS=MR","SCALING_FORMAT=MLN","Sort=A","Dates=H","DateFormat=P","Fill=—","Direction=H","UseDPDF=Y")</f>
        <v>2.3999999999999998E-3</v>
      </c>
      <c r="N90" s="13" t="str">
        <f>_xll.BDH("ITCI US Equity","ARDR_OPTIONS_CANCELLED_FORFEITED","FQ3 2021","FQ3 2021","Currency=USD","Period=FQ","BEST_FPERIOD_OVERRIDE=FQ","FILING_STATUS=MR","SCALING_FORMAT=MLN","Sort=A","Dates=H","DateFormat=P","Fill=—","Direction=H","UseDPDF=Y")</f>
        <v>—</v>
      </c>
      <c r="O90" s="13">
        <f>_xll.BDH("ITCI US Equity","ARDR_OPTIONS_CANCELLED_FORFEITED","FQ4 2021","FQ4 2021","Currency=USD","Period=FQ","BEST_FPERIOD_OVERRIDE=FQ","FILING_STATUS=MR","SCALING_FORMAT=MLN","Sort=A","Dates=H","DateFormat=P","Fill=—","Direction=H","UseDPDF=Y")</f>
        <v>0.02</v>
      </c>
      <c r="P90" s="13">
        <f>_xll.BDH("ITCI US Equity","ARDR_OPTIONS_CANCELLED_FORFEITED","FQ1 2022","FQ1 2022","Currency=USD","Period=FQ","BEST_FPERIOD_OVERRIDE=FQ","FILING_STATUS=MR","SCALING_FORMAT=MLN","Sort=A","Dates=H","DateFormat=P","Fill=—","Direction=H","UseDPDF=Y")</f>
        <v>6.3E-3</v>
      </c>
      <c r="Q90" s="13">
        <f>_xll.BDH("ITCI US Equity","ARDR_OPTIONS_CANCELLED_FORFEITED","FQ2 2022","FQ2 2022","Currency=USD","Period=FQ","BEST_FPERIOD_OVERRIDE=FQ","FILING_STATUS=MR","SCALING_FORMAT=MLN","Sort=A","Dates=H","DateFormat=P","Fill=—","Direction=H","UseDPDF=Y")</f>
        <v>2.3E-2</v>
      </c>
      <c r="R90" s="13" t="str">
        <f>_xll.BDH("ITCI US Equity","ARDR_OPTIONS_CANCELLED_FORFEITED","FQ3 2022","FQ3 2022","Currency=USD","Period=FQ","BEST_FPERIOD_OVERRIDE=FQ","FILING_STATUS=MR","SCALING_FORMAT=MLN","Sort=A","Dates=H","DateFormat=P","Fill=—","Direction=H","UseDPDF=Y")</f>
        <v>—</v>
      </c>
      <c r="S90" s="13">
        <f>_xll.BDH("ITCI US Equity","ARDR_OPTIONS_CANCELLED_FORFEITED","FQ4 2022","FQ4 2022","Currency=USD","Period=FQ","BEST_FPERIOD_OVERRIDE=FQ","FILING_STATUS=MR","SCALING_FORMAT=MLN","Sort=A","Dates=H","DateFormat=P","Fill=—","Direction=H","UseDPDF=Y")</f>
        <v>2.4299999999999999E-2</v>
      </c>
      <c r="T90" s="13">
        <f>_xll.BDH("ITCI US Equity","ARDR_OPTIONS_CANCELLED_FORFEITED","FQ1 2023","FQ1 2023","Currency=USD","Period=FQ","BEST_FPERIOD_OVERRIDE=FQ","FILING_STATUS=MR","SCALING_FORMAT=MLN","Sort=A","Dates=H","DateFormat=P","Fill=—","Direction=H","UseDPDF=Y")</f>
        <v>2.5000000000000001E-2</v>
      </c>
      <c r="U90" s="13">
        <f>_xll.BDH("ITCI US Equity","ARDR_OPTIONS_CANCELLED_FORFEITED","FQ2 2023","FQ2 2023","Currency=USD","Period=FQ","BEST_FPERIOD_OVERRIDE=FQ","FILING_STATUS=MR","SCALING_FORMAT=MLN","Sort=A","Dates=H","DateFormat=P","Fill=—","Direction=H","UseDPDF=Y")</f>
        <v>1.0999999999999999E-2</v>
      </c>
      <c r="V90" s="13">
        <f>_xll.BDH("ITCI US Equity","ARDR_OPTIONS_CANCELLED_FORFEITED","FQ3 2023","FQ3 2023","Currency=USD","Period=FQ","BEST_FPERIOD_OVERRIDE=FQ","FILING_STATUS=MR","SCALING_FORMAT=MLN","Sort=A","Dates=H","DateFormat=P","Fill=—","Direction=H","UseDPDF=Y")</f>
        <v>2.7000000000000001E-3</v>
      </c>
      <c r="W90" s="13">
        <f>_xll.BDH("ITCI US Equity","ARDR_OPTIONS_CANCELLED_FORFEITED","FQ4 2023","FQ4 2023","Currency=USD","Period=FQ","BEST_FPERIOD_OVERRIDE=FQ","FILING_STATUS=MR","SCALING_FORMAT=MLN","Sort=A","Dates=H","DateFormat=P","Fill=—","Direction=H","UseDPDF=Y")</f>
        <v>1.1999999999999999E-3</v>
      </c>
      <c r="X90" s="13">
        <f>_xll.BDH("ITCI US Equity","ARDR_OPTIONS_CANCELLED_FORFEITED","FQ1 2024","FQ1 2024","Currency=USD","Period=FQ","BEST_FPERIOD_OVERRIDE=FQ","FILING_STATUS=MR","SCALING_FORMAT=MLN","Sort=A","Dates=H","DateFormat=P","Fill=—","Direction=H","UseDPDF=Y")</f>
        <v>5.0000000000000001E-3</v>
      </c>
      <c r="Y90" s="13">
        <f>_xll.BDH("ITCI US Equity","ARDR_OPTIONS_CANCELLED_FORFEITED","FQ2 2024","FQ2 2024","Currency=USD","Period=FQ","BEST_FPERIOD_OVERRIDE=FQ","FILING_STATUS=MR","SCALING_FORMAT=MLN","Sort=A","Dates=H","DateFormat=P","Fill=—","Direction=H","UseDPDF=Y")</f>
        <v>4.3E-3</v>
      </c>
      <c r="Z90" s="13">
        <f>_xll.BDH("ITCI US Equity","ARDR_OPTIONS_CANCELLED_FORFEITED","FQ3 2024","FQ3 2024","Currency=USD","Period=FQ","BEST_FPERIOD_OVERRIDE=FQ","FILING_STATUS=MR","SCALING_FORMAT=MLN","Sort=A","Dates=H","DateFormat=P","Fill=—","Direction=H","UseDPDF=Y")</f>
        <v>2.0999999999999999E-3</v>
      </c>
      <c r="AA90" s="13">
        <f>_xll.BDH("ITCI US Equity","ARDR_OPTIONS_CANCELLED_FORFEITED","FQ4 2024","FQ4 2024","Currency=USD","Period=FQ","BEST_FPERIOD_OVERRIDE=FQ","FILING_STATUS=MR","SCALING_FORMAT=MLN","Sort=A","Dates=H","DateFormat=P","Fill=—","Direction=H","UseDPDF=Y")</f>
        <v>4.0000000000000002E-4</v>
      </c>
    </row>
    <row r="91" spans="1:27" x14ac:dyDescent="0.25">
      <c r="A91" s="10" t="s">
        <v>828</v>
      </c>
      <c r="B91" s="10" t="s">
        <v>829</v>
      </c>
      <c r="C91" s="13">
        <f>_xll.BDH("ITCI US Equity","ARDR_CONTRACTUAL_OBLIG_YEAR_1","FQ4 2018","FQ4 2018","Currency=USD","Period=FQ","BEST_FPERIOD_OVERRIDE=FQ","FILING_STATUS=MR","SCALING_FORMAT=MLN","Sort=A","Dates=H","DateFormat=P","Fill=—","Direction=H","UseDPDF=Y")</f>
        <v>2.5230000000000001</v>
      </c>
      <c r="D91" s="13" t="str">
        <f>_xll.BDH("ITCI US Equity","ARDR_CONTRACTUAL_OBLIG_YEAR_1","FQ1 2019","FQ1 2019","Currency=USD","Period=FQ","BEST_FPERIOD_OVERRIDE=FQ","FILING_STATUS=MR","SCALING_FORMAT=MLN","Sort=A","Dates=H","DateFormat=P","Fill=—","Direction=H","UseDPDF=Y")</f>
        <v>—</v>
      </c>
      <c r="E91" s="13" t="str">
        <f>_xll.BDH("ITCI US Equity","ARDR_CONTRACTUAL_OBLIG_YEAR_1","FQ2 2019","FQ2 2019","Currency=USD","Period=FQ","BEST_FPERIOD_OVERRIDE=FQ","FILING_STATUS=MR","SCALING_FORMAT=MLN","Sort=A","Dates=H","DateFormat=P","Fill=—","Direction=H","UseDPDF=Y")</f>
        <v>—</v>
      </c>
      <c r="F91" s="13" t="str">
        <f>_xll.BDH("ITCI US Equity","ARDR_CONTRACTUAL_OBLIG_YEAR_1","FQ3 2019","FQ3 2019","Currency=USD","Period=FQ","BEST_FPERIOD_OVERRIDE=FQ","FILING_STATUS=MR","SCALING_FORMAT=MLN","Sort=A","Dates=H","DateFormat=P","Fill=—","Direction=H","UseDPDF=Y")</f>
        <v>—</v>
      </c>
      <c r="G91" s="13">
        <f>_xll.BDH("ITCI US Equity","ARDR_CONTRACTUAL_OBLIG_YEAR_1","FQ4 2019","FQ4 2019","Currency=USD","Period=FQ","BEST_FPERIOD_OVERRIDE=FQ","FILING_STATUS=MR","SCALING_FORMAT=MLN","Sort=A","Dates=H","DateFormat=P","Fill=—","Direction=H","UseDPDF=Y")</f>
        <v>3.3460000000000001</v>
      </c>
      <c r="H91" s="13" t="str">
        <f>_xll.BDH("ITCI US Equity","ARDR_CONTRACTUAL_OBLIG_YEAR_1","FQ1 2020","FQ1 2020","Currency=USD","Period=FQ","BEST_FPERIOD_OVERRIDE=FQ","FILING_STATUS=MR","SCALING_FORMAT=MLN","Sort=A","Dates=H","DateFormat=P","Fill=—","Direction=H","UseDPDF=Y")</f>
        <v>—</v>
      </c>
      <c r="I91" s="13" t="str">
        <f>_xll.BDH("ITCI US Equity","ARDR_CONTRACTUAL_OBLIG_YEAR_1","FQ2 2020","FQ2 2020","Currency=USD","Period=FQ","BEST_FPERIOD_OVERRIDE=FQ","FILING_STATUS=MR","SCALING_FORMAT=MLN","Sort=A","Dates=H","DateFormat=P","Fill=—","Direction=H","UseDPDF=Y")</f>
        <v>—</v>
      </c>
      <c r="J91" s="13" t="str">
        <f>_xll.BDH("ITCI US Equity","ARDR_CONTRACTUAL_OBLIG_YEAR_1","FQ3 2020","FQ3 2020","Currency=USD","Period=FQ","BEST_FPERIOD_OVERRIDE=FQ","FILING_STATUS=MR","SCALING_FORMAT=MLN","Sort=A","Dates=H","DateFormat=P","Fill=—","Direction=H","UseDPDF=Y")</f>
        <v>—</v>
      </c>
      <c r="K91" s="13" t="str">
        <f>_xll.BDH("ITCI US Equity","ARDR_CONTRACTUAL_OBLIG_YEAR_1","FQ4 2020","FQ4 2020","Currency=USD","Period=FQ","BEST_FPERIOD_OVERRIDE=FQ","FILING_STATUS=MR","SCALING_FORMAT=MLN","Sort=A","Dates=H","DateFormat=P","Fill=—","Direction=H","UseDPDF=Y")</f>
        <v>—</v>
      </c>
      <c r="L91" s="13" t="str">
        <f>_xll.BDH("ITCI US Equity","ARDR_CONTRACTUAL_OBLIG_YEAR_1","FQ1 2021","FQ1 2021","Currency=USD","Period=FQ","BEST_FPERIOD_OVERRIDE=FQ","FILING_STATUS=MR","SCALING_FORMAT=MLN","Sort=A","Dates=H","DateFormat=P","Fill=—","Direction=H","UseDPDF=Y")</f>
        <v>—</v>
      </c>
      <c r="M91" s="13" t="str">
        <f>_xll.BDH("ITCI US Equity","ARDR_CONTRACTUAL_OBLIG_YEAR_1","FQ2 2021","FQ2 2021","Currency=USD","Period=FQ","BEST_FPERIOD_OVERRIDE=FQ","FILING_STATUS=MR","SCALING_FORMAT=MLN","Sort=A","Dates=H","DateFormat=P","Fill=—","Direction=H","UseDPDF=Y")</f>
        <v>—</v>
      </c>
      <c r="N91" s="13" t="str">
        <f>_xll.BDH("ITCI US Equity","ARDR_CONTRACTUAL_OBLIG_YEAR_1","FQ3 2021","FQ3 2021","Currency=USD","Period=FQ","BEST_FPERIOD_OVERRIDE=FQ","FILING_STATUS=MR","SCALING_FORMAT=MLN","Sort=A","Dates=H","DateFormat=P","Fill=—","Direction=H","UseDPDF=Y")</f>
        <v>—</v>
      </c>
      <c r="O91" s="13" t="str">
        <f>_xll.BDH("ITCI US Equity","ARDR_CONTRACTUAL_OBLIG_YEAR_1","FQ4 2021","FQ4 2021","Currency=USD","Period=FQ","BEST_FPERIOD_OVERRIDE=FQ","FILING_STATUS=MR","SCALING_FORMAT=MLN","Sort=A","Dates=H","DateFormat=P","Fill=—","Direction=H","UseDPDF=Y")</f>
        <v>—</v>
      </c>
      <c r="P91" s="13" t="str">
        <f>_xll.BDH("ITCI US Equity","ARDR_CONTRACTUAL_OBLIG_YEAR_1","FQ1 2022","FQ1 2022","Currency=USD","Period=FQ","BEST_FPERIOD_OVERRIDE=FQ","FILING_STATUS=MR","SCALING_FORMAT=MLN","Sort=A","Dates=H","DateFormat=P","Fill=—","Direction=H","UseDPDF=Y")</f>
        <v>—</v>
      </c>
      <c r="Q91" s="13" t="str">
        <f>_xll.BDH("ITCI US Equity","ARDR_CONTRACTUAL_OBLIG_YEAR_1","FQ2 2022","FQ2 2022","Currency=USD","Period=FQ","BEST_FPERIOD_OVERRIDE=FQ","FILING_STATUS=MR","SCALING_FORMAT=MLN","Sort=A","Dates=H","DateFormat=P","Fill=—","Direction=H","UseDPDF=Y")</f>
        <v>—</v>
      </c>
      <c r="R91" s="13" t="str">
        <f>_xll.BDH("ITCI US Equity","ARDR_CONTRACTUAL_OBLIG_YEAR_1","FQ3 2022","FQ3 2022","Currency=USD","Period=FQ","BEST_FPERIOD_OVERRIDE=FQ","FILING_STATUS=MR","SCALING_FORMAT=MLN","Sort=A","Dates=H","DateFormat=P","Fill=—","Direction=H","UseDPDF=Y")</f>
        <v>—</v>
      </c>
      <c r="S91" s="13" t="str">
        <f>_xll.BDH("ITCI US Equity","ARDR_CONTRACTUAL_OBLIG_YEAR_1","FQ4 2022","FQ4 2022","Currency=USD","Period=FQ","BEST_FPERIOD_OVERRIDE=FQ","FILING_STATUS=MR","SCALING_FORMAT=MLN","Sort=A","Dates=H","DateFormat=P","Fill=—","Direction=H","UseDPDF=Y")</f>
        <v>—</v>
      </c>
      <c r="T91" s="13" t="str">
        <f>_xll.BDH("ITCI US Equity","ARDR_CONTRACTUAL_OBLIG_YEAR_1","FQ1 2023","FQ1 2023","Currency=USD","Period=FQ","BEST_FPERIOD_OVERRIDE=FQ","FILING_STATUS=MR","SCALING_FORMAT=MLN","Sort=A","Dates=H","DateFormat=P","Fill=—","Direction=H","UseDPDF=Y")</f>
        <v>—</v>
      </c>
      <c r="U91" s="13" t="str">
        <f>_xll.BDH("ITCI US Equity","ARDR_CONTRACTUAL_OBLIG_YEAR_1","FQ2 2023","FQ2 2023","Currency=USD","Period=FQ","BEST_FPERIOD_OVERRIDE=FQ","FILING_STATUS=MR","SCALING_FORMAT=MLN","Sort=A","Dates=H","DateFormat=P","Fill=—","Direction=H","UseDPDF=Y")</f>
        <v>—</v>
      </c>
      <c r="V91" s="13" t="str">
        <f>_xll.BDH("ITCI US Equity","ARDR_CONTRACTUAL_OBLIG_YEAR_1","FQ3 2023","FQ3 2023","Currency=USD","Period=FQ","BEST_FPERIOD_OVERRIDE=FQ","FILING_STATUS=MR","SCALING_FORMAT=MLN","Sort=A","Dates=H","DateFormat=P","Fill=—","Direction=H","UseDPDF=Y")</f>
        <v>—</v>
      </c>
      <c r="W91" s="13" t="str">
        <f>_xll.BDH("ITCI US Equity","ARDR_CONTRACTUAL_OBLIG_YEAR_1","FQ4 2023","FQ4 2023","Currency=USD","Period=FQ","BEST_FPERIOD_OVERRIDE=FQ","FILING_STATUS=MR","SCALING_FORMAT=MLN","Sort=A","Dates=H","DateFormat=P","Fill=—","Direction=H","UseDPDF=Y")</f>
        <v>—</v>
      </c>
      <c r="X91" s="13" t="str">
        <f>_xll.BDH("ITCI US Equity","ARDR_CONTRACTUAL_OBLIG_YEAR_1","FQ1 2024","FQ1 2024","Currency=USD","Period=FQ","BEST_FPERIOD_OVERRIDE=FQ","FILING_STATUS=MR","SCALING_FORMAT=MLN","Sort=A","Dates=H","DateFormat=P","Fill=—","Direction=H","UseDPDF=Y")</f>
        <v>—</v>
      </c>
      <c r="Y91" s="13" t="str">
        <f>_xll.BDH("ITCI US Equity","ARDR_CONTRACTUAL_OBLIG_YEAR_1","FQ2 2024","FQ2 2024","Currency=USD","Period=FQ","BEST_FPERIOD_OVERRIDE=FQ","FILING_STATUS=MR","SCALING_FORMAT=MLN","Sort=A","Dates=H","DateFormat=P","Fill=—","Direction=H","UseDPDF=Y")</f>
        <v>—</v>
      </c>
      <c r="Z91" s="13" t="str">
        <f>_xll.BDH("ITCI US Equity","ARDR_CONTRACTUAL_OBLIG_YEAR_1","FQ3 2024","FQ3 2024","Currency=USD","Period=FQ","BEST_FPERIOD_OVERRIDE=FQ","FILING_STATUS=MR","SCALING_FORMAT=MLN","Sort=A","Dates=H","DateFormat=P","Fill=—","Direction=H","UseDPDF=Y")</f>
        <v>—</v>
      </c>
      <c r="AA91" s="13" t="str">
        <f>_xll.BDH("ITCI US Equity","ARDR_CONTRACTUAL_OBLIG_YEAR_1","FQ4 2024","FQ4 2024","Currency=USD","Period=FQ","BEST_FPERIOD_OVERRIDE=FQ","FILING_STATUS=MR","SCALING_FORMAT=MLN","Sort=A","Dates=H","DateFormat=P","Fill=—","Direction=H","UseDPDF=Y")</f>
        <v>—</v>
      </c>
    </row>
    <row r="92" spans="1:27" x14ac:dyDescent="0.25">
      <c r="A92" s="10" t="s">
        <v>830</v>
      </c>
      <c r="B92" s="10" t="s">
        <v>831</v>
      </c>
      <c r="C92" s="13">
        <f>_xll.BDH("ITCI US Equity","ARDR_CONTRACTUAL_OBLIG_YEAR_2_3","FQ4 2018","FQ4 2018","Currency=USD","Period=FQ","BEST_FPERIOD_OVERRIDE=FQ","FILING_STATUS=MR","SCALING_FORMAT=MLN","Sort=A","Dates=H","DateFormat=P","Fill=—","Direction=H","UseDPDF=Y")</f>
        <v>5.98</v>
      </c>
      <c r="D92" s="13" t="str">
        <f>_xll.BDH("ITCI US Equity","ARDR_CONTRACTUAL_OBLIG_YEAR_2_3","FQ1 2019","FQ1 2019","Currency=USD","Period=FQ","BEST_FPERIOD_OVERRIDE=FQ","FILING_STATUS=MR","SCALING_FORMAT=MLN","Sort=A","Dates=H","DateFormat=P","Fill=—","Direction=H","UseDPDF=Y")</f>
        <v>—</v>
      </c>
      <c r="E92" s="13" t="str">
        <f>_xll.BDH("ITCI US Equity","ARDR_CONTRACTUAL_OBLIG_YEAR_2_3","FQ2 2019","FQ2 2019","Currency=USD","Period=FQ","BEST_FPERIOD_OVERRIDE=FQ","FILING_STATUS=MR","SCALING_FORMAT=MLN","Sort=A","Dates=H","DateFormat=P","Fill=—","Direction=H","UseDPDF=Y")</f>
        <v>—</v>
      </c>
      <c r="F92" s="13" t="str">
        <f>_xll.BDH("ITCI US Equity","ARDR_CONTRACTUAL_OBLIG_YEAR_2_3","FQ3 2019","FQ3 2019","Currency=USD","Period=FQ","BEST_FPERIOD_OVERRIDE=FQ","FILING_STATUS=MR","SCALING_FORMAT=MLN","Sort=A","Dates=H","DateFormat=P","Fill=—","Direction=H","UseDPDF=Y")</f>
        <v>—</v>
      </c>
      <c r="G92" s="13">
        <f>_xll.BDH("ITCI US Equity","ARDR_CONTRACTUAL_OBLIG_YEAR_2_3","FQ4 2019","FQ4 2019","Currency=USD","Period=FQ","BEST_FPERIOD_OVERRIDE=FQ","FILING_STATUS=MR","SCALING_FORMAT=MLN","Sort=A","Dates=H","DateFormat=P","Fill=—","Direction=H","UseDPDF=Y")</f>
        <v>6.94</v>
      </c>
      <c r="H92" s="13" t="str">
        <f>_xll.BDH("ITCI US Equity","ARDR_CONTRACTUAL_OBLIG_YEAR_2_3","FQ1 2020","FQ1 2020","Currency=USD","Period=FQ","BEST_FPERIOD_OVERRIDE=FQ","FILING_STATUS=MR","SCALING_FORMAT=MLN","Sort=A","Dates=H","DateFormat=P","Fill=—","Direction=H","UseDPDF=Y")</f>
        <v>—</v>
      </c>
      <c r="I92" s="13" t="str">
        <f>_xll.BDH("ITCI US Equity","ARDR_CONTRACTUAL_OBLIG_YEAR_2_3","FQ2 2020","FQ2 2020","Currency=USD","Period=FQ","BEST_FPERIOD_OVERRIDE=FQ","FILING_STATUS=MR","SCALING_FORMAT=MLN","Sort=A","Dates=H","DateFormat=P","Fill=—","Direction=H","UseDPDF=Y")</f>
        <v>—</v>
      </c>
      <c r="J92" s="13" t="str">
        <f>_xll.BDH("ITCI US Equity","ARDR_CONTRACTUAL_OBLIG_YEAR_2_3","FQ3 2020","FQ3 2020","Currency=USD","Period=FQ","BEST_FPERIOD_OVERRIDE=FQ","FILING_STATUS=MR","SCALING_FORMAT=MLN","Sort=A","Dates=H","DateFormat=P","Fill=—","Direction=H","UseDPDF=Y")</f>
        <v>—</v>
      </c>
      <c r="K92" s="13" t="str">
        <f>_xll.BDH("ITCI US Equity","ARDR_CONTRACTUAL_OBLIG_YEAR_2_3","FQ4 2020","FQ4 2020","Currency=USD","Period=FQ","BEST_FPERIOD_OVERRIDE=FQ","FILING_STATUS=MR","SCALING_FORMAT=MLN","Sort=A","Dates=H","DateFormat=P","Fill=—","Direction=H","UseDPDF=Y")</f>
        <v>—</v>
      </c>
      <c r="L92" s="13" t="str">
        <f>_xll.BDH("ITCI US Equity","ARDR_CONTRACTUAL_OBLIG_YEAR_2_3","FQ1 2021","FQ1 2021","Currency=USD","Period=FQ","BEST_FPERIOD_OVERRIDE=FQ","FILING_STATUS=MR","SCALING_FORMAT=MLN","Sort=A","Dates=H","DateFormat=P","Fill=—","Direction=H","UseDPDF=Y")</f>
        <v>—</v>
      </c>
      <c r="M92" s="13" t="str">
        <f>_xll.BDH("ITCI US Equity","ARDR_CONTRACTUAL_OBLIG_YEAR_2_3","FQ2 2021","FQ2 2021","Currency=USD","Period=FQ","BEST_FPERIOD_OVERRIDE=FQ","FILING_STATUS=MR","SCALING_FORMAT=MLN","Sort=A","Dates=H","DateFormat=P","Fill=—","Direction=H","UseDPDF=Y")</f>
        <v>—</v>
      </c>
      <c r="N92" s="13" t="str">
        <f>_xll.BDH("ITCI US Equity","ARDR_CONTRACTUAL_OBLIG_YEAR_2_3","FQ3 2021","FQ3 2021","Currency=USD","Period=FQ","BEST_FPERIOD_OVERRIDE=FQ","FILING_STATUS=MR","SCALING_FORMAT=MLN","Sort=A","Dates=H","DateFormat=P","Fill=—","Direction=H","UseDPDF=Y")</f>
        <v>—</v>
      </c>
      <c r="O92" s="13" t="str">
        <f>_xll.BDH("ITCI US Equity","ARDR_CONTRACTUAL_OBLIG_YEAR_2_3","FQ4 2021","FQ4 2021","Currency=USD","Period=FQ","BEST_FPERIOD_OVERRIDE=FQ","FILING_STATUS=MR","SCALING_FORMAT=MLN","Sort=A","Dates=H","DateFormat=P","Fill=—","Direction=H","UseDPDF=Y")</f>
        <v>—</v>
      </c>
      <c r="P92" s="13" t="str">
        <f>_xll.BDH("ITCI US Equity","ARDR_CONTRACTUAL_OBLIG_YEAR_2_3","FQ1 2022","FQ1 2022","Currency=USD","Period=FQ","BEST_FPERIOD_OVERRIDE=FQ","FILING_STATUS=MR","SCALING_FORMAT=MLN","Sort=A","Dates=H","DateFormat=P","Fill=—","Direction=H","UseDPDF=Y")</f>
        <v>—</v>
      </c>
      <c r="Q92" s="13" t="str">
        <f>_xll.BDH("ITCI US Equity","ARDR_CONTRACTUAL_OBLIG_YEAR_2_3","FQ2 2022","FQ2 2022","Currency=USD","Period=FQ","BEST_FPERIOD_OVERRIDE=FQ","FILING_STATUS=MR","SCALING_FORMAT=MLN","Sort=A","Dates=H","DateFormat=P","Fill=—","Direction=H","UseDPDF=Y")</f>
        <v>—</v>
      </c>
      <c r="R92" s="13" t="str">
        <f>_xll.BDH("ITCI US Equity","ARDR_CONTRACTUAL_OBLIG_YEAR_2_3","FQ3 2022","FQ3 2022","Currency=USD","Period=FQ","BEST_FPERIOD_OVERRIDE=FQ","FILING_STATUS=MR","SCALING_FORMAT=MLN","Sort=A","Dates=H","DateFormat=P","Fill=—","Direction=H","UseDPDF=Y")</f>
        <v>—</v>
      </c>
      <c r="S92" s="13" t="str">
        <f>_xll.BDH("ITCI US Equity","ARDR_CONTRACTUAL_OBLIG_YEAR_2_3","FQ4 2022","FQ4 2022","Currency=USD","Period=FQ","BEST_FPERIOD_OVERRIDE=FQ","FILING_STATUS=MR","SCALING_FORMAT=MLN","Sort=A","Dates=H","DateFormat=P","Fill=—","Direction=H","UseDPDF=Y")</f>
        <v>—</v>
      </c>
      <c r="T92" s="13" t="str">
        <f>_xll.BDH("ITCI US Equity","ARDR_CONTRACTUAL_OBLIG_YEAR_2_3","FQ1 2023","FQ1 2023","Currency=USD","Period=FQ","BEST_FPERIOD_OVERRIDE=FQ","FILING_STATUS=MR","SCALING_FORMAT=MLN","Sort=A","Dates=H","DateFormat=P","Fill=—","Direction=H","UseDPDF=Y")</f>
        <v>—</v>
      </c>
      <c r="U92" s="13" t="str">
        <f>_xll.BDH("ITCI US Equity","ARDR_CONTRACTUAL_OBLIG_YEAR_2_3","FQ2 2023","FQ2 2023","Currency=USD","Period=FQ","BEST_FPERIOD_OVERRIDE=FQ","FILING_STATUS=MR","SCALING_FORMAT=MLN","Sort=A","Dates=H","DateFormat=P","Fill=—","Direction=H","UseDPDF=Y")</f>
        <v>—</v>
      </c>
      <c r="V92" s="13" t="str">
        <f>_xll.BDH("ITCI US Equity","ARDR_CONTRACTUAL_OBLIG_YEAR_2_3","FQ3 2023","FQ3 2023","Currency=USD","Period=FQ","BEST_FPERIOD_OVERRIDE=FQ","FILING_STATUS=MR","SCALING_FORMAT=MLN","Sort=A","Dates=H","DateFormat=P","Fill=—","Direction=H","UseDPDF=Y")</f>
        <v>—</v>
      </c>
      <c r="W92" s="13" t="str">
        <f>_xll.BDH("ITCI US Equity","ARDR_CONTRACTUAL_OBLIG_YEAR_2_3","FQ4 2023","FQ4 2023","Currency=USD","Period=FQ","BEST_FPERIOD_OVERRIDE=FQ","FILING_STATUS=MR","SCALING_FORMAT=MLN","Sort=A","Dates=H","DateFormat=P","Fill=—","Direction=H","UseDPDF=Y")</f>
        <v>—</v>
      </c>
      <c r="X92" s="13" t="str">
        <f>_xll.BDH("ITCI US Equity","ARDR_CONTRACTUAL_OBLIG_YEAR_2_3","FQ1 2024","FQ1 2024","Currency=USD","Period=FQ","BEST_FPERIOD_OVERRIDE=FQ","FILING_STATUS=MR","SCALING_FORMAT=MLN","Sort=A","Dates=H","DateFormat=P","Fill=—","Direction=H","UseDPDF=Y")</f>
        <v>—</v>
      </c>
      <c r="Y92" s="13" t="str">
        <f>_xll.BDH("ITCI US Equity","ARDR_CONTRACTUAL_OBLIG_YEAR_2_3","FQ2 2024","FQ2 2024","Currency=USD","Period=FQ","BEST_FPERIOD_OVERRIDE=FQ","FILING_STATUS=MR","SCALING_FORMAT=MLN","Sort=A","Dates=H","DateFormat=P","Fill=—","Direction=H","UseDPDF=Y")</f>
        <v>—</v>
      </c>
      <c r="Z92" s="13" t="str">
        <f>_xll.BDH("ITCI US Equity","ARDR_CONTRACTUAL_OBLIG_YEAR_2_3","FQ3 2024","FQ3 2024","Currency=USD","Period=FQ","BEST_FPERIOD_OVERRIDE=FQ","FILING_STATUS=MR","SCALING_FORMAT=MLN","Sort=A","Dates=H","DateFormat=P","Fill=—","Direction=H","UseDPDF=Y")</f>
        <v>—</v>
      </c>
      <c r="AA92" s="13" t="str">
        <f>_xll.BDH("ITCI US Equity","ARDR_CONTRACTUAL_OBLIG_YEAR_2_3","FQ4 2024","FQ4 2024","Currency=USD","Period=FQ","BEST_FPERIOD_OVERRIDE=FQ","FILING_STATUS=MR","SCALING_FORMAT=MLN","Sort=A","Dates=H","DateFormat=P","Fill=—","Direction=H","UseDPDF=Y")</f>
        <v>—</v>
      </c>
    </row>
    <row r="93" spans="1:27" x14ac:dyDescent="0.25">
      <c r="A93" s="10" t="s">
        <v>832</v>
      </c>
      <c r="B93" s="10" t="s">
        <v>833</v>
      </c>
      <c r="C93" s="13">
        <f>_xll.BDH("ITCI US Equity","ARDR_CONTRACTUAL_OBLIG_YEAR_4_5","FQ4 2018","FQ4 2018","Currency=USD","Period=FQ","BEST_FPERIOD_OVERRIDE=FQ","FILING_STATUS=MR","SCALING_FORMAT=MLN","Sort=A","Dates=H","DateFormat=P","Fill=—","Direction=H","UseDPDF=Y")</f>
        <v>9.6609999999999996</v>
      </c>
      <c r="D93" s="13" t="str">
        <f>_xll.BDH("ITCI US Equity","ARDR_CONTRACTUAL_OBLIG_YEAR_4_5","FQ1 2019","FQ1 2019","Currency=USD","Period=FQ","BEST_FPERIOD_OVERRIDE=FQ","FILING_STATUS=MR","SCALING_FORMAT=MLN","Sort=A","Dates=H","DateFormat=P","Fill=—","Direction=H","UseDPDF=Y")</f>
        <v>—</v>
      </c>
      <c r="E93" s="13" t="str">
        <f>_xll.BDH("ITCI US Equity","ARDR_CONTRACTUAL_OBLIG_YEAR_4_5","FQ2 2019","FQ2 2019","Currency=USD","Period=FQ","BEST_FPERIOD_OVERRIDE=FQ","FILING_STATUS=MR","SCALING_FORMAT=MLN","Sort=A","Dates=H","DateFormat=P","Fill=—","Direction=H","UseDPDF=Y")</f>
        <v>—</v>
      </c>
      <c r="F93" s="13" t="str">
        <f>_xll.BDH("ITCI US Equity","ARDR_CONTRACTUAL_OBLIG_YEAR_4_5","FQ3 2019","FQ3 2019","Currency=USD","Period=FQ","BEST_FPERIOD_OVERRIDE=FQ","FILING_STATUS=MR","SCALING_FORMAT=MLN","Sort=A","Dates=H","DateFormat=P","Fill=—","Direction=H","UseDPDF=Y")</f>
        <v>—</v>
      </c>
      <c r="G93" s="13">
        <f>_xll.BDH("ITCI US Equity","ARDR_CONTRACTUAL_OBLIG_YEAR_4_5","FQ4 2019","FQ4 2019","Currency=USD","Period=FQ","BEST_FPERIOD_OVERRIDE=FQ","FILING_STATUS=MR","SCALING_FORMAT=MLN","Sort=A","Dates=H","DateFormat=P","Fill=—","Direction=H","UseDPDF=Y")</f>
        <v>11.029</v>
      </c>
      <c r="H93" s="13" t="str">
        <f>_xll.BDH("ITCI US Equity","ARDR_CONTRACTUAL_OBLIG_YEAR_4_5","FQ1 2020","FQ1 2020","Currency=USD","Period=FQ","BEST_FPERIOD_OVERRIDE=FQ","FILING_STATUS=MR","SCALING_FORMAT=MLN","Sort=A","Dates=H","DateFormat=P","Fill=—","Direction=H","UseDPDF=Y")</f>
        <v>—</v>
      </c>
      <c r="I93" s="13" t="str">
        <f>_xll.BDH("ITCI US Equity","ARDR_CONTRACTUAL_OBLIG_YEAR_4_5","FQ2 2020","FQ2 2020","Currency=USD","Period=FQ","BEST_FPERIOD_OVERRIDE=FQ","FILING_STATUS=MR","SCALING_FORMAT=MLN","Sort=A","Dates=H","DateFormat=P","Fill=—","Direction=H","UseDPDF=Y")</f>
        <v>—</v>
      </c>
      <c r="J93" s="13" t="str">
        <f>_xll.BDH("ITCI US Equity","ARDR_CONTRACTUAL_OBLIG_YEAR_4_5","FQ3 2020","FQ3 2020","Currency=USD","Period=FQ","BEST_FPERIOD_OVERRIDE=FQ","FILING_STATUS=MR","SCALING_FORMAT=MLN","Sort=A","Dates=H","DateFormat=P","Fill=—","Direction=H","UseDPDF=Y")</f>
        <v>—</v>
      </c>
      <c r="K93" s="13" t="str">
        <f>_xll.BDH("ITCI US Equity","ARDR_CONTRACTUAL_OBLIG_YEAR_4_5","FQ4 2020","FQ4 2020","Currency=USD","Period=FQ","BEST_FPERIOD_OVERRIDE=FQ","FILING_STATUS=MR","SCALING_FORMAT=MLN","Sort=A","Dates=H","DateFormat=P","Fill=—","Direction=H","UseDPDF=Y")</f>
        <v>—</v>
      </c>
      <c r="L93" s="13" t="str">
        <f>_xll.BDH("ITCI US Equity","ARDR_CONTRACTUAL_OBLIG_YEAR_4_5","FQ1 2021","FQ1 2021","Currency=USD","Period=FQ","BEST_FPERIOD_OVERRIDE=FQ","FILING_STATUS=MR","SCALING_FORMAT=MLN","Sort=A","Dates=H","DateFormat=P","Fill=—","Direction=H","UseDPDF=Y")</f>
        <v>—</v>
      </c>
      <c r="M93" s="13" t="str">
        <f>_xll.BDH("ITCI US Equity","ARDR_CONTRACTUAL_OBLIG_YEAR_4_5","FQ2 2021","FQ2 2021","Currency=USD","Period=FQ","BEST_FPERIOD_OVERRIDE=FQ","FILING_STATUS=MR","SCALING_FORMAT=MLN","Sort=A","Dates=H","DateFormat=P","Fill=—","Direction=H","UseDPDF=Y")</f>
        <v>—</v>
      </c>
      <c r="N93" s="13" t="str">
        <f>_xll.BDH("ITCI US Equity","ARDR_CONTRACTUAL_OBLIG_YEAR_4_5","FQ3 2021","FQ3 2021","Currency=USD","Period=FQ","BEST_FPERIOD_OVERRIDE=FQ","FILING_STATUS=MR","SCALING_FORMAT=MLN","Sort=A","Dates=H","DateFormat=P","Fill=—","Direction=H","UseDPDF=Y")</f>
        <v>—</v>
      </c>
      <c r="O93" s="13" t="str">
        <f>_xll.BDH("ITCI US Equity","ARDR_CONTRACTUAL_OBLIG_YEAR_4_5","FQ4 2021","FQ4 2021","Currency=USD","Period=FQ","BEST_FPERIOD_OVERRIDE=FQ","FILING_STATUS=MR","SCALING_FORMAT=MLN","Sort=A","Dates=H","DateFormat=P","Fill=—","Direction=H","UseDPDF=Y")</f>
        <v>—</v>
      </c>
      <c r="P93" s="13" t="str">
        <f>_xll.BDH("ITCI US Equity","ARDR_CONTRACTUAL_OBLIG_YEAR_4_5","FQ1 2022","FQ1 2022","Currency=USD","Period=FQ","BEST_FPERIOD_OVERRIDE=FQ","FILING_STATUS=MR","SCALING_FORMAT=MLN","Sort=A","Dates=H","DateFormat=P","Fill=—","Direction=H","UseDPDF=Y")</f>
        <v>—</v>
      </c>
      <c r="Q93" s="13" t="str">
        <f>_xll.BDH("ITCI US Equity","ARDR_CONTRACTUAL_OBLIG_YEAR_4_5","FQ2 2022","FQ2 2022","Currency=USD","Period=FQ","BEST_FPERIOD_OVERRIDE=FQ","FILING_STATUS=MR","SCALING_FORMAT=MLN","Sort=A","Dates=H","DateFormat=P","Fill=—","Direction=H","UseDPDF=Y")</f>
        <v>—</v>
      </c>
      <c r="R93" s="13" t="str">
        <f>_xll.BDH("ITCI US Equity","ARDR_CONTRACTUAL_OBLIG_YEAR_4_5","FQ3 2022","FQ3 2022","Currency=USD","Period=FQ","BEST_FPERIOD_OVERRIDE=FQ","FILING_STATUS=MR","SCALING_FORMAT=MLN","Sort=A","Dates=H","DateFormat=P","Fill=—","Direction=H","UseDPDF=Y")</f>
        <v>—</v>
      </c>
      <c r="S93" s="13" t="str">
        <f>_xll.BDH("ITCI US Equity","ARDR_CONTRACTUAL_OBLIG_YEAR_4_5","FQ4 2022","FQ4 2022","Currency=USD","Period=FQ","BEST_FPERIOD_OVERRIDE=FQ","FILING_STATUS=MR","SCALING_FORMAT=MLN","Sort=A","Dates=H","DateFormat=P","Fill=—","Direction=H","UseDPDF=Y")</f>
        <v>—</v>
      </c>
      <c r="T93" s="13" t="str">
        <f>_xll.BDH("ITCI US Equity","ARDR_CONTRACTUAL_OBLIG_YEAR_4_5","FQ1 2023","FQ1 2023","Currency=USD","Period=FQ","BEST_FPERIOD_OVERRIDE=FQ","FILING_STATUS=MR","SCALING_FORMAT=MLN","Sort=A","Dates=H","DateFormat=P","Fill=—","Direction=H","UseDPDF=Y")</f>
        <v>—</v>
      </c>
      <c r="U93" s="13" t="str">
        <f>_xll.BDH("ITCI US Equity","ARDR_CONTRACTUAL_OBLIG_YEAR_4_5","FQ2 2023","FQ2 2023","Currency=USD","Period=FQ","BEST_FPERIOD_OVERRIDE=FQ","FILING_STATUS=MR","SCALING_FORMAT=MLN","Sort=A","Dates=H","DateFormat=P","Fill=—","Direction=H","UseDPDF=Y")</f>
        <v>—</v>
      </c>
      <c r="V93" s="13" t="str">
        <f>_xll.BDH("ITCI US Equity","ARDR_CONTRACTUAL_OBLIG_YEAR_4_5","FQ3 2023","FQ3 2023","Currency=USD","Period=FQ","BEST_FPERIOD_OVERRIDE=FQ","FILING_STATUS=MR","SCALING_FORMAT=MLN","Sort=A","Dates=H","DateFormat=P","Fill=—","Direction=H","UseDPDF=Y")</f>
        <v>—</v>
      </c>
      <c r="W93" s="13" t="str">
        <f>_xll.BDH("ITCI US Equity","ARDR_CONTRACTUAL_OBLIG_YEAR_4_5","FQ4 2023","FQ4 2023","Currency=USD","Period=FQ","BEST_FPERIOD_OVERRIDE=FQ","FILING_STATUS=MR","SCALING_FORMAT=MLN","Sort=A","Dates=H","DateFormat=P","Fill=—","Direction=H","UseDPDF=Y")</f>
        <v>—</v>
      </c>
      <c r="X93" s="13" t="str">
        <f>_xll.BDH("ITCI US Equity","ARDR_CONTRACTUAL_OBLIG_YEAR_4_5","FQ1 2024","FQ1 2024","Currency=USD","Period=FQ","BEST_FPERIOD_OVERRIDE=FQ","FILING_STATUS=MR","SCALING_FORMAT=MLN","Sort=A","Dates=H","DateFormat=P","Fill=—","Direction=H","UseDPDF=Y")</f>
        <v>—</v>
      </c>
      <c r="Y93" s="13" t="str">
        <f>_xll.BDH("ITCI US Equity","ARDR_CONTRACTUAL_OBLIG_YEAR_4_5","FQ2 2024","FQ2 2024","Currency=USD","Period=FQ","BEST_FPERIOD_OVERRIDE=FQ","FILING_STATUS=MR","SCALING_FORMAT=MLN","Sort=A","Dates=H","DateFormat=P","Fill=—","Direction=H","UseDPDF=Y")</f>
        <v>—</v>
      </c>
      <c r="Z93" s="13" t="str">
        <f>_xll.BDH("ITCI US Equity","ARDR_CONTRACTUAL_OBLIG_YEAR_4_5","FQ3 2024","FQ3 2024","Currency=USD","Period=FQ","BEST_FPERIOD_OVERRIDE=FQ","FILING_STATUS=MR","SCALING_FORMAT=MLN","Sort=A","Dates=H","DateFormat=P","Fill=—","Direction=H","UseDPDF=Y")</f>
        <v>—</v>
      </c>
      <c r="AA93" s="13" t="str">
        <f>_xll.BDH("ITCI US Equity","ARDR_CONTRACTUAL_OBLIG_YEAR_4_5","FQ4 2024","FQ4 2024","Currency=USD","Period=FQ","BEST_FPERIOD_OVERRIDE=FQ","FILING_STATUS=MR","SCALING_FORMAT=MLN","Sort=A","Dates=H","DateFormat=P","Fill=—","Direction=H","UseDPDF=Y")</f>
        <v>—</v>
      </c>
    </row>
    <row r="94" spans="1:27" x14ac:dyDescent="0.25">
      <c r="A94" s="10" t="s">
        <v>834</v>
      </c>
      <c r="B94" s="10" t="s">
        <v>835</v>
      </c>
      <c r="C94" s="13">
        <f>_xll.BDH("ITCI US Equity","ARDR_CONT_OBLIG_BEYOND_YEAR_5","FQ4 2018","FQ4 2018","Currency=USD","Period=FQ","BEST_FPERIOD_OVERRIDE=FQ","FILING_STATUS=MR","SCALING_FORMAT=MLN","Sort=A","Dates=H","DateFormat=P","Fill=—","Direction=H","UseDPDF=Y")</f>
        <v>15.242000000000001</v>
      </c>
      <c r="D94" s="13" t="str">
        <f>_xll.BDH("ITCI US Equity","ARDR_CONT_OBLIG_BEYOND_YEAR_5","FQ1 2019","FQ1 2019","Currency=USD","Period=FQ","BEST_FPERIOD_OVERRIDE=FQ","FILING_STATUS=MR","SCALING_FORMAT=MLN","Sort=A","Dates=H","DateFormat=P","Fill=—","Direction=H","UseDPDF=Y")</f>
        <v>—</v>
      </c>
      <c r="E94" s="13" t="str">
        <f>_xll.BDH("ITCI US Equity","ARDR_CONT_OBLIG_BEYOND_YEAR_5","FQ2 2019","FQ2 2019","Currency=USD","Period=FQ","BEST_FPERIOD_OVERRIDE=FQ","FILING_STATUS=MR","SCALING_FORMAT=MLN","Sort=A","Dates=H","DateFormat=P","Fill=—","Direction=H","UseDPDF=Y")</f>
        <v>—</v>
      </c>
      <c r="F94" s="13" t="str">
        <f>_xll.BDH("ITCI US Equity","ARDR_CONT_OBLIG_BEYOND_YEAR_5","FQ3 2019","FQ3 2019","Currency=USD","Period=FQ","BEST_FPERIOD_OVERRIDE=FQ","FILING_STATUS=MR","SCALING_FORMAT=MLN","Sort=A","Dates=H","DateFormat=P","Fill=—","Direction=H","UseDPDF=Y")</f>
        <v>—</v>
      </c>
      <c r="G94" s="13">
        <f>_xll.BDH("ITCI US Equity","ARDR_CONT_OBLIG_BEYOND_YEAR_5","FQ4 2019","FQ4 2019","Currency=USD","Period=FQ","BEST_FPERIOD_OVERRIDE=FQ","FILING_STATUS=MR","SCALING_FORMAT=MLN","Sort=A","Dates=H","DateFormat=P","Fill=—","Direction=H","UseDPDF=Y")</f>
        <v>13.84</v>
      </c>
      <c r="H94" s="13" t="str">
        <f>_xll.BDH("ITCI US Equity","ARDR_CONT_OBLIG_BEYOND_YEAR_5","FQ1 2020","FQ1 2020","Currency=USD","Period=FQ","BEST_FPERIOD_OVERRIDE=FQ","FILING_STATUS=MR","SCALING_FORMAT=MLN","Sort=A","Dates=H","DateFormat=P","Fill=—","Direction=H","UseDPDF=Y")</f>
        <v>—</v>
      </c>
      <c r="I94" s="13" t="str">
        <f>_xll.BDH("ITCI US Equity","ARDR_CONT_OBLIG_BEYOND_YEAR_5","FQ2 2020","FQ2 2020","Currency=USD","Period=FQ","BEST_FPERIOD_OVERRIDE=FQ","FILING_STATUS=MR","SCALING_FORMAT=MLN","Sort=A","Dates=H","DateFormat=P","Fill=—","Direction=H","UseDPDF=Y")</f>
        <v>—</v>
      </c>
      <c r="J94" s="13" t="str">
        <f>_xll.BDH("ITCI US Equity","ARDR_CONT_OBLIG_BEYOND_YEAR_5","FQ3 2020","FQ3 2020","Currency=USD","Period=FQ","BEST_FPERIOD_OVERRIDE=FQ","FILING_STATUS=MR","SCALING_FORMAT=MLN","Sort=A","Dates=H","DateFormat=P","Fill=—","Direction=H","UseDPDF=Y")</f>
        <v>—</v>
      </c>
      <c r="K94" s="13" t="str">
        <f>_xll.BDH("ITCI US Equity","ARDR_CONT_OBLIG_BEYOND_YEAR_5","FQ4 2020","FQ4 2020","Currency=USD","Period=FQ","BEST_FPERIOD_OVERRIDE=FQ","FILING_STATUS=MR","SCALING_FORMAT=MLN","Sort=A","Dates=H","DateFormat=P","Fill=—","Direction=H","UseDPDF=Y")</f>
        <v>—</v>
      </c>
      <c r="L94" s="13" t="str">
        <f>_xll.BDH("ITCI US Equity","ARDR_CONT_OBLIG_BEYOND_YEAR_5","FQ1 2021","FQ1 2021","Currency=USD","Period=FQ","BEST_FPERIOD_OVERRIDE=FQ","FILING_STATUS=MR","SCALING_FORMAT=MLN","Sort=A","Dates=H","DateFormat=P","Fill=—","Direction=H","UseDPDF=Y")</f>
        <v>—</v>
      </c>
      <c r="M94" s="13" t="str">
        <f>_xll.BDH("ITCI US Equity","ARDR_CONT_OBLIG_BEYOND_YEAR_5","FQ2 2021","FQ2 2021","Currency=USD","Period=FQ","BEST_FPERIOD_OVERRIDE=FQ","FILING_STATUS=MR","SCALING_FORMAT=MLN","Sort=A","Dates=H","DateFormat=P","Fill=—","Direction=H","UseDPDF=Y")</f>
        <v>—</v>
      </c>
      <c r="N94" s="13" t="str">
        <f>_xll.BDH("ITCI US Equity","ARDR_CONT_OBLIG_BEYOND_YEAR_5","FQ3 2021","FQ3 2021","Currency=USD","Period=FQ","BEST_FPERIOD_OVERRIDE=FQ","FILING_STATUS=MR","SCALING_FORMAT=MLN","Sort=A","Dates=H","DateFormat=P","Fill=—","Direction=H","UseDPDF=Y")</f>
        <v>—</v>
      </c>
      <c r="O94" s="13" t="str">
        <f>_xll.BDH("ITCI US Equity","ARDR_CONT_OBLIG_BEYOND_YEAR_5","FQ4 2021","FQ4 2021","Currency=USD","Period=FQ","BEST_FPERIOD_OVERRIDE=FQ","FILING_STATUS=MR","SCALING_FORMAT=MLN","Sort=A","Dates=H","DateFormat=P","Fill=—","Direction=H","UseDPDF=Y")</f>
        <v>—</v>
      </c>
      <c r="P94" s="13" t="str">
        <f>_xll.BDH("ITCI US Equity","ARDR_CONT_OBLIG_BEYOND_YEAR_5","FQ1 2022","FQ1 2022","Currency=USD","Period=FQ","BEST_FPERIOD_OVERRIDE=FQ","FILING_STATUS=MR","SCALING_FORMAT=MLN","Sort=A","Dates=H","DateFormat=P","Fill=—","Direction=H","UseDPDF=Y")</f>
        <v>—</v>
      </c>
      <c r="Q94" s="13" t="str">
        <f>_xll.BDH("ITCI US Equity","ARDR_CONT_OBLIG_BEYOND_YEAR_5","FQ2 2022","FQ2 2022","Currency=USD","Period=FQ","BEST_FPERIOD_OVERRIDE=FQ","FILING_STATUS=MR","SCALING_FORMAT=MLN","Sort=A","Dates=H","DateFormat=P","Fill=—","Direction=H","UseDPDF=Y")</f>
        <v>—</v>
      </c>
      <c r="R94" s="13" t="str">
        <f>_xll.BDH("ITCI US Equity","ARDR_CONT_OBLIG_BEYOND_YEAR_5","FQ3 2022","FQ3 2022","Currency=USD","Period=FQ","BEST_FPERIOD_OVERRIDE=FQ","FILING_STATUS=MR","SCALING_FORMAT=MLN","Sort=A","Dates=H","DateFormat=P","Fill=—","Direction=H","UseDPDF=Y")</f>
        <v>—</v>
      </c>
      <c r="S94" s="13" t="str">
        <f>_xll.BDH("ITCI US Equity","ARDR_CONT_OBLIG_BEYOND_YEAR_5","FQ4 2022","FQ4 2022","Currency=USD","Period=FQ","BEST_FPERIOD_OVERRIDE=FQ","FILING_STATUS=MR","SCALING_FORMAT=MLN","Sort=A","Dates=H","DateFormat=P","Fill=—","Direction=H","UseDPDF=Y")</f>
        <v>—</v>
      </c>
      <c r="T94" s="13" t="str">
        <f>_xll.BDH("ITCI US Equity","ARDR_CONT_OBLIG_BEYOND_YEAR_5","FQ1 2023","FQ1 2023","Currency=USD","Period=FQ","BEST_FPERIOD_OVERRIDE=FQ","FILING_STATUS=MR","SCALING_FORMAT=MLN","Sort=A","Dates=H","DateFormat=P","Fill=—","Direction=H","UseDPDF=Y")</f>
        <v>—</v>
      </c>
      <c r="U94" s="13" t="str">
        <f>_xll.BDH("ITCI US Equity","ARDR_CONT_OBLIG_BEYOND_YEAR_5","FQ2 2023","FQ2 2023","Currency=USD","Period=FQ","BEST_FPERIOD_OVERRIDE=FQ","FILING_STATUS=MR","SCALING_FORMAT=MLN","Sort=A","Dates=H","DateFormat=P","Fill=—","Direction=H","UseDPDF=Y")</f>
        <v>—</v>
      </c>
      <c r="V94" s="13" t="str">
        <f>_xll.BDH("ITCI US Equity","ARDR_CONT_OBLIG_BEYOND_YEAR_5","FQ3 2023","FQ3 2023","Currency=USD","Period=FQ","BEST_FPERIOD_OVERRIDE=FQ","FILING_STATUS=MR","SCALING_FORMAT=MLN","Sort=A","Dates=H","DateFormat=P","Fill=—","Direction=H","UseDPDF=Y")</f>
        <v>—</v>
      </c>
      <c r="W94" s="13" t="str">
        <f>_xll.BDH("ITCI US Equity","ARDR_CONT_OBLIG_BEYOND_YEAR_5","FQ4 2023","FQ4 2023","Currency=USD","Period=FQ","BEST_FPERIOD_OVERRIDE=FQ","FILING_STATUS=MR","SCALING_FORMAT=MLN","Sort=A","Dates=H","DateFormat=P","Fill=—","Direction=H","UseDPDF=Y")</f>
        <v>—</v>
      </c>
      <c r="X94" s="13" t="str">
        <f>_xll.BDH("ITCI US Equity","ARDR_CONT_OBLIG_BEYOND_YEAR_5","FQ1 2024","FQ1 2024","Currency=USD","Period=FQ","BEST_FPERIOD_OVERRIDE=FQ","FILING_STATUS=MR","SCALING_FORMAT=MLN","Sort=A","Dates=H","DateFormat=P","Fill=—","Direction=H","UseDPDF=Y")</f>
        <v>—</v>
      </c>
      <c r="Y94" s="13" t="str">
        <f>_xll.BDH("ITCI US Equity","ARDR_CONT_OBLIG_BEYOND_YEAR_5","FQ2 2024","FQ2 2024","Currency=USD","Period=FQ","BEST_FPERIOD_OVERRIDE=FQ","FILING_STATUS=MR","SCALING_FORMAT=MLN","Sort=A","Dates=H","DateFormat=P","Fill=—","Direction=H","UseDPDF=Y")</f>
        <v>—</v>
      </c>
      <c r="Z94" s="13" t="str">
        <f>_xll.BDH("ITCI US Equity","ARDR_CONT_OBLIG_BEYOND_YEAR_5","FQ3 2024","FQ3 2024","Currency=USD","Period=FQ","BEST_FPERIOD_OVERRIDE=FQ","FILING_STATUS=MR","SCALING_FORMAT=MLN","Sort=A","Dates=H","DateFormat=P","Fill=—","Direction=H","UseDPDF=Y")</f>
        <v>—</v>
      </c>
      <c r="AA94" s="13" t="str">
        <f>_xll.BDH("ITCI US Equity","ARDR_CONT_OBLIG_BEYOND_YEAR_5","FQ4 2024","FQ4 2024","Currency=USD","Period=FQ","BEST_FPERIOD_OVERRIDE=FQ","FILING_STATUS=MR","SCALING_FORMAT=MLN","Sort=A","Dates=H","DateFormat=P","Fill=—","Direction=H","UseDPDF=Y")</f>
        <v>—</v>
      </c>
    </row>
    <row r="95" spans="1:27" x14ac:dyDescent="0.25">
      <c r="A95" s="10" t="s">
        <v>836</v>
      </c>
      <c r="B95" s="10" t="s">
        <v>837</v>
      </c>
      <c r="C95" s="13">
        <f>_xll.BDH("ITCI US Equity","ARDR_CONTRACTUAL_OBLIG_TOTAL","FQ4 2018","FQ4 2018","Currency=USD","Period=FQ","BEST_FPERIOD_OVERRIDE=FQ","FILING_STATUS=MR","SCALING_FORMAT=MLN","Sort=A","Dates=H","DateFormat=P","Fill=—","Direction=H","UseDPDF=Y")</f>
        <v>33.405999999999999</v>
      </c>
      <c r="D95" s="13" t="str">
        <f>_xll.BDH("ITCI US Equity","ARDR_CONTRACTUAL_OBLIG_TOTAL","FQ1 2019","FQ1 2019","Currency=USD","Period=FQ","BEST_FPERIOD_OVERRIDE=FQ","FILING_STATUS=MR","SCALING_FORMAT=MLN","Sort=A","Dates=H","DateFormat=P","Fill=—","Direction=H","UseDPDF=Y")</f>
        <v>—</v>
      </c>
      <c r="E95" s="13" t="str">
        <f>_xll.BDH("ITCI US Equity","ARDR_CONTRACTUAL_OBLIG_TOTAL","FQ2 2019","FQ2 2019","Currency=USD","Period=FQ","BEST_FPERIOD_OVERRIDE=FQ","FILING_STATUS=MR","SCALING_FORMAT=MLN","Sort=A","Dates=H","DateFormat=P","Fill=—","Direction=H","UseDPDF=Y")</f>
        <v>—</v>
      </c>
      <c r="F95" s="13" t="str">
        <f>_xll.BDH("ITCI US Equity","ARDR_CONTRACTUAL_OBLIG_TOTAL","FQ3 2019","FQ3 2019","Currency=USD","Period=FQ","BEST_FPERIOD_OVERRIDE=FQ","FILING_STATUS=MR","SCALING_FORMAT=MLN","Sort=A","Dates=H","DateFormat=P","Fill=—","Direction=H","UseDPDF=Y")</f>
        <v>—</v>
      </c>
      <c r="G95" s="13">
        <f>_xll.BDH("ITCI US Equity","ARDR_CONTRACTUAL_OBLIG_TOTAL","FQ4 2019","FQ4 2019","Currency=USD","Period=FQ","BEST_FPERIOD_OVERRIDE=FQ","FILING_STATUS=MR","SCALING_FORMAT=MLN","Sort=A","Dates=H","DateFormat=P","Fill=—","Direction=H","UseDPDF=Y")</f>
        <v>35.155000000000001</v>
      </c>
      <c r="H95" s="13" t="str">
        <f>_xll.BDH("ITCI US Equity","ARDR_CONTRACTUAL_OBLIG_TOTAL","FQ1 2020","FQ1 2020","Currency=USD","Period=FQ","BEST_FPERIOD_OVERRIDE=FQ","FILING_STATUS=MR","SCALING_FORMAT=MLN","Sort=A","Dates=H","DateFormat=P","Fill=—","Direction=H","UseDPDF=Y")</f>
        <v>—</v>
      </c>
      <c r="I95" s="13" t="str">
        <f>_xll.BDH("ITCI US Equity","ARDR_CONTRACTUAL_OBLIG_TOTAL","FQ2 2020","FQ2 2020","Currency=USD","Period=FQ","BEST_FPERIOD_OVERRIDE=FQ","FILING_STATUS=MR","SCALING_FORMAT=MLN","Sort=A","Dates=H","DateFormat=P","Fill=—","Direction=H","UseDPDF=Y")</f>
        <v>—</v>
      </c>
      <c r="J95" s="13" t="str">
        <f>_xll.BDH("ITCI US Equity","ARDR_CONTRACTUAL_OBLIG_TOTAL","FQ3 2020","FQ3 2020","Currency=USD","Period=FQ","BEST_FPERIOD_OVERRIDE=FQ","FILING_STATUS=MR","SCALING_FORMAT=MLN","Sort=A","Dates=H","DateFormat=P","Fill=—","Direction=H","UseDPDF=Y")</f>
        <v>—</v>
      </c>
      <c r="K95" s="13" t="str">
        <f>_xll.BDH("ITCI US Equity","ARDR_CONTRACTUAL_OBLIG_TOTAL","FQ4 2020","FQ4 2020","Currency=USD","Period=FQ","BEST_FPERIOD_OVERRIDE=FQ","FILING_STATUS=MR","SCALING_FORMAT=MLN","Sort=A","Dates=H","DateFormat=P","Fill=—","Direction=H","UseDPDF=Y")</f>
        <v>—</v>
      </c>
      <c r="L95" s="13" t="str">
        <f>_xll.BDH("ITCI US Equity","ARDR_CONTRACTUAL_OBLIG_TOTAL","FQ1 2021","FQ1 2021","Currency=USD","Period=FQ","BEST_FPERIOD_OVERRIDE=FQ","FILING_STATUS=MR","SCALING_FORMAT=MLN","Sort=A","Dates=H","DateFormat=P","Fill=—","Direction=H","UseDPDF=Y")</f>
        <v>—</v>
      </c>
      <c r="M95" s="13" t="str">
        <f>_xll.BDH("ITCI US Equity","ARDR_CONTRACTUAL_OBLIG_TOTAL","FQ2 2021","FQ2 2021","Currency=USD","Period=FQ","BEST_FPERIOD_OVERRIDE=FQ","FILING_STATUS=MR","SCALING_FORMAT=MLN","Sort=A","Dates=H","DateFormat=P","Fill=—","Direction=H","UseDPDF=Y")</f>
        <v>—</v>
      </c>
      <c r="N95" s="13" t="str">
        <f>_xll.BDH("ITCI US Equity","ARDR_CONTRACTUAL_OBLIG_TOTAL","FQ3 2021","FQ3 2021","Currency=USD","Period=FQ","BEST_FPERIOD_OVERRIDE=FQ","FILING_STATUS=MR","SCALING_FORMAT=MLN","Sort=A","Dates=H","DateFormat=P","Fill=—","Direction=H","UseDPDF=Y")</f>
        <v>—</v>
      </c>
      <c r="O95" s="13" t="str">
        <f>_xll.BDH("ITCI US Equity","ARDR_CONTRACTUAL_OBLIG_TOTAL","FQ4 2021","FQ4 2021","Currency=USD","Period=FQ","BEST_FPERIOD_OVERRIDE=FQ","FILING_STATUS=MR","SCALING_FORMAT=MLN","Sort=A","Dates=H","DateFormat=P","Fill=—","Direction=H","UseDPDF=Y")</f>
        <v>—</v>
      </c>
      <c r="P95" s="13" t="str">
        <f>_xll.BDH("ITCI US Equity","ARDR_CONTRACTUAL_OBLIG_TOTAL","FQ1 2022","FQ1 2022","Currency=USD","Period=FQ","BEST_FPERIOD_OVERRIDE=FQ","FILING_STATUS=MR","SCALING_FORMAT=MLN","Sort=A","Dates=H","DateFormat=P","Fill=—","Direction=H","UseDPDF=Y")</f>
        <v>—</v>
      </c>
      <c r="Q95" s="13" t="str">
        <f>_xll.BDH("ITCI US Equity","ARDR_CONTRACTUAL_OBLIG_TOTAL","FQ2 2022","FQ2 2022","Currency=USD","Period=FQ","BEST_FPERIOD_OVERRIDE=FQ","FILING_STATUS=MR","SCALING_FORMAT=MLN","Sort=A","Dates=H","DateFormat=P","Fill=—","Direction=H","UseDPDF=Y")</f>
        <v>—</v>
      </c>
      <c r="R95" s="13" t="str">
        <f>_xll.BDH("ITCI US Equity","ARDR_CONTRACTUAL_OBLIG_TOTAL","FQ3 2022","FQ3 2022","Currency=USD","Period=FQ","BEST_FPERIOD_OVERRIDE=FQ","FILING_STATUS=MR","SCALING_FORMAT=MLN","Sort=A","Dates=H","DateFormat=P","Fill=—","Direction=H","UseDPDF=Y")</f>
        <v>—</v>
      </c>
      <c r="S95" s="13" t="str">
        <f>_xll.BDH("ITCI US Equity","ARDR_CONTRACTUAL_OBLIG_TOTAL","FQ4 2022","FQ4 2022","Currency=USD","Period=FQ","BEST_FPERIOD_OVERRIDE=FQ","FILING_STATUS=MR","SCALING_FORMAT=MLN","Sort=A","Dates=H","DateFormat=P","Fill=—","Direction=H","UseDPDF=Y")</f>
        <v>—</v>
      </c>
      <c r="T95" s="13" t="str">
        <f>_xll.BDH("ITCI US Equity","ARDR_CONTRACTUAL_OBLIG_TOTAL","FQ1 2023","FQ1 2023","Currency=USD","Period=FQ","BEST_FPERIOD_OVERRIDE=FQ","FILING_STATUS=MR","SCALING_FORMAT=MLN","Sort=A","Dates=H","DateFormat=P","Fill=—","Direction=H","UseDPDF=Y")</f>
        <v>—</v>
      </c>
      <c r="U95" s="13" t="str">
        <f>_xll.BDH("ITCI US Equity","ARDR_CONTRACTUAL_OBLIG_TOTAL","FQ2 2023","FQ2 2023","Currency=USD","Period=FQ","BEST_FPERIOD_OVERRIDE=FQ","FILING_STATUS=MR","SCALING_FORMAT=MLN","Sort=A","Dates=H","DateFormat=P","Fill=—","Direction=H","UseDPDF=Y")</f>
        <v>—</v>
      </c>
      <c r="V95" s="13" t="str">
        <f>_xll.BDH("ITCI US Equity","ARDR_CONTRACTUAL_OBLIG_TOTAL","FQ3 2023","FQ3 2023","Currency=USD","Period=FQ","BEST_FPERIOD_OVERRIDE=FQ","FILING_STATUS=MR","SCALING_FORMAT=MLN","Sort=A","Dates=H","DateFormat=P","Fill=—","Direction=H","UseDPDF=Y")</f>
        <v>—</v>
      </c>
      <c r="W95" s="13" t="str">
        <f>_xll.BDH("ITCI US Equity","ARDR_CONTRACTUAL_OBLIG_TOTAL","FQ4 2023","FQ4 2023","Currency=USD","Period=FQ","BEST_FPERIOD_OVERRIDE=FQ","FILING_STATUS=MR","SCALING_FORMAT=MLN","Sort=A","Dates=H","DateFormat=P","Fill=—","Direction=H","UseDPDF=Y")</f>
        <v>—</v>
      </c>
      <c r="X95" s="13" t="str">
        <f>_xll.BDH("ITCI US Equity","ARDR_CONTRACTUAL_OBLIG_TOTAL","FQ1 2024","FQ1 2024","Currency=USD","Period=FQ","BEST_FPERIOD_OVERRIDE=FQ","FILING_STATUS=MR","SCALING_FORMAT=MLN","Sort=A","Dates=H","DateFormat=P","Fill=—","Direction=H","UseDPDF=Y")</f>
        <v>—</v>
      </c>
      <c r="Y95" s="13" t="str">
        <f>_xll.BDH("ITCI US Equity","ARDR_CONTRACTUAL_OBLIG_TOTAL","FQ2 2024","FQ2 2024","Currency=USD","Period=FQ","BEST_FPERIOD_OVERRIDE=FQ","FILING_STATUS=MR","SCALING_FORMAT=MLN","Sort=A","Dates=H","DateFormat=P","Fill=—","Direction=H","UseDPDF=Y")</f>
        <v>—</v>
      </c>
      <c r="Z95" s="13" t="str">
        <f>_xll.BDH("ITCI US Equity","ARDR_CONTRACTUAL_OBLIG_TOTAL","FQ3 2024","FQ3 2024","Currency=USD","Period=FQ","BEST_FPERIOD_OVERRIDE=FQ","FILING_STATUS=MR","SCALING_FORMAT=MLN","Sort=A","Dates=H","DateFormat=P","Fill=—","Direction=H","UseDPDF=Y")</f>
        <v>—</v>
      </c>
      <c r="AA95" s="13" t="str">
        <f>_xll.BDH("ITCI US Equity","ARDR_CONTRACTUAL_OBLIG_TOTAL","FQ4 2024","FQ4 2024","Currency=USD","Period=FQ","BEST_FPERIOD_OVERRIDE=FQ","FILING_STATUS=MR","SCALING_FORMAT=MLN","Sort=A","Dates=H","DateFormat=P","Fill=—","Direction=H","UseDPDF=Y")</f>
        <v>—</v>
      </c>
    </row>
    <row r="96" spans="1:27" x14ac:dyDescent="0.25">
      <c r="A96" s="10" t="s">
        <v>838</v>
      </c>
      <c r="B96" s="10" t="s">
        <v>839</v>
      </c>
      <c r="C96" s="13" t="str">
        <f>_xll.BDH("ITCI US Equity","ARDR_PV_FUTURE_MIN_OP_LEASE_OBL","FQ4 2018","FQ4 2018","Currency=USD","Period=FQ","BEST_FPERIOD_OVERRIDE=FQ","FILING_STATUS=MR","SCALING_FORMAT=MLN","Sort=A","Dates=H","DateFormat=P","Fill=—","Direction=H","UseDPDF=Y")</f>
        <v>—</v>
      </c>
      <c r="D96" s="13">
        <f>_xll.BDH("ITCI US Equity","ARDR_PV_FUTURE_MIN_OP_LEASE_OBL","FQ1 2019","FQ1 2019","Currency=USD","Period=FQ","BEST_FPERIOD_OVERRIDE=FQ","FILING_STATUS=MR","SCALING_FORMAT=MLN","Sort=A","Dates=H","DateFormat=P","Fill=—","Direction=H","UseDPDF=Y")</f>
        <v>23.732099999999999</v>
      </c>
      <c r="E96" s="13">
        <f>_xll.BDH("ITCI US Equity","ARDR_PV_FUTURE_MIN_OP_LEASE_OBL","FQ2 2019","FQ2 2019","Currency=USD","Period=FQ","BEST_FPERIOD_OVERRIDE=FQ","FILING_STATUS=MR","SCALING_FORMAT=MLN","Sort=A","Dates=H","DateFormat=P","Fill=—","Direction=H","UseDPDF=Y")</f>
        <v>22.8307</v>
      </c>
      <c r="F96" s="13">
        <f>_xll.BDH("ITCI US Equity","ARDR_PV_FUTURE_MIN_OP_LEASE_OBL","FQ3 2019","FQ3 2019","Currency=USD","Period=FQ","BEST_FPERIOD_OVERRIDE=FQ","FILING_STATUS=MR","SCALING_FORMAT=MLN","Sort=A","Dates=H","DateFormat=P","Fill=—","Direction=H","UseDPDF=Y")</f>
        <v>22.5565</v>
      </c>
      <c r="G96" s="13">
        <f>_xll.BDH("ITCI US Equity","ARDR_PV_FUTURE_MIN_OP_LEASE_OBL","FQ4 2019","FQ4 2019","Currency=USD","Period=FQ","BEST_FPERIOD_OVERRIDE=FQ","FILING_STATUS=MR","SCALING_FORMAT=MLN","Sort=A","Dates=H","DateFormat=P","Fill=—","Direction=H","UseDPDF=Y")</f>
        <v>23.142600000000002</v>
      </c>
      <c r="H96" s="13">
        <f>_xll.BDH("ITCI US Equity","ARDR_PV_FUTURE_MIN_OP_LEASE_OBL","FQ1 2020","FQ1 2020","Currency=USD","Period=FQ","BEST_FPERIOD_OVERRIDE=FQ","FILING_STATUS=MR","SCALING_FORMAT=MLN","Sort=A","Dates=H","DateFormat=P","Fill=—","Direction=H","UseDPDF=Y")</f>
        <v>22.929300000000001</v>
      </c>
      <c r="I96" s="13">
        <f>_xll.BDH("ITCI US Equity","ARDR_PV_FUTURE_MIN_OP_LEASE_OBL","FQ2 2020","FQ2 2020","Currency=USD","Period=FQ","BEST_FPERIOD_OVERRIDE=FQ","FILING_STATUS=MR","SCALING_FORMAT=MLN","Sort=A","Dates=H","DateFormat=P","Fill=—","Direction=H","UseDPDF=Y")</f>
        <v>25.132200000000001</v>
      </c>
      <c r="J96" s="13">
        <f>_xll.BDH("ITCI US Equity","ARDR_PV_FUTURE_MIN_OP_LEASE_OBL","FQ3 2020","FQ3 2020","Currency=USD","Period=FQ","BEST_FPERIOD_OVERRIDE=FQ","FILING_STATUS=MR","SCALING_FORMAT=MLN","Sort=A","Dates=H","DateFormat=P","Fill=—","Direction=H","UseDPDF=Y")</f>
        <v>29.136800000000001</v>
      </c>
      <c r="K96" s="13">
        <f>_xll.BDH("ITCI US Equity","ARDR_PV_FUTURE_MIN_OP_LEASE_OBL","FQ4 2020","FQ4 2020","Currency=USD","Period=FQ","BEST_FPERIOD_OVERRIDE=FQ","FILING_STATUS=MR","SCALING_FORMAT=MLN","Sort=A","Dates=H","DateFormat=P","Fill=—","Direction=H","UseDPDF=Y")</f>
        <v>29.142099999999999</v>
      </c>
      <c r="L96" s="13">
        <f>_xll.BDH("ITCI US Equity","ARDR_PV_FUTURE_MIN_OP_LEASE_OBL","FQ1 2021","FQ1 2021","Currency=USD","Period=FQ","BEST_FPERIOD_OVERRIDE=FQ","FILING_STATUS=MR","SCALING_FORMAT=MLN","Sort=A","Dates=H","DateFormat=P","Fill=—","Direction=H","UseDPDF=Y")</f>
        <v>28.2103</v>
      </c>
      <c r="M96" s="13">
        <f>_xll.BDH("ITCI US Equity","ARDR_PV_FUTURE_MIN_OP_LEASE_OBL","FQ2 2021","FQ2 2021","Currency=USD","Period=FQ","BEST_FPERIOD_OVERRIDE=FQ","FILING_STATUS=MR","SCALING_FORMAT=MLN","Sort=A","Dates=H","DateFormat=P","Fill=—","Direction=H","UseDPDF=Y")</f>
        <v>27.283899999999999</v>
      </c>
      <c r="N96" s="13">
        <f>_xll.BDH("ITCI US Equity","ARDR_PV_FUTURE_MIN_OP_LEASE_OBL","FQ3 2021","FQ3 2021","Currency=USD","Period=FQ","BEST_FPERIOD_OVERRIDE=FQ","FILING_STATUS=MR","SCALING_FORMAT=MLN","Sort=A","Dates=H","DateFormat=P","Fill=—","Direction=H","UseDPDF=Y")</f>
        <v>23.083300000000001</v>
      </c>
      <c r="O96" s="13">
        <f>_xll.BDH("ITCI US Equity","ARDR_PV_FUTURE_MIN_OP_LEASE_OBL","FQ4 2021","FQ4 2021","Currency=USD","Period=FQ","BEST_FPERIOD_OVERRIDE=FQ","FILING_STATUS=MR","SCALING_FORMAT=MLN","Sort=A","Dates=H","DateFormat=P","Fill=—","Direction=H","UseDPDF=Y")</f>
        <v>25.406700000000001</v>
      </c>
      <c r="P96" s="13">
        <f>_xll.BDH("ITCI US Equity","ARDR_PV_FUTURE_MIN_OP_LEASE_OBL","FQ1 2022","FQ1 2022","Currency=USD","Period=FQ","BEST_FPERIOD_OVERRIDE=FQ","FILING_STATUS=MR","SCALING_FORMAT=MLN","Sort=A","Dates=H","DateFormat=P","Fill=—","Direction=H","UseDPDF=Y")</f>
        <v>4.492</v>
      </c>
      <c r="Q96" s="13" t="str">
        <f>_xll.BDH("ITCI US Equity","ARDR_PV_FUTURE_MIN_OP_LEASE_OBL","FQ2 2022","FQ2 2022","Currency=USD","Period=FQ","BEST_FPERIOD_OVERRIDE=FQ","FILING_STATUS=MR","SCALING_FORMAT=MLN","Sort=A","Dates=H","DateFormat=P","Fill=—","Direction=H","UseDPDF=Y")</f>
        <v>—</v>
      </c>
      <c r="R96" s="13" t="str">
        <f>_xll.BDH("ITCI US Equity","ARDR_PV_FUTURE_MIN_OP_LEASE_OBL","FQ3 2022","FQ3 2022","Currency=USD","Period=FQ","BEST_FPERIOD_OVERRIDE=FQ","FILING_STATUS=MR","SCALING_FORMAT=MLN","Sort=A","Dates=H","DateFormat=P","Fill=—","Direction=H","UseDPDF=Y")</f>
        <v>—</v>
      </c>
      <c r="S96" s="13" t="str">
        <f>_xll.BDH("ITCI US Equity","ARDR_PV_FUTURE_MIN_OP_LEASE_OBL","FQ4 2022","FQ4 2022","Currency=USD","Period=FQ","BEST_FPERIOD_OVERRIDE=FQ","FILING_STATUS=MR","SCALING_FORMAT=MLN","Sort=A","Dates=H","DateFormat=P","Fill=—","Direction=H","UseDPDF=Y")</f>
        <v>—</v>
      </c>
      <c r="T96" s="13">
        <f>_xll.BDH("ITCI US Equity","ARDR_PV_FUTURE_MIN_OP_LEASE_OBL","FQ1 2023","FQ1 2023","Currency=USD","Period=FQ","BEST_FPERIOD_OVERRIDE=FQ","FILING_STATUS=MR","SCALING_FORMAT=MLN","Sort=A","Dates=H","DateFormat=P","Fill=—","Direction=H","UseDPDF=Y")</f>
        <v>18.492000000000001</v>
      </c>
      <c r="U96" s="13" t="str">
        <f>_xll.BDH("ITCI US Equity","ARDR_PV_FUTURE_MIN_OP_LEASE_OBL","FQ2 2023","FQ2 2023","Currency=USD","Period=FQ","BEST_FPERIOD_OVERRIDE=FQ","FILING_STATUS=MR","SCALING_FORMAT=MLN","Sort=A","Dates=H","DateFormat=P","Fill=—","Direction=H","UseDPDF=Y")</f>
        <v>—</v>
      </c>
      <c r="V96" s="13" t="str">
        <f>_xll.BDH("ITCI US Equity","ARDR_PV_FUTURE_MIN_OP_LEASE_OBL","FQ3 2023","FQ3 2023","Currency=USD","Period=FQ","BEST_FPERIOD_OVERRIDE=FQ","FILING_STATUS=MR","SCALING_FORMAT=MLN","Sort=A","Dates=H","DateFormat=P","Fill=—","Direction=H","UseDPDF=Y")</f>
        <v>—</v>
      </c>
      <c r="W96" s="13" t="str">
        <f>_xll.BDH("ITCI US Equity","ARDR_PV_FUTURE_MIN_OP_LEASE_OBL","FQ4 2023","FQ4 2023","Currency=USD","Period=FQ","BEST_FPERIOD_OVERRIDE=FQ","FILING_STATUS=MR","SCALING_FORMAT=MLN","Sort=A","Dates=H","DateFormat=P","Fill=—","Direction=H","UseDPDF=Y")</f>
        <v>—</v>
      </c>
      <c r="X96" s="13">
        <f>_xll.BDH("ITCI US Equity","ARDR_PV_FUTURE_MIN_OP_LEASE_OBL","FQ1 2024","FQ1 2024","Currency=USD","Period=FQ","BEST_FPERIOD_OVERRIDE=FQ","FILING_STATUS=MR","SCALING_FORMAT=MLN","Sort=A","Dates=H","DateFormat=P","Fill=—","Direction=H","UseDPDF=Y")</f>
        <v>16.376000000000001</v>
      </c>
      <c r="Y96" s="13">
        <f>_xll.BDH("ITCI US Equity","ARDR_PV_FUTURE_MIN_OP_LEASE_OBL","FQ2 2024","FQ2 2024","Currency=USD","Period=FQ","BEST_FPERIOD_OVERRIDE=FQ","FILING_STATUS=MR","SCALING_FORMAT=MLN","Sort=A","Dates=H","DateFormat=P","Fill=—","Direction=H","UseDPDF=Y")</f>
        <v>18.288</v>
      </c>
      <c r="Z96" s="13" t="str">
        <f>_xll.BDH("ITCI US Equity","ARDR_PV_FUTURE_MIN_OP_LEASE_OBL","FQ3 2024","FQ3 2024","Currency=USD","Period=FQ","BEST_FPERIOD_OVERRIDE=FQ","FILING_STATUS=MR","SCALING_FORMAT=MLN","Sort=A","Dates=H","DateFormat=P","Fill=—","Direction=H","UseDPDF=Y")</f>
        <v>—</v>
      </c>
      <c r="AA96" s="13" t="str">
        <f>_xll.BDH("ITCI US Equity","ARDR_PV_FUTURE_MIN_OP_LEASE_OBL","FQ4 2024","FQ4 2024","Currency=USD","Period=FQ","BEST_FPERIOD_OVERRIDE=FQ","FILING_STATUS=MR","SCALING_FORMAT=MLN","Sort=A","Dates=H","DateFormat=P","Fill=—","Direction=H","UseDPDF=Y")</f>
        <v>—</v>
      </c>
    </row>
    <row r="97" spans="1:27" x14ac:dyDescent="0.25">
      <c r="A97" s="10" t="s">
        <v>840</v>
      </c>
      <c r="B97" s="10" t="s">
        <v>841</v>
      </c>
      <c r="C97" s="14">
        <f>_xll.BDH("ITCI US Equity","ARDR_STOCK_OPTION_VAL_RFR","FQ4 2018","FQ4 2018","Currency=USD","Period=FQ","BEST_FPERIOD_OVERRIDE=FQ","FILING_STATUS=MR","Sort=A","Dates=H","DateFormat=P","Fill=—","Direction=H","UseDPDF=Y")</f>
        <v>2.48</v>
      </c>
      <c r="D97" s="14">
        <f>_xll.BDH("ITCI US Equity","ARDR_STOCK_OPTION_VAL_RFR","FQ1 2019","FQ1 2019","Currency=USD","Period=FQ","BEST_FPERIOD_OVERRIDE=FQ","FILING_STATUS=MR","Sort=A","Dates=H","DateFormat=P","Fill=—","Direction=H","UseDPDF=Y")</f>
        <v>2.52</v>
      </c>
      <c r="E97" s="14">
        <f>_xll.BDH("ITCI US Equity","ARDR_STOCK_OPTION_VAL_RFR","FQ2 2019","FQ2 2019","Currency=USD","Period=FQ","BEST_FPERIOD_OVERRIDE=FQ","FILING_STATUS=MR","Sort=A","Dates=H","DateFormat=P","Fill=—","Direction=H","UseDPDF=Y")</f>
        <v>2.33</v>
      </c>
      <c r="F97" s="14">
        <f>_xll.BDH("ITCI US Equity","ARDR_STOCK_OPTION_VAL_RFR","FQ3 2019","FQ3 2019","Currency=USD","Period=FQ","BEST_FPERIOD_OVERRIDE=FQ","FILING_STATUS=MR","Sort=A","Dates=H","DateFormat=P","Fill=—","Direction=H","UseDPDF=Y")</f>
        <v>2.3199999999999998</v>
      </c>
      <c r="G97" s="14">
        <f>_xll.BDH("ITCI US Equity","ARDR_STOCK_OPTION_VAL_RFR","FQ4 2019","FQ4 2019","Currency=USD","Period=FQ","BEST_FPERIOD_OVERRIDE=FQ","FILING_STATUS=MR","Sort=A","Dates=H","DateFormat=P","Fill=—","Direction=H","UseDPDF=Y")</f>
        <v>2.3199999999999998</v>
      </c>
      <c r="H97" s="14">
        <f>_xll.BDH("ITCI US Equity","ARDR_STOCK_OPTION_VAL_RFR","FQ1 2020","FQ1 2020","Currency=USD","Period=FQ","BEST_FPERIOD_OVERRIDE=FQ","FILING_STATUS=MR","Sort=A","Dates=H","DateFormat=P","Fill=—","Direction=H","UseDPDF=Y")</f>
        <v>1.42</v>
      </c>
      <c r="I97" s="14">
        <f>_xll.BDH("ITCI US Equity","ARDR_STOCK_OPTION_VAL_RFR","FQ2 2020","FQ2 2020","Currency=USD","Period=FQ","BEST_FPERIOD_OVERRIDE=FQ","FILING_STATUS=MR","Sort=A","Dates=H","DateFormat=P","Fill=—","Direction=H","UseDPDF=Y")</f>
        <v>1.31</v>
      </c>
      <c r="J97" s="14">
        <f>_xll.BDH("ITCI US Equity","ARDR_STOCK_OPTION_VAL_RFR","FQ3 2020","FQ3 2020","Currency=USD","Period=FQ","BEST_FPERIOD_OVERRIDE=FQ","FILING_STATUS=MR","Sort=A","Dates=H","DateFormat=P","Fill=—","Direction=H","UseDPDF=Y")</f>
        <v>1.31</v>
      </c>
      <c r="K97" s="14">
        <f>_xll.BDH("ITCI US Equity","ARDR_STOCK_OPTION_VAL_RFR","FQ4 2020","FQ4 2020","Currency=USD","Period=FQ","BEST_FPERIOD_OVERRIDE=FQ","FILING_STATUS=MR","Sort=A","Dates=H","DateFormat=P","Fill=—","Direction=H","UseDPDF=Y")</f>
        <v>1.29</v>
      </c>
      <c r="L97" s="14">
        <f>_xll.BDH("ITCI US Equity","ARDR_STOCK_OPTION_VAL_RFR","FQ1 2021","FQ1 2021","Currency=USD","Period=FQ","BEST_FPERIOD_OVERRIDE=FQ","FILING_STATUS=MR","Sort=A","Dates=H","DateFormat=P","Fill=—","Direction=H","UseDPDF=Y")</f>
        <v>0.82</v>
      </c>
      <c r="M97" s="14">
        <f>_xll.BDH("ITCI US Equity","ARDR_STOCK_OPTION_VAL_RFR","FQ2 2021","FQ2 2021","Currency=USD","Period=FQ","BEST_FPERIOD_OVERRIDE=FQ","FILING_STATUS=MR","Sort=A","Dates=H","DateFormat=P","Fill=—","Direction=H","UseDPDF=Y")</f>
        <v>0.86</v>
      </c>
      <c r="N97" s="14">
        <f>_xll.BDH("ITCI US Equity","ARDR_STOCK_OPTION_VAL_RFR","FQ3 2021","FQ3 2021","Currency=USD","Period=FQ","BEST_FPERIOD_OVERRIDE=FQ","FILING_STATUS=MR","Sort=A","Dates=H","DateFormat=P","Fill=—","Direction=H","UseDPDF=Y")</f>
        <v>0.86</v>
      </c>
      <c r="O97" s="14">
        <f>_xll.BDH("ITCI US Equity","ARDR_STOCK_OPTION_VAL_RFR","FQ4 2021","FQ4 2021","Currency=USD","Period=FQ","BEST_FPERIOD_OVERRIDE=FQ","FILING_STATUS=MR","Sort=A","Dates=H","DateFormat=P","Fill=—","Direction=H","UseDPDF=Y")</f>
        <v>0.87</v>
      </c>
      <c r="P97" s="14" t="str">
        <f>_xll.BDH("ITCI US Equity","ARDR_STOCK_OPTION_VAL_RFR","FQ1 2022","FQ1 2022","Currency=USD","Period=FQ","BEST_FPERIOD_OVERRIDE=FQ","FILING_STATUS=MR","Sort=A","Dates=H","DateFormat=P","Fill=—","Direction=H","UseDPDF=Y")</f>
        <v>—</v>
      </c>
      <c r="Q97" s="14" t="str">
        <f>_xll.BDH("ITCI US Equity","ARDR_STOCK_OPTION_VAL_RFR","FQ2 2022","FQ2 2022","Currency=USD","Period=FQ","BEST_FPERIOD_OVERRIDE=FQ","FILING_STATUS=MR","Sort=A","Dates=H","DateFormat=P","Fill=—","Direction=H","UseDPDF=Y")</f>
        <v>—</v>
      </c>
      <c r="R97" s="14" t="str">
        <f>_xll.BDH("ITCI US Equity","ARDR_STOCK_OPTION_VAL_RFR","FQ3 2022","FQ3 2022","Currency=USD","Period=FQ","BEST_FPERIOD_OVERRIDE=FQ","FILING_STATUS=MR","Sort=A","Dates=H","DateFormat=P","Fill=—","Direction=H","UseDPDF=Y")</f>
        <v>—</v>
      </c>
      <c r="S97" s="14">
        <f>_xll.BDH("ITCI US Equity","ARDR_STOCK_OPTION_VAL_RFR","FQ4 2022","FQ4 2022","Currency=USD","Period=FQ","BEST_FPERIOD_OVERRIDE=FQ","FILING_STATUS=MR","Sort=A","Dates=H","DateFormat=P","Fill=—","Direction=H","UseDPDF=Y")</f>
        <v>2.2200000000000002</v>
      </c>
      <c r="T97" s="14" t="str">
        <f>_xll.BDH("ITCI US Equity","ARDR_STOCK_OPTION_VAL_RFR","FQ1 2023","FQ1 2023","Currency=USD","Period=FQ","BEST_FPERIOD_OVERRIDE=FQ","FILING_STATUS=MR","Sort=A","Dates=H","DateFormat=P","Fill=—","Direction=H","UseDPDF=Y")</f>
        <v>—</v>
      </c>
      <c r="U97" s="14" t="str">
        <f>_xll.BDH("ITCI US Equity","ARDR_STOCK_OPTION_VAL_RFR","FQ2 2023","FQ2 2023","Currency=USD","Period=FQ","BEST_FPERIOD_OVERRIDE=FQ","FILING_STATUS=MR","Sort=A","Dates=H","DateFormat=P","Fill=—","Direction=H","UseDPDF=Y")</f>
        <v>—</v>
      </c>
      <c r="V97" s="14" t="str">
        <f>_xll.BDH("ITCI US Equity","ARDR_STOCK_OPTION_VAL_RFR","FQ3 2023","FQ3 2023","Currency=USD","Period=FQ","BEST_FPERIOD_OVERRIDE=FQ","FILING_STATUS=MR","Sort=A","Dates=H","DateFormat=P","Fill=—","Direction=H","UseDPDF=Y")</f>
        <v>—</v>
      </c>
      <c r="W97" s="14">
        <f>_xll.BDH("ITCI US Equity","ARDR_STOCK_OPTION_VAL_RFR","FQ4 2023","FQ4 2023","Currency=USD","Period=FQ","BEST_FPERIOD_OVERRIDE=FQ","FILING_STATUS=MR","Sort=A","Dates=H","DateFormat=P","Fill=—","Direction=H","UseDPDF=Y")</f>
        <v>3.92</v>
      </c>
      <c r="X97" s="14" t="str">
        <f>_xll.BDH("ITCI US Equity","ARDR_STOCK_OPTION_VAL_RFR","FQ1 2024","FQ1 2024","Currency=USD","Period=FQ","BEST_FPERIOD_OVERRIDE=FQ","FILING_STATUS=MR","Sort=A","Dates=H","DateFormat=P","Fill=—","Direction=H","UseDPDF=Y")</f>
        <v>—</v>
      </c>
      <c r="Y97" s="14" t="str">
        <f>_xll.BDH("ITCI US Equity","ARDR_STOCK_OPTION_VAL_RFR","FQ2 2024","FQ2 2024","Currency=USD","Period=FQ","BEST_FPERIOD_OVERRIDE=FQ","FILING_STATUS=MR","Sort=A","Dates=H","DateFormat=P","Fill=—","Direction=H","UseDPDF=Y")</f>
        <v>—</v>
      </c>
      <c r="Z97" s="14" t="str">
        <f>_xll.BDH("ITCI US Equity","ARDR_STOCK_OPTION_VAL_RFR","FQ3 2024","FQ3 2024","Currency=USD","Period=FQ","BEST_FPERIOD_OVERRIDE=FQ","FILING_STATUS=MR","Sort=A","Dates=H","DateFormat=P","Fill=—","Direction=H","UseDPDF=Y")</f>
        <v>—</v>
      </c>
      <c r="AA97" s="14">
        <f>_xll.BDH("ITCI US Equity","ARDR_STOCK_OPTION_VAL_RFR","FQ4 2024","FQ4 2024","Currency=USD","Period=FQ","BEST_FPERIOD_OVERRIDE=FQ","FILING_STATUS=MR","Sort=A","Dates=H","DateFormat=P","Fill=—","Direction=H","UseDPDF=Y")</f>
        <v>4.08</v>
      </c>
    </row>
    <row r="98" spans="1:27" x14ac:dyDescent="0.25">
      <c r="A98" s="10" t="s">
        <v>842</v>
      </c>
      <c r="B98" s="10" t="s">
        <v>843</v>
      </c>
      <c r="C98" s="14">
        <f>_xll.BDH("ITCI US Equity","ARDR_STOCK_OPTION_VAL_EXP_LIFE","FQ4 2018","FQ4 2018","Currency=USD","Period=FQ","BEST_FPERIOD_OVERRIDE=FQ","FILING_STATUS=MR","Sort=A","Dates=H","DateFormat=P","Fill=—","Direction=H","UseDPDF=Y")</f>
        <v>6</v>
      </c>
      <c r="D98" s="14">
        <f>_xll.BDH("ITCI US Equity","ARDR_STOCK_OPTION_VAL_EXP_LIFE","FQ1 2019","FQ1 2019","Currency=USD","Period=FQ","BEST_FPERIOD_OVERRIDE=FQ","FILING_STATUS=MR","Sort=A","Dates=H","DateFormat=P","Fill=—","Direction=H","UseDPDF=Y")</f>
        <v>6</v>
      </c>
      <c r="E98" s="14">
        <f>_xll.BDH("ITCI US Equity","ARDR_STOCK_OPTION_VAL_EXP_LIFE","FQ2 2019","FQ2 2019","Currency=USD","Period=FQ","BEST_FPERIOD_OVERRIDE=FQ","FILING_STATUS=MR","Sort=A","Dates=H","DateFormat=P","Fill=—","Direction=H","UseDPDF=Y")</f>
        <v>6</v>
      </c>
      <c r="F98" s="14">
        <f>_xll.BDH("ITCI US Equity","ARDR_STOCK_OPTION_VAL_EXP_LIFE","FQ3 2019","FQ3 2019","Currency=USD","Period=FQ","BEST_FPERIOD_OVERRIDE=FQ","FILING_STATUS=MR","Sort=A","Dates=H","DateFormat=P","Fill=—","Direction=H","UseDPDF=Y")</f>
        <v>6</v>
      </c>
      <c r="G98" s="14">
        <f>_xll.BDH("ITCI US Equity","ARDR_STOCK_OPTION_VAL_EXP_LIFE","FQ4 2019","FQ4 2019","Currency=USD","Period=FQ","BEST_FPERIOD_OVERRIDE=FQ","FILING_STATUS=MR","Sort=A","Dates=H","DateFormat=P","Fill=—","Direction=H","UseDPDF=Y")</f>
        <v>6</v>
      </c>
      <c r="H98" s="14">
        <f>_xll.BDH("ITCI US Equity","ARDR_STOCK_OPTION_VAL_EXP_LIFE","FQ1 2020","FQ1 2020","Currency=USD","Period=FQ","BEST_FPERIOD_OVERRIDE=FQ","FILING_STATUS=MR","Sort=A","Dates=H","DateFormat=P","Fill=—","Direction=H","UseDPDF=Y")</f>
        <v>6</v>
      </c>
      <c r="I98" s="14">
        <f>_xll.BDH("ITCI US Equity","ARDR_STOCK_OPTION_VAL_EXP_LIFE","FQ2 2020","FQ2 2020","Currency=USD","Period=FQ","BEST_FPERIOD_OVERRIDE=FQ","FILING_STATUS=MR","Sort=A","Dates=H","DateFormat=P","Fill=—","Direction=H","UseDPDF=Y")</f>
        <v>6</v>
      </c>
      <c r="J98" s="14">
        <f>_xll.BDH("ITCI US Equity","ARDR_STOCK_OPTION_VAL_EXP_LIFE","FQ3 2020","FQ3 2020","Currency=USD","Period=FQ","BEST_FPERIOD_OVERRIDE=FQ","FILING_STATUS=MR","Sort=A","Dates=H","DateFormat=P","Fill=—","Direction=H","UseDPDF=Y")</f>
        <v>6</v>
      </c>
      <c r="K98" s="14">
        <f>_xll.BDH("ITCI US Equity","ARDR_STOCK_OPTION_VAL_EXP_LIFE","FQ4 2020","FQ4 2020","Currency=USD","Period=FQ","BEST_FPERIOD_OVERRIDE=FQ","FILING_STATUS=MR","Sort=A","Dates=H","DateFormat=P","Fill=—","Direction=H","UseDPDF=Y")</f>
        <v>6</v>
      </c>
      <c r="L98" s="14">
        <f>_xll.BDH("ITCI US Equity","ARDR_STOCK_OPTION_VAL_EXP_LIFE","FQ1 2021","FQ1 2021","Currency=USD","Period=FQ","BEST_FPERIOD_OVERRIDE=FQ","FILING_STATUS=MR","Sort=A","Dates=H","DateFormat=P","Fill=—","Direction=H","UseDPDF=Y")</f>
        <v>6</v>
      </c>
      <c r="M98" s="14">
        <f>_xll.BDH("ITCI US Equity","ARDR_STOCK_OPTION_VAL_EXP_LIFE","FQ2 2021","FQ2 2021","Currency=USD","Period=FQ","BEST_FPERIOD_OVERRIDE=FQ","FILING_STATUS=MR","Sort=A","Dates=H","DateFormat=P","Fill=—","Direction=H","UseDPDF=Y")</f>
        <v>5.9</v>
      </c>
      <c r="N98" s="14">
        <f>_xll.BDH("ITCI US Equity","ARDR_STOCK_OPTION_VAL_EXP_LIFE","FQ3 2021","FQ3 2021","Currency=USD","Period=FQ","BEST_FPERIOD_OVERRIDE=FQ","FILING_STATUS=MR","Sort=A","Dates=H","DateFormat=P","Fill=—","Direction=H","UseDPDF=Y")</f>
        <v>5.9</v>
      </c>
      <c r="O98" s="14">
        <f>_xll.BDH("ITCI US Equity","ARDR_STOCK_OPTION_VAL_EXP_LIFE","FQ4 2021","FQ4 2021","Currency=USD","Period=FQ","BEST_FPERIOD_OVERRIDE=FQ","FILING_STATUS=MR","Sort=A","Dates=H","DateFormat=P","Fill=—","Direction=H","UseDPDF=Y")</f>
        <v>5.9</v>
      </c>
      <c r="P98" s="14" t="str">
        <f>_xll.BDH("ITCI US Equity","ARDR_STOCK_OPTION_VAL_EXP_LIFE","FQ1 2022","FQ1 2022","Currency=USD","Period=FQ","BEST_FPERIOD_OVERRIDE=FQ","FILING_STATUS=MR","Sort=A","Dates=H","DateFormat=P","Fill=—","Direction=H","UseDPDF=Y")</f>
        <v>—</v>
      </c>
      <c r="Q98" s="14" t="str">
        <f>_xll.BDH("ITCI US Equity","ARDR_STOCK_OPTION_VAL_EXP_LIFE","FQ2 2022","FQ2 2022","Currency=USD","Period=FQ","BEST_FPERIOD_OVERRIDE=FQ","FILING_STATUS=MR","Sort=A","Dates=H","DateFormat=P","Fill=—","Direction=H","UseDPDF=Y")</f>
        <v>—</v>
      </c>
      <c r="R98" s="14" t="str">
        <f>_xll.BDH("ITCI US Equity","ARDR_STOCK_OPTION_VAL_EXP_LIFE","FQ3 2022","FQ3 2022","Currency=USD","Period=FQ","BEST_FPERIOD_OVERRIDE=FQ","FILING_STATUS=MR","Sort=A","Dates=H","DateFormat=P","Fill=—","Direction=H","UseDPDF=Y")</f>
        <v>—</v>
      </c>
      <c r="S98" s="14">
        <f>_xll.BDH("ITCI US Equity","ARDR_STOCK_OPTION_VAL_EXP_LIFE","FQ4 2022","FQ4 2022","Currency=USD","Period=FQ","BEST_FPERIOD_OVERRIDE=FQ","FILING_STATUS=MR","Sort=A","Dates=H","DateFormat=P","Fill=—","Direction=H","UseDPDF=Y")</f>
        <v>5.9</v>
      </c>
      <c r="T98" s="14" t="str">
        <f>_xll.BDH("ITCI US Equity","ARDR_STOCK_OPTION_VAL_EXP_LIFE","FQ1 2023","FQ1 2023","Currency=USD","Period=FQ","BEST_FPERIOD_OVERRIDE=FQ","FILING_STATUS=MR","Sort=A","Dates=H","DateFormat=P","Fill=—","Direction=H","UseDPDF=Y")</f>
        <v>—</v>
      </c>
      <c r="U98" s="14" t="str">
        <f>_xll.BDH("ITCI US Equity","ARDR_STOCK_OPTION_VAL_EXP_LIFE","FQ2 2023","FQ2 2023","Currency=USD","Period=FQ","BEST_FPERIOD_OVERRIDE=FQ","FILING_STATUS=MR","Sort=A","Dates=H","DateFormat=P","Fill=—","Direction=H","UseDPDF=Y")</f>
        <v>—</v>
      </c>
      <c r="V98" s="14" t="str">
        <f>_xll.BDH("ITCI US Equity","ARDR_STOCK_OPTION_VAL_EXP_LIFE","FQ3 2023","FQ3 2023","Currency=USD","Period=FQ","BEST_FPERIOD_OVERRIDE=FQ","FILING_STATUS=MR","Sort=A","Dates=H","DateFormat=P","Fill=—","Direction=H","UseDPDF=Y")</f>
        <v>—</v>
      </c>
      <c r="W98" s="14">
        <f>_xll.BDH("ITCI US Equity","ARDR_STOCK_OPTION_VAL_EXP_LIFE","FQ4 2023","FQ4 2023","Currency=USD","Period=FQ","BEST_FPERIOD_OVERRIDE=FQ","FILING_STATUS=MR","Sort=A","Dates=H","DateFormat=P","Fill=—","Direction=H","UseDPDF=Y")</f>
        <v>6</v>
      </c>
      <c r="X98" s="14" t="str">
        <f>_xll.BDH("ITCI US Equity","ARDR_STOCK_OPTION_VAL_EXP_LIFE","FQ1 2024","FQ1 2024","Currency=USD","Period=FQ","BEST_FPERIOD_OVERRIDE=FQ","FILING_STATUS=MR","Sort=A","Dates=H","DateFormat=P","Fill=—","Direction=H","UseDPDF=Y")</f>
        <v>—</v>
      </c>
      <c r="Y98" s="14" t="str">
        <f>_xll.BDH("ITCI US Equity","ARDR_STOCK_OPTION_VAL_EXP_LIFE","FQ2 2024","FQ2 2024","Currency=USD","Period=FQ","BEST_FPERIOD_OVERRIDE=FQ","FILING_STATUS=MR","Sort=A","Dates=H","DateFormat=P","Fill=—","Direction=H","UseDPDF=Y")</f>
        <v>—</v>
      </c>
      <c r="Z98" s="14" t="str">
        <f>_xll.BDH("ITCI US Equity","ARDR_STOCK_OPTION_VAL_EXP_LIFE","FQ3 2024","FQ3 2024","Currency=USD","Period=FQ","BEST_FPERIOD_OVERRIDE=FQ","FILING_STATUS=MR","Sort=A","Dates=H","DateFormat=P","Fill=—","Direction=H","UseDPDF=Y")</f>
        <v>—</v>
      </c>
      <c r="AA98" s="14">
        <f>_xll.BDH("ITCI US Equity","ARDR_STOCK_OPTION_VAL_EXP_LIFE","FQ4 2024","FQ4 2024","Currency=USD","Period=FQ","BEST_FPERIOD_OVERRIDE=FQ","FILING_STATUS=MR","Sort=A","Dates=H","DateFormat=P","Fill=—","Direction=H","UseDPDF=Y")</f>
        <v>6</v>
      </c>
    </row>
    <row r="99" spans="1:27" x14ac:dyDescent="0.25">
      <c r="A99" s="10" t="s">
        <v>844</v>
      </c>
      <c r="B99" s="10" t="s">
        <v>845</v>
      </c>
      <c r="C99" s="14" t="str">
        <f>_xll.BDH("ITCI US Equity","ARDR_STOCK_OPTION_VAL_EXP_VOL","FQ4 2018","FQ4 2018","Currency=USD","Period=FQ","BEST_FPERIOD_OVERRIDE=FQ","FILING_STATUS=MR","Sort=A","Dates=H","DateFormat=P","Fill=—","Direction=H","UseDPDF=Y")</f>
        <v>—</v>
      </c>
      <c r="D99" s="14" t="str">
        <f>_xll.BDH("ITCI US Equity","ARDR_STOCK_OPTION_VAL_EXP_VOL","FQ1 2019","FQ1 2019","Currency=USD","Period=FQ","BEST_FPERIOD_OVERRIDE=FQ","FILING_STATUS=MR","Sort=A","Dates=H","DateFormat=P","Fill=—","Direction=H","UseDPDF=Y")</f>
        <v>—</v>
      </c>
      <c r="E99" s="14" t="str">
        <f>_xll.BDH("ITCI US Equity","ARDR_STOCK_OPTION_VAL_EXP_VOL","FQ2 2019","FQ2 2019","Currency=USD","Period=FQ","BEST_FPERIOD_OVERRIDE=FQ","FILING_STATUS=MR","Sort=A","Dates=H","DateFormat=P","Fill=—","Direction=H","UseDPDF=Y")</f>
        <v>—</v>
      </c>
      <c r="F99" s="14" t="str">
        <f>_xll.BDH("ITCI US Equity","ARDR_STOCK_OPTION_VAL_EXP_VOL","FQ3 2019","FQ3 2019","Currency=USD","Period=FQ","BEST_FPERIOD_OVERRIDE=FQ","FILING_STATUS=MR","Sort=A","Dates=H","DateFormat=P","Fill=—","Direction=H","UseDPDF=Y")</f>
        <v>—</v>
      </c>
      <c r="G99" s="14" t="str">
        <f>_xll.BDH("ITCI US Equity","ARDR_STOCK_OPTION_VAL_EXP_VOL","FQ4 2019","FQ4 2019","Currency=USD","Period=FQ","BEST_FPERIOD_OVERRIDE=FQ","FILING_STATUS=MR","Sort=A","Dates=H","DateFormat=P","Fill=—","Direction=H","UseDPDF=Y")</f>
        <v>—</v>
      </c>
      <c r="H99" s="14" t="str">
        <f>_xll.BDH("ITCI US Equity","ARDR_STOCK_OPTION_VAL_EXP_VOL","FQ1 2020","FQ1 2020","Currency=USD","Period=FQ","BEST_FPERIOD_OVERRIDE=FQ","FILING_STATUS=MR","Sort=A","Dates=H","DateFormat=P","Fill=—","Direction=H","UseDPDF=Y")</f>
        <v>—</v>
      </c>
      <c r="I99" s="14" t="str">
        <f>_xll.BDH("ITCI US Equity","ARDR_STOCK_OPTION_VAL_EXP_VOL","FQ2 2020","FQ2 2020","Currency=USD","Period=FQ","BEST_FPERIOD_OVERRIDE=FQ","FILING_STATUS=MR","Sort=A","Dates=H","DateFormat=P","Fill=—","Direction=H","UseDPDF=Y")</f>
        <v>—</v>
      </c>
      <c r="J99" s="14" t="str">
        <f>_xll.BDH("ITCI US Equity","ARDR_STOCK_OPTION_VAL_EXP_VOL","FQ3 2020","FQ3 2020","Currency=USD","Period=FQ","BEST_FPERIOD_OVERRIDE=FQ","FILING_STATUS=MR","Sort=A","Dates=H","DateFormat=P","Fill=—","Direction=H","UseDPDF=Y")</f>
        <v>—</v>
      </c>
      <c r="K99" s="14" t="str">
        <f>_xll.BDH("ITCI US Equity","ARDR_STOCK_OPTION_VAL_EXP_VOL","FQ4 2020","FQ4 2020","Currency=USD","Period=FQ","BEST_FPERIOD_OVERRIDE=FQ","FILING_STATUS=MR","Sort=A","Dates=H","DateFormat=P","Fill=—","Direction=H","UseDPDF=Y")</f>
        <v>—</v>
      </c>
      <c r="L99" s="14" t="str">
        <f>_xll.BDH("ITCI US Equity","ARDR_STOCK_OPTION_VAL_EXP_VOL","FQ1 2021","FQ1 2021","Currency=USD","Period=FQ","BEST_FPERIOD_OVERRIDE=FQ","FILING_STATUS=MR","Sort=A","Dates=H","DateFormat=P","Fill=—","Direction=H","UseDPDF=Y")</f>
        <v>—</v>
      </c>
      <c r="M99" s="14" t="str">
        <f>_xll.BDH("ITCI US Equity","ARDR_STOCK_OPTION_VAL_EXP_VOL","FQ2 2021","FQ2 2021","Currency=USD","Period=FQ","BEST_FPERIOD_OVERRIDE=FQ","FILING_STATUS=MR","Sort=A","Dates=H","DateFormat=P","Fill=—","Direction=H","UseDPDF=Y")</f>
        <v>—</v>
      </c>
      <c r="N99" s="14">
        <f>_xll.BDH("ITCI US Equity","ARDR_STOCK_OPTION_VAL_EXP_VOL","FQ3 2021","FQ3 2021","Currency=USD","Period=FQ","BEST_FPERIOD_OVERRIDE=FQ","FILING_STATUS=MR","Sort=A","Dates=H","DateFormat=P","Fill=—","Direction=H","UseDPDF=Y")</f>
        <v>94.7</v>
      </c>
      <c r="O99" s="14" t="str">
        <f>_xll.BDH("ITCI US Equity","ARDR_STOCK_OPTION_VAL_EXP_VOL","FQ4 2021","FQ4 2021","Currency=USD","Period=FQ","BEST_FPERIOD_OVERRIDE=FQ","FILING_STATUS=MR","Sort=A","Dates=H","DateFormat=P","Fill=—","Direction=H","UseDPDF=Y")</f>
        <v>—</v>
      </c>
      <c r="P99" s="14" t="str">
        <f>_xll.BDH("ITCI US Equity","ARDR_STOCK_OPTION_VAL_EXP_VOL","FQ1 2022","FQ1 2022","Currency=USD","Period=FQ","BEST_FPERIOD_OVERRIDE=FQ","FILING_STATUS=MR","Sort=A","Dates=H","DateFormat=P","Fill=—","Direction=H","UseDPDF=Y")</f>
        <v>—</v>
      </c>
      <c r="Q99" s="14" t="str">
        <f>_xll.BDH("ITCI US Equity","ARDR_STOCK_OPTION_VAL_EXP_VOL","FQ2 2022","FQ2 2022","Currency=USD","Period=FQ","BEST_FPERIOD_OVERRIDE=FQ","FILING_STATUS=MR","Sort=A","Dates=H","DateFormat=P","Fill=—","Direction=H","UseDPDF=Y")</f>
        <v>—</v>
      </c>
      <c r="R99" s="14" t="str">
        <f>_xll.BDH("ITCI US Equity","ARDR_STOCK_OPTION_VAL_EXP_VOL","FQ3 2022","FQ3 2022","Currency=USD","Period=FQ","BEST_FPERIOD_OVERRIDE=FQ","FILING_STATUS=MR","Sort=A","Dates=H","DateFormat=P","Fill=—","Direction=H","UseDPDF=Y")</f>
        <v>—</v>
      </c>
      <c r="S99" s="14" t="str">
        <f>_xll.BDH("ITCI US Equity","ARDR_STOCK_OPTION_VAL_EXP_VOL","FQ4 2022","FQ4 2022","Currency=USD","Period=FQ","BEST_FPERIOD_OVERRIDE=FQ","FILING_STATUS=MR","Sort=A","Dates=H","DateFormat=P","Fill=—","Direction=H","UseDPDF=Y")</f>
        <v>—</v>
      </c>
      <c r="T99" s="14" t="str">
        <f>_xll.BDH("ITCI US Equity","ARDR_STOCK_OPTION_VAL_EXP_VOL","FQ1 2023","FQ1 2023","Currency=USD","Period=FQ","BEST_FPERIOD_OVERRIDE=FQ","FILING_STATUS=MR","Sort=A","Dates=H","DateFormat=P","Fill=—","Direction=H","UseDPDF=Y")</f>
        <v>—</v>
      </c>
      <c r="U99" s="14" t="str">
        <f>_xll.BDH("ITCI US Equity","ARDR_STOCK_OPTION_VAL_EXP_VOL","FQ2 2023","FQ2 2023","Currency=USD","Period=FQ","BEST_FPERIOD_OVERRIDE=FQ","FILING_STATUS=MR","Sort=A","Dates=H","DateFormat=P","Fill=—","Direction=H","UseDPDF=Y")</f>
        <v>—</v>
      </c>
      <c r="V99" s="14" t="str">
        <f>_xll.BDH("ITCI US Equity","ARDR_STOCK_OPTION_VAL_EXP_VOL","FQ3 2023","FQ3 2023","Currency=USD","Period=FQ","BEST_FPERIOD_OVERRIDE=FQ","FILING_STATUS=MR","Sort=A","Dates=H","DateFormat=P","Fill=—","Direction=H","UseDPDF=Y")</f>
        <v>—</v>
      </c>
      <c r="W99" s="14" t="str">
        <f>_xll.BDH("ITCI US Equity","ARDR_STOCK_OPTION_VAL_EXP_VOL","FQ4 2023","FQ4 2023","Currency=USD","Period=FQ","BEST_FPERIOD_OVERRIDE=FQ","FILING_STATUS=MR","Sort=A","Dates=H","DateFormat=P","Fill=—","Direction=H","UseDPDF=Y")</f>
        <v>—</v>
      </c>
      <c r="X99" s="14" t="str">
        <f>_xll.BDH("ITCI US Equity","ARDR_STOCK_OPTION_VAL_EXP_VOL","FQ1 2024","FQ1 2024","Currency=USD","Period=FQ","BEST_FPERIOD_OVERRIDE=FQ","FILING_STATUS=MR","Sort=A","Dates=H","DateFormat=P","Fill=—","Direction=H","UseDPDF=Y")</f>
        <v>—</v>
      </c>
      <c r="Y99" s="14" t="str">
        <f>_xll.BDH("ITCI US Equity","ARDR_STOCK_OPTION_VAL_EXP_VOL","FQ2 2024","FQ2 2024","Currency=USD","Period=FQ","BEST_FPERIOD_OVERRIDE=FQ","FILING_STATUS=MR","Sort=A","Dates=H","DateFormat=P","Fill=—","Direction=H","UseDPDF=Y")</f>
        <v>—</v>
      </c>
      <c r="Z99" s="14" t="str">
        <f>_xll.BDH("ITCI US Equity","ARDR_STOCK_OPTION_VAL_EXP_VOL","FQ3 2024","FQ3 2024","Currency=USD","Period=FQ","BEST_FPERIOD_OVERRIDE=FQ","FILING_STATUS=MR","Sort=A","Dates=H","DateFormat=P","Fill=—","Direction=H","UseDPDF=Y")</f>
        <v>—</v>
      </c>
      <c r="AA99" s="14" t="str">
        <f>_xll.BDH("ITCI US Equity","ARDR_STOCK_OPTION_VAL_EXP_VOL","FQ4 2024","FQ4 2024","Currency=USD","Period=FQ","BEST_FPERIOD_OVERRIDE=FQ","FILING_STATUS=MR","Sort=A","Dates=H","DateFormat=P","Fill=—","Direction=H","UseDPDF=Y")</f>
        <v>—</v>
      </c>
    </row>
    <row r="100" spans="1:27" x14ac:dyDescent="0.25">
      <c r="A100" s="10" t="s">
        <v>846</v>
      </c>
      <c r="B100" s="10" t="s">
        <v>847</v>
      </c>
      <c r="C100" s="14">
        <f>_xll.BDH("ITCI US Equity","ARDR_STOCK_OPTION_VAL_DVD_YLD","FQ4 2018","FQ4 2018","Currency=USD","Period=FQ","BEST_FPERIOD_OVERRIDE=FQ","FILING_STATUS=MR","Sort=A","Dates=H","DateFormat=P","Fill=—","Direction=H","UseDPDF=Y")</f>
        <v>0</v>
      </c>
      <c r="D100" s="14">
        <f>_xll.BDH("ITCI US Equity","ARDR_STOCK_OPTION_VAL_DVD_YLD","FQ1 2019","FQ1 2019","Currency=USD","Period=FQ","BEST_FPERIOD_OVERRIDE=FQ","FILING_STATUS=MR","Sort=A","Dates=H","DateFormat=P","Fill=—","Direction=H","UseDPDF=Y")</f>
        <v>0</v>
      </c>
      <c r="E100" s="14">
        <f>_xll.BDH("ITCI US Equity","ARDR_STOCK_OPTION_VAL_DVD_YLD","FQ2 2019","FQ2 2019","Currency=USD","Period=FQ","BEST_FPERIOD_OVERRIDE=FQ","FILING_STATUS=MR","Sort=A","Dates=H","DateFormat=P","Fill=—","Direction=H","UseDPDF=Y")</f>
        <v>0</v>
      </c>
      <c r="F100" s="14">
        <f>_xll.BDH("ITCI US Equity","ARDR_STOCK_OPTION_VAL_DVD_YLD","FQ3 2019","FQ3 2019","Currency=USD","Period=FQ","BEST_FPERIOD_OVERRIDE=FQ","FILING_STATUS=MR","Sort=A","Dates=H","DateFormat=P","Fill=—","Direction=H","UseDPDF=Y")</f>
        <v>0</v>
      </c>
      <c r="G100" s="14">
        <f>_xll.BDH("ITCI US Equity","ARDR_STOCK_OPTION_VAL_DVD_YLD","FQ4 2019","FQ4 2019","Currency=USD","Period=FQ","BEST_FPERIOD_OVERRIDE=FQ","FILING_STATUS=MR","Sort=A","Dates=H","DateFormat=P","Fill=—","Direction=H","UseDPDF=Y")</f>
        <v>0</v>
      </c>
      <c r="H100" s="14">
        <f>_xll.BDH("ITCI US Equity","ARDR_STOCK_OPTION_VAL_DVD_YLD","FQ1 2020","FQ1 2020","Currency=USD","Period=FQ","BEST_FPERIOD_OVERRIDE=FQ","FILING_STATUS=MR","Sort=A","Dates=H","DateFormat=P","Fill=—","Direction=H","UseDPDF=Y")</f>
        <v>0</v>
      </c>
      <c r="I100" s="14">
        <f>_xll.BDH("ITCI US Equity","ARDR_STOCK_OPTION_VAL_DVD_YLD","FQ2 2020","FQ2 2020","Currency=USD","Period=FQ","BEST_FPERIOD_OVERRIDE=FQ","FILING_STATUS=MR","Sort=A","Dates=H","DateFormat=P","Fill=—","Direction=H","UseDPDF=Y")</f>
        <v>0</v>
      </c>
      <c r="J100" s="14">
        <f>_xll.BDH("ITCI US Equity","ARDR_STOCK_OPTION_VAL_DVD_YLD","FQ3 2020","FQ3 2020","Currency=USD","Period=FQ","BEST_FPERIOD_OVERRIDE=FQ","FILING_STATUS=MR","Sort=A","Dates=H","DateFormat=P","Fill=—","Direction=H","UseDPDF=Y")</f>
        <v>0</v>
      </c>
      <c r="K100" s="14">
        <f>_xll.BDH("ITCI US Equity","ARDR_STOCK_OPTION_VAL_DVD_YLD","FQ4 2020","FQ4 2020","Currency=USD","Period=FQ","BEST_FPERIOD_OVERRIDE=FQ","FILING_STATUS=MR","Sort=A","Dates=H","DateFormat=P","Fill=—","Direction=H","UseDPDF=Y")</f>
        <v>0</v>
      </c>
      <c r="L100" s="14">
        <f>_xll.BDH("ITCI US Equity","ARDR_STOCK_OPTION_VAL_DVD_YLD","FQ1 2021","FQ1 2021","Currency=USD","Period=FQ","BEST_FPERIOD_OVERRIDE=FQ","FILING_STATUS=MR","Sort=A","Dates=H","DateFormat=P","Fill=—","Direction=H","UseDPDF=Y")</f>
        <v>0</v>
      </c>
      <c r="M100" s="14">
        <f>_xll.BDH("ITCI US Equity","ARDR_STOCK_OPTION_VAL_DVD_YLD","FQ2 2021","FQ2 2021","Currency=USD","Period=FQ","BEST_FPERIOD_OVERRIDE=FQ","FILING_STATUS=MR","Sort=A","Dates=H","DateFormat=P","Fill=—","Direction=H","UseDPDF=Y")</f>
        <v>0</v>
      </c>
      <c r="N100" s="14">
        <f>_xll.BDH("ITCI US Equity","ARDR_STOCK_OPTION_VAL_DVD_YLD","FQ3 2021","FQ3 2021","Currency=USD","Period=FQ","BEST_FPERIOD_OVERRIDE=FQ","FILING_STATUS=MR","Sort=A","Dates=H","DateFormat=P","Fill=—","Direction=H","UseDPDF=Y")</f>
        <v>0</v>
      </c>
      <c r="O100" s="14">
        <f>_xll.BDH("ITCI US Equity","ARDR_STOCK_OPTION_VAL_DVD_YLD","FQ4 2021","FQ4 2021","Currency=USD","Period=FQ","BEST_FPERIOD_OVERRIDE=FQ","FILING_STATUS=MR","Sort=A","Dates=H","DateFormat=P","Fill=—","Direction=H","UseDPDF=Y")</f>
        <v>0</v>
      </c>
      <c r="P100" s="14" t="str">
        <f>_xll.BDH("ITCI US Equity","ARDR_STOCK_OPTION_VAL_DVD_YLD","FQ1 2022","FQ1 2022","Currency=USD","Period=FQ","BEST_FPERIOD_OVERRIDE=FQ","FILING_STATUS=MR","Sort=A","Dates=H","DateFormat=P","Fill=—","Direction=H","UseDPDF=Y")</f>
        <v>—</v>
      </c>
      <c r="Q100" s="14" t="str">
        <f>_xll.BDH("ITCI US Equity","ARDR_STOCK_OPTION_VAL_DVD_YLD","FQ2 2022","FQ2 2022","Currency=USD","Period=FQ","BEST_FPERIOD_OVERRIDE=FQ","FILING_STATUS=MR","Sort=A","Dates=H","DateFormat=P","Fill=—","Direction=H","UseDPDF=Y")</f>
        <v>—</v>
      </c>
      <c r="R100" s="14" t="str">
        <f>_xll.BDH("ITCI US Equity","ARDR_STOCK_OPTION_VAL_DVD_YLD","FQ3 2022","FQ3 2022","Currency=USD","Period=FQ","BEST_FPERIOD_OVERRIDE=FQ","FILING_STATUS=MR","Sort=A","Dates=H","DateFormat=P","Fill=—","Direction=H","UseDPDF=Y")</f>
        <v>—</v>
      </c>
      <c r="S100" s="14">
        <f>_xll.BDH("ITCI US Equity","ARDR_STOCK_OPTION_VAL_DVD_YLD","FQ4 2022","FQ4 2022","Currency=USD","Period=FQ","BEST_FPERIOD_OVERRIDE=FQ","FILING_STATUS=MR","Sort=A","Dates=H","DateFormat=P","Fill=—","Direction=H","UseDPDF=Y")</f>
        <v>0</v>
      </c>
      <c r="T100" s="14" t="str">
        <f>_xll.BDH("ITCI US Equity","ARDR_STOCK_OPTION_VAL_DVD_YLD","FQ1 2023","FQ1 2023","Currency=USD","Period=FQ","BEST_FPERIOD_OVERRIDE=FQ","FILING_STATUS=MR","Sort=A","Dates=H","DateFormat=P","Fill=—","Direction=H","UseDPDF=Y")</f>
        <v>—</v>
      </c>
      <c r="U100" s="14" t="str">
        <f>_xll.BDH("ITCI US Equity","ARDR_STOCK_OPTION_VAL_DVD_YLD","FQ2 2023","FQ2 2023","Currency=USD","Period=FQ","BEST_FPERIOD_OVERRIDE=FQ","FILING_STATUS=MR","Sort=A","Dates=H","DateFormat=P","Fill=—","Direction=H","UseDPDF=Y")</f>
        <v>—</v>
      </c>
      <c r="V100" s="14" t="str">
        <f>_xll.BDH("ITCI US Equity","ARDR_STOCK_OPTION_VAL_DVD_YLD","FQ3 2023","FQ3 2023","Currency=USD","Period=FQ","BEST_FPERIOD_OVERRIDE=FQ","FILING_STATUS=MR","Sort=A","Dates=H","DateFormat=P","Fill=—","Direction=H","UseDPDF=Y")</f>
        <v>—</v>
      </c>
      <c r="W100" s="14">
        <f>_xll.BDH("ITCI US Equity","ARDR_STOCK_OPTION_VAL_DVD_YLD","FQ4 2023","FQ4 2023","Currency=USD","Period=FQ","BEST_FPERIOD_OVERRIDE=FQ","FILING_STATUS=MR","Sort=A","Dates=H","DateFormat=P","Fill=—","Direction=H","UseDPDF=Y")</f>
        <v>0</v>
      </c>
      <c r="X100" s="14" t="str">
        <f>_xll.BDH("ITCI US Equity","ARDR_STOCK_OPTION_VAL_DVD_YLD","FQ1 2024","FQ1 2024","Currency=USD","Period=FQ","BEST_FPERIOD_OVERRIDE=FQ","FILING_STATUS=MR","Sort=A","Dates=H","DateFormat=P","Fill=—","Direction=H","UseDPDF=Y")</f>
        <v>—</v>
      </c>
      <c r="Y100" s="14" t="str">
        <f>_xll.BDH("ITCI US Equity","ARDR_STOCK_OPTION_VAL_DVD_YLD","FQ2 2024","FQ2 2024","Currency=USD","Period=FQ","BEST_FPERIOD_OVERRIDE=FQ","FILING_STATUS=MR","Sort=A","Dates=H","DateFormat=P","Fill=—","Direction=H","UseDPDF=Y")</f>
        <v>—</v>
      </c>
      <c r="Z100" s="14" t="str">
        <f>_xll.BDH("ITCI US Equity","ARDR_STOCK_OPTION_VAL_DVD_YLD","FQ3 2024","FQ3 2024","Currency=USD","Period=FQ","BEST_FPERIOD_OVERRIDE=FQ","FILING_STATUS=MR","Sort=A","Dates=H","DateFormat=P","Fill=—","Direction=H","UseDPDF=Y")</f>
        <v>—</v>
      </c>
      <c r="AA100" s="14">
        <f>_xll.BDH("ITCI US Equity","ARDR_STOCK_OPTION_VAL_DVD_YLD","FQ4 2024","FQ4 2024","Currency=USD","Period=FQ","BEST_FPERIOD_OVERRIDE=FQ","FILING_STATUS=MR","Sort=A","Dates=H","DateFormat=P","Fill=—","Direction=H","UseDPDF=Y")</f>
        <v>0</v>
      </c>
    </row>
    <row r="101" spans="1:27" x14ac:dyDescent="0.25">
      <c r="A101" s="10" t="s">
        <v>848</v>
      </c>
      <c r="B101" s="10" t="s">
        <v>849</v>
      </c>
      <c r="C101" s="14">
        <f>_xll.BDH("ITCI US Equity","ARDR_AVG_EXER_PX_OPT_EXERCISABLE","FQ4 2018","FQ4 2018","Currency=USD","Period=FQ","BEST_FPERIOD_OVERRIDE=FQ","FILING_STATUS=MR","Sort=A","Dates=H","DateFormat=P","Fill=—","Direction=H","UseDPDF=Y")</f>
        <v>18.7</v>
      </c>
      <c r="D101" s="14">
        <f>_xll.BDH("ITCI US Equity","ARDR_AVG_EXER_PX_OPT_EXERCISABLE","FQ1 2019","FQ1 2019","Currency=USD","Period=FQ","BEST_FPERIOD_OVERRIDE=FQ","FILING_STATUS=MR","Sort=A","Dates=H","DateFormat=P","Fill=—","Direction=H","UseDPDF=Y")</f>
        <v>19.43</v>
      </c>
      <c r="E101" s="14">
        <f>_xll.BDH("ITCI US Equity","ARDR_AVG_EXER_PX_OPT_EXERCISABLE","FQ2 2019","FQ2 2019","Currency=USD","Period=FQ","BEST_FPERIOD_OVERRIDE=FQ","FILING_STATUS=MR","Sort=A","Dates=H","DateFormat=P","Fill=—","Direction=H","UseDPDF=Y")</f>
        <v>19.47</v>
      </c>
      <c r="F101" s="14">
        <f>_xll.BDH("ITCI US Equity","ARDR_AVG_EXER_PX_OPT_EXERCISABLE","FQ3 2019","FQ3 2019","Currency=USD","Period=FQ","BEST_FPERIOD_OVERRIDE=FQ","FILING_STATUS=MR","Sort=A","Dates=H","DateFormat=P","Fill=—","Direction=H","UseDPDF=Y")</f>
        <v>19.66</v>
      </c>
      <c r="G101" s="14">
        <f>_xll.BDH("ITCI US Equity","ARDR_AVG_EXER_PX_OPT_EXERCISABLE","FQ4 2019","FQ4 2019","Currency=USD","Period=FQ","BEST_FPERIOD_OVERRIDE=FQ","FILING_STATUS=MR","Sort=A","Dates=H","DateFormat=P","Fill=—","Direction=H","UseDPDF=Y")</f>
        <v>19.38</v>
      </c>
      <c r="H101" s="14">
        <f>_xll.BDH("ITCI US Equity","ARDR_AVG_EXER_PX_OPT_EXERCISABLE","FQ1 2020","FQ1 2020","Currency=USD","Period=FQ","BEST_FPERIOD_OVERRIDE=FQ","FILING_STATUS=MR","Sort=A","Dates=H","DateFormat=P","Fill=—","Direction=H","UseDPDF=Y")</f>
        <v>18.95</v>
      </c>
      <c r="I101" s="14">
        <f>_xll.BDH("ITCI US Equity","ARDR_AVG_EXER_PX_OPT_EXERCISABLE","FQ2 2020","FQ2 2020","Currency=USD","Period=FQ","BEST_FPERIOD_OVERRIDE=FQ","FILING_STATUS=MR","Sort=A","Dates=H","DateFormat=P","Fill=—","Direction=H","UseDPDF=Y")</f>
        <v>18.71</v>
      </c>
      <c r="J101" s="14">
        <f>_xll.BDH("ITCI US Equity","ARDR_AVG_EXER_PX_OPT_EXERCISABLE","FQ3 2020","FQ3 2020","Currency=USD","Period=FQ","BEST_FPERIOD_OVERRIDE=FQ","FILING_STATUS=MR","Sort=A","Dates=H","DateFormat=P","Fill=—","Direction=H","UseDPDF=Y")</f>
        <v>18.850000000000001</v>
      </c>
      <c r="K101" s="14">
        <f>_xll.BDH("ITCI US Equity","ARDR_AVG_EXER_PX_OPT_EXERCISABLE","FQ4 2020","FQ4 2020","Currency=USD","Period=FQ","BEST_FPERIOD_OVERRIDE=FQ","FILING_STATUS=MR","Sort=A","Dates=H","DateFormat=P","Fill=—","Direction=H","UseDPDF=Y")</f>
        <v>19.190000000000001</v>
      </c>
      <c r="L101" s="14">
        <f>_xll.BDH("ITCI US Equity","ARDR_AVG_EXER_PX_OPT_EXERCISABLE","FQ1 2021","FQ1 2021","Currency=USD","Period=FQ","BEST_FPERIOD_OVERRIDE=FQ","FILING_STATUS=MR","Sort=A","Dates=H","DateFormat=P","Fill=—","Direction=H","UseDPDF=Y")</f>
        <v>17.18</v>
      </c>
      <c r="M101" s="14">
        <f>_xll.BDH("ITCI US Equity","ARDR_AVG_EXER_PX_OPT_EXERCISABLE","FQ2 2021","FQ2 2021","Currency=USD","Period=FQ","BEST_FPERIOD_OVERRIDE=FQ","FILING_STATUS=MR","Sort=A","Dates=H","DateFormat=P","Fill=—","Direction=H","UseDPDF=Y")</f>
        <v>18.579999999999998</v>
      </c>
      <c r="N101" s="14">
        <f>_xll.BDH("ITCI US Equity","ARDR_AVG_EXER_PX_OPT_EXERCISABLE","FQ3 2021","FQ3 2021","Currency=USD","Period=FQ","BEST_FPERIOD_OVERRIDE=FQ","FILING_STATUS=MR","Sort=A","Dates=H","DateFormat=P","Fill=—","Direction=H","UseDPDF=Y")</f>
        <v>18.66</v>
      </c>
      <c r="O101" s="14">
        <f>_xll.BDH("ITCI US Equity","ARDR_AVG_EXER_PX_OPT_EXERCISABLE","FQ4 2021","FQ4 2021","Currency=USD","Period=FQ","BEST_FPERIOD_OVERRIDE=FQ","FILING_STATUS=MR","Sort=A","Dates=H","DateFormat=P","Fill=—","Direction=H","UseDPDF=Y")</f>
        <v>18.989999999999998</v>
      </c>
      <c r="P101" s="14">
        <f>_xll.BDH("ITCI US Equity","ARDR_AVG_EXER_PX_OPT_EXERCISABLE","FQ1 2022","FQ1 2022","Currency=USD","Period=FQ","BEST_FPERIOD_OVERRIDE=FQ","FILING_STATUS=MR","Sort=A","Dates=H","DateFormat=P","Fill=—","Direction=H","UseDPDF=Y")</f>
        <v>19.25</v>
      </c>
      <c r="Q101" s="14">
        <f>_xll.BDH("ITCI US Equity","ARDR_AVG_EXER_PX_OPT_EXERCISABLE","FQ2 2022","FQ2 2022","Currency=USD","Period=FQ","BEST_FPERIOD_OVERRIDE=FQ","FILING_STATUS=MR","Sort=A","Dates=H","DateFormat=P","Fill=—","Direction=H","UseDPDF=Y")</f>
        <v>20.04</v>
      </c>
      <c r="R101" s="14">
        <f>_xll.BDH("ITCI US Equity","ARDR_AVG_EXER_PX_OPT_EXERCISABLE","FQ3 2022","FQ3 2022","Currency=USD","Period=FQ","BEST_FPERIOD_OVERRIDE=FQ","FILING_STATUS=MR","Sort=A","Dates=H","DateFormat=P","Fill=—","Direction=H","UseDPDF=Y")</f>
        <v>20.239999999999998</v>
      </c>
      <c r="S101" s="14">
        <f>_xll.BDH("ITCI US Equity","ARDR_AVG_EXER_PX_OPT_EXERCISABLE","FQ4 2022","FQ4 2022","Currency=USD","Period=FQ","BEST_FPERIOD_OVERRIDE=FQ","FILING_STATUS=MR","Sort=A","Dates=H","DateFormat=P","Fill=—","Direction=H","UseDPDF=Y")</f>
        <v>20.38</v>
      </c>
      <c r="T101" s="14">
        <f>_xll.BDH("ITCI US Equity","ARDR_AVG_EXER_PX_OPT_EXERCISABLE","FQ1 2023","FQ1 2023","Currency=USD","Period=FQ","BEST_FPERIOD_OVERRIDE=FQ","FILING_STATUS=MR","Sort=A","Dates=H","DateFormat=P","Fill=—","Direction=H","UseDPDF=Y")</f>
        <v>22.98</v>
      </c>
      <c r="U101" s="14">
        <f>_xll.BDH("ITCI US Equity","ARDR_AVG_EXER_PX_OPT_EXERCISABLE","FQ2 2023","FQ2 2023","Currency=USD","Period=FQ","BEST_FPERIOD_OVERRIDE=FQ","FILING_STATUS=MR","Sort=A","Dates=H","DateFormat=P","Fill=—","Direction=H","UseDPDF=Y")</f>
        <v>23.18</v>
      </c>
      <c r="V101" s="14">
        <f>_xll.BDH("ITCI US Equity","ARDR_AVG_EXER_PX_OPT_EXERCISABLE","FQ3 2023","FQ3 2023","Currency=USD","Period=FQ","BEST_FPERIOD_OVERRIDE=FQ","FILING_STATUS=MR","Sort=A","Dates=H","DateFormat=P","Fill=—","Direction=H","UseDPDF=Y")</f>
        <v>23.37</v>
      </c>
      <c r="W101" s="14">
        <f>_xll.BDH("ITCI US Equity","ARDR_AVG_EXER_PX_OPT_EXERCISABLE","FQ4 2023","FQ4 2023","Currency=USD","Period=FQ","BEST_FPERIOD_OVERRIDE=FQ","FILING_STATUS=MR","Sort=A","Dates=H","DateFormat=P","Fill=—","Direction=H","UseDPDF=Y")</f>
        <v>23.55</v>
      </c>
      <c r="X101" s="14">
        <f>_xll.BDH("ITCI US Equity","ARDR_AVG_EXER_PX_OPT_EXERCISABLE","FQ1 2024","FQ1 2024","Currency=USD","Period=FQ","BEST_FPERIOD_OVERRIDE=FQ","FILING_STATUS=MR","Sort=A","Dates=H","DateFormat=P","Fill=—","Direction=H","UseDPDF=Y")</f>
        <v>26.29</v>
      </c>
      <c r="Y101" s="14">
        <f>_xll.BDH("ITCI US Equity","ARDR_AVG_EXER_PX_OPT_EXERCISABLE","FQ2 2024","FQ2 2024","Currency=USD","Period=FQ","BEST_FPERIOD_OVERRIDE=FQ","FILING_STATUS=MR","Sort=A","Dates=H","DateFormat=P","Fill=—","Direction=H","UseDPDF=Y")</f>
        <v>26.94</v>
      </c>
      <c r="Z101" s="14">
        <f>_xll.BDH("ITCI US Equity","ARDR_AVG_EXER_PX_OPT_EXERCISABLE","FQ3 2024","FQ3 2024","Currency=USD","Period=FQ","BEST_FPERIOD_OVERRIDE=FQ","FILING_STATUS=MR","Sort=A","Dates=H","DateFormat=P","Fill=—","Direction=H","UseDPDF=Y")</f>
        <v>28</v>
      </c>
      <c r="AA101" s="14">
        <f>_xll.BDH("ITCI US Equity","ARDR_AVG_EXER_PX_OPT_EXERCISABLE","FQ4 2024","FQ4 2024","Currency=USD","Period=FQ","BEST_FPERIOD_OVERRIDE=FQ","FILING_STATUS=MR","Sort=A","Dates=H","DateFormat=P","Fill=—","Direction=H","UseDPDF=Y")</f>
        <v>28.39</v>
      </c>
    </row>
    <row r="102" spans="1:27" x14ac:dyDescent="0.25">
      <c r="A102" s="10" t="s">
        <v>850</v>
      </c>
      <c r="B102" s="10" t="s">
        <v>851</v>
      </c>
      <c r="C102" s="14">
        <f>_xll.BDH("ITCI US Equity","ARDR_AVG_EXER_PX_OPT_OUTSTANDING","FQ4 2018","FQ4 2018","Currency=USD","Period=FQ","BEST_FPERIOD_OVERRIDE=FQ","FILING_STATUS=MR","Sort=A","Dates=H","DateFormat=P","Fill=—","Direction=H","UseDPDF=Y")</f>
        <v>18.260000000000002</v>
      </c>
      <c r="D102" s="14">
        <f>_xll.BDH("ITCI US Equity","ARDR_AVG_EXER_PX_OPT_OUTSTANDING","FQ1 2019","FQ1 2019","Currency=USD","Period=FQ","BEST_FPERIOD_OVERRIDE=FQ","FILING_STATUS=MR","Sort=A","Dates=H","DateFormat=P","Fill=—","Direction=H","UseDPDF=Y")</f>
        <v>17.09</v>
      </c>
      <c r="E102" s="14">
        <f>_xll.BDH("ITCI US Equity","ARDR_AVG_EXER_PX_OPT_OUTSTANDING","FQ2 2019","FQ2 2019","Currency=USD","Period=FQ","BEST_FPERIOD_OVERRIDE=FQ","FILING_STATUS=MR","Sort=A","Dates=H","DateFormat=P","Fill=—","Direction=H","UseDPDF=Y")</f>
        <v>16.78</v>
      </c>
      <c r="F102" s="14">
        <f>_xll.BDH("ITCI US Equity","ARDR_AVG_EXER_PX_OPT_OUTSTANDING","FQ3 2019","FQ3 2019","Currency=USD","Period=FQ","BEST_FPERIOD_OVERRIDE=FQ","FILING_STATUS=MR","Sort=A","Dates=H","DateFormat=P","Fill=—","Direction=H","UseDPDF=Y")</f>
        <v>16.850000000000001</v>
      </c>
      <c r="G102" s="14">
        <f>_xll.BDH("ITCI US Equity","ARDR_AVG_EXER_PX_OPT_OUTSTANDING","FQ4 2019","FQ4 2019","Currency=USD","Period=FQ","BEST_FPERIOD_OVERRIDE=FQ","FILING_STATUS=MR","Sort=A","Dates=H","DateFormat=P","Fill=—","Direction=H","UseDPDF=Y")</f>
        <v>16.809999999999999</v>
      </c>
      <c r="H102" s="14" t="str">
        <f>_xll.BDH("ITCI US Equity","ARDR_AVG_EXER_PX_OPT_OUTSTANDING","FQ1 2020","FQ1 2020","Currency=USD","Period=FQ","BEST_FPERIOD_OVERRIDE=FQ","FILING_STATUS=MR","Sort=A","Dates=H","DateFormat=P","Fill=—","Direction=H","UseDPDF=Y")</f>
        <v>—</v>
      </c>
      <c r="I102" s="14">
        <f>_xll.BDH("ITCI US Equity","ARDR_AVG_EXER_PX_OPT_OUTSTANDING","FQ2 2020","FQ2 2020","Currency=USD","Period=FQ","BEST_FPERIOD_OVERRIDE=FQ","FILING_STATUS=MR","Sort=A","Dates=H","DateFormat=P","Fill=—","Direction=H","UseDPDF=Y")</f>
        <v>17.920000000000002</v>
      </c>
      <c r="J102" s="14" t="str">
        <f>_xll.BDH("ITCI US Equity","ARDR_AVG_EXER_PX_OPT_OUTSTANDING","FQ3 2020","FQ3 2020","Currency=USD","Period=FQ","BEST_FPERIOD_OVERRIDE=FQ","FILING_STATUS=MR","Sort=A","Dates=H","DateFormat=P","Fill=—","Direction=H","UseDPDF=Y")</f>
        <v>—</v>
      </c>
      <c r="K102" s="14">
        <f>_xll.BDH("ITCI US Equity","ARDR_AVG_EXER_PX_OPT_OUTSTANDING","FQ4 2020","FQ4 2020","Currency=USD","Period=FQ","BEST_FPERIOD_OVERRIDE=FQ","FILING_STATUS=MR","Sort=A","Dates=H","DateFormat=P","Fill=—","Direction=H","UseDPDF=Y")</f>
        <v>18.43</v>
      </c>
      <c r="L102" s="14">
        <f>_xll.BDH("ITCI US Equity","ARDR_AVG_EXER_PX_OPT_OUTSTANDING","FQ1 2021","FQ1 2021","Currency=USD","Period=FQ","BEST_FPERIOD_OVERRIDE=FQ","FILING_STATUS=MR","Sort=A","Dates=H","DateFormat=P","Fill=—","Direction=H","UseDPDF=Y")</f>
        <v>17.18</v>
      </c>
      <c r="M102" s="14">
        <f>_xll.BDH("ITCI US Equity","ARDR_AVG_EXER_PX_OPT_OUTSTANDING","FQ2 2021","FQ2 2021","Currency=USD","Period=FQ","BEST_FPERIOD_OVERRIDE=FQ","FILING_STATUS=MR","Sort=A","Dates=H","DateFormat=P","Fill=—","Direction=H","UseDPDF=Y")</f>
        <v>20.64</v>
      </c>
      <c r="N102" s="14">
        <f>_xll.BDH("ITCI US Equity","ARDR_AVG_EXER_PX_OPT_OUTSTANDING","FQ3 2021","FQ3 2021","Currency=USD","Period=FQ","BEST_FPERIOD_OVERRIDE=FQ","FILING_STATUS=MR","Sort=A","Dates=H","DateFormat=P","Fill=—","Direction=H","UseDPDF=Y")</f>
        <v>20.7</v>
      </c>
      <c r="O102" s="14">
        <f>_xll.BDH("ITCI US Equity","ARDR_AVG_EXER_PX_OPT_OUTSTANDING","FQ4 2021","FQ4 2021","Currency=USD","Period=FQ","BEST_FPERIOD_OVERRIDE=FQ","FILING_STATUS=MR","Sort=A","Dates=H","DateFormat=P","Fill=—","Direction=H","UseDPDF=Y")</f>
        <v>21.11</v>
      </c>
      <c r="P102" s="14">
        <f>_xll.BDH("ITCI US Equity","ARDR_AVG_EXER_PX_OPT_OUTSTANDING","FQ1 2022","FQ1 2022","Currency=USD","Period=FQ","BEST_FPERIOD_OVERRIDE=FQ","FILING_STATUS=MR","Sort=A","Dates=H","DateFormat=P","Fill=—","Direction=H","UseDPDF=Y")</f>
        <v>24.19</v>
      </c>
      <c r="Q102" s="14">
        <f>_xll.BDH("ITCI US Equity","ARDR_AVG_EXER_PX_OPT_OUTSTANDING","FQ2 2022","FQ2 2022","Currency=USD","Period=FQ","BEST_FPERIOD_OVERRIDE=FQ","FILING_STATUS=MR","Sort=A","Dates=H","DateFormat=P","Fill=—","Direction=H","UseDPDF=Y")</f>
        <v>25.54</v>
      </c>
      <c r="R102" s="14">
        <f>_xll.BDH("ITCI US Equity","ARDR_AVG_EXER_PX_OPT_OUTSTANDING","FQ3 2022","FQ3 2022","Currency=USD","Period=FQ","BEST_FPERIOD_OVERRIDE=FQ","FILING_STATUS=MR","Sort=A","Dates=H","DateFormat=P","Fill=—","Direction=H","UseDPDF=Y")</f>
        <v>26.12</v>
      </c>
      <c r="S102" s="14">
        <f>_xll.BDH("ITCI US Equity","ARDR_AVG_EXER_PX_OPT_OUTSTANDING","FQ4 2022","FQ4 2022","Currency=USD","Period=FQ","BEST_FPERIOD_OVERRIDE=FQ","FILING_STATUS=MR","Sort=A","Dates=H","DateFormat=P","Fill=—","Direction=H","UseDPDF=Y")</f>
        <v>26.27</v>
      </c>
      <c r="T102" s="14">
        <f>_xll.BDH("ITCI US Equity","ARDR_AVG_EXER_PX_OPT_OUTSTANDING","FQ1 2023","FQ1 2023","Currency=USD","Period=FQ","BEST_FPERIOD_OVERRIDE=FQ","FILING_STATUS=MR","Sort=A","Dates=H","DateFormat=P","Fill=—","Direction=H","UseDPDF=Y")</f>
        <v>27.76</v>
      </c>
      <c r="U102" s="14">
        <f>_xll.BDH("ITCI US Equity","ARDR_AVG_EXER_PX_OPT_OUTSTANDING","FQ2 2023","FQ2 2023","Currency=USD","Period=FQ","BEST_FPERIOD_OVERRIDE=FQ","FILING_STATUS=MR","Sort=A","Dates=H","DateFormat=P","Fill=—","Direction=H","UseDPDF=Y")</f>
        <v>27.62</v>
      </c>
      <c r="V102" s="14">
        <f>_xll.BDH("ITCI US Equity","ARDR_AVG_EXER_PX_OPT_OUTSTANDING","FQ3 2023","FQ3 2023","Currency=USD","Period=FQ","BEST_FPERIOD_OVERRIDE=FQ","FILING_STATUS=MR","Sort=A","Dates=H","DateFormat=P","Fill=—","Direction=H","UseDPDF=Y")</f>
        <v>27.96</v>
      </c>
      <c r="W102" s="14">
        <f>_xll.BDH("ITCI US Equity","ARDR_AVG_EXER_PX_OPT_OUTSTANDING","FQ4 2023","FQ4 2023","Currency=USD","Period=FQ","BEST_FPERIOD_OVERRIDE=FQ","FILING_STATUS=MR","Sort=A","Dates=H","DateFormat=P","Fill=—","Direction=H","UseDPDF=Y")</f>
        <v>28.22</v>
      </c>
      <c r="X102" s="14">
        <f>_xll.BDH("ITCI US Equity","ARDR_AVG_EXER_PX_OPT_OUTSTANDING","FQ1 2024","FQ1 2024","Currency=USD","Period=FQ","BEST_FPERIOD_OVERRIDE=FQ","FILING_STATUS=MR","Sort=A","Dates=H","DateFormat=P","Fill=—","Direction=H","UseDPDF=Y")</f>
        <v>28.99</v>
      </c>
      <c r="Y102" s="14">
        <f>_xll.BDH("ITCI US Equity","ARDR_AVG_EXER_PX_OPT_OUTSTANDING","FQ2 2024","FQ2 2024","Currency=USD","Period=FQ","BEST_FPERIOD_OVERRIDE=FQ","FILING_STATUS=MR","Sort=A","Dates=H","DateFormat=P","Fill=—","Direction=H","UseDPDF=Y")</f>
        <v>29.38</v>
      </c>
      <c r="Z102" s="14">
        <f>_xll.BDH("ITCI US Equity","ARDR_AVG_EXER_PX_OPT_OUTSTANDING","FQ3 2024","FQ3 2024","Currency=USD","Period=FQ","BEST_FPERIOD_OVERRIDE=FQ","FILING_STATUS=MR","Sort=A","Dates=H","DateFormat=P","Fill=—","Direction=H","UseDPDF=Y")</f>
        <v>30.74</v>
      </c>
      <c r="AA102" s="14">
        <f>_xll.BDH("ITCI US Equity","ARDR_AVG_EXER_PX_OPT_OUTSTANDING","FQ4 2024","FQ4 2024","Currency=USD","Period=FQ","BEST_FPERIOD_OVERRIDE=FQ","FILING_STATUS=MR","Sort=A","Dates=H","DateFormat=P","Fill=—","Direction=H","UseDPDF=Y")</f>
        <v>31.23</v>
      </c>
    </row>
    <row r="103" spans="1:27" x14ac:dyDescent="0.25">
      <c r="A103" s="10" t="s">
        <v>852</v>
      </c>
      <c r="B103" s="10" t="s">
        <v>853</v>
      </c>
      <c r="C103" s="13">
        <f>_xll.BDH("ITCI US Equity","ARDR_OPTIONS_EXERCISABLE","FQ4 2018","FQ4 2018","Currency=USD","Period=FQ","BEST_FPERIOD_OVERRIDE=FQ","FILING_STATUS=MR","Sort=A","Dates=H","DateFormat=P","Fill=—","Direction=H","UseDPDF=Y")</f>
        <v>2.9365999999999999</v>
      </c>
      <c r="D103" s="13">
        <f>_xll.BDH("ITCI US Equity","ARDR_OPTIONS_EXERCISABLE","FQ1 2019","FQ1 2019","Currency=USD","Period=FQ","BEST_FPERIOD_OVERRIDE=FQ","FILING_STATUS=MR","Sort=A","Dates=H","DateFormat=P","Fill=—","Direction=H","UseDPDF=Y")</f>
        <v>3.4251999999999998</v>
      </c>
      <c r="E103" s="13">
        <f>_xll.BDH("ITCI US Equity","ARDR_OPTIONS_EXERCISABLE","FQ2 2019","FQ2 2019","Currency=USD","Period=FQ","BEST_FPERIOD_OVERRIDE=FQ","FILING_STATUS=MR","Sort=A","Dates=H","DateFormat=P","Fill=—","Direction=H","UseDPDF=Y")</f>
        <v>3.4504000000000001</v>
      </c>
      <c r="F103" s="13">
        <f>_xll.BDH("ITCI US Equity","ARDR_OPTIONS_EXERCISABLE","FQ3 2019","FQ3 2019","Currency=USD","Period=FQ","BEST_FPERIOD_OVERRIDE=FQ","FILING_STATUS=MR","Sort=A","Dates=H","DateFormat=P","Fill=—","Direction=H","UseDPDF=Y")</f>
        <v>3.4033000000000002</v>
      </c>
      <c r="G103" s="13">
        <f>_xll.BDH("ITCI US Equity","ARDR_OPTIONS_EXERCISABLE","FQ4 2019","FQ4 2019","Currency=USD","Period=FQ","BEST_FPERIOD_OVERRIDE=FQ","FILING_STATUS=MR","Sort=A","Dates=H","DateFormat=P","Fill=—","Direction=H","UseDPDF=Y")</f>
        <v>3.3130999999999999</v>
      </c>
      <c r="H103" s="13">
        <f>_xll.BDH("ITCI US Equity","ARDR_OPTIONS_EXERCISABLE","FQ1 2020","FQ1 2020","Currency=USD","Period=FQ","BEST_FPERIOD_OVERRIDE=FQ","FILING_STATUS=MR","Sort=A","Dates=H","DateFormat=P","Fill=—","Direction=H","UseDPDF=Y")</f>
        <v>3.8698000000000001</v>
      </c>
      <c r="I103" s="13">
        <f>_xll.BDH("ITCI US Equity","ARDR_OPTIONS_EXERCISABLE","FQ2 2020","FQ2 2020","Currency=USD","Period=FQ","BEST_FPERIOD_OVERRIDE=FQ","FILING_STATUS=MR","Sort=A","Dates=H","DateFormat=P","Fill=—","Direction=H","UseDPDF=Y")</f>
        <v>3.7536</v>
      </c>
      <c r="J103" s="13">
        <f>_xll.BDH("ITCI US Equity","ARDR_OPTIONS_EXERCISABLE","FQ3 2020","FQ3 2020","Currency=USD","Period=FQ","BEST_FPERIOD_OVERRIDE=FQ","FILING_STATUS=MR","Sort=A","Dates=H","DateFormat=P","Fill=—","Direction=H","UseDPDF=Y")</f>
        <v>3.621</v>
      </c>
      <c r="K103" s="13">
        <f>_xll.BDH("ITCI US Equity","ARDR_OPTIONS_EXERCISABLE","FQ4 2020","FQ4 2020","Currency=USD","Period=FQ","BEST_FPERIOD_OVERRIDE=FQ","FILING_STATUS=MR","Sort=A","Dates=H","DateFormat=P","Fill=—","Direction=H","UseDPDF=Y")</f>
        <v>3.4411</v>
      </c>
      <c r="L103" s="13">
        <f>_xll.BDH("ITCI US Equity","ARDR_OPTIONS_EXERCISABLE","FQ1 2021","FQ1 2021","Currency=USD","Period=FQ","BEST_FPERIOD_OVERRIDE=FQ","FILING_STATUS=MR","Sort=A","Dates=H","DateFormat=P","Fill=—","Direction=H","UseDPDF=Y")</f>
        <v>4.0968</v>
      </c>
      <c r="M103" s="13">
        <f>_xll.BDH("ITCI US Equity","ARDR_OPTIONS_EXERCISABLE","FQ2 2021","FQ2 2021","Currency=USD","Period=FQ","BEST_FPERIOD_OVERRIDE=FQ","FILING_STATUS=MR","Sort=A","Dates=H","DateFormat=P","Fill=—","Direction=H","UseDPDF=Y")</f>
        <v>4.2335000000000003</v>
      </c>
      <c r="N103" s="13">
        <f>_xll.BDH("ITCI US Equity","ARDR_OPTIONS_EXERCISABLE","FQ3 2021","FQ3 2021","Currency=USD","Period=FQ","BEST_FPERIOD_OVERRIDE=FQ","FILING_STATUS=MR","Sort=A","Dates=H","DateFormat=P","Fill=—","Direction=H","UseDPDF=Y")</f>
        <v>4.2168000000000001</v>
      </c>
      <c r="O103" s="13">
        <f>_xll.BDH("ITCI US Equity","ARDR_OPTIONS_EXERCISABLE","FQ4 2021","FQ4 2021","Currency=USD","Period=FQ","BEST_FPERIOD_OVERRIDE=FQ","FILING_STATUS=MR","Sort=A","Dates=H","DateFormat=P","Fill=—","Direction=H","UseDPDF=Y")</f>
        <v>3.8435000000000001</v>
      </c>
      <c r="P103" s="13">
        <f>_xll.BDH("ITCI US Equity","ARDR_OPTIONS_EXERCISABLE","FQ1 2022","FQ1 2022","Currency=USD","Period=FQ","BEST_FPERIOD_OVERRIDE=FQ","FILING_STATUS=MR","Sort=A","Dates=H","DateFormat=P","Fill=—","Direction=H","UseDPDF=Y")</f>
        <v>4.1539999999999999</v>
      </c>
      <c r="Q103" s="13">
        <f>_xll.BDH("ITCI US Equity","ARDR_OPTIONS_EXERCISABLE","FQ2 2022","FQ2 2022","Currency=USD","Period=FQ","BEST_FPERIOD_OVERRIDE=FQ","FILING_STATUS=MR","Sort=A","Dates=H","DateFormat=P","Fill=—","Direction=H","UseDPDF=Y")</f>
        <v>4.0423</v>
      </c>
      <c r="R103" s="13">
        <f>_xll.BDH("ITCI US Equity","ARDR_OPTIONS_EXERCISABLE","FQ3 2022","FQ3 2022","Currency=USD","Period=FQ","BEST_FPERIOD_OVERRIDE=FQ","FILING_STATUS=MR","Sort=A","Dates=H","DateFormat=P","Fill=—","Direction=H","UseDPDF=Y")</f>
        <v>3.7383000000000002</v>
      </c>
      <c r="S103" s="13">
        <f>_xll.BDH("ITCI US Equity","ARDR_OPTIONS_EXERCISABLE","FQ4 2022","FQ4 2022","Currency=USD","Period=FQ","BEST_FPERIOD_OVERRIDE=FQ","FILING_STATUS=MR","Sort=A","Dates=H","DateFormat=P","Fill=—","Direction=H","UseDPDF=Y")</f>
        <v>3.6288999999999998</v>
      </c>
      <c r="T103" s="13">
        <f>_xll.BDH("ITCI US Equity","ARDR_OPTIONS_EXERCISABLE","FQ1 2023","FQ1 2023","Currency=USD","Period=FQ","BEST_FPERIOD_OVERRIDE=FQ","FILING_STATUS=MR","Sort=A","Dates=H","DateFormat=P","Fill=—","Direction=H","UseDPDF=Y")</f>
        <v>3.8675999999999999</v>
      </c>
      <c r="U103" s="13">
        <f>_xll.BDH("ITCI US Equity","ARDR_OPTIONS_EXERCISABLE","FQ2 2023","FQ2 2023","Currency=USD","Period=FQ","BEST_FPERIOD_OVERRIDE=FQ","FILING_STATUS=MR","Sort=A","Dates=H","DateFormat=P","Fill=—","Direction=H","UseDPDF=Y")</f>
        <v>3.7391000000000001</v>
      </c>
      <c r="V103" s="13">
        <f>_xll.BDH("ITCI US Equity","ARDR_OPTIONS_EXERCISABLE","FQ3 2023","FQ3 2023","Currency=USD","Period=FQ","BEST_FPERIOD_OVERRIDE=FQ","FILING_STATUS=MR","Sort=A","Dates=H","DateFormat=P","Fill=—","Direction=H","UseDPDF=Y")</f>
        <v>3.6057000000000001</v>
      </c>
      <c r="W103" s="13">
        <f>_xll.BDH("ITCI US Equity","ARDR_OPTIONS_EXERCISABLE","FQ4 2023","FQ4 2023","Currency=USD","Period=FQ","BEST_FPERIOD_OVERRIDE=FQ","FILING_STATUS=MR","Sort=A","Dates=H","DateFormat=P","Fill=—","Direction=H","UseDPDF=Y")</f>
        <v>3.47</v>
      </c>
      <c r="X103" s="13">
        <f>_xll.BDH("ITCI US Equity","ARDR_OPTIONS_EXERCISABLE","FQ1 2024","FQ1 2024","Currency=USD","Period=FQ","BEST_FPERIOD_OVERRIDE=FQ","FILING_STATUS=MR","Sort=A","Dates=H","DateFormat=P","Fill=—","Direction=H","UseDPDF=Y")</f>
        <v>3.38</v>
      </c>
      <c r="Y103" s="13">
        <f>_xll.BDH("ITCI US Equity","ARDR_OPTIONS_EXERCISABLE","FQ2 2024","FQ2 2024","Currency=USD","Period=FQ","BEST_FPERIOD_OVERRIDE=FQ","FILING_STATUS=MR","Sort=A","Dates=H","DateFormat=P","Fill=—","Direction=H","UseDPDF=Y")</f>
        <v>3.3210000000000002</v>
      </c>
      <c r="Z103" s="13">
        <f>_xll.BDH("ITCI US Equity","ARDR_OPTIONS_EXERCISABLE","FQ3 2024","FQ3 2024","Currency=USD","Period=FQ","BEST_FPERIOD_OVERRIDE=FQ","FILING_STATUS=MR","Sort=A","Dates=H","DateFormat=P","Fill=—","Direction=H","UseDPDF=Y")</f>
        <v>2.9687000000000001</v>
      </c>
      <c r="AA103" s="13">
        <f>_xll.BDH("ITCI US Equity","ARDR_OPTIONS_EXERCISABLE","FQ4 2024","FQ4 2024","Currency=USD","Period=FQ","BEST_FPERIOD_OVERRIDE=FQ","FILING_STATUS=MR","Sort=A","Dates=H","DateFormat=P","Fill=—","Direction=H","UseDPDF=Y")</f>
        <v>2.7452999999999999</v>
      </c>
    </row>
    <row r="104" spans="1:27" x14ac:dyDescent="0.25">
      <c r="A104" s="10" t="s">
        <v>854</v>
      </c>
      <c r="B104" s="10" t="s">
        <v>855</v>
      </c>
      <c r="C104" s="13">
        <f>_xll.BDH("ITCI US Equity","ARDR_DEFERRED_TAX_ALLOWANCE","FQ4 2018","FQ4 2018","Currency=USD","Period=FQ","BEST_FPERIOD_OVERRIDE=FQ","FILING_STATUS=MR","SCALING_FORMAT=MLN","Sort=A","Dates=H","DateFormat=P","Fill=—","Direction=H","UseDPDF=Y")</f>
        <v>65.026300000000006</v>
      </c>
      <c r="D104" s="13" t="str">
        <f>_xll.BDH("ITCI US Equity","ARDR_DEFERRED_TAX_ALLOWANCE","FQ1 2019","FQ1 2019","Currency=USD","Period=FQ","BEST_FPERIOD_OVERRIDE=FQ","FILING_STATUS=MR","SCALING_FORMAT=MLN","Sort=A","Dates=H","DateFormat=P","Fill=—","Direction=H","UseDPDF=Y")</f>
        <v>—</v>
      </c>
      <c r="E104" s="13" t="str">
        <f>_xll.BDH("ITCI US Equity","ARDR_DEFERRED_TAX_ALLOWANCE","FQ2 2019","FQ2 2019","Currency=USD","Period=FQ","BEST_FPERIOD_OVERRIDE=FQ","FILING_STATUS=MR","SCALING_FORMAT=MLN","Sort=A","Dates=H","DateFormat=P","Fill=—","Direction=H","UseDPDF=Y")</f>
        <v>—</v>
      </c>
      <c r="F104" s="13" t="str">
        <f>_xll.BDH("ITCI US Equity","ARDR_DEFERRED_TAX_ALLOWANCE","FQ3 2019","FQ3 2019","Currency=USD","Period=FQ","BEST_FPERIOD_OVERRIDE=FQ","FILING_STATUS=MR","SCALING_FORMAT=MLN","Sort=A","Dates=H","DateFormat=P","Fill=—","Direction=H","UseDPDF=Y")</f>
        <v>—</v>
      </c>
      <c r="G104" s="13">
        <f>_xll.BDH("ITCI US Equity","ARDR_DEFERRED_TAX_ALLOWANCE","FQ4 2019","FQ4 2019","Currency=USD","Period=FQ","BEST_FPERIOD_OVERRIDE=FQ","FILING_STATUS=MR","SCALING_FORMAT=MLN","Sort=A","Dates=H","DateFormat=P","Fill=—","Direction=H","UseDPDF=Y")</f>
        <v>73.337100000000007</v>
      </c>
      <c r="H104" s="13" t="str">
        <f>_xll.BDH("ITCI US Equity","ARDR_DEFERRED_TAX_ALLOWANCE","FQ1 2020","FQ1 2020","Currency=USD","Period=FQ","BEST_FPERIOD_OVERRIDE=FQ","FILING_STATUS=MR","SCALING_FORMAT=MLN","Sort=A","Dates=H","DateFormat=P","Fill=—","Direction=H","UseDPDF=Y")</f>
        <v>—</v>
      </c>
      <c r="I104" s="13" t="str">
        <f>_xll.BDH("ITCI US Equity","ARDR_DEFERRED_TAX_ALLOWANCE","FQ2 2020","FQ2 2020","Currency=USD","Period=FQ","BEST_FPERIOD_OVERRIDE=FQ","FILING_STATUS=MR","SCALING_FORMAT=MLN","Sort=A","Dates=H","DateFormat=P","Fill=—","Direction=H","UseDPDF=Y")</f>
        <v>—</v>
      </c>
      <c r="J104" s="13" t="str">
        <f>_xll.BDH("ITCI US Equity","ARDR_DEFERRED_TAX_ALLOWANCE","FQ3 2020","FQ3 2020","Currency=USD","Period=FQ","BEST_FPERIOD_OVERRIDE=FQ","FILING_STATUS=MR","SCALING_FORMAT=MLN","Sort=A","Dates=H","DateFormat=P","Fill=—","Direction=H","UseDPDF=Y")</f>
        <v>—</v>
      </c>
      <c r="K104" s="13">
        <f>_xll.BDH("ITCI US Equity","ARDR_DEFERRED_TAX_ALLOWANCE","FQ4 2020","FQ4 2020","Currency=USD","Period=FQ","BEST_FPERIOD_OVERRIDE=FQ","FILING_STATUS=MR","SCALING_FORMAT=MLN","Sort=A","Dates=H","DateFormat=P","Fill=—","Direction=H","UseDPDF=Y")</f>
        <v>113.2907</v>
      </c>
      <c r="L104" s="13" t="str">
        <f>_xll.BDH("ITCI US Equity","ARDR_DEFERRED_TAX_ALLOWANCE","FQ1 2021","FQ1 2021","Currency=USD","Period=FQ","BEST_FPERIOD_OVERRIDE=FQ","FILING_STATUS=MR","SCALING_FORMAT=MLN","Sort=A","Dates=H","DateFormat=P","Fill=—","Direction=H","UseDPDF=Y")</f>
        <v>—</v>
      </c>
      <c r="M104" s="13" t="str">
        <f>_xll.BDH("ITCI US Equity","ARDR_DEFERRED_TAX_ALLOWANCE","FQ2 2021","FQ2 2021","Currency=USD","Period=FQ","BEST_FPERIOD_OVERRIDE=FQ","FILING_STATUS=MR","SCALING_FORMAT=MLN","Sort=A","Dates=H","DateFormat=P","Fill=—","Direction=H","UseDPDF=Y")</f>
        <v>—</v>
      </c>
      <c r="N104" s="13" t="str">
        <f>_xll.BDH("ITCI US Equity","ARDR_DEFERRED_TAX_ALLOWANCE","FQ3 2021","FQ3 2021","Currency=USD","Period=FQ","BEST_FPERIOD_OVERRIDE=FQ","FILING_STATUS=MR","SCALING_FORMAT=MLN","Sort=A","Dates=H","DateFormat=P","Fill=—","Direction=H","UseDPDF=Y")</f>
        <v>—</v>
      </c>
      <c r="O104" s="13">
        <f>_xll.BDH("ITCI US Equity","ARDR_DEFERRED_TAX_ALLOWANCE","FQ4 2021","FQ4 2021","Currency=USD","Period=FQ","BEST_FPERIOD_OVERRIDE=FQ","FILING_STATUS=MR","SCALING_FORMAT=MLN","Sort=A","Dates=H","DateFormat=P","Fill=—","Direction=H","UseDPDF=Y")</f>
        <v>166.57259999999999</v>
      </c>
      <c r="P104" s="13" t="str">
        <f>_xll.BDH("ITCI US Equity","ARDR_DEFERRED_TAX_ALLOWANCE","FQ1 2022","FQ1 2022","Currency=USD","Period=FQ","BEST_FPERIOD_OVERRIDE=FQ","FILING_STATUS=MR","SCALING_FORMAT=MLN","Sort=A","Dates=H","DateFormat=P","Fill=—","Direction=H","UseDPDF=Y")</f>
        <v>—</v>
      </c>
      <c r="Q104" s="13" t="str">
        <f>_xll.BDH("ITCI US Equity","ARDR_DEFERRED_TAX_ALLOWANCE","FQ2 2022","FQ2 2022","Currency=USD","Period=FQ","BEST_FPERIOD_OVERRIDE=FQ","FILING_STATUS=MR","SCALING_FORMAT=MLN","Sort=A","Dates=H","DateFormat=P","Fill=—","Direction=H","UseDPDF=Y")</f>
        <v>—</v>
      </c>
      <c r="R104" s="13" t="str">
        <f>_xll.BDH("ITCI US Equity","ARDR_DEFERRED_TAX_ALLOWANCE","FQ3 2022","FQ3 2022","Currency=USD","Period=FQ","BEST_FPERIOD_OVERRIDE=FQ","FILING_STATUS=MR","SCALING_FORMAT=MLN","Sort=A","Dates=H","DateFormat=P","Fill=—","Direction=H","UseDPDF=Y")</f>
        <v>—</v>
      </c>
      <c r="S104" s="13">
        <f>_xll.BDH("ITCI US Equity","ARDR_DEFERRED_TAX_ALLOWANCE","FQ4 2022","FQ4 2022","Currency=USD","Period=FQ","BEST_FPERIOD_OVERRIDE=FQ","FILING_STATUS=MR","SCALING_FORMAT=MLN","Sort=A","Dates=H","DateFormat=P","Fill=—","Direction=H","UseDPDF=Y")</f>
        <v>220.31399999999999</v>
      </c>
      <c r="T104" s="13" t="str">
        <f>_xll.BDH("ITCI US Equity","ARDR_DEFERRED_TAX_ALLOWANCE","FQ1 2023","FQ1 2023","Currency=USD","Period=FQ","BEST_FPERIOD_OVERRIDE=FQ","FILING_STATUS=MR","SCALING_FORMAT=MLN","Sort=A","Dates=H","DateFormat=P","Fill=—","Direction=H","UseDPDF=Y")</f>
        <v>—</v>
      </c>
      <c r="U104" s="13" t="str">
        <f>_xll.BDH("ITCI US Equity","ARDR_DEFERRED_TAX_ALLOWANCE","FQ2 2023","FQ2 2023","Currency=USD","Period=FQ","BEST_FPERIOD_OVERRIDE=FQ","FILING_STATUS=MR","SCALING_FORMAT=MLN","Sort=A","Dates=H","DateFormat=P","Fill=—","Direction=H","UseDPDF=Y")</f>
        <v>—</v>
      </c>
      <c r="V104" s="13" t="str">
        <f>_xll.BDH("ITCI US Equity","ARDR_DEFERRED_TAX_ALLOWANCE","FQ3 2023","FQ3 2023","Currency=USD","Period=FQ","BEST_FPERIOD_OVERRIDE=FQ","FILING_STATUS=MR","SCALING_FORMAT=MLN","Sort=A","Dates=H","DateFormat=P","Fill=—","Direction=H","UseDPDF=Y")</f>
        <v>—</v>
      </c>
      <c r="W104" s="13">
        <f>_xll.BDH("ITCI US Equity","ARDR_DEFERRED_TAX_ALLOWANCE","FQ4 2023","FQ4 2023","Currency=USD","Period=FQ","BEST_FPERIOD_OVERRIDE=FQ","FILING_STATUS=MR","SCALING_FORMAT=MLN","Sort=A","Dates=H","DateFormat=P","Fill=—","Direction=H","UseDPDF=Y")</f>
        <v>270.589</v>
      </c>
      <c r="X104" s="13" t="str">
        <f>_xll.BDH("ITCI US Equity","ARDR_DEFERRED_TAX_ALLOWANCE","FQ1 2024","FQ1 2024","Currency=USD","Period=FQ","BEST_FPERIOD_OVERRIDE=FQ","FILING_STATUS=MR","SCALING_FORMAT=MLN","Sort=A","Dates=H","DateFormat=P","Fill=—","Direction=H","UseDPDF=Y")</f>
        <v>—</v>
      </c>
      <c r="Y104" s="13" t="str">
        <f>_xll.BDH("ITCI US Equity","ARDR_DEFERRED_TAX_ALLOWANCE","FQ2 2024","FQ2 2024","Currency=USD","Period=FQ","BEST_FPERIOD_OVERRIDE=FQ","FILING_STATUS=MR","SCALING_FORMAT=MLN","Sort=A","Dates=H","DateFormat=P","Fill=—","Direction=H","UseDPDF=Y")</f>
        <v>—</v>
      </c>
      <c r="Z104" s="13" t="str">
        <f>_xll.BDH("ITCI US Equity","ARDR_DEFERRED_TAX_ALLOWANCE","FQ3 2024","FQ3 2024","Currency=USD","Period=FQ","BEST_FPERIOD_OVERRIDE=FQ","FILING_STATUS=MR","SCALING_FORMAT=MLN","Sort=A","Dates=H","DateFormat=P","Fill=—","Direction=H","UseDPDF=Y")</f>
        <v>—</v>
      </c>
      <c r="AA104" s="13">
        <f>_xll.BDH("ITCI US Equity","ARDR_DEFERRED_TAX_ALLOWANCE","FQ4 2024","FQ4 2024","Currency=USD","Period=FQ","BEST_FPERIOD_OVERRIDE=FQ","FILING_STATUS=MR","SCALING_FORMAT=MLN","Sort=A","Dates=H","DateFormat=P","Fill=—","Direction=H","UseDPDF=Y")</f>
        <v>297.44900000000001</v>
      </c>
    </row>
    <row r="105" spans="1:27" x14ac:dyDescent="0.25">
      <c r="A105" s="10" t="s">
        <v>856</v>
      </c>
      <c r="B105" s="10" t="s">
        <v>857</v>
      </c>
      <c r="C105" s="13" t="str">
        <f>_xll.BDH("ITCI US Equity","ARDR_FV_ASSETS_REC_L1_TRAD_TREAS","FQ4 2018","FQ4 2018","Currency=USD","Period=FQ","BEST_FPERIOD_OVERRIDE=FQ","FILING_STATUS=MR","SCALING_FORMAT=MLN","Sort=A","Dates=H","DateFormat=P","Fill=—","Direction=H","UseDPDF=Y")</f>
        <v>—</v>
      </c>
      <c r="D105" s="13" t="str">
        <f>_xll.BDH("ITCI US Equity","ARDR_FV_ASSETS_REC_L1_TRAD_TREAS","FQ1 2019","FQ1 2019","Currency=USD","Period=FQ","BEST_FPERIOD_OVERRIDE=FQ","FILING_STATUS=MR","SCALING_FORMAT=MLN","Sort=A","Dates=H","DateFormat=P","Fill=—","Direction=H","UseDPDF=Y")</f>
        <v>—</v>
      </c>
      <c r="E105" s="13" t="str">
        <f>_xll.BDH("ITCI US Equity","ARDR_FV_ASSETS_REC_L1_TRAD_TREAS","FQ2 2019","FQ2 2019","Currency=USD","Period=FQ","BEST_FPERIOD_OVERRIDE=FQ","FILING_STATUS=MR","SCALING_FORMAT=MLN","Sort=A","Dates=H","DateFormat=P","Fill=—","Direction=H","UseDPDF=Y")</f>
        <v>—</v>
      </c>
      <c r="F105" s="13" t="str">
        <f>_xll.BDH("ITCI US Equity","ARDR_FV_ASSETS_REC_L1_TRAD_TREAS","FQ3 2019","FQ3 2019","Currency=USD","Period=FQ","BEST_FPERIOD_OVERRIDE=FQ","FILING_STATUS=MR","SCALING_FORMAT=MLN","Sort=A","Dates=H","DateFormat=P","Fill=—","Direction=H","UseDPDF=Y")</f>
        <v>—</v>
      </c>
      <c r="G105" s="13" t="str">
        <f>_xll.BDH("ITCI US Equity","ARDR_FV_ASSETS_REC_L1_TRAD_TREAS","FQ4 2019","FQ4 2019","Currency=USD","Period=FQ","BEST_FPERIOD_OVERRIDE=FQ","FILING_STATUS=MR","SCALING_FORMAT=MLN","Sort=A","Dates=H","DateFormat=P","Fill=—","Direction=H","UseDPDF=Y")</f>
        <v>—</v>
      </c>
      <c r="H105" s="13">
        <f>_xll.BDH("ITCI US Equity","ARDR_FV_ASSETS_REC_L1_TRAD_TREAS","FQ1 2020","FQ1 2020","Currency=USD","Period=FQ","BEST_FPERIOD_OVERRIDE=FQ","FILING_STATUS=MR","SCALING_FORMAT=MLN","Sort=A","Dates=H","DateFormat=P","Fill=—","Direction=H","UseDPDF=Y")</f>
        <v>86.366</v>
      </c>
      <c r="I105" s="13">
        <f>_xll.BDH("ITCI US Equity","ARDR_FV_ASSETS_REC_L1_TRAD_TREAS","FQ2 2020","FQ2 2020","Currency=USD","Period=FQ","BEST_FPERIOD_OVERRIDE=FQ","FILING_STATUS=MR","SCALING_FORMAT=MLN","Sort=A","Dates=H","DateFormat=P","Fill=—","Direction=H","UseDPDF=Y")</f>
        <v>100.85599999999999</v>
      </c>
      <c r="J105" s="13">
        <f>_xll.BDH("ITCI US Equity","ARDR_FV_ASSETS_REC_L1_TRAD_TREAS","FQ3 2020","FQ3 2020","Currency=USD","Period=FQ","BEST_FPERIOD_OVERRIDE=FQ","FILING_STATUS=MR","SCALING_FORMAT=MLN","Sort=A","Dates=H","DateFormat=P","Fill=—","Direction=H","UseDPDF=Y")</f>
        <v>224.239</v>
      </c>
      <c r="K105" s="13">
        <f>_xll.BDH("ITCI US Equity","ARDR_FV_ASSETS_REC_L1_TRAD_TREAS","FQ4 2020","FQ4 2020","Currency=USD","Period=FQ","BEST_FPERIOD_OVERRIDE=FQ","FILING_STATUS=MR","SCALING_FORMAT=MLN","Sort=A","Dates=H","DateFormat=P","Fill=—","Direction=H","UseDPDF=Y")</f>
        <v>27.917000000000002</v>
      </c>
      <c r="L105" s="13">
        <f>_xll.BDH("ITCI US Equity","ARDR_FV_ASSETS_REC_L1_TRAD_TREAS","FQ1 2021","FQ1 2021","Currency=USD","Period=FQ","BEST_FPERIOD_OVERRIDE=FQ","FILING_STATUS=MR","SCALING_FORMAT=MLN","Sort=A","Dates=H","DateFormat=P","Fill=—","Direction=H","UseDPDF=Y")</f>
        <v>83.602000000000004</v>
      </c>
      <c r="M105" s="13">
        <f>_xll.BDH("ITCI US Equity","ARDR_FV_ASSETS_REC_L1_TRAD_TREAS","FQ2 2021","FQ2 2021","Currency=USD","Period=FQ","BEST_FPERIOD_OVERRIDE=FQ","FILING_STATUS=MR","SCALING_FORMAT=MLN","Sort=A","Dates=H","DateFormat=P","Fill=—","Direction=H","UseDPDF=Y")</f>
        <v>97.146000000000001</v>
      </c>
      <c r="N105" s="13">
        <f>_xll.BDH("ITCI US Equity","ARDR_FV_ASSETS_REC_L1_TRAD_TREAS","FQ3 2021","FQ3 2021","Currency=USD","Period=FQ","BEST_FPERIOD_OVERRIDE=FQ","FILING_STATUS=MR","SCALING_FORMAT=MLN","Sort=A","Dates=H","DateFormat=P","Fill=—","Direction=H","UseDPDF=Y")</f>
        <v>88.25</v>
      </c>
      <c r="O105" s="13">
        <f>_xll.BDH("ITCI US Equity","ARDR_FV_ASSETS_REC_L1_TRAD_TREAS","FQ4 2021","FQ4 2021","Currency=USD","Period=FQ","BEST_FPERIOD_OVERRIDE=FQ","FILING_STATUS=MR","SCALING_FORMAT=MLN","Sort=A","Dates=H","DateFormat=P","Fill=—","Direction=H","UseDPDF=Y")</f>
        <v>56.539000000000001</v>
      </c>
      <c r="P105" s="13">
        <f>_xll.BDH("ITCI US Equity","ARDR_FV_ASSETS_REC_L1_TRAD_TREAS","FQ1 2022","FQ1 2022","Currency=USD","Period=FQ","BEST_FPERIOD_OVERRIDE=FQ","FILING_STATUS=MR","SCALING_FORMAT=MLN","Sort=A","Dates=H","DateFormat=P","Fill=—","Direction=H","UseDPDF=Y")</f>
        <v>65.866</v>
      </c>
      <c r="Q105" s="13">
        <f>_xll.BDH("ITCI US Equity","ARDR_FV_ASSETS_REC_L1_TRAD_TREAS","FQ2 2022","FQ2 2022","Currency=USD","Period=FQ","BEST_FPERIOD_OVERRIDE=FQ","FILING_STATUS=MR","SCALING_FORMAT=MLN","Sort=A","Dates=H","DateFormat=P","Fill=—","Direction=H","UseDPDF=Y")</f>
        <v>55.774999999999999</v>
      </c>
      <c r="R105" s="13">
        <f>_xll.BDH("ITCI US Equity","ARDR_FV_ASSETS_REC_L1_TRAD_TREAS","FQ3 2022","FQ3 2022","Currency=USD","Period=FQ","BEST_FPERIOD_OVERRIDE=FQ","FILING_STATUS=MR","SCALING_FORMAT=MLN","Sort=A","Dates=H","DateFormat=P","Fill=—","Direction=H","UseDPDF=Y")</f>
        <v>47.122</v>
      </c>
      <c r="S105" s="13">
        <f>_xll.BDH("ITCI US Equity","ARDR_FV_ASSETS_REC_L1_TRAD_TREAS","FQ4 2022","FQ4 2022","Currency=USD","Period=FQ","BEST_FPERIOD_OVERRIDE=FQ","FILING_STATUS=MR","SCALING_FORMAT=MLN","Sort=A","Dates=H","DateFormat=P","Fill=—","Direction=H","UseDPDF=Y")</f>
        <v>12.202999999999999</v>
      </c>
      <c r="T105" s="13">
        <f>_xll.BDH("ITCI US Equity","ARDR_FV_ASSETS_REC_L1_TRAD_TREAS","FQ1 2023","FQ1 2023","Currency=USD","Period=FQ","BEST_FPERIOD_OVERRIDE=FQ","FILING_STATUS=MR","SCALING_FORMAT=MLN","Sort=A","Dates=H","DateFormat=P","Fill=—","Direction=H","UseDPDF=Y")</f>
        <v>30.917000000000002</v>
      </c>
      <c r="U105" s="13">
        <f>_xll.BDH("ITCI US Equity","ARDR_FV_ASSETS_REC_L1_TRAD_TREAS","FQ2 2023","FQ2 2023","Currency=USD","Period=FQ","BEST_FPERIOD_OVERRIDE=FQ","FILING_STATUS=MR","SCALING_FORMAT=MLN","Sort=A","Dates=H","DateFormat=P","Fill=—","Direction=H","UseDPDF=Y")</f>
        <v>12.202999999999999</v>
      </c>
      <c r="V105" s="13">
        <f>_xll.BDH("ITCI US Equity","ARDR_FV_ASSETS_REC_L1_TRAD_TREAS","FQ3 2023","FQ3 2023","Currency=USD","Period=FQ","BEST_FPERIOD_OVERRIDE=FQ","FILING_STATUS=MR","SCALING_FORMAT=MLN","Sort=A","Dates=H","DateFormat=P","Fill=—","Direction=H","UseDPDF=Y")</f>
        <v>4.42</v>
      </c>
      <c r="W105" s="13">
        <f>_xll.BDH("ITCI US Equity","ARDR_FV_ASSETS_REC_L1_TRAD_TREAS","FQ4 2023","FQ4 2023","Currency=USD","Period=FQ","BEST_FPERIOD_OVERRIDE=FQ","FILING_STATUS=MR","SCALING_FORMAT=MLN","Sort=A","Dates=H","DateFormat=P","Fill=—","Direction=H","UseDPDF=Y")</f>
        <v>10.698</v>
      </c>
      <c r="X105" s="13">
        <f>_xll.BDH("ITCI US Equity","ARDR_FV_ASSETS_REC_L1_TRAD_TREAS","FQ1 2024","FQ1 2024","Currency=USD","Period=FQ","BEST_FPERIOD_OVERRIDE=FQ","FILING_STATUS=MR","SCALING_FORMAT=MLN","Sort=A","Dates=H","DateFormat=P","Fill=—","Direction=H","UseDPDF=Y")</f>
        <v>31.207999999999998</v>
      </c>
      <c r="Y105" s="13">
        <f>_xll.BDH("ITCI US Equity","ARDR_FV_ASSETS_REC_L1_TRAD_TREAS","FQ2 2024","FQ2 2024","Currency=USD","Period=FQ","BEST_FPERIOD_OVERRIDE=FQ","FILING_STATUS=MR","SCALING_FORMAT=MLN","Sort=A","Dates=H","DateFormat=P","Fill=—","Direction=H","UseDPDF=Y")</f>
        <v>81.94</v>
      </c>
      <c r="Z105" s="13">
        <f>_xll.BDH("ITCI US Equity","ARDR_FV_ASSETS_REC_L1_TRAD_TREAS","FQ3 2024","FQ3 2024","Currency=USD","Period=FQ","BEST_FPERIOD_OVERRIDE=FQ","FILING_STATUS=MR","SCALING_FORMAT=MLN","Sort=A","Dates=H","DateFormat=P","Fill=—","Direction=H","UseDPDF=Y")</f>
        <v>225.09899999999999</v>
      </c>
      <c r="AA105" s="13">
        <f>_xll.BDH("ITCI US Equity","ARDR_FV_ASSETS_REC_L1_TRAD_TREAS","FQ4 2024","FQ4 2024","Currency=USD","Period=FQ","BEST_FPERIOD_OVERRIDE=FQ","FILING_STATUS=MR","SCALING_FORMAT=MLN","Sort=A","Dates=H","DateFormat=P","Fill=—","Direction=H","UseDPDF=Y")</f>
        <v>193.52199999999999</v>
      </c>
    </row>
    <row r="106" spans="1:27" x14ac:dyDescent="0.25">
      <c r="A106" s="10" t="s">
        <v>858</v>
      </c>
      <c r="B106" s="10" t="s">
        <v>859</v>
      </c>
      <c r="C106" s="13" t="str">
        <f>_xll.BDH("ITCI US Equity","ARDR_FV_ASSETS_REC_L1_TRAD_BONDS","FQ4 2018","FQ4 2018","Currency=USD","Period=FQ","BEST_FPERIOD_OVERRIDE=FQ","FILING_STATUS=MR","SCALING_FORMAT=MLN","Sort=A","Dates=H","DateFormat=P","Fill=—","Direction=H","UseDPDF=Y")</f>
        <v>—</v>
      </c>
      <c r="D106" s="13" t="str">
        <f>_xll.BDH("ITCI US Equity","ARDR_FV_ASSETS_REC_L1_TRAD_BONDS","FQ1 2019","FQ1 2019","Currency=USD","Period=FQ","BEST_FPERIOD_OVERRIDE=FQ","FILING_STATUS=MR","SCALING_FORMAT=MLN","Sort=A","Dates=H","DateFormat=P","Fill=—","Direction=H","UseDPDF=Y")</f>
        <v>—</v>
      </c>
      <c r="E106" s="13" t="str">
        <f>_xll.BDH("ITCI US Equity","ARDR_FV_ASSETS_REC_L1_TRAD_BONDS","FQ2 2019","FQ2 2019","Currency=USD","Period=FQ","BEST_FPERIOD_OVERRIDE=FQ","FILING_STATUS=MR","SCALING_FORMAT=MLN","Sort=A","Dates=H","DateFormat=P","Fill=—","Direction=H","UseDPDF=Y")</f>
        <v>—</v>
      </c>
      <c r="F106" s="13" t="str">
        <f>_xll.BDH("ITCI US Equity","ARDR_FV_ASSETS_REC_L1_TRAD_BONDS","FQ3 2019","FQ3 2019","Currency=USD","Period=FQ","BEST_FPERIOD_OVERRIDE=FQ","FILING_STATUS=MR","SCALING_FORMAT=MLN","Sort=A","Dates=H","DateFormat=P","Fill=—","Direction=H","UseDPDF=Y")</f>
        <v>—</v>
      </c>
      <c r="G106" s="13" t="str">
        <f>_xll.BDH("ITCI US Equity","ARDR_FV_ASSETS_REC_L1_TRAD_BONDS","FQ4 2019","FQ4 2019","Currency=USD","Period=FQ","BEST_FPERIOD_OVERRIDE=FQ","FILING_STATUS=MR","SCALING_FORMAT=MLN","Sort=A","Dates=H","DateFormat=P","Fill=—","Direction=H","UseDPDF=Y")</f>
        <v>—</v>
      </c>
      <c r="H106" s="13" t="str">
        <f>_xll.BDH("ITCI US Equity","ARDR_FV_ASSETS_REC_L1_TRAD_BONDS","FQ1 2020","FQ1 2020","Currency=USD","Period=FQ","BEST_FPERIOD_OVERRIDE=FQ","FILING_STATUS=MR","SCALING_FORMAT=MLN","Sort=A","Dates=H","DateFormat=P","Fill=—","Direction=H","UseDPDF=Y")</f>
        <v>—</v>
      </c>
      <c r="I106" s="13" t="str">
        <f>_xll.BDH("ITCI US Equity","ARDR_FV_ASSETS_REC_L1_TRAD_BONDS","FQ2 2020","FQ2 2020","Currency=USD","Period=FQ","BEST_FPERIOD_OVERRIDE=FQ","FILING_STATUS=MR","SCALING_FORMAT=MLN","Sort=A","Dates=H","DateFormat=P","Fill=—","Direction=H","UseDPDF=Y")</f>
        <v>—</v>
      </c>
      <c r="J106" s="13" t="str">
        <f>_xll.BDH("ITCI US Equity","ARDR_FV_ASSETS_REC_L1_TRAD_BONDS","FQ3 2020","FQ3 2020","Currency=USD","Period=FQ","BEST_FPERIOD_OVERRIDE=FQ","FILING_STATUS=MR","SCALING_FORMAT=MLN","Sort=A","Dates=H","DateFormat=P","Fill=—","Direction=H","UseDPDF=Y")</f>
        <v>—</v>
      </c>
      <c r="K106" s="13" t="str">
        <f>_xll.BDH("ITCI US Equity","ARDR_FV_ASSETS_REC_L1_TRAD_BONDS","FQ4 2020","FQ4 2020","Currency=USD","Period=FQ","BEST_FPERIOD_OVERRIDE=FQ","FILING_STATUS=MR","SCALING_FORMAT=MLN","Sort=A","Dates=H","DateFormat=P","Fill=—","Direction=H","UseDPDF=Y")</f>
        <v>—</v>
      </c>
      <c r="L106" s="13" t="str">
        <f>_xll.BDH("ITCI US Equity","ARDR_FV_ASSETS_REC_L1_TRAD_BONDS","FQ1 2021","FQ1 2021","Currency=USD","Period=FQ","BEST_FPERIOD_OVERRIDE=FQ","FILING_STATUS=MR","SCALING_FORMAT=MLN","Sort=A","Dates=H","DateFormat=P","Fill=—","Direction=H","UseDPDF=Y")</f>
        <v>—</v>
      </c>
      <c r="M106" s="13" t="str">
        <f>_xll.BDH("ITCI US Equity","ARDR_FV_ASSETS_REC_L1_TRAD_BONDS","FQ2 2021","FQ2 2021","Currency=USD","Period=FQ","BEST_FPERIOD_OVERRIDE=FQ","FILING_STATUS=MR","SCALING_FORMAT=MLN","Sort=A","Dates=H","DateFormat=P","Fill=—","Direction=H","UseDPDF=Y")</f>
        <v>—</v>
      </c>
      <c r="N106" s="13">
        <f>_xll.BDH("ITCI US Equity","ARDR_FV_ASSETS_REC_L1_TRAD_BONDS","FQ3 2021","FQ3 2021","Currency=USD","Period=FQ","BEST_FPERIOD_OVERRIDE=FQ","FILING_STATUS=MR","SCALING_FORMAT=MLN","Sort=A","Dates=H","DateFormat=P","Fill=—","Direction=H","UseDPDF=Y")</f>
        <v>0</v>
      </c>
      <c r="O106" s="13" t="str">
        <f>_xll.BDH("ITCI US Equity","ARDR_FV_ASSETS_REC_L1_TRAD_BONDS","FQ4 2021","FQ4 2021","Currency=USD","Period=FQ","BEST_FPERIOD_OVERRIDE=FQ","FILING_STATUS=MR","SCALING_FORMAT=MLN","Sort=A","Dates=H","DateFormat=P","Fill=—","Direction=H","UseDPDF=Y")</f>
        <v>—</v>
      </c>
      <c r="P106" s="13" t="str">
        <f>_xll.BDH("ITCI US Equity","ARDR_FV_ASSETS_REC_L1_TRAD_BONDS","FQ1 2022","FQ1 2022","Currency=USD","Period=FQ","BEST_FPERIOD_OVERRIDE=FQ","FILING_STATUS=MR","SCALING_FORMAT=MLN","Sort=A","Dates=H","DateFormat=P","Fill=—","Direction=H","UseDPDF=Y")</f>
        <v>—</v>
      </c>
      <c r="Q106" s="13" t="str">
        <f>_xll.BDH("ITCI US Equity","ARDR_FV_ASSETS_REC_L1_TRAD_BONDS","FQ2 2022","FQ2 2022","Currency=USD","Period=FQ","BEST_FPERIOD_OVERRIDE=FQ","FILING_STATUS=MR","SCALING_FORMAT=MLN","Sort=A","Dates=H","DateFormat=P","Fill=—","Direction=H","UseDPDF=Y")</f>
        <v>—</v>
      </c>
      <c r="R106" s="13" t="str">
        <f>_xll.BDH("ITCI US Equity","ARDR_FV_ASSETS_REC_L1_TRAD_BONDS","FQ3 2022","FQ3 2022","Currency=USD","Period=FQ","BEST_FPERIOD_OVERRIDE=FQ","FILING_STATUS=MR","SCALING_FORMAT=MLN","Sort=A","Dates=H","DateFormat=P","Fill=—","Direction=H","UseDPDF=Y")</f>
        <v>—</v>
      </c>
      <c r="S106" s="13" t="str">
        <f>_xll.BDH("ITCI US Equity","ARDR_FV_ASSETS_REC_L1_TRAD_BONDS","FQ4 2022","FQ4 2022","Currency=USD","Period=FQ","BEST_FPERIOD_OVERRIDE=FQ","FILING_STATUS=MR","SCALING_FORMAT=MLN","Sort=A","Dates=H","DateFormat=P","Fill=—","Direction=H","UseDPDF=Y")</f>
        <v>—</v>
      </c>
      <c r="T106" s="13" t="str">
        <f>_xll.BDH("ITCI US Equity","ARDR_FV_ASSETS_REC_L1_TRAD_BONDS","FQ1 2023","FQ1 2023","Currency=USD","Period=FQ","BEST_FPERIOD_OVERRIDE=FQ","FILING_STATUS=MR","SCALING_FORMAT=MLN","Sort=A","Dates=H","DateFormat=P","Fill=—","Direction=H","UseDPDF=Y")</f>
        <v>—</v>
      </c>
      <c r="U106" s="13" t="str">
        <f>_xll.BDH("ITCI US Equity","ARDR_FV_ASSETS_REC_L1_TRAD_BONDS","FQ2 2023","FQ2 2023","Currency=USD","Period=FQ","BEST_FPERIOD_OVERRIDE=FQ","FILING_STATUS=MR","SCALING_FORMAT=MLN","Sort=A","Dates=H","DateFormat=P","Fill=—","Direction=H","UseDPDF=Y")</f>
        <v>—</v>
      </c>
      <c r="V106" s="13" t="str">
        <f>_xll.BDH("ITCI US Equity","ARDR_FV_ASSETS_REC_L1_TRAD_BONDS","FQ3 2023","FQ3 2023","Currency=USD","Period=FQ","BEST_FPERIOD_OVERRIDE=FQ","FILING_STATUS=MR","SCALING_FORMAT=MLN","Sort=A","Dates=H","DateFormat=P","Fill=—","Direction=H","UseDPDF=Y")</f>
        <v>—</v>
      </c>
      <c r="W106" s="13" t="str">
        <f>_xll.BDH("ITCI US Equity","ARDR_FV_ASSETS_REC_L1_TRAD_BONDS","FQ4 2023","FQ4 2023","Currency=USD","Period=FQ","BEST_FPERIOD_OVERRIDE=FQ","FILING_STATUS=MR","SCALING_FORMAT=MLN","Sort=A","Dates=H","DateFormat=P","Fill=—","Direction=H","UseDPDF=Y")</f>
        <v>—</v>
      </c>
      <c r="X106" s="13">
        <f>_xll.BDH("ITCI US Equity","ARDR_FV_ASSETS_REC_L1_TRAD_BONDS","FQ1 2024","FQ1 2024","Currency=USD","Period=FQ","BEST_FPERIOD_OVERRIDE=FQ","FILING_STATUS=MR","SCALING_FORMAT=MLN","Sort=A","Dates=H","DateFormat=P","Fill=—","Direction=H","UseDPDF=Y")</f>
        <v>0</v>
      </c>
      <c r="Y106" s="13">
        <f>_xll.BDH("ITCI US Equity","ARDR_FV_ASSETS_REC_L1_TRAD_BONDS","FQ2 2024","FQ2 2024","Currency=USD","Period=FQ","BEST_FPERIOD_OVERRIDE=FQ","FILING_STATUS=MR","SCALING_FORMAT=MLN","Sort=A","Dates=H","DateFormat=P","Fill=—","Direction=H","UseDPDF=Y")</f>
        <v>0</v>
      </c>
      <c r="Z106" s="13">
        <f>_xll.BDH("ITCI US Equity","ARDR_FV_ASSETS_REC_L1_TRAD_BONDS","FQ3 2024","FQ3 2024","Currency=USD","Period=FQ","BEST_FPERIOD_OVERRIDE=FQ","FILING_STATUS=MR","SCALING_FORMAT=MLN","Sort=A","Dates=H","DateFormat=P","Fill=—","Direction=H","UseDPDF=Y")</f>
        <v>0</v>
      </c>
      <c r="AA106" s="13" t="str">
        <f>_xll.BDH("ITCI US Equity","ARDR_FV_ASSETS_REC_L1_TRAD_BONDS","FQ4 2024","FQ4 2024","Currency=USD","Period=FQ","BEST_FPERIOD_OVERRIDE=FQ","FILING_STATUS=MR","SCALING_FORMAT=MLN","Sort=A","Dates=H","DateFormat=P","Fill=—","Direction=H","UseDPDF=Y")</f>
        <v>—</v>
      </c>
    </row>
    <row r="107" spans="1:27" x14ac:dyDescent="0.25">
      <c r="A107" s="10" t="s">
        <v>860</v>
      </c>
      <c r="B107" s="10" t="s">
        <v>861</v>
      </c>
      <c r="C107" s="13" t="str">
        <f>_xll.BDH("ITCI US Equity","ARDR_FV_ASTS_REC_L1_TRAD_GSE_CMO","FQ4 2018","FQ4 2018","Currency=USD","Period=FQ","BEST_FPERIOD_OVERRIDE=FQ","FILING_STATUS=MR","SCALING_FORMAT=MLN","Sort=A","Dates=H","DateFormat=P","Fill=—","Direction=H","UseDPDF=Y")</f>
        <v>—</v>
      </c>
      <c r="D107" s="13" t="str">
        <f>_xll.BDH("ITCI US Equity","ARDR_FV_ASTS_REC_L1_TRAD_GSE_CMO","FQ1 2019","FQ1 2019","Currency=USD","Period=FQ","BEST_FPERIOD_OVERRIDE=FQ","FILING_STATUS=MR","SCALING_FORMAT=MLN","Sort=A","Dates=H","DateFormat=P","Fill=—","Direction=H","UseDPDF=Y")</f>
        <v>—</v>
      </c>
      <c r="E107" s="13" t="str">
        <f>_xll.BDH("ITCI US Equity","ARDR_FV_ASTS_REC_L1_TRAD_GSE_CMO","FQ2 2019","FQ2 2019","Currency=USD","Period=FQ","BEST_FPERIOD_OVERRIDE=FQ","FILING_STATUS=MR","SCALING_FORMAT=MLN","Sort=A","Dates=H","DateFormat=P","Fill=—","Direction=H","UseDPDF=Y")</f>
        <v>—</v>
      </c>
      <c r="F107" s="13" t="str">
        <f>_xll.BDH("ITCI US Equity","ARDR_FV_ASTS_REC_L1_TRAD_GSE_CMO","FQ3 2019","FQ3 2019","Currency=USD","Period=FQ","BEST_FPERIOD_OVERRIDE=FQ","FILING_STATUS=MR","SCALING_FORMAT=MLN","Sort=A","Dates=H","DateFormat=P","Fill=—","Direction=H","UseDPDF=Y")</f>
        <v>—</v>
      </c>
      <c r="G107" s="13" t="str">
        <f>_xll.BDH("ITCI US Equity","ARDR_FV_ASTS_REC_L1_TRAD_GSE_CMO","FQ4 2019","FQ4 2019","Currency=USD","Period=FQ","BEST_FPERIOD_OVERRIDE=FQ","FILING_STATUS=MR","SCALING_FORMAT=MLN","Sort=A","Dates=H","DateFormat=P","Fill=—","Direction=H","UseDPDF=Y")</f>
        <v>—</v>
      </c>
      <c r="H107" s="13" t="str">
        <f>_xll.BDH("ITCI US Equity","ARDR_FV_ASTS_REC_L1_TRAD_GSE_CMO","FQ1 2020","FQ1 2020","Currency=USD","Period=FQ","BEST_FPERIOD_OVERRIDE=FQ","FILING_STATUS=MR","SCALING_FORMAT=MLN","Sort=A","Dates=H","DateFormat=P","Fill=—","Direction=H","UseDPDF=Y")</f>
        <v>—</v>
      </c>
      <c r="I107" s="13" t="str">
        <f>_xll.BDH("ITCI US Equity","ARDR_FV_ASTS_REC_L1_TRAD_GSE_CMO","FQ2 2020","FQ2 2020","Currency=USD","Period=FQ","BEST_FPERIOD_OVERRIDE=FQ","FILING_STATUS=MR","SCALING_FORMAT=MLN","Sort=A","Dates=H","DateFormat=P","Fill=—","Direction=H","UseDPDF=Y")</f>
        <v>—</v>
      </c>
      <c r="J107" s="13" t="str">
        <f>_xll.BDH("ITCI US Equity","ARDR_FV_ASTS_REC_L1_TRAD_GSE_CMO","FQ3 2020","FQ3 2020","Currency=USD","Period=FQ","BEST_FPERIOD_OVERRIDE=FQ","FILING_STATUS=MR","SCALING_FORMAT=MLN","Sort=A","Dates=H","DateFormat=P","Fill=—","Direction=H","UseDPDF=Y")</f>
        <v>—</v>
      </c>
      <c r="K107" s="13" t="str">
        <f>_xll.BDH("ITCI US Equity","ARDR_FV_ASTS_REC_L1_TRAD_GSE_CMO","FQ4 2020","FQ4 2020","Currency=USD","Period=FQ","BEST_FPERIOD_OVERRIDE=FQ","FILING_STATUS=MR","SCALING_FORMAT=MLN","Sort=A","Dates=H","DateFormat=P","Fill=—","Direction=H","UseDPDF=Y")</f>
        <v>—</v>
      </c>
      <c r="L107" s="13" t="str">
        <f>_xll.BDH("ITCI US Equity","ARDR_FV_ASTS_REC_L1_TRAD_GSE_CMO","FQ1 2021","FQ1 2021","Currency=USD","Period=FQ","BEST_FPERIOD_OVERRIDE=FQ","FILING_STATUS=MR","SCALING_FORMAT=MLN","Sort=A","Dates=H","DateFormat=P","Fill=—","Direction=H","UseDPDF=Y")</f>
        <v>—</v>
      </c>
      <c r="M107" s="13" t="str">
        <f>_xll.BDH("ITCI US Equity","ARDR_FV_ASTS_REC_L1_TRAD_GSE_CMO","FQ2 2021","FQ2 2021","Currency=USD","Period=FQ","BEST_FPERIOD_OVERRIDE=FQ","FILING_STATUS=MR","SCALING_FORMAT=MLN","Sort=A","Dates=H","DateFormat=P","Fill=—","Direction=H","UseDPDF=Y")</f>
        <v>—</v>
      </c>
      <c r="N107" s="13">
        <f>_xll.BDH("ITCI US Equity","ARDR_FV_ASTS_REC_L1_TRAD_GSE_CMO","FQ3 2021","FQ3 2021","Currency=USD","Period=FQ","BEST_FPERIOD_OVERRIDE=FQ","FILING_STATUS=MR","SCALING_FORMAT=MLN","Sort=A","Dates=H","DateFormat=P","Fill=—","Direction=H","UseDPDF=Y")</f>
        <v>0</v>
      </c>
      <c r="O107" s="13" t="str">
        <f>_xll.BDH("ITCI US Equity","ARDR_FV_ASTS_REC_L1_TRAD_GSE_CMO","FQ4 2021","FQ4 2021","Currency=USD","Period=FQ","BEST_FPERIOD_OVERRIDE=FQ","FILING_STATUS=MR","SCALING_FORMAT=MLN","Sort=A","Dates=H","DateFormat=P","Fill=—","Direction=H","UseDPDF=Y")</f>
        <v>—</v>
      </c>
      <c r="P107" s="13" t="str">
        <f>_xll.BDH("ITCI US Equity","ARDR_FV_ASTS_REC_L1_TRAD_GSE_CMO","FQ1 2022","FQ1 2022","Currency=USD","Period=FQ","BEST_FPERIOD_OVERRIDE=FQ","FILING_STATUS=MR","SCALING_FORMAT=MLN","Sort=A","Dates=H","DateFormat=P","Fill=—","Direction=H","UseDPDF=Y")</f>
        <v>—</v>
      </c>
      <c r="Q107" s="13" t="str">
        <f>_xll.BDH("ITCI US Equity","ARDR_FV_ASTS_REC_L1_TRAD_GSE_CMO","FQ2 2022","FQ2 2022","Currency=USD","Period=FQ","BEST_FPERIOD_OVERRIDE=FQ","FILING_STATUS=MR","SCALING_FORMAT=MLN","Sort=A","Dates=H","DateFormat=P","Fill=—","Direction=H","UseDPDF=Y")</f>
        <v>—</v>
      </c>
      <c r="R107" s="13" t="str">
        <f>_xll.BDH("ITCI US Equity","ARDR_FV_ASTS_REC_L1_TRAD_GSE_CMO","FQ3 2022","FQ3 2022","Currency=USD","Period=FQ","BEST_FPERIOD_OVERRIDE=FQ","FILING_STATUS=MR","SCALING_FORMAT=MLN","Sort=A","Dates=H","DateFormat=P","Fill=—","Direction=H","UseDPDF=Y")</f>
        <v>—</v>
      </c>
      <c r="S107" s="13" t="str">
        <f>_xll.BDH("ITCI US Equity","ARDR_FV_ASTS_REC_L1_TRAD_GSE_CMO","FQ4 2022","FQ4 2022","Currency=USD","Period=FQ","BEST_FPERIOD_OVERRIDE=FQ","FILING_STATUS=MR","SCALING_FORMAT=MLN","Sort=A","Dates=H","DateFormat=P","Fill=—","Direction=H","UseDPDF=Y")</f>
        <v>—</v>
      </c>
      <c r="T107" s="13" t="str">
        <f>_xll.BDH("ITCI US Equity","ARDR_FV_ASTS_REC_L1_TRAD_GSE_CMO","FQ1 2023","FQ1 2023","Currency=USD","Period=FQ","BEST_FPERIOD_OVERRIDE=FQ","FILING_STATUS=MR","SCALING_FORMAT=MLN","Sort=A","Dates=H","DateFormat=P","Fill=—","Direction=H","UseDPDF=Y")</f>
        <v>—</v>
      </c>
      <c r="U107" s="13" t="str">
        <f>_xll.BDH("ITCI US Equity","ARDR_FV_ASTS_REC_L1_TRAD_GSE_CMO","FQ2 2023","FQ2 2023","Currency=USD","Period=FQ","BEST_FPERIOD_OVERRIDE=FQ","FILING_STATUS=MR","SCALING_FORMAT=MLN","Sort=A","Dates=H","DateFormat=P","Fill=—","Direction=H","UseDPDF=Y")</f>
        <v>—</v>
      </c>
      <c r="V107" s="13" t="str">
        <f>_xll.BDH("ITCI US Equity","ARDR_FV_ASTS_REC_L1_TRAD_GSE_CMO","FQ3 2023","FQ3 2023","Currency=USD","Period=FQ","BEST_FPERIOD_OVERRIDE=FQ","FILING_STATUS=MR","SCALING_FORMAT=MLN","Sort=A","Dates=H","DateFormat=P","Fill=—","Direction=H","UseDPDF=Y")</f>
        <v>—</v>
      </c>
      <c r="W107" s="13" t="str">
        <f>_xll.BDH("ITCI US Equity","ARDR_FV_ASTS_REC_L1_TRAD_GSE_CMO","FQ4 2023","FQ4 2023","Currency=USD","Period=FQ","BEST_FPERIOD_OVERRIDE=FQ","FILING_STATUS=MR","SCALING_FORMAT=MLN","Sort=A","Dates=H","DateFormat=P","Fill=—","Direction=H","UseDPDF=Y")</f>
        <v>—</v>
      </c>
      <c r="X107" s="13" t="str">
        <f>_xll.BDH("ITCI US Equity","ARDR_FV_ASTS_REC_L1_TRAD_GSE_CMO","FQ1 2024","FQ1 2024","Currency=USD","Period=FQ","BEST_FPERIOD_OVERRIDE=FQ","FILING_STATUS=MR","SCALING_FORMAT=MLN","Sort=A","Dates=H","DateFormat=P","Fill=—","Direction=H","UseDPDF=Y")</f>
        <v>—</v>
      </c>
      <c r="Y107" s="13" t="str">
        <f>_xll.BDH("ITCI US Equity","ARDR_FV_ASTS_REC_L1_TRAD_GSE_CMO","FQ2 2024","FQ2 2024","Currency=USD","Period=FQ","BEST_FPERIOD_OVERRIDE=FQ","FILING_STATUS=MR","SCALING_FORMAT=MLN","Sort=A","Dates=H","DateFormat=P","Fill=—","Direction=H","UseDPDF=Y")</f>
        <v>—</v>
      </c>
      <c r="Z107" s="13" t="str">
        <f>_xll.BDH("ITCI US Equity","ARDR_FV_ASTS_REC_L1_TRAD_GSE_CMO","FQ3 2024","FQ3 2024","Currency=USD","Period=FQ","BEST_FPERIOD_OVERRIDE=FQ","FILING_STATUS=MR","SCALING_FORMAT=MLN","Sort=A","Dates=H","DateFormat=P","Fill=—","Direction=H","UseDPDF=Y")</f>
        <v>—</v>
      </c>
      <c r="AA107" s="13" t="str">
        <f>_xll.BDH("ITCI US Equity","ARDR_FV_ASTS_REC_L1_TRAD_GSE_CMO","FQ4 2024","FQ4 2024","Currency=USD","Period=FQ","BEST_FPERIOD_OVERRIDE=FQ","FILING_STATUS=MR","SCALING_FORMAT=MLN","Sort=A","Dates=H","DateFormat=P","Fill=—","Direction=H","UseDPDF=Y")</f>
        <v>—</v>
      </c>
    </row>
    <row r="108" spans="1:27" x14ac:dyDescent="0.25">
      <c r="A108" s="10" t="s">
        <v>862</v>
      </c>
      <c r="B108" s="10" t="s">
        <v>863</v>
      </c>
      <c r="C108" s="13">
        <f>_xll.BDH("ITCI US Equity","ARDR_FV_ASSETS_REC_L1_OTHER","FQ4 2018","FQ4 2018","Currency=USD","Period=FQ","BEST_FPERIOD_OVERRIDE=FQ","FILING_STATUS=MR","SCALING_FORMAT=MLN","Sort=A","Dates=H","DateFormat=P","Fill=—","Direction=H","UseDPDF=Y")</f>
        <v>39.591000000000001</v>
      </c>
      <c r="D108" s="13">
        <f>_xll.BDH("ITCI US Equity","ARDR_FV_ASSETS_REC_L1_OTHER","FQ1 2019","FQ1 2019","Currency=USD","Period=FQ","BEST_FPERIOD_OVERRIDE=FQ","FILING_STATUS=MR","SCALING_FORMAT=MLN","Sort=A","Dates=H","DateFormat=P","Fill=—","Direction=H","UseDPDF=Y")</f>
        <v>39.311999999999998</v>
      </c>
      <c r="E108" s="13">
        <f>_xll.BDH("ITCI US Equity","ARDR_FV_ASSETS_REC_L1_OTHER","FQ2 2019","FQ2 2019","Currency=USD","Period=FQ","BEST_FPERIOD_OVERRIDE=FQ","FILING_STATUS=MR","SCALING_FORMAT=MLN","Sort=A","Dates=H","DateFormat=P","Fill=—","Direction=H","UseDPDF=Y")</f>
        <v>54.146000000000001</v>
      </c>
      <c r="F108" s="13">
        <f>_xll.BDH("ITCI US Equity","ARDR_FV_ASSETS_REC_L1_OTHER","FQ3 2019","FQ3 2019","Currency=USD","Period=FQ","BEST_FPERIOD_OVERRIDE=FQ","FILING_STATUS=MR","SCALING_FORMAT=MLN","Sort=A","Dates=H","DateFormat=P","Fill=—","Direction=H","UseDPDF=Y")</f>
        <v>55.354999999999997</v>
      </c>
      <c r="G108" s="13">
        <f>_xll.BDH("ITCI US Equity","ARDR_FV_ASSETS_REC_L1_OTHER","FQ4 2019","FQ4 2019","Currency=USD","Period=FQ","BEST_FPERIOD_OVERRIDE=FQ","FILING_STATUS=MR","SCALING_FORMAT=MLN","Sort=A","Dates=H","DateFormat=P","Fill=—","Direction=H","UseDPDF=Y")</f>
        <v>49.881999999999998</v>
      </c>
      <c r="H108" s="13" t="str">
        <f>_xll.BDH("ITCI US Equity","ARDR_FV_ASSETS_REC_L1_OTHER","FQ1 2020","FQ1 2020","Currency=USD","Period=FQ","BEST_FPERIOD_OVERRIDE=FQ","FILING_STATUS=MR","SCALING_FORMAT=MLN","Sort=A","Dates=H","DateFormat=P","Fill=—","Direction=H","UseDPDF=Y")</f>
        <v>—</v>
      </c>
      <c r="I108" s="13">
        <f>_xll.BDH("ITCI US Equity","ARDR_FV_ASSETS_REC_L1_OTHER","FQ2 2020","FQ2 2020","Currency=USD","Period=FQ","BEST_FPERIOD_OVERRIDE=FQ","FILING_STATUS=MR","SCALING_FORMAT=MLN","Sort=A","Dates=H","DateFormat=P","Fill=—","Direction=H","UseDPDF=Y")</f>
        <v>0</v>
      </c>
      <c r="J108" s="13">
        <f>_xll.BDH("ITCI US Equity","ARDR_FV_ASSETS_REC_L1_OTHER","FQ3 2020","FQ3 2020","Currency=USD","Period=FQ","BEST_FPERIOD_OVERRIDE=FQ","FILING_STATUS=MR","SCALING_FORMAT=MLN","Sort=A","Dates=H","DateFormat=P","Fill=—","Direction=H","UseDPDF=Y")</f>
        <v>0</v>
      </c>
      <c r="K108" s="13">
        <f>_xll.BDH("ITCI US Equity","ARDR_FV_ASSETS_REC_L1_OTHER","FQ4 2020","FQ4 2020","Currency=USD","Period=FQ","BEST_FPERIOD_OVERRIDE=FQ","FILING_STATUS=MR","SCALING_FORMAT=MLN","Sort=A","Dates=H","DateFormat=P","Fill=—","Direction=H","UseDPDF=Y")</f>
        <v>0</v>
      </c>
      <c r="L108" s="13">
        <f>_xll.BDH("ITCI US Equity","ARDR_FV_ASSETS_REC_L1_OTHER","FQ1 2021","FQ1 2021","Currency=USD","Period=FQ","BEST_FPERIOD_OVERRIDE=FQ","FILING_STATUS=MR","SCALING_FORMAT=MLN","Sort=A","Dates=H","DateFormat=P","Fill=—","Direction=H","UseDPDF=Y")</f>
        <v>0</v>
      </c>
      <c r="M108" s="13">
        <f>_xll.BDH("ITCI US Equity","ARDR_FV_ASSETS_REC_L1_OTHER","FQ2 2021","FQ2 2021","Currency=USD","Period=FQ","BEST_FPERIOD_OVERRIDE=FQ","FILING_STATUS=MR","SCALING_FORMAT=MLN","Sort=A","Dates=H","DateFormat=P","Fill=—","Direction=H","UseDPDF=Y")</f>
        <v>0</v>
      </c>
      <c r="N108" s="13" t="str">
        <f>_xll.BDH("ITCI US Equity","ARDR_FV_ASSETS_REC_L1_OTHER","FQ3 2021","FQ3 2021","Currency=USD","Period=FQ","BEST_FPERIOD_OVERRIDE=FQ","FILING_STATUS=MR","SCALING_FORMAT=MLN","Sort=A","Dates=H","DateFormat=P","Fill=—","Direction=H","UseDPDF=Y")</f>
        <v>—</v>
      </c>
      <c r="O108" s="13">
        <f>_xll.BDH("ITCI US Equity","ARDR_FV_ASSETS_REC_L1_OTHER","FQ4 2021","FQ4 2021","Currency=USD","Period=FQ","BEST_FPERIOD_OVERRIDE=FQ","FILING_STATUS=MR","SCALING_FORMAT=MLN","Sort=A","Dates=H","DateFormat=P","Fill=—","Direction=H","UseDPDF=Y")</f>
        <v>0</v>
      </c>
      <c r="P108" s="13">
        <f>_xll.BDH("ITCI US Equity","ARDR_FV_ASSETS_REC_L1_OTHER","FQ1 2022","FQ1 2022","Currency=USD","Period=FQ","BEST_FPERIOD_OVERRIDE=FQ","FILING_STATUS=MR","SCALING_FORMAT=MLN","Sort=A","Dates=H","DateFormat=P","Fill=—","Direction=H","UseDPDF=Y")</f>
        <v>0</v>
      </c>
      <c r="Q108" s="13">
        <f>_xll.BDH("ITCI US Equity","ARDR_FV_ASSETS_REC_L1_OTHER","FQ2 2022","FQ2 2022","Currency=USD","Period=FQ","BEST_FPERIOD_OVERRIDE=FQ","FILING_STATUS=MR","SCALING_FORMAT=MLN","Sort=A","Dates=H","DateFormat=P","Fill=—","Direction=H","UseDPDF=Y")</f>
        <v>0</v>
      </c>
      <c r="R108" s="13">
        <f>_xll.BDH("ITCI US Equity","ARDR_FV_ASSETS_REC_L1_OTHER","FQ3 2022","FQ3 2022","Currency=USD","Period=FQ","BEST_FPERIOD_OVERRIDE=FQ","FILING_STATUS=MR","SCALING_FORMAT=MLN","Sort=A","Dates=H","DateFormat=P","Fill=—","Direction=H","UseDPDF=Y")</f>
        <v>0</v>
      </c>
      <c r="S108" s="13">
        <f>_xll.BDH("ITCI US Equity","ARDR_FV_ASSETS_REC_L1_OTHER","FQ4 2022","FQ4 2022","Currency=USD","Period=FQ","BEST_FPERIOD_OVERRIDE=FQ","FILING_STATUS=MR","SCALING_FORMAT=MLN","Sort=A","Dates=H","DateFormat=P","Fill=—","Direction=H","UseDPDF=Y")</f>
        <v>0</v>
      </c>
      <c r="T108" s="13">
        <f>_xll.BDH("ITCI US Equity","ARDR_FV_ASSETS_REC_L1_OTHER","FQ1 2023","FQ1 2023","Currency=USD","Period=FQ","BEST_FPERIOD_OVERRIDE=FQ","FILING_STATUS=MR","SCALING_FORMAT=MLN","Sort=A","Dates=H","DateFormat=P","Fill=—","Direction=H","UseDPDF=Y")</f>
        <v>0</v>
      </c>
      <c r="U108" s="13">
        <f>_xll.BDH("ITCI US Equity","ARDR_FV_ASSETS_REC_L1_OTHER","FQ2 2023","FQ2 2023","Currency=USD","Period=FQ","BEST_FPERIOD_OVERRIDE=FQ","FILING_STATUS=MR","SCALING_FORMAT=MLN","Sort=A","Dates=H","DateFormat=P","Fill=—","Direction=H","UseDPDF=Y")</f>
        <v>0</v>
      </c>
      <c r="V108" s="13">
        <f>_xll.BDH("ITCI US Equity","ARDR_FV_ASSETS_REC_L1_OTHER","FQ3 2023","FQ3 2023","Currency=USD","Period=FQ","BEST_FPERIOD_OVERRIDE=FQ","FILING_STATUS=MR","SCALING_FORMAT=MLN","Sort=A","Dates=H","DateFormat=P","Fill=—","Direction=H","UseDPDF=Y")</f>
        <v>0</v>
      </c>
      <c r="W108" s="13">
        <f>_xll.BDH("ITCI US Equity","ARDR_FV_ASSETS_REC_L1_OTHER","FQ4 2023","FQ4 2023","Currency=USD","Period=FQ","BEST_FPERIOD_OVERRIDE=FQ","FILING_STATUS=MR","SCALING_FORMAT=MLN","Sort=A","Dates=H","DateFormat=P","Fill=—","Direction=H","UseDPDF=Y")</f>
        <v>0</v>
      </c>
      <c r="X108" s="13">
        <f>_xll.BDH("ITCI US Equity","ARDR_FV_ASSETS_REC_L1_OTHER","FQ1 2024","FQ1 2024","Currency=USD","Period=FQ","BEST_FPERIOD_OVERRIDE=FQ","FILING_STATUS=MR","SCALING_FORMAT=MLN","Sort=A","Dates=H","DateFormat=P","Fill=—","Direction=H","UseDPDF=Y")</f>
        <v>0</v>
      </c>
      <c r="Y108" s="13">
        <f>_xll.BDH("ITCI US Equity","ARDR_FV_ASSETS_REC_L1_OTHER","FQ2 2024","FQ2 2024","Currency=USD","Period=FQ","BEST_FPERIOD_OVERRIDE=FQ","FILING_STATUS=MR","SCALING_FORMAT=MLN","Sort=A","Dates=H","DateFormat=P","Fill=—","Direction=H","UseDPDF=Y")</f>
        <v>0</v>
      </c>
      <c r="Z108" s="13">
        <f>_xll.BDH("ITCI US Equity","ARDR_FV_ASSETS_REC_L1_OTHER","FQ3 2024","FQ3 2024","Currency=USD","Period=FQ","BEST_FPERIOD_OVERRIDE=FQ","FILING_STATUS=MR","SCALING_FORMAT=MLN","Sort=A","Dates=H","DateFormat=P","Fill=—","Direction=H","UseDPDF=Y")</f>
        <v>0</v>
      </c>
      <c r="AA108" s="13">
        <f>_xll.BDH("ITCI US Equity","ARDR_FV_ASSETS_REC_L1_OTHER","FQ4 2024","FQ4 2024","Currency=USD","Period=FQ","BEST_FPERIOD_OVERRIDE=FQ","FILING_STATUS=MR","SCALING_FORMAT=MLN","Sort=A","Dates=H","DateFormat=P","Fill=—","Direction=H","UseDPDF=Y")</f>
        <v>0</v>
      </c>
    </row>
    <row r="109" spans="1:27" x14ac:dyDescent="0.25">
      <c r="A109" s="10" t="s">
        <v>864</v>
      </c>
      <c r="B109" s="10" t="s">
        <v>865</v>
      </c>
      <c r="C109" s="13" t="str">
        <f>_xll.BDH("ITCI US Equity","ARDR_FV_ASTS_REC_L2_TRAD_TREAS","FQ4 2018","FQ4 2018","Currency=USD","Period=FQ","BEST_FPERIOD_OVERRIDE=FQ","FILING_STATUS=MR","SCALING_FORMAT=MLN","Sort=A","Dates=H","DateFormat=P","Fill=—","Direction=H","UseDPDF=Y")</f>
        <v>—</v>
      </c>
      <c r="D109" s="13" t="str">
        <f>_xll.BDH("ITCI US Equity","ARDR_FV_ASTS_REC_L2_TRAD_TREAS","FQ1 2019","FQ1 2019","Currency=USD","Period=FQ","BEST_FPERIOD_OVERRIDE=FQ","FILING_STATUS=MR","SCALING_FORMAT=MLN","Sort=A","Dates=H","DateFormat=P","Fill=—","Direction=H","UseDPDF=Y")</f>
        <v>—</v>
      </c>
      <c r="E109" s="13" t="str">
        <f>_xll.BDH("ITCI US Equity","ARDR_FV_ASTS_REC_L2_TRAD_TREAS","FQ2 2019","FQ2 2019","Currency=USD","Period=FQ","BEST_FPERIOD_OVERRIDE=FQ","FILING_STATUS=MR","SCALING_FORMAT=MLN","Sort=A","Dates=H","DateFormat=P","Fill=—","Direction=H","UseDPDF=Y")</f>
        <v>—</v>
      </c>
      <c r="F109" s="13" t="str">
        <f>_xll.BDH("ITCI US Equity","ARDR_FV_ASTS_REC_L2_TRAD_TREAS","FQ3 2019","FQ3 2019","Currency=USD","Period=FQ","BEST_FPERIOD_OVERRIDE=FQ","FILING_STATUS=MR","SCALING_FORMAT=MLN","Sort=A","Dates=H","DateFormat=P","Fill=—","Direction=H","UseDPDF=Y")</f>
        <v>—</v>
      </c>
      <c r="G109" s="13" t="str">
        <f>_xll.BDH("ITCI US Equity","ARDR_FV_ASTS_REC_L2_TRAD_TREAS","FQ4 2019","FQ4 2019","Currency=USD","Period=FQ","BEST_FPERIOD_OVERRIDE=FQ","FILING_STATUS=MR","SCALING_FORMAT=MLN","Sort=A","Dates=H","DateFormat=P","Fill=—","Direction=H","UseDPDF=Y")</f>
        <v>—</v>
      </c>
      <c r="H109" s="13">
        <f>_xll.BDH("ITCI US Equity","ARDR_FV_ASTS_REC_L2_TRAD_TREAS","FQ1 2020","FQ1 2020","Currency=USD","Period=FQ","BEST_FPERIOD_OVERRIDE=FQ","FILING_STATUS=MR","SCALING_FORMAT=MLN","Sort=A","Dates=H","DateFormat=P","Fill=—","Direction=H","UseDPDF=Y")</f>
        <v>101.387</v>
      </c>
      <c r="I109" s="13">
        <f>_xll.BDH("ITCI US Equity","ARDR_FV_ASTS_REC_L2_TRAD_TREAS","FQ2 2020","FQ2 2020","Currency=USD","Period=FQ","BEST_FPERIOD_OVERRIDE=FQ","FILING_STATUS=MR","SCALING_FORMAT=MLN","Sort=A","Dates=H","DateFormat=P","Fill=—","Direction=H","UseDPDF=Y")</f>
        <v>0</v>
      </c>
      <c r="J109" s="13">
        <f>_xll.BDH("ITCI US Equity","ARDR_FV_ASTS_REC_L2_TRAD_TREAS","FQ3 2020","FQ3 2020","Currency=USD","Period=FQ","BEST_FPERIOD_OVERRIDE=FQ","FILING_STATUS=MR","SCALING_FORMAT=MLN","Sort=A","Dates=H","DateFormat=P","Fill=—","Direction=H","UseDPDF=Y")</f>
        <v>0</v>
      </c>
      <c r="K109" s="13">
        <f>_xll.BDH("ITCI US Equity","ARDR_FV_ASTS_REC_L2_TRAD_TREAS","FQ4 2020","FQ4 2020","Currency=USD","Period=FQ","BEST_FPERIOD_OVERRIDE=FQ","FILING_STATUS=MR","SCALING_FORMAT=MLN","Sort=A","Dates=H","DateFormat=P","Fill=—","Direction=H","UseDPDF=Y")</f>
        <v>0</v>
      </c>
      <c r="L109" s="13">
        <f>_xll.BDH("ITCI US Equity","ARDR_FV_ASTS_REC_L2_TRAD_TREAS","FQ1 2021","FQ1 2021","Currency=USD","Period=FQ","BEST_FPERIOD_OVERRIDE=FQ","FILING_STATUS=MR","SCALING_FORMAT=MLN","Sort=A","Dates=H","DateFormat=P","Fill=—","Direction=H","UseDPDF=Y")</f>
        <v>0</v>
      </c>
      <c r="M109" s="13">
        <f>_xll.BDH("ITCI US Equity","ARDR_FV_ASTS_REC_L2_TRAD_TREAS","FQ2 2021","FQ2 2021","Currency=USD","Period=FQ","BEST_FPERIOD_OVERRIDE=FQ","FILING_STATUS=MR","SCALING_FORMAT=MLN","Sort=A","Dates=H","DateFormat=P","Fill=—","Direction=H","UseDPDF=Y")</f>
        <v>0</v>
      </c>
      <c r="N109" s="13">
        <f>_xll.BDH("ITCI US Equity","ARDR_FV_ASTS_REC_L2_TRAD_TREAS","FQ3 2021","FQ3 2021","Currency=USD","Period=FQ","BEST_FPERIOD_OVERRIDE=FQ","FILING_STATUS=MR","SCALING_FORMAT=MLN","Sort=A","Dates=H","DateFormat=P","Fill=—","Direction=H","UseDPDF=Y")</f>
        <v>73.451999999999998</v>
      </c>
      <c r="O109" s="13">
        <f>_xll.BDH("ITCI US Equity","ARDR_FV_ASTS_REC_L2_TRAD_TREAS","FQ4 2021","FQ4 2021","Currency=USD","Period=FQ","BEST_FPERIOD_OVERRIDE=FQ","FILING_STATUS=MR","SCALING_FORMAT=MLN","Sort=A","Dates=H","DateFormat=P","Fill=—","Direction=H","UseDPDF=Y")</f>
        <v>0</v>
      </c>
      <c r="P109" s="13">
        <f>_xll.BDH("ITCI US Equity","ARDR_FV_ASTS_REC_L2_TRAD_TREAS","FQ1 2022","FQ1 2022","Currency=USD","Period=FQ","BEST_FPERIOD_OVERRIDE=FQ","FILING_STATUS=MR","SCALING_FORMAT=MLN","Sort=A","Dates=H","DateFormat=P","Fill=—","Direction=H","UseDPDF=Y")</f>
        <v>0</v>
      </c>
      <c r="Q109" s="13" t="str">
        <f>_xll.BDH("ITCI US Equity","ARDR_FV_ASTS_REC_L2_TRAD_TREAS","FQ2 2022","FQ2 2022","Currency=USD","Period=FQ","BEST_FPERIOD_OVERRIDE=FQ","FILING_STATUS=MR","SCALING_FORMAT=MLN","Sort=A","Dates=H","DateFormat=P","Fill=—","Direction=H","UseDPDF=Y")</f>
        <v>—</v>
      </c>
      <c r="R109" s="13" t="str">
        <f>_xll.BDH("ITCI US Equity","ARDR_FV_ASTS_REC_L2_TRAD_TREAS","FQ3 2022","FQ3 2022","Currency=USD","Period=FQ","BEST_FPERIOD_OVERRIDE=FQ","FILING_STATUS=MR","SCALING_FORMAT=MLN","Sort=A","Dates=H","DateFormat=P","Fill=—","Direction=H","UseDPDF=Y")</f>
        <v>—</v>
      </c>
      <c r="S109" s="13">
        <f>_xll.BDH("ITCI US Equity","ARDR_FV_ASTS_REC_L2_TRAD_TREAS","FQ4 2022","FQ4 2022","Currency=USD","Period=FQ","BEST_FPERIOD_OVERRIDE=FQ","FILING_STATUS=MR","SCALING_FORMAT=MLN","Sort=A","Dates=H","DateFormat=P","Fill=—","Direction=H","UseDPDF=Y")</f>
        <v>0</v>
      </c>
      <c r="T109" s="13">
        <f>_xll.BDH("ITCI US Equity","ARDR_FV_ASTS_REC_L2_TRAD_TREAS","FQ1 2023","FQ1 2023","Currency=USD","Period=FQ","BEST_FPERIOD_OVERRIDE=FQ","FILING_STATUS=MR","SCALING_FORMAT=MLN","Sort=A","Dates=H","DateFormat=P","Fill=—","Direction=H","UseDPDF=Y")</f>
        <v>0</v>
      </c>
      <c r="U109" s="13" t="str">
        <f>_xll.BDH("ITCI US Equity","ARDR_FV_ASTS_REC_L2_TRAD_TREAS","FQ2 2023","FQ2 2023","Currency=USD","Period=FQ","BEST_FPERIOD_OVERRIDE=FQ","FILING_STATUS=MR","SCALING_FORMAT=MLN","Sort=A","Dates=H","DateFormat=P","Fill=—","Direction=H","UseDPDF=Y")</f>
        <v>—</v>
      </c>
      <c r="V109" s="13" t="str">
        <f>_xll.BDH("ITCI US Equity","ARDR_FV_ASTS_REC_L2_TRAD_TREAS","FQ3 2023","FQ3 2023","Currency=USD","Period=FQ","BEST_FPERIOD_OVERRIDE=FQ","FILING_STATUS=MR","SCALING_FORMAT=MLN","Sort=A","Dates=H","DateFormat=P","Fill=—","Direction=H","UseDPDF=Y")</f>
        <v>—</v>
      </c>
      <c r="W109" s="13">
        <f>_xll.BDH("ITCI US Equity","ARDR_FV_ASTS_REC_L2_TRAD_TREAS","FQ4 2023","FQ4 2023","Currency=USD","Period=FQ","BEST_FPERIOD_OVERRIDE=FQ","FILING_STATUS=MR","SCALING_FORMAT=MLN","Sort=A","Dates=H","DateFormat=P","Fill=—","Direction=H","UseDPDF=Y")</f>
        <v>0</v>
      </c>
      <c r="X109" s="13">
        <f>_xll.BDH("ITCI US Equity","ARDR_FV_ASTS_REC_L2_TRAD_TREAS","FQ1 2024","FQ1 2024","Currency=USD","Period=FQ","BEST_FPERIOD_OVERRIDE=FQ","FILING_STATUS=MR","SCALING_FORMAT=MLN","Sort=A","Dates=H","DateFormat=P","Fill=—","Direction=H","UseDPDF=Y")</f>
        <v>188.47200000000001</v>
      </c>
      <c r="Y109" s="13">
        <f>_xll.BDH("ITCI US Equity","ARDR_FV_ASTS_REC_L2_TRAD_TREAS","FQ2 2024","FQ2 2024","Currency=USD","Period=FQ","BEST_FPERIOD_OVERRIDE=FQ","FILING_STATUS=MR","SCALING_FORMAT=MLN","Sort=A","Dates=H","DateFormat=P","Fill=—","Direction=H","UseDPDF=Y")</f>
        <v>124.661</v>
      </c>
      <c r="Z109" s="13">
        <f>_xll.BDH("ITCI US Equity","ARDR_FV_ASTS_REC_L2_TRAD_TREAS","FQ3 2024","FQ3 2024","Currency=USD","Period=FQ","BEST_FPERIOD_OVERRIDE=FQ","FILING_STATUS=MR","SCALING_FORMAT=MLN","Sort=A","Dates=H","DateFormat=P","Fill=—","Direction=H","UseDPDF=Y")</f>
        <v>187.64500000000001</v>
      </c>
      <c r="AA109" s="13">
        <f>_xll.BDH("ITCI US Equity","ARDR_FV_ASTS_REC_L2_TRAD_TREAS","FQ4 2024","FQ4 2024","Currency=USD","Period=FQ","BEST_FPERIOD_OVERRIDE=FQ","FILING_STATUS=MR","SCALING_FORMAT=MLN","Sort=A","Dates=H","DateFormat=P","Fill=—","Direction=H","UseDPDF=Y")</f>
        <v>0</v>
      </c>
    </row>
    <row r="110" spans="1:27" x14ac:dyDescent="0.25">
      <c r="A110" s="10" t="s">
        <v>866</v>
      </c>
      <c r="B110" s="10" t="s">
        <v>867</v>
      </c>
      <c r="C110" s="13" t="str">
        <f>_xll.BDH("ITCI US Equity","ARDR_FV_ASTS_REC_L2_TRAD_BONDS","FQ4 2018","FQ4 2018","Currency=USD","Period=FQ","BEST_FPERIOD_OVERRIDE=FQ","FILING_STATUS=MR","SCALING_FORMAT=MLN","Sort=A","Dates=H","DateFormat=P","Fill=—","Direction=H","UseDPDF=Y")</f>
        <v>—</v>
      </c>
      <c r="D110" s="13" t="str">
        <f>_xll.BDH("ITCI US Equity","ARDR_FV_ASTS_REC_L2_TRAD_BONDS","FQ1 2019","FQ1 2019","Currency=USD","Period=FQ","BEST_FPERIOD_OVERRIDE=FQ","FILING_STATUS=MR","SCALING_FORMAT=MLN","Sort=A","Dates=H","DateFormat=P","Fill=—","Direction=H","UseDPDF=Y")</f>
        <v>—</v>
      </c>
      <c r="E110" s="13" t="str">
        <f>_xll.BDH("ITCI US Equity","ARDR_FV_ASTS_REC_L2_TRAD_BONDS","FQ2 2019","FQ2 2019","Currency=USD","Period=FQ","BEST_FPERIOD_OVERRIDE=FQ","FILING_STATUS=MR","SCALING_FORMAT=MLN","Sort=A","Dates=H","DateFormat=P","Fill=—","Direction=H","UseDPDF=Y")</f>
        <v>—</v>
      </c>
      <c r="F110" s="13" t="str">
        <f>_xll.BDH("ITCI US Equity","ARDR_FV_ASTS_REC_L2_TRAD_BONDS","FQ3 2019","FQ3 2019","Currency=USD","Period=FQ","BEST_FPERIOD_OVERRIDE=FQ","FILING_STATUS=MR","SCALING_FORMAT=MLN","Sort=A","Dates=H","DateFormat=P","Fill=—","Direction=H","UseDPDF=Y")</f>
        <v>—</v>
      </c>
      <c r="G110" s="13" t="str">
        <f>_xll.BDH("ITCI US Equity","ARDR_FV_ASTS_REC_L2_TRAD_BONDS","FQ4 2019","FQ4 2019","Currency=USD","Period=FQ","BEST_FPERIOD_OVERRIDE=FQ","FILING_STATUS=MR","SCALING_FORMAT=MLN","Sort=A","Dates=H","DateFormat=P","Fill=—","Direction=H","UseDPDF=Y")</f>
        <v>—</v>
      </c>
      <c r="H110" s="13">
        <f>_xll.BDH("ITCI US Equity","ARDR_FV_ASTS_REC_L2_TRAD_BONDS","FQ1 2020","FQ1 2020","Currency=USD","Period=FQ","BEST_FPERIOD_OVERRIDE=FQ","FILING_STATUS=MR","SCALING_FORMAT=MLN","Sort=A","Dates=H","DateFormat=P","Fill=—","Direction=H","UseDPDF=Y")</f>
        <v>93.733000000000004</v>
      </c>
      <c r="I110" s="13">
        <f>_xll.BDH("ITCI US Equity","ARDR_FV_ASTS_REC_L2_TRAD_BONDS","FQ2 2020","FQ2 2020","Currency=USD","Period=FQ","BEST_FPERIOD_OVERRIDE=FQ","FILING_STATUS=MR","SCALING_FORMAT=MLN","Sort=A","Dates=H","DateFormat=P","Fill=—","Direction=H","UseDPDF=Y")</f>
        <v>73.078999999999994</v>
      </c>
      <c r="J110" s="13" t="str">
        <f>_xll.BDH("ITCI US Equity","ARDR_FV_ASTS_REC_L2_TRAD_BONDS","FQ3 2020","FQ3 2020","Currency=USD","Period=FQ","BEST_FPERIOD_OVERRIDE=FQ","FILING_STATUS=MR","SCALING_FORMAT=MLN","Sort=A","Dates=H","DateFormat=P","Fill=—","Direction=H","UseDPDF=Y")</f>
        <v>—</v>
      </c>
      <c r="K110" s="13" t="str">
        <f>_xll.BDH("ITCI US Equity","ARDR_FV_ASTS_REC_L2_TRAD_BONDS","FQ4 2020","FQ4 2020","Currency=USD","Period=FQ","BEST_FPERIOD_OVERRIDE=FQ","FILING_STATUS=MR","SCALING_FORMAT=MLN","Sort=A","Dates=H","DateFormat=P","Fill=—","Direction=H","UseDPDF=Y")</f>
        <v>—</v>
      </c>
      <c r="L110" s="13" t="str">
        <f>_xll.BDH("ITCI US Equity","ARDR_FV_ASTS_REC_L2_TRAD_BONDS","FQ1 2021","FQ1 2021","Currency=USD","Period=FQ","BEST_FPERIOD_OVERRIDE=FQ","FILING_STATUS=MR","SCALING_FORMAT=MLN","Sort=A","Dates=H","DateFormat=P","Fill=—","Direction=H","UseDPDF=Y")</f>
        <v>—</v>
      </c>
      <c r="M110" s="13" t="str">
        <f>_xll.BDH("ITCI US Equity","ARDR_FV_ASTS_REC_L2_TRAD_BONDS","FQ2 2021","FQ2 2021","Currency=USD","Period=FQ","BEST_FPERIOD_OVERRIDE=FQ","FILING_STATUS=MR","SCALING_FORMAT=MLN","Sort=A","Dates=H","DateFormat=P","Fill=—","Direction=H","UseDPDF=Y")</f>
        <v>—</v>
      </c>
      <c r="N110" s="13">
        <f>_xll.BDH("ITCI US Equity","ARDR_FV_ASTS_REC_L2_TRAD_BONDS","FQ3 2021","FQ3 2021","Currency=USD","Period=FQ","BEST_FPERIOD_OVERRIDE=FQ","FILING_STATUS=MR","SCALING_FORMAT=MLN","Sort=A","Dates=H","DateFormat=P","Fill=—","Direction=H","UseDPDF=Y")</f>
        <v>177.53899999999999</v>
      </c>
      <c r="O110" s="13" t="str">
        <f>_xll.BDH("ITCI US Equity","ARDR_FV_ASTS_REC_L2_TRAD_BONDS","FQ4 2021","FQ4 2021","Currency=USD","Period=FQ","BEST_FPERIOD_OVERRIDE=FQ","FILING_STATUS=MR","SCALING_FORMAT=MLN","Sort=A","Dates=H","DateFormat=P","Fill=—","Direction=H","UseDPDF=Y")</f>
        <v>—</v>
      </c>
      <c r="P110" s="13" t="str">
        <f>_xll.BDH("ITCI US Equity","ARDR_FV_ASTS_REC_L2_TRAD_BONDS","FQ1 2022","FQ1 2022","Currency=USD","Period=FQ","BEST_FPERIOD_OVERRIDE=FQ","FILING_STATUS=MR","SCALING_FORMAT=MLN","Sort=A","Dates=H","DateFormat=P","Fill=—","Direction=H","UseDPDF=Y")</f>
        <v>—</v>
      </c>
      <c r="Q110" s="13" t="str">
        <f>_xll.BDH("ITCI US Equity","ARDR_FV_ASTS_REC_L2_TRAD_BONDS","FQ2 2022","FQ2 2022","Currency=USD","Period=FQ","BEST_FPERIOD_OVERRIDE=FQ","FILING_STATUS=MR","SCALING_FORMAT=MLN","Sort=A","Dates=H","DateFormat=P","Fill=—","Direction=H","UseDPDF=Y")</f>
        <v>—</v>
      </c>
      <c r="R110" s="13" t="str">
        <f>_xll.BDH("ITCI US Equity","ARDR_FV_ASTS_REC_L2_TRAD_BONDS","FQ3 2022","FQ3 2022","Currency=USD","Period=FQ","BEST_FPERIOD_OVERRIDE=FQ","FILING_STATUS=MR","SCALING_FORMAT=MLN","Sort=A","Dates=H","DateFormat=P","Fill=—","Direction=H","UseDPDF=Y")</f>
        <v>—</v>
      </c>
      <c r="S110" s="13" t="str">
        <f>_xll.BDH("ITCI US Equity","ARDR_FV_ASTS_REC_L2_TRAD_BONDS","FQ4 2022","FQ4 2022","Currency=USD","Period=FQ","BEST_FPERIOD_OVERRIDE=FQ","FILING_STATUS=MR","SCALING_FORMAT=MLN","Sort=A","Dates=H","DateFormat=P","Fill=—","Direction=H","UseDPDF=Y")</f>
        <v>—</v>
      </c>
      <c r="T110" s="13" t="str">
        <f>_xll.BDH("ITCI US Equity","ARDR_FV_ASTS_REC_L2_TRAD_BONDS","FQ1 2023","FQ1 2023","Currency=USD","Period=FQ","BEST_FPERIOD_OVERRIDE=FQ","FILING_STATUS=MR","SCALING_FORMAT=MLN","Sort=A","Dates=H","DateFormat=P","Fill=—","Direction=H","UseDPDF=Y")</f>
        <v>—</v>
      </c>
      <c r="U110" s="13" t="str">
        <f>_xll.BDH("ITCI US Equity","ARDR_FV_ASTS_REC_L2_TRAD_BONDS","FQ2 2023","FQ2 2023","Currency=USD","Period=FQ","BEST_FPERIOD_OVERRIDE=FQ","FILING_STATUS=MR","SCALING_FORMAT=MLN","Sort=A","Dates=H","DateFormat=P","Fill=—","Direction=H","UseDPDF=Y")</f>
        <v>—</v>
      </c>
      <c r="V110" s="13" t="str">
        <f>_xll.BDH("ITCI US Equity","ARDR_FV_ASTS_REC_L2_TRAD_BONDS","FQ3 2023","FQ3 2023","Currency=USD","Period=FQ","BEST_FPERIOD_OVERRIDE=FQ","FILING_STATUS=MR","SCALING_FORMAT=MLN","Sort=A","Dates=H","DateFormat=P","Fill=—","Direction=H","UseDPDF=Y")</f>
        <v>—</v>
      </c>
      <c r="W110" s="13" t="str">
        <f>_xll.BDH("ITCI US Equity","ARDR_FV_ASTS_REC_L2_TRAD_BONDS","FQ4 2023","FQ4 2023","Currency=USD","Period=FQ","BEST_FPERIOD_OVERRIDE=FQ","FILING_STATUS=MR","SCALING_FORMAT=MLN","Sort=A","Dates=H","DateFormat=P","Fill=—","Direction=H","UseDPDF=Y")</f>
        <v>—</v>
      </c>
      <c r="X110" s="13">
        <f>_xll.BDH("ITCI US Equity","ARDR_FV_ASTS_REC_L2_TRAD_BONDS","FQ1 2024","FQ1 2024","Currency=USD","Period=FQ","BEST_FPERIOD_OVERRIDE=FQ","FILING_STATUS=MR","SCALING_FORMAT=MLN","Sort=A","Dates=H","DateFormat=P","Fill=—","Direction=H","UseDPDF=Y")</f>
        <v>143.173</v>
      </c>
      <c r="Y110" s="13">
        <f>_xll.BDH("ITCI US Equity","ARDR_FV_ASTS_REC_L2_TRAD_BONDS","FQ2 2024","FQ2 2024","Currency=USD","Period=FQ","BEST_FPERIOD_OVERRIDE=FQ","FILING_STATUS=MR","SCALING_FORMAT=MLN","Sort=A","Dates=H","DateFormat=P","Fill=—","Direction=H","UseDPDF=Y")</f>
        <v>163.471</v>
      </c>
      <c r="Z110" s="13">
        <f>_xll.BDH("ITCI US Equity","ARDR_FV_ASTS_REC_L2_TRAD_BONDS","FQ3 2024","FQ3 2024","Currency=USD","Period=FQ","BEST_FPERIOD_OVERRIDE=FQ","FILING_STATUS=MR","SCALING_FORMAT=MLN","Sort=A","Dates=H","DateFormat=P","Fill=—","Direction=H","UseDPDF=Y")</f>
        <v>316.92099999999999</v>
      </c>
      <c r="AA110" s="13" t="str">
        <f>_xll.BDH("ITCI US Equity","ARDR_FV_ASTS_REC_L2_TRAD_BONDS","FQ4 2024","FQ4 2024","Currency=USD","Period=FQ","BEST_FPERIOD_OVERRIDE=FQ","FILING_STATUS=MR","SCALING_FORMAT=MLN","Sort=A","Dates=H","DateFormat=P","Fill=—","Direction=H","UseDPDF=Y")</f>
        <v>—</v>
      </c>
    </row>
    <row r="111" spans="1:27" x14ac:dyDescent="0.25">
      <c r="A111" s="10" t="s">
        <v>868</v>
      </c>
      <c r="B111" s="10" t="s">
        <v>869</v>
      </c>
      <c r="C111" s="13" t="str">
        <f>_xll.BDH("ITCI US Equity","ARDR_FV_ASTS_REC_L2_TRAD_GSE_CMO","FQ4 2018","FQ4 2018","Currency=USD","Period=FQ","BEST_FPERIOD_OVERRIDE=FQ","FILING_STATUS=MR","SCALING_FORMAT=MLN","Sort=A","Dates=H","DateFormat=P","Fill=—","Direction=H","UseDPDF=Y")</f>
        <v>—</v>
      </c>
      <c r="D111" s="13" t="str">
        <f>_xll.BDH("ITCI US Equity","ARDR_FV_ASTS_REC_L2_TRAD_GSE_CMO","FQ1 2019","FQ1 2019","Currency=USD","Period=FQ","BEST_FPERIOD_OVERRIDE=FQ","FILING_STATUS=MR","SCALING_FORMAT=MLN","Sort=A","Dates=H","DateFormat=P","Fill=—","Direction=H","UseDPDF=Y")</f>
        <v>—</v>
      </c>
      <c r="E111" s="13" t="str">
        <f>_xll.BDH("ITCI US Equity","ARDR_FV_ASTS_REC_L2_TRAD_GSE_CMO","FQ2 2019","FQ2 2019","Currency=USD","Period=FQ","BEST_FPERIOD_OVERRIDE=FQ","FILING_STATUS=MR","SCALING_FORMAT=MLN","Sort=A","Dates=H","DateFormat=P","Fill=—","Direction=H","UseDPDF=Y")</f>
        <v>—</v>
      </c>
      <c r="F111" s="13" t="str">
        <f>_xll.BDH("ITCI US Equity","ARDR_FV_ASTS_REC_L2_TRAD_GSE_CMO","FQ3 2019","FQ3 2019","Currency=USD","Period=FQ","BEST_FPERIOD_OVERRIDE=FQ","FILING_STATUS=MR","SCALING_FORMAT=MLN","Sort=A","Dates=H","DateFormat=P","Fill=—","Direction=H","UseDPDF=Y")</f>
        <v>—</v>
      </c>
      <c r="G111" s="13" t="str">
        <f>_xll.BDH("ITCI US Equity","ARDR_FV_ASTS_REC_L2_TRAD_GSE_CMO","FQ4 2019","FQ4 2019","Currency=USD","Period=FQ","BEST_FPERIOD_OVERRIDE=FQ","FILING_STATUS=MR","SCALING_FORMAT=MLN","Sort=A","Dates=H","DateFormat=P","Fill=—","Direction=H","UseDPDF=Y")</f>
        <v>—</v>
      </c>
      <c r="H111" s="13" t="str">
        <f>_xll.BDH("ITCI US Equity","ARDR_FV_ASTS_REC_L2_TRAD_GSE_CMO","FQ1 2020","FQ1 2020","Currency=USD","Period=FQ","BEST_FPERIOD_OVERRIDE=FQ","FILING_STATUS=MR","SCALING_FORMAT=MLN","Sort=A","Dates=H","DateFormat=P","Fill=—","Direction=H","UseDPDF=Y")</f>
        <v>—</v>
      </c>
      <c r="I111" s="13" t="str">
        <f>_xll.BDH("ITCI US Equity","ARDR_FV_ASTS_REC_L2_TRAD_GSE_CMO","FQ2 2020","FQ2 2020","Currency=USD","Period=FQ","BEST_FPERIOD_OVERRIDE=FQ","FILING_STATUS=MR","SCALING_FORMAT=MLN","Sort=A","Dates=H","DateFormat=P","Fill=—","Direction=H","UseDPDF=Y")</f>
        <v>—</v>
      </c>
      <c r="J111" s="13" t="str">
        <f>_xll.BDH("ITCI US Equity","ARDR_FV_ASTS_REC_L2_TRAD_GSE_CMO","FQ3 2020","FQ3 2020","Currency=USD","Period=FQ","BEST_FPERIOD_OVERRIDE=FQ","FILING_STATUS=MR","SCALING_FORMAT=MLN","Sort=A","Dates=H","DateFormat=P","Fill=—","Direction=H","UseDPDF=Y")</f>
        <v>—</v>
      </c>
      <c r="K111" s="13" t="str">
        <f>_xll.BDH("ITCI US Equity","ARDR_FV_ASTS_REC_L2_TRAD_GSE_CMO","FQ4 2020","FQ4 2020","Currency=USD","Period=FQ","BEST_FPERIOD_OVERRIDE=FQ","FILING_STATUS=MR","SCALING_FORMAT=MLN","Sort=A","Dates=H","DateFormat=P","Fill=—","Direction=H","UseDPDF=Y")</f>
        <v>—</v>
      </c>
      <c r="L111" s="13" t="str">
        <f>_xll.BDH("ITCI US Equity","ARDR_FV_ASTS_REC_L2_TRAD_GSE_CMO","FQ1 2021","FQ1 2021","Currency=USD","Period=FQ","BEST_FPERIOD_OVERRIDE=FQ","FILING_STATUS=MR","SCALING_FORMAT=MLN","Sort=A","Dates=H","DateFormat=P","Fill=—","Direction=H","UseDPDF=Y")</f>
        <v>—</v>
      </c>
      <c r="M111" s="13" t="str">
        <f>_xll.BDH("ITCI US Equity","ARDR_FV_ASTS_REC_L2_TRAD_GSE_CMO","FQ2 2021","FQ2 2021","Currency=USD","Period=FQ","BEST_FPERIOD_OVERRIDE=FQ","FILING_STATUS=MR","SCALING_FORMAT=MLN","Sort=A","Dates=H","DateFormat=P","Fill=—","Direction=H","UseDPDF=Y")</f>
        <v>—</v>
      </c>
      <c r="N111" s="13">
        <f>_xll.BDH("ITCI US Equity","ARDR_FV_ASTS_REC_L2_TRAD_GSE_CMO","FQ3 2021","FQ3 2021","Currency=USD","Period=FQ","BEST_FPERIOD_OVERRIDE=FQ","FILING_STATUS=MR","SCALING_FORMAT=MLN","Sort=A","Dates=H","DateFormat=P","Fill=—","Direction=H","UseDPDF=Y")</f>
        <v>127.166</v>
      </c>
      <c r="O111" s="13" t="str">
        <f>_xll.BDH("ITCI US Equity","ARDR_FV_ASTS_REC_L2_TRAD_GSE_CMO","FQ4 2021","FQ4 2021","Currency=USD","Period=FQ","BEST_FPERIOD_OVERRIDE=FQ","FILING_STATUS=MR","SCALING_FORMAT=MLN","Sort=A","Dates=H","DateFormat=P","Fill=—","Direction=H","UseDPDF=Y")</f>
        <v>—</v>
      </c>
      <c r="P111" s="13" t="str">
        <f>_xll.BDH("ITCI US Equity","ARDR_FV_ASTS_REC_L2_TRAD_GSE_CMO","FQ1 2022","FQ1 2022","Currency=USD","Period=FQ","BEST_FPERIOD_OVERRIDE=FQ","FILING_STATUS=MR","SCALING_FORMAT=MLN","Sort=A","Dates=H","DateFormat=P","Fill=—","Direction=H","UseDPDF=Y")</f>
        <v>—</v>
      </c>
      <c r="Q111" s="13" t="str">
        <f>_xll.BDH("ITCI US Equity","ARDR_FV_ASTS_REC_L2_TRAD_GSE_CMO","FQ2 2022","FQ2 2022","Currency=USD","Period=FQ","BEST_FPERIOD_OVERRIDE=FQ","FILING_STATUS=MR","SCALING_FORMAT=MLN","Sort=A","Dates=H","DateFormat=P","Fill=—","Direction=H","UseDPDF=Y")</f>
        <v>—</v>
      </c>
      <c r="R111" s="13" t="str">
        <f>_xll.BDH("ITCI US Equity","ARDR_FV_ASTS_REC_L2_TRAD_GSE_CMO","FQ3 2022","FQ3 2022","Currency=USD","Period=FQ","BEST_FPERIOD_OVERRIDE=FQ","FILING_STATUS=MR","SCALING_FORMAT=MLN","Sort=A","Dates=H","DateFormat=P","Fill=—","Direction=H","UseDPDF=Y")</f>
        <v>—</v>
      </c>
      <c r="S111" s="13" t="str">
        <f>_xll.BDH("ITCI US Equity","ARDR_FV_ASTS_REC_L2_TRAD_GSE_CMO","FQ4 2022","FQ4 2022","Currency=USD","Period=FQ","BEST_FPERIOD_OVERRIDE=FQ","FILING_STATUS=MR","SCALING_FORMAT=MLN","Sort=A","Dates=H","DateFormat=P","Fill=—","Direction=H","UseDPDF=Y")</f>
        <v>—</v>
      </c>
      <c r="T111" s="13" t="str">
        <f>_xll.BDH("ITCI US Equity","ARDR_FV_ASTS_REC_L2_TRAD_GSE_CMO","FQ1 2023","FQ1 2023","Currency=USD","Period=FQ","BEST_FPERIOD_OVERRIDE=FQ","FILING_STATUS=MR","SCALING_FORMAT=MLN","Sort=A","Dates=H","DateFormat=P","Fill=—","Direction=H","UseDPDF=Y")</f>
        <v>—</v>
      </c>
      <c r="U111" s="13" t="str">
        <f>_xll.BDH("ITCI US Equity","ARDR_FV_ASTS_REC_L2_TRAD_GSE_CMO","FQ2 2023","FQ2 2023","Currency=USD","Period=FQ","BEST_FPERIOD_OVERRIDE=FQ","FILING_STATUS=MR","SCALING_FORMAT=MLN","Sort=A","Dates=H","DateFormat=P","Fill=—","Direction=H","UseDPDF=Y")</f>
        <v>—</v>
      </c>
      <c r="V111" s="13" t="str">
        <f>_xll.BDH("ITCI US Equity","ARDR_FV_ASTS_REC_L2_TRAD_GSE_CMO","FQ3 2023","FQ3 2023","Currency=USD","Period=FQ","BEST_FPERIOD_OVERRIDE=FQ","FILING_STATUS=MR","SCALING_FORMAT=MLN","Sort=A","Dates=H","DateFormat=P","Fill=—","Direction=H","UseDPDF=Y")</f>
        <v>—</v>
      </c>
      <c r="W111" s="13" t="str">
        <f>_xll.BDH("ITCI US Equity","ARDR_FV_ASTS_REC_L2_TRAD_GSE_CMO","FQ4 2023","FQ4 2023","Currency=USD","Period=FQ","BEST_FPERIOD_OVERRIDE=FQ","FILING_STATUS=MR","SCALING_FORMAT=MLN","Sort=A","Dates=H","DateFormat=P","Fill=—","Direction=H","UseDPDF=Y")</f>
        <v>—</v>
      </c>
      <c r="X111" s="13" t="str">
        <f>_xll.BDH("ITCI US Equity","ARDR_FV_ASTS_REC_L2_TRAD_GSE_CMO","FQ1 2024","FQ1 2024","Currency=USD","Period=FQ","BEST_FPERIOD_OVERRIDE=FQ","FILING_STATUS=MR","SCALING_FORMAT=MLN","Sort=A","Dates=H","DateFormat=P","Fill=—","Direction=H","UseDPDF=Y")</f>
        <v>—</v>
      </c>
      <c r="Y111" s="13" t="str">
        <f>_xll.BDH("ITCI US Equity","ARDR_FV_ASTS_REC_L2_TRAD_GSE_CMO","FQ2 2024","FQ2 2024","Currency=USD","Period=FQ","BEST_FPERIOD_OVERRIDE=FQ","FILING_STATUS=MR","SCALING_FORMAT=MLN","Sort=A","Dates=H","DateFormat=P","Fill=—","Direction=H","UseDPDF=Y")</f>
        <v>—</v>
      </c>
      <c r="Z111" s="13" t="str">
        <f>_xll.BDH("ITCI US Equity","ARDR_FV_ASTS_REC_L2_TRAD_GSE_CMO","FQ3 2024","FQ3 2024","Currency=USD","Period=FQ","BEST_FPERIOD_OVERRIDE=FQ","FILING_STATUS=MR","SCALING_FORMAT=MLN","Sort=A","Dates=H","DateFormat=P","Fill=—","Direction=H","UseDPDF=Y")</f>
        <v>—</v>
      </c>
      <c r="AA111" s="13" t="str">
        <f>_xll.BDH("ITCI US Equity","ARDR_FV_ASTS_REC_L2_TRAD_GSE_CMO","FQ4 2024","FQ4 2024","Currency=USD","Period=FQ","BEST_FPERIOD_OVERRIDE=FQ","FILING_STATUS=MR","SCALING_FORMAT=MLN","Sort=A","Dates=H","DateFormat=P","Fill=—","Direction=H","UseDPDF=Y")</f>
        <v>—</v>
      </c>
    </row>
    <row r="112" spans="1:27" x14ac:dyDescent="0.25">
      <c r="A112" s="10" t="s">
        <v>870</v>
      </c>
      <c r="B112" s="10" t="s">
        <v>871</v>
      </c>
      <c r="C112" s="13" t="str">
        <f>_xll.BDH("ITCI US Equity","ARDR_FV_ASSETS_REC_L2_AFS_TREAS","FQ4 2018","FQ4 2018","Currency=USD","Period=FQ","BEST_FPERIOD_OVERRIDE=FQ","FILING_STATUS=MR","SCALING_FORMAT=MLN","Sort=A","Dates=H","DateFormat=P","Fill=—","Direction=H","UseDPDF=Y")</f>
        <v>—</v>
      </c>
      <c r="D112" s="13" t="str">
        <f>_xll.BDH("ITCI US Equity","ARDR_FV_ASSETS_REC_L2_AFS_TREAS","FQ1 2019","FQ1 2019","Currency=USD","Period=FQ","BEST_FPERIOD_OVERRIDE=FQ","FILING_STATUS=MR","SCALING_FORMAT=MLN","Sort=A","Dates=H","DateFormat=P","Fill=—","Direction=H","UseDPDF=Y")</f>
        <v>—</v>
      </c>
      <c r="E112" s="13" t="str">
        <f>_xll.BDH("ITCI US Equity","ARDR_FV_ASSETS_REC_L2_AFS_TREAS","FQ2 2019","FQ2 2019","Currency=USD","Period=FQ","BEST_FPERIOD_OVERRIDE=FQ","FILING_STATUS=MR","SCALING_FORMAT=MLN","Sort=A","Dates=H","DateFormat=P","Fill=—","Direction=H","UseDPDF=Y")</f>
        <v>—</v>
      </c>
      <c r="F112" s="13" t="str">
        <f>_xll.BDH("ITCI US Equity","ARDR_FV_ASSETS_REC_L2_AFS_TREAS","FQ3 2019","FQ3 2019","Currency=USD","Period=FQ","BEST_FPERIOD_OVERRIDE=FQ","FILING_STATUS=MR","SCALING_FORMAT=MLN","Sort=A","Dates=H","DateFormat=P","Fill=—","Direction=H","UseDPDF=Y")</f>
        <v>—</v>
      </c>
      <c r="G112" s="13" t="str">
        <f>_xll.BDH("ITCI US Equity","ARDR_FV_ASSETS_REC_L2_AFS_TREAS","FQ4 2019","FQ4 2019","Currency=USD","Period=FQ","BEST_FPERIOD_OVERRIDE=FQ","FILING_STATUS=MR","SCALING_FORMAT=MLN","Sort=A","Dates=H","DateFormat=P","Fill=—","Direction=H","UseDPDF=Y")</f>
        <v>—</v>
      </c>
      <c r="H112" s="13">
        <f>_xll.BDH("ITCI US Equity","ARDR_FV_ASSETS_REC_L2_AFS_TREAS","FQ1 2020","FQ1 2020","Currency=USD","Period=FQ","BEST_FPERIOD_OVERRIDE=FQ","FILING_STATUS=MR","SCALING_FORMAT=MLN","Sort=A","Dates=H","DateFormat=P","Fill=—","Direction=H","UseDPDF=Y")</f>
        <v>106.235</v>
      </c>
      <c r="I112" s="13">
        <f>_xll.BDH("ITCI US Equity","ARDR_FV_ASSETS_REC_L2_AFS_TREAS","FQ2 2020","FQ2 2020","Currency=USD","Period=FQ","BEST_FPERIOD_OVERRIDE=FQ","FILING_STATUS=MR","SCALING_FORMAT=MLN","Sort=A","Dates=H","DateFormat=P","Fill=—","Direction=H","UseDPDF=Y")</f>
        <v>31.504999999999999</v>
      </c>
      <c r="J112" s="13" t="str">
        <f>_xll.BDH("ITCI US Equity","ARDR_FV_ASSETS_REC_L2_AFS_TREAS","FQ3 2020","FQ3 2020","Currency=USD","Period=FQ","BEST_FPERIOD_OVERRIDE=FQ","FILING_STATUS=MR","SCALING_FORMAT=MLN","Sort=A","Dates=H","DateFormat=P","Fill=—","Direction=H","UseDPDF=Y")</f>
        <v>—</v>
      </c>
      <c r="K112" s="13" t="str">
        <f>_xll.BDH("ITCI US Equity","ARDR_FV_ASSETS_REC_L2_AFS_TREAS","FQ4 2020","FQ4 2020","Currency=USD","Period=FQ","BEST_FPERIOD_OVERRIDE=FQ","FILING_STATUS=MR","SCALING_FORMAT=MLN","Sort=A","Dates=H","DateFormat=P","Fill=—","Direction=H","UseDPDF=Y")</f>
        <v>—</v>
      </c>
      <c r="L112" s="13" t="str">
        <f>_xll.BDH("ITCI US Equity","ARDR_FV_ASSETS_REC_L2_AFS_TREAS","FQ1 2021","FQ1 2021","Currency=USD","Period=FQ","BEST_FPERIOD_OVERRIDE=FQ","FILING_STATUS=MR","SCALING_FORMAT=MLN","Sort=A","Dates=H","DateFormat=P","Fill=—","Direction=H","UseDPDF=Y")</f>
        <v>—</v>
      </c>
      <c r="M112" s="13" t="str">
        <f>_xll.BDH("ITCI US Equity","ARDR_FV_ASSETS_REC_L2_AFS_TREAS","FQ2 2021","FQ2 2021","Currency=USD","Period=FQ","BEST_FPERIOD_OVERRIDE=FQ","FILING_STATUS=MR","SCALING_FORMAT=MLN","Sort=A","Dates=H","DateFormat=P","Fill=—","Direction=H","UseDPDF=Y")</f>
        <v>—</v>
      </c>
      <c r="N112" s="13" t="str">
        <f>_xll.BDH("ITCI US Equity","ARDR_FV_ASSETS_REC_L2_AFS_TREAS","FQ3 2021","FQ3 2021","Currency=USD","Period=FQ","BEST_FPERIOD_OVERRIDE=FQ","FILING_STATUS=MR","SCALING_FORMAT=MLN","Sort=A","Dates=H","DateFormat=P","Fill=—","Direction=H","UseDPDF=Y")</f>
        <v>—</v>
      </c>
      <c r="O112" s="13" t="str">
        <f>_xll.BDH("ITCI US Equity","ARDR_FV_ASSETS_REC_L2_AFS_TREAS","FQ4 2021","FQ4 2021","Currency=USD","Period=FQ","BEST_FPERIOD_OVERRIDE=FQ","FILING_STATUS=MR","SCALING_FORMAT=MLN","Sort=A","Dates=H","DateFormat=P","Fill=—","Direction=H","UseDPDF=Y")</f>
        <v>—</v>
      </c>
      <c r="P112" s="13" t="str">
        <f>_xll.BDH("ITCI US Equity","ARDR_FV_ASSETS_REC_L2_AFS_TREAS","FQ1 2022","FQ1 2022","Currency=USD","Period=FQ","BEST_FPERIOD_OVERRIDE=FQ","FILING_STATUS=MR","SCALING_FORMAT=MLN","Sort=A","Dates=H","DateFormat=P","Fill=—","Direction=H","UseDPDF=Y")</f>
        <v>—</v>
      </c>
      <c r="Q112" s="13" t="str">
        <f>_xll.BDH("ITCI US Equity","ARDR_FV_ASSETS_REC_L2_AFS_TREAS","FQ2 2022","FQ2 2022","Currency=USD","Period=FQ","BEST_FPERIOD_OVERRIDE=FQ","FILING_STATUS=MR","SCALING_FORMAT=MLN","Sort=A","Dates=H","DateFormat=P","Fill=—","Direction=H","UseDPDF=Y")</f>
        <v>—</v>
      </c>
      <c r="R112" s="13" t="str">
        <f>_xll.BDH("ITCI US Equity","ARDR_FV_ASSETS_REC_L2_AFS_TREAS","FQ3 2022","FQ3 2022","Currency=USD","Period=FQ","BEST_FPERIOD_OVERRIDE=FQ","FILING_STATUS=MR","SCALING_FORMAT=MLN","Sort=A","Dates=H","DateFormat=P","Fill=—","Direction=H","UseDPDF=Y")</f>
        <v>—</v>
      </c>
      <c r="S112" s="13" t="str">
        <f>_xll.BDH("ITCI US Equity","ARDR_FV_ASSETS_REC_L2_AFS_TREAS","FQ4 2022","FQ4 2022","Currency=USD","Period=FQ","BEST_FPERIOD_OVERRIDE=FQ","FILING_STATUS=MR","SCALING_FORMAT=MLN","Sort=A","Dates=H","DateFormat=P","Fill=—","Direction=H","UseDPDF=Y")</f>
        <v>—</v>
      </c>
      <c r="T112" s="13" t="str">
        <f>_xll.BDH("ITCI US Equity","ARDR_FV_ASSETS_REC_L2_AFS_TREAS","FQ1 2023","FQ1 2023","Currency=USD","Period=FQ","BEST_FPERIOD_OVERRIDE=FQ","FILING_STATUS=MR","SCALING_FORMAT=MLN","Sort=A","Dates=H","DateFormat=P","Fill=—","Direction=H","UseDPDF=Y")</f>
        <v>—</v>
      </c>
      <c r="U112" s="13" t="str">
        <f>_xll.BDH("ITCI US Equity","ARDR_FV_ASSETS_REC_L2_AFS_TREAS","FQ2 2023","FQ2 2023","Currency=USD","Period=FQ","BEST_FPERIOD_OVERRIDE=FQ","FILING_STATUS=MR","SCALING_FORMAT=MLN","Sort=A","Dates=H","DateFormat=P","Fill=—","Direction=H","UseDPDF=Y")</f>
        <v>—</v>
      </c>
      <c r="V112" s="13" t="str">
        <f>_xll.BDH("ITCI US Equity","ARDR_FV_ASSETS_REC_L2_AFS_TREAS","FQ3 2023","FQ3 2023","Currency=USD","Period=FQ","BEST_FPERIOD_OVERRIDE=FQ","FILING_STATUS=MR","SCALING_FORMAT=MLN","Sort=A","Dates=H","DateFormat=P","Fill=—","Direction=H","UseDPDF=Y")</f>
        <v>—</v>
      </c>
      <c r="W112" s="13" t="str">
        <f>_xll.BDH("ITCI US Equity","ARDR_FV_ASSETS_REC_L2_AFS_TREAS","FQ4 2023","FQ4 2023","Currency=USD","Period=FQ","BEST_FPERIOD_OVERRIDE=FQ","FILING_STATUS=MR","SCALING_FORMAT=MLN","Sort=A","Dates=H","DateFormat=P","Fill=—","Direction=H","UseDPDF=Y")</f>
        <v>—</v>
      </c>
      <c r="X112" s="13" t="str">
        <f>_xll.BDH("ITCI US Equity","ARDR_FV_ASSETS_REC_L2_AFS_TREAS","FQ1 2024","FQ1 2024","Currency=USD","Period=FQ","BEST_FPERIOD_OVERRIDE=FQ","FILING_STATUS=MR","SCALING_FORMAT=MLN","Sort=A","Dates=H","DateFormat=P","Fill=—","Direction=H","UseDPDF=Y")</f>
        <v>—</v>
      </c>
      <c r="Y112" s="13" t="str">
        <f>_xll.BDH("ITCI US Equity","ARDR_FV_ASSETS_REC_L2_AFS_TREAS","FQ2 2024","FQ2 2024","Currency=USD","Period=FQ","BEST_FPERIOD_OVERRIDE=FQ","FILING_STATUS=MR","SCALING_FORMAT=MLN","Sort=A","Dates=H","DateFormat=P","Fill=—","Direction=H","UseDPDF=Y")</f>
        <v>—</v>
      </c>
      <c r="Z112" s="13" t="str">
        <f>_xll.BDH("ITCI US Equity","ARDR_FV_ASSETS_REC_L2_AFS_TREAS","FQ3 2024","FQ3 2024","Currency=USD","Period=FQ","BEST_FPERIOD_OVERRIDE=FQ","FILING_STATUS=MR","SCALING_FORMAT=MLN","Sort=A","Dates=H","DateFormat=P","Fill=—","Direction=H","UseDPDF=Y")</f>
        <v>—</v>
      </c>
      <c r="AA112" s="13" t="str">
        <f>_xll.BDH("ITCI US Equity","ARDR_FV_ASSETS_REC_L2_AFS_TREAS","FQ4 2024","FQ4 2024","Currency=USD","Period=FQ","BEST_FPERIOD_OVERRIDE=FQ","FILING_STATUS=MR","SCALING_FORMAT=MLN","Sort=A","Dates=H","DateFormat=P","Fill=—","Direction=H","UseDPDF=Y")</f>
        <v>—</v>
      </c>
    </row>
    <row r="113" spans="1:27" x14ac:dyDescent="0.25">
      <c r="A113" s="10" t="s">
        <v>872</v>
      </c>
      <c r="B113" s="10" t="s">
        <v>873</v>
      </c>
      <c r="C113" s="13" t="str">
        <f>_xll.BDH("ITCI US Equity","ARDR_FV_ASTS_REC_L2_AFS_CDO_CLO","FQ4 2018","FQ4 2018","Currency=USD","Period=FQ","BEST_FPERIOD_OVERRIDE=FQ","FILING_STATUS=MR","SCALING_FORMAT=MLN","Sort=A","Dates=H","DateFormat=P","Fill=—","Direction=H","UseDPDF=Y")</f>
        <v>—</v>
      </c>
      <c r="D113" s="13" t="str">
        <f>_xll.BDH("ITCI US Equity","ARDR_FV_ASTS_REC_L2_AFS_CDO_CLO","FQ1 2019","FQ1 2019","Currency=USD","Period=FQ","BEST_FPERIOD_OVERRIDE=FQ","FILING_STATUS=MR","SCALING_FORMAT=MLN","Sort=A","Dates=H","DateFormat=P","Fill=—","Direction=H","UseDPDF=Y")</f>
        <v>—</v>
      </c>
      <c r="E113" s="13" t="str">
        <f>_xll.BDH("ITCI US Equity","ARDR_FV_ASTS_REC_L2_AFS_CDO_CLO","FQ2 2019","FQ2 2019","Currency=USD","Period=FQ","BEST_FPERIOD_OVERRIDE=FQ","FILING_STATUS=MR","SCALING_FORMAT=MLN","Sort=A","Dates=H","DateFormat=P","Fill=—","Direction=H","UseDPDF=Y")</f>
        <v>—</v>
      </c>
      <c r="F113" s="13" t="str">
        <f>_xll.BDH("ITCI US Equity","ARDR_FV_ASTS_REC_L2_AFS_CDO_CLO","FQ3 2019","FQ3 2019","Currency=USD","Period=FQ","BEST_FPERIOD_OVERRIDE=FQ","FILING_STATUS=MR","SCALING_FORMAT=MLN","Sort=A","Dates=H","DateFormat=P","Fill=—","Direction=H","UseDPDF=Y")</f>
        <v>—</v>
      </c>
      <c r="G113" s="13" t="str">
        <f>_xll.BDH("ITCI US Equity","ARDR_FV_ASTS_REC_L2_AFS_CDO_CLO","FQ4 2019","FQ4 2019","Currency=USD","Period=FQ","BEST_FPERIOD_OVERRIDE=FQ","FILING_STATUS=MR","SCALING_FORMAT=MLN","Sort=A","Dates=H","DateFormat=P","Fill=—","Direction=H","UseDPDF=Y")</f>
        <v>—</v>
      </c>
      <c r="H113" s="13">
        <f>_xll.BDH("ITCI US Equity","ARDR_FV_ASTS_REC_L2_AFS_CDO_CLO","FQ1 2020","FQ1 2020","Currency=USD","Period=FQ","BEST_FPERIOD_OVERRIDE=FQ","FILING_STATUS=MR","SCALING_FORMAT=MLN","Sort=A","Dates=H","DateFormat=P","Fill=—","Direction=H","UseDPDF=Y")</f>
        <v>58.253999999999998</v>
      </c>
      <c r="I113" s="13">
        <f>_xll.BDH("ITCI US Equity","ARDR_FV_ASTS_REC_L2_AFS_CDO_CLO","FQ2 2020","FQ2 2020","Currency=USD","Period=FQ","BEST_FPERIOD_OVERRIDE=FQ","FILING_STATUS=MR","SCALING_FORMAT=MLN","Sort=A","Dates=H","DateFormat=P","Fill=—","Direction=H","UseDPDF=Y")</f>
        <v>78.840999999999994</v>
      </c>
      <c r="J113" s="13" t="str">
        <f>_xll.BDH("ITCI US Equity","ARDR_FV_ASTS_REC_L2_AFS_CDO_CLO","FQ3 2020","FQ3 2020","Currency=USD","Period=FQ","BEST_FPERIOD_OVERRIDE=FQ","FILING_STATUS=MR","SCALING_FORMAT=MLN","Sort=A","Dates=H","DateFormat=P","Fill=—","Direction=H","UseDPDF=Y")</f>
        <v>—</v>
      </c>
      <c r="K113" s="13" t="str">
        <f>_xll.BDH("ITCI US Equity","ARDR_FV_ASTS_REC_L2_AFS_CDO_CLO","FQ4 2020","FQ4 2020","Currency=USD","Period=FQ","BEST_FPERIOD_OVERRIDE=FQ","FILING_STATUS=MR","SCALING_FORMAT=MLN","Sort=A","Dates=H","DateFormat=P","Fill=—","Direction=H","UseDPDF=Y")</f>
        <v>—</v>
      </c>
      <c r="L113" s="13" t="str">
        <f>_xll.BDH("ITCI US Equity","ARDR_FV_ASTS_REC_L2_AFS_CDO_CLO","FQ1 2021","FQ1 2021","Currency=USD","Period=FQ","BEST_FPERIOD_OVERRIDE=FQ","FILING_STATUS=MR","SCALING_FORMAT=MLN","Sort=A","Dates=H","DateFormat=P","Fill=—","Direction=H","UseDPDF=Y")</f>
        <v>—</v>
      </c>
      <c r="M113" s="13" t="str">
        <f>_xll.BDH("ITCI US Equity","ARDR_FV_ASTS_REC_L2_AFS_CDO_CLO","FQ2 2021","FQ2 2021","Currency=USD","Period=FQ","BEST_FPERIOD_OVERRIDE=FQ","FILING_STATUS=MR","SCALING_FORMAT=MLN","Sort=A","Dates=H","DateFormat=P","Fill=—","Direction=H","UseDPDF=Y")</f>
        <v>—</v>
      </c>
      <c r="N113" s="13" t="str">
        <f>_xll.BDH("ITCI US Equity","ARDR_FV_ASTS_REC_L2_AFS_CDO_CLO","FQ3 2021","FQ3 2021","Currency=USD","Period=FQ","BEST_FPERIOD_OVERRIDE=FQ","FILING_STATUS=MR","SCALING_FORMAT=MLN","Sort=A","Dates=H","DateFormat=P","Fill=—","Direction=H","UseDPDF=Y")</f>
        <v>—</v>
      </c>
      <c r="O113" s="13" t="str">
        <f>_xll.BDH("ITCI US Equity","ARDR_FV_ASTS_REC_L2_AFS_CDO_CLO","FQ4 2021","FQ4 2021","Currency=USD","Period=FQ","BEST_FPERIOD_OVERRIDE=FQ","FILING_STATUS=MR","SCALING_FORMAT=MLN","Sort=A","Dates=H","DateFormat=P","Fill=—","Direction=H","UseDPDF=Y")</f>
        <v>—</v>
      </c>
      <c r="P113" s="13" t="str">
        <f>_xll.BDH("ITCI US Equity","ARDR_FV_ASTS_REC_L2_AFS_CDO_CLO","FQ1 2022","FQ1 2022","Currency=USD","Period=FQ","BEST_FPERIOD_OVERRIDE=FQ","FILING_STATUS=MR","SCALING_FORMAT=MLN","Sort=A","Dates=H","DateFormat=P","Fill=—","Direction=H","UseDPDF=Y")</f>
        <v>—</v>
      </c>
      <c r="Q113" s="13" t="str">
        <f>_xll.BDH("ITCI US Equity","ARDR_FV_ASTS_REC_L2_AFS_CDO_CLO","FQ2 2022","FQ2 2022","Currency=USD","Period=FQ","BEST_FPERIOD_OVERRIDE=FQ","FILING_STATUS=MR","SCALING_FORMAT=MLN","Sort=A","Dates=H","DateFormat=P","Fill=—","Direction=H","UseDPDF=Y")</f>
        <v>—</v>
      </c>
      <c r="R113" s="13" t="str">
        <f>_xll.BDH("ITCI US Equity","ARDR_FV_ASTS_REC_L2_AFS_CDO_CLO","FQ3 2022","FQ3 2022","Currency=USD","Period=FQ","BEST_FPERIOD_OVERRIDE=FQ","FILING_STATUS=MR","SCALING_FORMAT=MLN","Sort=A","Dates=H","DateFormat=P","Fill=—","Direction=H","UseDPDF=Y")</f>
        <v>—</v>
      </c>
      <c r="S113" s="13" t="str">
        <f>_xll.BDH("ITCI US Equity","ARDR_FV_ASTS_REC_L2_AFS_CDO_CLO","FQ4 2022","FQ4 2022","Currency=USD","Period=FQ","BEST_FPERIOD_OVERRIDE=FQ","FILING_STATUS=MR","SCALING_FORMAT=MLN","Sort=A","Dates=H","DateFormat=P","Fill=—","Direction=H","UseDPDF=Y")</f>
        <v>—</v>
      </c>
      <c r="T113" s="13" t="str">
        <f>_xll.BDH("ITCI US Equity","ARDR_FV_ASTS_REC_L2_AFS_CDO_CLO","FQ1 2023","FQ1 2023","Currency=USD","Period=FQ","BEST_FPERIOD_OVERRIDE=FQ","FILING_STATUS=MR","SCALING_FORMAT=MLN","Sort=A","Dates=H","DateFormat=P","Fill=—","Direction=H","UseDPDF=Y")</f>
        <v>—</v>
      </c>
      <c r="U113" s="13" t="str">
        <f>_xll.BDH("ITCI US Equity","ARDR_FV_ASTS_REC_L2_AFS_CDO_CLO","FQ2 2023","FQ2 2023","Currency=USD","Period=FQ","BEST_FPERIOD_OVERRIDE=FQ","FILING_STATUS=MR","SCALING_FORMAT=MLN","Sort=A","Dates=H","DateFormat=P","Fill=—","Direction=H","UseDPDF=Y")</f>
        <v>—</v>
      </c>
      <c r="V113" s="13" t="str">
        <f>_xll.BDH("ITCI US Equity","ARDR_FV_ASTS_REC_L2_AFS_CDO_CLO","FQ3 2023","FQ3 2023","Currency=USD","Period=FQ","BEST_FPERIOD_OVERRIDE=FQ","FILING_STATUS=MR","SCALING_FORMAT=MLN","Sort=A","Dates=H","DateFormat=P","Fill=—","Direction=H","UseDPDF=Y")</f>
        <v>—</v>
      </c>
      <c r="W113" s="13" t="str">
        <f>_xll.BDH("ITCI US Equity","ARDR_FV_ASTS_REC_L2_AFS_CDO_CLO","FQ4 2023","FQ4 2023","Currency=USD","Period=FQ","BEST_FPERIOD_OVERRIDE=FQ","FILING_STATUS=MR","SCALING_FORMAT=MLN","Sort=A","Dates=H","DateFormat=P","Fill=—","Direction=H","UseDPDF=Y")</f>
        <v>—</v>
      </c>
      <c r="X113" s="13" t="str">
        <f>_xll.BDH("ITCI US Equity","ARDR_FV_ASTS_REC_L2_AFS_CDO_CLO","FQ1 2024","FQ1 2024","Currency=USD","Period=FQ","BEST_FPERIOD_OVERRIDE=FQ","FILING_STATUS=MR","SCALING_FORMAT=MLN","Sort=A","Dates=H","DateFormat=P","Fill=—","Direction=H","UseDPDF=Y")</f>
        <v>—</v>
      </c>
      <c r="Y113" s="13" t="str">
        <f>_xll.BDH("ITCI US Equity","ARDR_FV_ASTS_REC_L2_AFS_CDO_CLO","FQ2 2024","FQ2 2024","Currency=USD","Period=FQ","BEST_FPERIOD_OVERRIDE=FQ","FILING_STATUS=MR","SCALING_FORMAT=MLN","Sort=A","Dates=H","DateFormat=P","Fill=—","Direction=H","UseDPDF=Y")</f>
        <v>—</v>
      </c>
      <c r="Z113" s="13" t="str">
        <f>_xll.BDH("ITCI US Equity","ARDR_FV_ASTS_REC_L2_AFS_CDO_CLO","FQ3 2024","FQ3 2024","Currency=USD","Period=FQ","BEST_FPERIOD_OVERRIDE=FQ","FILING_STATUS=MR","SCALING_FORMAT=MLN","Sort=A","Dates=H","DateFormat=P","Fill=—","Direction=H","UseDPDF=Y")</f>
        <v>—</v>
      </c>
      <c r="AA113" s="13" t="str">
        <f>_xll.BDH("ITCI US Equity","ARDR_FV_ASTS_REC_L2_AFS_CDO_CLO","FQ4 2024","FQ4 2024","Currency=USD","Period=FQ","BEST_FPERIOD_OVERRIDE=FQ","FILING_STATUS=MR","SCALING_FORMAT=MLN","Sort=A","Dates=H","DateFormat=P","Fill=—","Direction=H","UseDPDF=Y")</f>
        <v>—</v>
      </c>
    </row>
    <row r="114" spans="1:27" x14ac:dyDescent="0.25">
      <c r="A114" s="10" t="s">
        <v>874</v>
      </c>
      <c r="B114" s="10" t="s">
        <v>875</v>
      </c>
      <c r="C114" s="13">
        <f>_xll.BDH("ITCI US Equity","ARDR_FV_ASSETS_REC_L2_OTH","FQ4 2018","FQ4 2018","Currency=USD","Period=FQ","BEST_FPERIOD_OVERRIDE=FQ","FILING_STATUS=MR","SCALING_FORMAT=MLN","Sort=A","Dates=H","DateFormat=P","Fill=—","Direction=H","UseDPDF=Y")</f>
        <v>300.08300000000003</v>
      </c>
      <c r="D114" s="13">
        <f>_xll.BDH("ITCI US Equity","ARDR_FV_ASSETS_REC_L2_OTH","FQ1 2019","FQ1 2019","Currency=USD","Period=FQ","BEST_FPERIOD_OVERRIDE=FQ","FILING_STATUS=MR","SCALING_FORMAT=MLN","Sort=A","Dates=H","DateFormat=P","Fill=—","Direction=H","UseDPDF=Y")</f>
        <v>272.73099999999999</v>
      </c>
      <c r="E114" s="13">
        <f>_xll.BDH("ITCI US Equity","ARDR_FV_ASSETS_REC_L2_OTH","FQ2 2019","FQ2 2019","Currency=USD","Period=FQ","BEST_FPERIOD_OVERRIDE=FQ","FILING_STATUS=MR","SCALING_FORMAT=MLN","Sort=A","Dates=H","DateFormat=P","Fill=—","Direction=H","UseDPDF=Y")</f>
        <v>225.03700000000001</v>
      </c>
      <c r="F114" s="13">
        <f>_xll.BDH("ITCI US Equity","ARDR_FV_ASSETS_REC_L2_OTH","FQ3 2019","FQ3 2019","Currency=USD","Period=FQ","BEST_FPERIOD_OVERRIDE=FQ","FILING_STATUS=MR","SCALING_FORMAT=MLN","Sort=A","Dates=H","DateFormat=P","Fill=—","Direction=H","UseDPDF=Y")</f>
        <v>192.27099999999999</v>
      </c>
      <c r="G114" s="13">
        <f>_xll.BDH("ITCI US Equity","ARDR_FV_ASSETS_REC_L2_OTH","FQ4 2019","FQ4 2019","Currency=USD","Period=FQ","BEST_FPERIOD_OVERRIDE=FQ","FILING_STATUS=MR","SCALING_FORMAT=MLN","Sort=A","Dates=H","DateFormat=P","Fill=—","Direction=H","UseDPDF=Y")</f>
        <v>166.99199999999999</v>
      </c>
      <c r="H114" s="13" t="str">
        <f>_xll.BDH("ITCI US Equity","ARDR_FV_ASSETS_REC_L2_OTH","FQ1 2020","FQ1 2020","Currency=USD","Period=FQ","BEST_FPERIOD_OVERRIDE=FQ","FILING_STATUS=MR","SCALING_FORMAT=MLN","Sort=A","Dates=H","DateFormat=P","Fill=—","Direction=H","UseDPDF=Y")</f>
        <v>—</v>
      </c>
      <c r="I114" s="13">
        <f>_xll.BDH("ITCI US Equity","ARDR_FV_ASSETS_REC_L2_OTH","FQ2 2020","FQ2 2020","Currency=USD","Period=FQ","BEST_FPERIOD_OVERRIDE=FQ","FILING_STATUS=MR","SCALING_FORMAT=MLN","Sort=A","Dates=H","DateFormat=P","Fill=—","Direction=H","UseDPDF=Y")</f>
        <v>109.048</v>
      </c>
      <c r="J114" s="13">
        <f>_xll.BDH("ITCI US Equity","ARDR_FV_ASSETS_REC_L2_OTH","FQ3 2020","FQ3 2020","Currency=USD","Period=FQ","BEST_FPERIOD_OVERRIDE=FQ","FILING_STATUS=MR","SCALING_FORMAT=MLN","Sort=A","Dates=H","DateFormat=P","Fill=—","Direction=H","UseDPDF=Y")</f>
        <v>420.959</v>
      </c>
      <c r="K114" s="13">
        <f>_xll.BDH("ITCI US Equity","ARDR_FV_ASSETS_REC_L2_OTH","FQ4 2020","FQ4 2020","Currency=USD","Period=FQ","BEST_FPERIOD_OVERRIDE=FQ","FILING_STATUS=MR","SCALING_FORMAT=MLN","Sort=A","Dates=H","DateFormat=P","Fill=—","Direction=H","UseDPDF=Y")</f>
        <v>597.40200000000004</v>
      </c>
      <c r="L114" s="13">
        <f>_xll.BDH("ITCI US Equity","ARDR_FV_ASSETS_REC_L2_OTH","FQ1 2021","FQ1 2021","Currency=USD","Period=FQ","BEST_FPERIOD_OVERRIDE=FQ","FILING_STATUS=MR","SCALING_FORMAT=MLN","Sort=A","Dates=H","DateFormat=P","Fill=—","Direction=H","UseDPDF=Y")</f>
        <v>481.98500000000001</v>
      </c>
      <c r="M114" s="13">
        <f>_xll.BDH("ITCI US Equity","ARDR_FV_ASSETS_REC_L2_OTH","FQ2 2021","FQ2 2021","Currency=USD","Period=FQ","BEST_FPERIOD_OVERRIDE=FQ","FILING_STATUS=MR","SCALING_FORMAT=MLN","Sort=A","Dates=H","DateFormat=P","Fill=—","Direction=H","UseDPDF=Y")</f>
        <v>433.72699999999998</v>
      </c>
      <c r="N114" s="13" t="str">
        <f>_xll.BDH("ITCI US Equity","ARDR_FV_ASSETS_REC_L2_OTH","FQ3 2021","FQ3 2021","Currency=USD","Period=FQ","BEST_FPERIOD_OVERRIDE=FQ","FILING_STATUS=MR","SCALING_FORMAT=MLN","Sort=A","Dates=H","DateFormat=P","Fill=—","Direction=H","UseDPDF=Y")</f>
        <v>—</v>
      </c>
      <c r="O114" s="13">
        <f>_xll.BDH("ITCI US Equity","ARDR_FV_ASSETS_REC_L2_OTH","FQ4 2021","FQ4 2021","Currency=USD","Period=FQ","BEST_FPERIOD_OVERRIDE=FQ","FILING_STATUS=MR","SCALING_FORMAT=MLN","Sort=A","Dates=H","DateFormat=P","Fill=—","Direction=H","UseDPDF=Y")</f>
        <v>319.96800000000002</v>
      </c>
      <c r="P114" s="13">
        <f>_xll.BDH("ITCI US Equity","ARDR_FV_ASSETS_REC_L2_OTH","FQ1 2022","FQ1 2022","Currency=USD","Period=FQ","BEST_FPERIOD_OVERRIDE=FQ","FILING_STATUS=MR","SCALING_FORMAT=MLN","Sort=A","Dates=H","DateFormat=P","Fill=—","Direction=H","UseDPDF=Y")</f>
        <v>697.54399999999998</v>
      </c>
      <c r="Q114" s="13">
        <f>_xll.BDH("ITCI US Equity","ARDR_FV_ASSETS_REC_L2_OTH","FQ2 2022","FQ2 2022","Currency=USD","Period=FQ","BEST_FPERIOD_OVERRIDE=FQ","FILING_STATUS=MR","SCALING_FORMAT=MLN","Sort=A","Dates=H","DateFormat=P","Fill=—","Direction=H","UseDPDF=Y")</f>
        <v>601.59299999999996</v>
      </c>
      <c r="R114" s="13">
        <f>_xll.BDH("ITCI US Equity","ARDR_FV_ASSETS_REC_L2_OTH","FQ3 2022","FQ3 2022","Currency=USD","Period=FQ","BEST_FPERIOD_OVERRIDE=FQ","FILING_STATUS=MR","SCALING_FORMAT=MLN","Sort=A","Dates=H","DateFormat=P","Fill=—","Direction=H","UseDPDF=Y")</f>
        <v>529.35500000000002</v>
      </c>
      <c r="S114" s="13">
        <f>_xll.BDH("ITCI US Equity","ARDR_FV_ASSETS_REC_L2_OTH","FQ4 2022","FQ4 2022","Currency=USD","Period=FQ","BEST_FPERIOD_OVERRIDE=FQ","FILING_STATUS=MR","SCALING_FORMAT=MLN","Sort=A","Dates=H","DateFormat=P","Fill=—","Direction=H","UseDPDF=Y")</f>
        <v>486.22899999999998</v>
      </c>
      <c r="T114" s="13">
        <f>_xll.BDH("ITCI US Equity","ARDR_FV_ASSETS_REC_L2_OTH","FQ1 2023","FQ1 2023","Currency=USD","Period=FQ","BEST_FPERIOD_OVERRIDE=FQ","FILING_STATUS=MR","SCALING_FORMAT=MLN","Sort=A","Dates=H","DateFormat=P","Fill=—","Direction=H","UseDPDF=Y")</f>
        <v>462.98099999999999</v>
      </c>
      <c r="U114" s="13">
        <f>_xll.BDH("ITCI US Equity","ARDR_FV_ASSETS_REC_L2_OTH","FQ2 2023","FQ2 2023","Currency=USD","Period=FQ","BEST_FPERIOD_OVERRIDE=FQ","FILING_STATUS=MR","SCALING_FORMAT=MLN","Sort=A","Dates=H","DateFormat=P","Fill=—","Direction=H","UseDPDF=Y")</f>
        <v>482.14299999999997</v>
      </c>
      <c r="V114" s="13">
        <f>_xll.BDH("ITCI US Equity","ARDR_FV_ASSETS_REC_L2_OTH","FQ3 2023","FQ3 2023","Currency=USD","Period=FQ","BEST_FPERIOD_OVERRIDE=FQ","FILING_STATUS=MR","SCALING_FORMAT=MLN","Sort=A","Dates=H","DateFormat=P","Fill=—","Direction=H","UseDPDF=Y")</f>
        <v>413.61900000000003</v>
      </c>
      <c r="W114" s="13">
        <f>_xll.BDH("ITCI US Equity","ARDR_FV_ASSETS_REC_L2_OTH","FQ4 2023","FQ4 2023","Currency=USD","Period=FQ","BEST_FPERIOD_OVERRIDE=FQ","FILING_STATUS=MR","SCALING_FORMAT=MLN","Sort=A","Dates=H","DateFormat=P","Fill=—","Direction=H","UseDPDF=Y")</f>
        <v>412.67399999999998</v>
      </c>
      <c r="X114" s="13">
        <f>_xll.BDH("ITCI US Equity","ARDR_FV_ASSETS_REC_L2_OTH","FQ1 2024","FQ1 2024","Currency=USD","Period=FQ","BEST_FPERIOD_OVERRIDE=FQ","FILING_STATUS=MR","SCALING_FORMAT=MLN","Sort=A","Dates=H","DateFormat=P","Fill=—","Direction=H","UseDPDF=Y")</f>
        <v>64.159000000000006</v>
      </c>
      <c r="Y114" s="13">
        <f>_xll.BDH("ITCI US Equity","ARDR_FV_ASSETS_REC_L2_OTH","FQ2 2024","FQ2 2024","Currency=USD","Period=FQ","BEST_FPERIOD_OVERRIDE=FQ","FILING_STATUS=MR","SCALING_FORMAT=MLN","Sort=A","Dates=H","DateFormat=P","Fill=—","Direction=H","UseDPDF=Y")</f>
        <v>61.469000000000001</v>
      </c>
      <c r="Z114" s="13">
        <f>_xll.BDH("ITCI US Equity","ARDR_FV_ASSETS_REC_L2_OTH","FQ3 2024","FQ3 2024","Currency=USD","Period=FQ","BEST_FPERIOD_OVERRIDE=FQ","FILING_STATUS=MR","SCALING_FORMAT=MLN","Sort=A","Dates=H","DateFormat=P","Fill=—","Direction=H","UseDPDF=Y")</f>
        <v>60.98</v>
      </c>
      <c r="AA114" s="13">
        <f>_xll.BDH("ITCI US Equity","ARDR_FV_ASSETS_REC_L2_OTH","FQ4 2024","FQ4 2024","Currency=USD","Period=FQ","BEST_FPERIOD_OVERRIDE=FQ","FILING_STATUS=MR","SCALING_FORMAT=MLN","Sort=A","Dates=H","DateFormat=P","Fill=—","Direction=H","UseDPDF=Y")</f>
        <v>694.11800000000005</v>
      </c>
    </row>
    <row r="115" spans="1:27" x14ac:dyDescent="0.25">
      <c r="A115" s="10" t="s">
        <v>876</v>
      </c>
      <c r="B115" s="10" t="s">
        <v>877</v>
      </c>
      <c r="C115" s="13" t="str">
        <f>_xll.BDH("ITCI US Equity","ARDR_FV_ASTS_REC_L3_TRAD_TREAS","FQ4 2018","FQ4 2018","Currency=USD","Period=FQ","BEST_FPERIOD_OVERRIDE=FQ","FILING_STATUS=MR","SCALING_FORMAT=MLN","Sort=A","Dates=H","DateFormat=P","Fill=—","Direction=H","UseDPDF=Y")</f>
        <v>—</v>
      </c>
      <c r="D115" s="13" t="str">
        <f>_xll.BDH("ITCI US Equity","ARDR_FV_ASTS_REC_L3_TRAD_TREAS","FQ1 2019","FQ1 2019","Currency=USD","Period=FQ","BEST_FPERIOD_OVERRIDE=FQ","FILING_STATUS=MR","SCALING_FORMAT=MLN","Sort=A","Dates=H","DateFormat=P","Fill=—","Direction=H","UseDPDF=Y")</f>
        <v>—</v>
      </c>
      <c r="E115" s="13" t="str">
        <f>_xll.BDH("ITCI US Equity","ARDR_FV_ASTS_REC_L3_TRAD_TREAS","FQ2 2019","FQ2 2019","Currency=USD","Period=FQ","BEST_FPERIOD_OVERRIDE=FQ","FILING_STATUS=MR","SCALING_FORMAT=MLN","Sort=A","Dates=H","DateFormat=P","Fill=—","Direction=H","UseDPDF=Y")</f>
        <v>—</v>
      </c>
      <c r="F115" s="13" t="str">
        <f>_xll.BDH("ITCI US Equity","ARDR_FV_ASTS_REC_L3_TRAD_TREAS","FQ3 2019","FQ3 2019","Currency=USD","Period=FQ","BEST_FPERIOD_OVERRIDE=FQ","FILING_STATUS=MR","SCALING_FORMAT=MLN","Sort=A","Dates=H","DateFormat=P","Fill=—","Direction=H","UseDPDF=Y")</f>
        <v>—</v>
      </c>
      <c r="G115" s="13" t="str">
        <f>_xll.BDH("ITCI US Equity","ARDR_FV_ASTS_REC_L3_TRAD_TREAS","FQ4 2019","FQ4 2019","Currency=USD","Period=FQ","BEST_FPERIOD_OVERRIDE=FQ","FILING_STATUS=MR","SCALING_FORMAT=MLN","Sort=A","Dates=H","DateFormat=P","Fill=—","Direction=H","UseDPDF=Y")</f>
        <v>—</v>
      </c>
      <c r="H115" s="13" t="str">
        <f>_xll.BDH("ITCI US Equity","ARDR_FV_ASTS_REC_L3_TRAD_TREAS","FQ1 2020","FQ1 2020","Currency=USD","Period=FQ","BEST_FPERIOD_OVERRIDE=FQ","FILING_STATUS=MR","SCALING_FORMAT=MLN","Sort=A","Dates=H","DateFormat=P","Fill=—","Direction=H","UseDPDF=Y")</f>
        <v>—</v>
      </c>
      <c r="I115" s="13" t="str">
        <f>_xll.BDH("ITCI US Equity","ARDR_FV_ASTS_REC_L3_TRAD_TREAS","FQ2 2020","FQ2 2020","Currency=USD","Period=FQ","BEST_FPERIOD_OVERRIDE=FQ","FILING_STATUS=MR","SCALING_FORMAT=MLN","Sort=A","Dates=H","DateFormat=P","Fill=—","Direction=H","UseDPDF=Y")</f>
        <v>—</v>
      </c>
      <c r="J115" s="13" t="str">
        <f>_xll.BDH("ITCI US Equity","ARDR_FV_ASTS_REC_L3_TRAD_TREAS","FQ3 2020","FQ3 2020","Currency=USD","Period=FQ","BEST_FPERIOD_OVERRIDE=FQ","FILING_STATUS=MR","SCALING_FORMAT=MLN","Sort=A","Dates=H","DateFormat=P","Fill=—","Direction=H","UseDPDF=Y")</f>
        <v>—</v>
      </c>
      <c r="K115" s="13" t="str">
        <f>_xll.BDH("ITCI US Equity","ARDR_FV_ASTS_REC_L3_TRAD_TREAS","FQ4 2020","FQ4 2020","Currency=USD","Period=FQ","BEST_FPERIOD_OVERRIDE=FQ","FILING_STATUS=MR","SCALING_FORMAT=MLN","Sort=A","Dates=H","DateFormat=P","Fill=—","Direction=H","UseDPDF=Y")</f>
        <v>—</v>
      </c>
      <c r="L115" s="13" t="str">
        <f>_xll.BDH("ITCI US Equity","ARDR_FV_ASTS_REC_L3_TRAD_TREAS","FQ1 2021","FQ1 2021","Currency=USD","Period=FQ","BEST_FPERIOD_OVERRIDE=FQ","FILING_STATUS=MR","SCALING_FORMAT=MLN","Sort=A","Dates=H","DateFormat=P","Fill=—","Direction=H","UseDPDF=Y")</f>
        <v>—</v>
      </c>
      <c r="M115" s="13">
        <f>_xll.BDH("ITCI US Equity","ARDR_FV_ASTS_REC_L3_TRAD_TREAS","FQ2 2021","FQ2 2021","Currency=USD","Period=FQ","BEST_FPERIOD_OVERRIDE=FQ","FILING_STATUS=MR","SCALING_FORMAT=MLN","Sort=A","Dates=H","DateFormat=P","Fill=—","Direction=H","UseDPDF=Y")</f>
        <v>0</v>
      </c>
      <c r="N115" s="13">
        <f>_xll.BDH("ITCI US Equity","ARDR_FV_ASTS_REC_L3_TRAD_TREAS","FQ3 2021","FQ3 2021","Currency=USD","Period=FQ","BEST_FPERIOD_OVERRIDE=FQ","FILING_STATUS=MR","SCALING_FORMAT=MLN","Sort=A","Dates=H","DateFormat=P","Fill=—","Direction=H","UseDPDF=Y")</f>
        <v>0</v>
      </c>
      <c r="O115" s="13">
        <f>_xll.BDH("ITCI US Equity","ARDR_FV_ASTS_REC_L3_TRAD_TREAS","FQ4 2021","FQ4 2021","Currency=USD","Period=FQ","BEST_FPERIOD_OVERRIDE=FQ","FILING_STATUS=MR","SCALING_FORMAT=MLN","Sort=A","Dates=H","DateFormat=P","Fill=—","Direction=H","UseDPDF=Y")</f>
        <v>0</v>
      </c>
      <c r="P115" s="13" t="str">
        <f>_xll.BDH("ITCI US Equity","ARDR_FV_ASTS_REC_L3_TRAD_TREAS","FQ1 2022","FQ1 2022","Currency=USD","Period=FQ","BEST_FPERIOD_OVERRIDE=FQ","FILING_STATUS=MR","SCALING_FORMAT=MLN","Sort=A","Dates=H","DateFormat=P","Fill=—","Direction=H","UseDPDF=Y")</f>
        <v>—</v>
      </c>
      <c r="Q115" s="13">
        <f>_xll.BDH("ITCI US Equity","ARDR_FV_ASTS_REC_L3_TRAD_TREAS","FQ2 2022","FQ2 2022","Currency=USD","Period=FQ","BEST_FPERIOD_OVERRIDE=FQ","FILING_STATUS=MR","SCALING_FORMAT=MLN","Sort=A","Dates=H","DateFormat=P","Fill=—","Direction=H","UseDPDF=Y")</f>
        <v>0</v>
      </c>
      <c r="R115" s="13" t="str">
        <f>_xll.BDH("ITCI US Equity","ARDR_FV_ASTS_REC_L3_TRAD_TREAS","FQ3 2022","FQ3 2022","Currency=USD","Period=FQ","BEST_FPERIOD_OVERRIDE=FQ","FILING_STATUS=MR","SCALING_FORMAT=MLN","Sort=A","Dates=H","DateFormat=P","Fill=—","Direction=H","UseDPDF=Y")</f>
        <v>—</v>
      </c>
      <c r="S115" s="13">
        <f>_xll.BDH("ITCI US Equity","ARDR_FV_ASTS_REC_L3_TRAD_TREAS","FQ4 2022","FQ4 2022","Currency=USD","Period=FQ","BEST_FPERIOD_OVERRIDE=FQ","FILING_STATUS=MR","SCALING_FORMAT=MLN","Sort=A","Dates=H","DateFormat=P","Fill=—","Direction=H","UseDPDF=Y")</f>
        <v>0</v>
      </c>
      <c r="T115" s="13">
        <f>_xll.BDH("ITCI US Equity","ARDR_FV_ASTS_REC_L3_TRAD_TREAS","FQ1 2023","FQ1 2023","Currency=USD","Period=FQ","BEST_FPERIOD_OVERRIDE=FQ","FILING_STATUS=MR","SCALING_FORMAT=MLN","Sort=A","Dates=H","DateFormat=P","Fill=—","Direction=H","UseDPDF=Y")</f>
        <v>0</v>
      </c>
      <c r="U115" s="13">
        <f>_xll.BDH("ITCI US Equity","ARDR_FV_ASTS_REC_L3_TRAD_TREAS","FQ2 2023","FQ2 2023","Currency=USD","Period=FQ","BEST_FPERIOD_OVERRIDE=FQ","FILING_STATUS=MR","SCALING_FORMAT=MLN","Sort=A","Dates=H","DateFormat=P","Fill=—","Direction=H","UseDPDF=Y")</f>
        <v>0</v>
      </c>
      <c r="V115" s="13">
        <f>_xll.BDH("ITCI US Equity","ARDR_FV_ASTS_REC_L3_TRAD_TREAS","FQ3 2023","FQ3 2023","Currency=USD","Period=FQ","BEST_FPERIOD_OVERRIDE=FQ","FILING_STATUS=MR","SCALING_FORMAT=MLN","Sort=A","Dates=H","DateFormat=P","Fill=—","Direction=H","UseDPDF=Y")</f>
        <v>0</v>
      </c>
      <c r="W115" s="13">
        <f>_xll.BDH("ITCI US Equity","ARDR_FV_ASTS_REC_L3_TRAD_TREAS","FQ4 2023","FQ4 2023","Currency=USD","Period=FQ","BEST_FPERIOD_OVERRIDE=FQ","FILING_STATUS=MR","SCALING_FORMAT=MLN","Sort=A","Dates=H","DateFormat=P","Fill=—","Direction=H","UseDPDF=Y")</f>
        <v>0</v>
      </c>
      <c r="X115" s="13">
        <f>_xll.BDH("ITCI US Equity","ARDR_FV_ASTS_REC_L3_TRAD_TREAS","FQ1 2024","FQ1 2024","Currency=USD","Period=FQ","BEST_FPERIOD_OVERRIDE=FQ","FILING_STATUS=MR","SCALING_FORMAT=MLN","Sort=A","Dates=H","DateFormat=P","Fill=—","Direction=H","UseDPDF=Y")</f>
        <v>0</v>
      </c>
      <c r="Y115" s="13">
        <f>_xll.BDH("ITCI US Equity","ARDR_FV_ASTS_REC_L3_TRAD_TREAS","FQ2 2024","FQ2 2024","Currency=USD","Period=FQ","BEST_FPERIOD_OVERRIDE=FQ","FILING_STATUS=MR","SCALING_FORMAT=MLN","Sort=A","Dates=H","DateFormat=P","Fill=—","Direction=H","UseDPDF=Y")</f>
        <v>0</v>
      </c>
      <c r="Z115" s="13">
        <f>_xll.BDH("ITCI US Equity","ARDR_FV_ASTS_REC_L3_TRAD_TREAS","FQ3 2024","FQ3 2024","Currency=USD","Period=FQ","BEST_FPERIOD_OVERRIDE=FQ","FILING_STATUS=MR","SCALING_FORMAT=MLN","Sort=A","Dates=H","DateFormat=P","Fill=—","Direction=H","UseDPDF=Y")</f>
        <v>0</v>
      </c>
      <c r="AA115" s="13" t="str">
        <f>_xll.BDH("ITCI US Equity","ARDR_FV_ASTS_REC_L3_TRAD_TREAS","FQ4 2024","FQ4 2024","Currency=USD","Period=FQ","BEST_FPERIOD_OVERRIDE=FQ","FILING_STATUS=MR","SCALING_FORMAT=MLN","Sort=A","Dates=H","DateFormat=P","Fill=—","Direction=H","UseDPDF=Y")</f>
        <v>—</v>
      </c>
    </row>
    <row r="116" spans="1:27" x14ac:dyDescent="0.25">
      <c r="A116" s="10" t="s">
        <v>878</v>
      </c>
      <c r="B116" s="10" t="s">
        <v>879</v>
      </c>
      <c r="C116" s="13" t="str">
        <f>_xll.BDH("ITCI US Equity","ARDR_FV_ASTS_REC_L3_TRAD_BONDS","FQ4 2018","FQ4 2018","Currency=USD","Period=FQ","BEST_FPERIOD_OVERRIDE=FQ","FILING_STATUS=MR","SCALING_FORMAT=MLN","Sort=A","Dates=H","DateFormat=P","Fill=—","Direction=H","UseDPDF=Y")</f>
        <v>—</v>
      </c>
      <c r="D116" s="13" t="str">
        <f>_xll.BDH("ITCI US Equity","ARDR_FV_ASTS_REC_L3_TRAD_BONDS","FQ1 2019","FQ1 2019","Currency=USD","Period=FQ","BEST_FPERIOD_OVERRIDE=FQ","FILING_STATUS=MR","SCALING_FORMAT=MLN","Sort=A","Dates=H","DateFormat=P","Fill=—","Direction=H","UseDPDF=Y")</f>
        <v>—</v>
      </c>
      <c r="E116" s="13" t="str">
        <f>_xll.BDH("ITCI US Equity","ARDR_FV_ASTS_REC_L3_TRAD_BONDS","FQ2 2019","FQ2 2019","Currency=USD","Period=FQ","BEST_FPERIOD_OVERRIDE=FQ","FILING_STATUS=MR","SCALING_FORMAT=MLN","Sort=A","Dates=H","DateFormat=P","Fill=—","Direction=H","UseDPDF=Y")</f>
        <v>—</v>
      </c>
      <c r="F116" s="13" t="str">
        <f>_xll.BDH("ITCI US Equity","ARDR_FV_ASTS_REC_L3_TRAD_BONDS","FQ3 2019","FQ3 2019","Currency=USD","Period=FQ","BEST_FPERIOD_OVERRIDE=FQ","FILING_STATUS=MR","SCALING_FORMAT=MLN","Sort=A","Dates=H","DateFormat=P","Fill=—","Direction=H","UseDPDF=Y")</f>
        <v>—</v>
      </c>
      <c r="G116" s="13" t="str">
        <f>_xll.BDH("ITCI US Equity","ARDR_FV_ASTS_REC_L3_TRAD_BONDS","FQ4 2019","FQ4 2019","Currency=USD","Period=FQ","BEST_FPERIOD_OVERRIDE=FQ","FILING_STATUS=MR","SCALING_FORMAT=MLN","Sort=A","Dates=H","DateFormat=P","Fill=—","Direction=H","UseDPDF=Y")</f>
        <v>—</v>
      </c>
      <c r="H116" s="13" t="str">
        <f>_xll.BDH("ITCI US Equity","ARDR_FV_ASTS_REC_L3_TRAD_BONDS","FQ1 2020","FQ1 2020","Currency=USD","Period=FQ","BEST_FPERIOD_OVERRIDE=FQ","FILING_STATUS=MR","SCALING_FORMAT=MLN","Sort=A","Dates=H","DateFormat=P","Fill=—","Direction=H","UseDPDF=Y")</f>
        <v>—</v>
      </c>
      <c r="I116" s="13" t="str">
        <f>_xll.BDH("ITCI US Equity","ARDR_FV_ASTS_REC_L3_TRAD_BONDS","FQ2 2020","FQ2 2020","Currency=USD","Period=FQ","BEST_FPERIOD_OVERRIDE=FQ","FILING_STATUS=MR","SCALING_FORMAT=MLN","Sort=A","Dates=H","DateFormat=P","Fill=—","Direction=H","UseDPDF=Y")</f>
        <v>—</v>
      </c>
      <c r="J116" s="13" t="str">
        <f>_xll.BDH("ITCI US Equity","ARDR_FV_ASTS_REC_L3_TRAD_BONDS","FQ3 2020","FQ3 2020","Currency=USD","Period=FQ","BEST_FPERIOD_OVERRIDE=FQ","FILING_STATUS=MR","SCALING_FORMAT=MLN","Sort=A","Dates=H","DateFormat=P","Fill=—","Direction=H","UseDPDF=Y")</f>
        <v>—</v>
      </c>
      <c r="K116" s="13" t="str">
        <f>_xll.BDH("ITCI US Equity","ARDR_FV_ASTS_REC_L3_TRAD_BONDS","FQ4 2020","FQ4 2020","Currency=USD","Period=FQ","BEST_FPERIOD_OVERRIDE=FQ","FILING_STATUS=MR","SCALING_FORMAT=MLN","Sort=A","Dates=H","DateFormat=P","Fill=—","Direction=H","UseDPDF=Y")</f>
        <v>—</v>
      </c>
      <c r="L116" s="13" t="str">
        <f>_xll.BDH("ITCI US Equity","ARDR_FV_ASTS_REC_L3_TRAD_BONDS","FQ1 2021","FQ1 2021","Currency=USD","Period=FQ","BEST_FPERIOD_OVERRIDE=FQ","FILING_STATUS=MR","SCALING_FORMAT=MLN","Sort=A","Dates=H","DateFormat=P","Fill=—","Direction=H","UseDPDF=Y")</f>
        <v>—</v>
      </c>
      <c r="M116" s="13" t="str">
        <f>_xll.BDH("ITCI US Equity","ARDR_FV_ASTS_REC_L3_TRAD_BONDS","FQ2 2021","FQ2 2021","Currency=USD","Period=FQ","BEST_FPERIOD_OVERRIDE=FQ","FILING_STATUS=MR","SCALING_FORMAT=MLN","Sort=A","Dates=H","DateFormat=P","Fill=—","Direction=H","UseDPDF=Y")</f>
        <v>—</v>
      </c>
      <c r="N116" s="13">
        <f>_xll.BDH("ITCI US Equity","ARDR_FV_ASTS_REC_L3_TRAD_BONDS","FQ3 2021","FQ3 2021","Currency=USD","Period=FQ","BEST_FPERIOD_OVERRIDE=FQ","FILING_STATUS=MR","SCALING_FORMAT=MLN","Sort=A","Dates=H","DateFormat=P","Fill=—","Direction=H","UseDPDF=Y")</f>
        <v>0</v>
      </c>
      <c r="O116" s="13" t="str">
        <f>_xll.BDH("ITCI US Equity","ARDR_FV_ASTS_REC_L3_TRAD_BONDS","FQ4 2021","FQ4 2021","Currency=USD","Period=FQ","BEST_FPERIOD_OVERRIDE=FQ","FILING_STATUS=MR","SCALING_FORMAT=MLN","Sort=A","Dates=H","DateFormat=P","Fill=—","Direction=H","UseDPDF=Y")</f>
        <v>—</v>
      </c>
      <c r="P116" s="13" t="str">
        <f>_xll.BDH("ITCI US Equity","ARDR_FV_ASTS_REC_L3_TRAD_BONDS","FQ1 2022","FQ1 2022","Currency=USD","Period=FQ","BEST_FPERIOD_OVERRIDE=FQ","FILING_STATUS=MR","SCALING_FORMAT=MLN","Sort=A","Dates=H","DateFormat=P","Fill=—","Direction=H","UseDPDF=Y")</f>
        <v>—</v>
      </c>
      <c r="Q116" s="13" t="str">
        <f>_xll.BDH("ITCI US Equity","ARDR_FV_ASTS_REC_L3_TRAD_BONDS","FQ2 2022","FQ2 2022","Currency=USD","Period=FQ","BEST_FPERIOD_OVERRIDE=FQ","FILING_STATUS=MR","SCALING_FORMAT=MLN","Sort=A","Dates=H","DateFormat=P","Fill=—","Direction=H","UseDPDF=Y")</f>
        <v>—</v>
      </c>
      <c r="R116" s="13" t="str">
        <f>_xll.BDH("ITCI US Equity","ARDR_FV_ASTS_REC_L3_TRAD_BONDS","FQ3 2022","FQ3 2022","Currency=USD","Period=FQ","BEST_FPERIOD_OVERRIDE=FQ","FILING_STATUS=MR","SCALING_FORMAT=MLN","Sort=A","Dates=H","DateFormat=P","Fill=—","Direction=H","UseDPDF=Y")</f>
        <v>—</v>
      </c>
      <c r="S116" s="13" t="str">
        <f>_xll.BDH("ITCI US Equity","ARDR_FV_ASTS_REC_L3_TRAD_BONDS","FQ4 2022","FQ4 2022","Currency=USD","Period=FQ","BEST_FPERIOD_OVERRIDE=FQ","FILING_STATUS=MR","SCALING_FORMAT=MLN","Sort=A","Dates=H","DateFormat=P","Fill=—","Direction=H","UseDPDF=Y")</f>
        <v>—</v>
      </c>
      <c r="T116" s="13" t="str">
        <f>_xll.BDH("ITCI US Equity","ARDR_FV_ASTS_REC_L3_TRAD_BONDS","FQ1 2023","FQ1 2023","Currency=USD","Period=FQ","BEST_FPERIOD_OVERRIDE=FQ","FILING_STATUS=MR","SCALING_FORMAT=MLN","Sort=A","Dates=H","DateFormat=P","Fill=—","Direction=H","UseDPDF=Y")</f>
        <v>—</v>
      </c>
      <c r="U116" s="13" t="str">
        <f>_xll.BDH("ITCI US Equity","ARDR_FV_ASTS_REC_L3_TRAD_BONDS","FQ2 2023","FQ2 2023","Currency=USD","Period=FQ","BEST_FPERIOD_OVERRIDE=FQ","FILING_STATUS=MR","SCALING_FORMAT=MLN","Sort=A","Dates=H","DateFormat=P","Fill=—","Direction=H","UseDPDF=Y")</f>
        <v>—</v>
      </c>
      <c r="V116" s="13" t="str">
        <f>_xll.BDH("ITCI US Equity","ARDR_FV_ASTS_REC_L3_TRAD_BONDS","FQ3 2023","FQ3 2023","Currency=USD","Period=FQ","BEST_FPERIOD_OVERRIDE=FQ","FILING_STATUS=MR","SCALING_FORMAT=MLN","Sort=A","Dates=H","DateFormat=P","Fill=—","Direction=H","UseDPDF=Y")</f>
        <v>—</v>
      </c>
      <c r="W116" s="13" t="str">
        <f>_xll.BDH("ITCI US Equity","ARDR_FV_ASTS_REC_L3_TRAD_BONDS","FQ4 2023","FQ4 2023","Currency=USD","Period=FQ","BEST_FPERIOD_OVERRIDE=FQ","FILING_STATUS=MR","SCALING_FORMAT=MLN","Sort=A","Dates=H","DateFormat=P","Fill=—","Direction=H","UseDPDF=Y")</f>
        <v>—</v>
      </c>
      <c r="X116" s="13">
        <f>_xll.BDH("ITCI US Equity","ARDR_FV_ASTS_REC_L3_TRAD_BONDS","FQ1 2024","FQ1 2024","Currency=USD","Period=FQ","BEST_FPERIOD_OVERRIDE=FQ","FILING_STATUS=MR","SCALING_FORMAT=MLN","Sort=A","Dates=H","DateFormat=P","Fill=—","Direction=H","UseDPDF=Y")</f>
        <v>0</v>
      </c>
      <c r="Y116" s="13">
        <f>_xll.BDH("ITCI US Equity","ARDR_FV_ASTS_REC_L3_TRAD_BONDS","FQ2 2024","FQ2 2024","Currency=USD","Period=FQ","BEST_FPERIOD_OVERRIDE=FQ","FILING_STATUS=MR","SCALING_FORMAT=MLN","Sort=A","Dates=H","DateFormat=P","Fill=—","Direction=H","UseDPDF=Y")</f>
        <v>0</v>
      </c>
      <c r="Z116" s="13">
        <f>_xll.BDH("ITCI US Equity","ARDR_FV_ASTS_REC_L3_TRAD_BONDS","FQ3 2024","FQ3 2024","Currency=USD","Period=FQ","BEST_FPERIOD_OVERRIDE=FQ","FILING_STATUS=MR","SCALING_FORMAT=MLN","Sort=A","Dates=H","DateFormat=P","Fill=—","Direction=H","UseDPDF=Y")</f>
        <v>0</v>
      </c>
      <c r="AA116" s="13" t="str">
        <f>_xll.BDH("ITCI US Equity","ARDR_FV_ASTS_REC_L3_TRAD_BONDS","FQ4 2024","FQ4 2024","Currency=USD","Period=FQ","BEST_FPERIOD_OVERRIDE=FQ","FILING_STATUS=MR","SCALING_FORMAT=MLN","Sort=A","Dates=H","DateFormat=P","Fill=—","Direction=H","UseDPDF=Y")</f>
        <v>—</v>
      </c>
    </row>
    <row r="117" spans="1:27" x14ac:dyDescent="0.25">
      <c r="A117" s="10" t="s">
        <v>880</v>
      </c>
      <c r="B117" s="10" t="s">
        <v>881</v>
      </c>
      <c r="C117" s="13" t="str">
        <f>_xll.BDH("ITCI US Equity","ARDR_FV_ASTS_REC_L3_TRAD_GSE_CMO","FQ4 2018","FQ4 2018","Currency=USD","Period=FQ","BEST_FPERIOD_OVERRIDE=FQ","FILING_STATUS=MR","SCALING_FORMAT=MLN","Sort=A","Dates=H","DateFormat=P","Fill=—","Direction=H","UseDPDF=Y")</f>
        <v>—</v>
      </c>
      <c r="D117" s="13" t="str">
        <f>_xll.BDH("ITCI US Equity","ARDR_FV_ASTS_REC_L3_TRAD_GSE_CMO","FQ1 2019","FQ1 2019","Currency=USD","Period=FQ","BEST_FPERIOD_OVERRIDE=FQ","FILING_STATUS=MR","SCALING_FORMAT=MLN","Sort=A","Dates=H","DateFormat=P","Fill=—","Direction=H","UseDPDF=Y")</f>
        <v>—</v>
      </c>
      <c r="E117" s="13" t="str">
        <f>_xll.BDH("ITCI US Equity","ARDR_FV_ASTS_REC_L3_TRAD_GSE_CMO","FQ2 2019","FQ2 2019","Currency=USD","Period=FQ","BEST_FPERIOD_OVERRIDE=FQ","FILING_STATUS=MR","SCALING_FORMAT=MLN","Sort=A","Dates=H","DateFormat=P","Fill=—","Direction=H","UseDPDF=Y")</f>
        <v>—</v>
      </c>
      <c r="F117" s="13" t="str">
        <f>_xll.BDH("ITCI US Equity","ARDR_FV_ASTS_REC_L3_TRAD_GSE_CMO","FQ3 2019","FQ3 2019","Currency=USD","Period=FQ","BEST_FPERIOD_OVERRIDE=FQ","FILING_STATUS=MR","SCALING_FORMAT=MLN","Sort=A","Dates=H","DateFormat=P","Fill=—","Direction=H","UseDPDF=Y")</f>
        <v>—</v>
      </c>
      <c r="G117" s="13" t="str">
        <f>_xll.BDH("ITCI US Equity","ARDR_FV_ASTS_REC_L3_TRAD_GSE_CMO","FQ4 2019","FQ4 2019","Currency=USD","Period=FQ","BEST_FPERIOD_OVERRIDE=FQ","FILING_STATUS=MR","SCALING_FORMAT=MLN","Sort=A","Dates=H","DateFormat=P","Fill=—","Direction=H","UseDPDF=Y")</f>
        <v>—</v>
      </c>
      <c r="H117" s="13" t="str">
        <f>_xll.BDH("ITCI US Equity","ARDR_FV_ASTS_REC_L3_TRAD_GSE_CMO","FQ1 2020","FQ1 2020","Currency=USD","Period=FQ","BEST_FPERIOD_OVERRIDE=FQ","FILING_STATUS=MR","SCALING_FORMAT=MLN","Sort=A","Dates=H","DateFormat=P","Fill=—","Direction=H","UseDPDF=Y")</f>
        <v>—</v>
      </c>
      <c r="I117" s="13" t="str">
        <f>_xll.BDH("ITCI US Equity","ARDR_FV_ASTS_REC_L3_TRAD_GSE_CMO","FQ2 2020","FQ2 2020","Currency=USD","Period=FQ","BEST_FPERIOD_OVERRIDE=FQ","FILING_STATUS=MR","SCALING_FORMAT=MLN","Sort=A","Dates=H","DateFormat=P","Fill=—","Direction=H","UseDPDF=Y")</f>
        <v>—</v>
      </c>
      <c r="J117" s="13" t="str">
        <f>_xll.BDH("ITCI US Equity","ARDR_FV_ASTS_REC_L3_TRAD_GSE_CMO","FQ3 2020","FQ3 2020","Currency=USD","Period=FQ","BEST_FPERIOD_OVERRIDE=FQ","FILING_STATUS=MR","SCALING_FORMAT=MLN","Sort=A","Dates=H","DateFormat=P","Fill=—","Direction=H","UseDPDF=Y")</f>
        <v>—</v>
      </c>
      <c r="K117" s="13" t="str">
        <f>_xll.BDH("ITCI US Equity","ARDR_FV_ASTS_REC_L3_TRAD_GSE_CMO","FQ4 2020","FQ4 2020","Currency=USD","Period=FQ","BEST_FPERIOD_OVERRIDE=FQ","FILING_STATUS=MR","SCALING_FORMAT=MLN","Sort=A","Dates=H","DateFormat=P","Fill=—","Direction=H","UseDPDF=Y")</f>
        <v>—</v>
      </c>
      <c r="L117" s="13" t="str">
        <f>_xll.BDH("ITCI US Equity","ARDR_FV_ASTS_REC_L3_TRAD_GSE_CMO","FQ1 2021","FQ1 2021","Currency=USD","Period=FQ","BEST_FPERIOD_OVERRIDE=FQ","FILING_STATUS=MR","SCALING_FORMAT=MLN","Sort=A","Dates=H","DateFormat=P","Fill=—","Direction=H","UseDPDF=Y")</f>
        <v>—</v>
      </c>
      <c r="M117" s="13" t="str">
        <f>_xll.BDH("ITCI US Equity","ARDR_FV_ASTS_REC_L3_TRAD_GSE_CMO","FQ2 2021","FQ2 2021","Currency=USD","Period=FQ","BEST_FPERIOD_OVERRIDE=FQ","FILING_STATUS=MR","SCALING_FORMAT=MLN","Sort=A","Dates=H","DateFormat=P","Fill=—","Direction=H","UseDPDF=Y")</f>
        <v>—</v>
      </c>
      <c r="N117" s="13">
        <f>_xll.BDH("ITCI US Equity","ARDR_FV_ASTS_REC_L3_TRAD_GSE_CMO","FQ3 2021","FQ3 2021","Currency=USD","Period=FQ","BEST_FPERIOD_OVERRIDE=FQ","FILING_STATUS=MR","SCALING_FORMAT=MLN","Sort=A","Dates=H","DateFormat=P","Fill=—","Direction=H","UseDPDF=Y")</f>
        <v>0</v>
      </c>
      <c r="O117" s="13" t="str">
        <f>_xll.BDH("ITCI US Equity","ARDR_FV_ASTS_REC_L3_TRAD_GSE_CMO","FQ4 2021","FQ4 2021","Currency=USD","Period=FQ","BEST_FPERIOD_OVERRIDE=FQ","FILING_STATUS=MR","SCALING_FORMAT=MLN","Sort=A","Dates=H","DateFormat=P","Fill=—","Direction=H","UseDPDF=Y")</f>
        <v>—</v>
      </c>
      <c r="P117" s="13" t="str">
        <f>_xll.BDH("ITCI US Equity","ARDR_FV_ASTS_REC_L3_TRAD_GSE_CMO","FQ1 2022","FQ1 2022","Currency=USD","Period=FQ","BEST_FPERIOD_OVERRIDE=FQ","FILING_STATUS=MR","SCALING_FORMAT=MLN","Sort=A","Dates=H","DateFormat=P","Fill=—","Direction=H","UseDPDF=Y")</f>
        <v>—</v>
      </c>
      <c r="Q117" s="13" t="str">
        <f>_xll.BDH("ITCI US Equity","ARDR_FV_ASTS_REC_L3_TRAD_GSE_CMO","FQ2 2022","FQ2 2022","Currency=USD","Period=FQ","BEST_FPERIOD_OVERRIDE=FQ","FILING_STATUS=MR","SCALING_FORMAT=MLN","Sort=A","Dates=H","DateFormat=P","Fill=—","Direction=H","UseDPDF=Y")</f>
        <v>—</v>
      </c>
      <c r="R117" s="13" t="str">
        <f>_xll.BDH("ITCI US Equity","ARDR_FV_ASTS_REC_L3_TRAD_GSE_CMO","FQ3 2022","FQ3 2022","Currency=USD","Period=FQ","BEST_FPERIOD_OVERRIDE=FQ","FILING_STATUS=MR","SCALING_FORMAT=MLN","Sort=A","Dates=H","DateFormat=P","Fill=—","Direction=H","UseDPDF=Y")</f>
        <v>—</v>
      </c>
      <c r="S117" s="13" t="str">
        <f>_xll.BDH("ITCI US Equity","ARDR_FV_ASTS_REC_L3_TRAD_GSE_CMO","FQ4 2022","FQ4 2022","Currency=USD","Period=FQ","BEST_FPERIOD_OVERRIDE=FQ","FILING_STATUS=MR","SCALING_FORMAT=MLN","Sort=A","Dates=H","DateFormat=P","Fill=—","Direction=H","UseDPDF=Y")</f>
        <v>—</v>
      </c>
      <c r="T117" s="13" t="str">
        <f>_xll.BDH("ITCI US Equity","ARDR_FV_ASTS_REC_L3_TRAD_GSE_CMO","FQ1 2023","FQ1 2023","Currency=USD","Period=FQ","BEST_FPERIOD_OVERRIDE=FQ","FILING_STATUS=MR","SCALING_FORMAT=MLN","Sort=A","Dates=H","DateFormat=P","Fill=—","Direction=H","UseDPDF=Y")</f>
        <v>—</v>
      </c>
      <c r="U117" s="13" t="str">
        <f>_xll.BDH("ITCI US Equity","ARDR_FV_ASTS_REC_L3_TRAD_GSE_CMO","FQ2 2023","FQ2 2023","Currency=USD","Period=FQ","BEST_FPERIOD_OVERRIDE=FQ","FILING_STATUS=MR","SCALING_FORMAT=MLN","Sort=A","Dates=H","DateFormat=P","Fill=—","Direction=H","UseDPDF=Y")</f>
        <v>—</v>
      </c>
      <c r="V117" s="13" t="str">
        <f>_xll.BDH("ITCI US Equity","ARDR_FV_ASTS_REC_L3_TRAD_GSE_CMO","FQ3 2023","FQ3 2023","Currency=USD","Period=FQ","BEST_FPERIOD_OVERRIDE=FQ","FILING_STATUS=MR","SCALING_FORMAT=MLN","Sort=A","Dates=H","DateFormat=P","Fill=—","Direction=H","UseDPDF=Y")</f>
        <v>—</v>
      </c>
      <c r="W117" s="13" t="str">
        <f>_xll.BDH("ITCI US Equity","ARDR_FV_ASTS_REC_L3_TRAD_GSE_CMO","FQ4 2023","FQ4 2023","Currency=USD","Period=FQ","BEST_FPERIOD_OVERRIDE=FQ","FILING_STATUS=MR","SCALING_FORMAT=MLN","Sort=A","Dates=H","DateFormat=P","Fill=—","Direction=H","UseDPDF=Y")</f>
        <v>—</v>
      </c>
      <c r="X117" s="13" t="str">
        <f>_xll.BDH("ITCI US Equity","ARDR_FV_ASTS_REC_L3_TRAD_GSE_CMO","FQ1 2024","FQ1 2024","Currency=USD","Period=FQ","BEST_FPERIOD_OVERRIDE=FQ","FILING_STATUS=MR","SCALING_FORMAT=MLN","Sort=A","Dates=H","DateFormat=P","Fill=—","Direction=H","UseDPDF=Y")</f>
        <v>—</v>
      </c>
      <c r="Y117" s="13" t="str">
        <f>_xll.BDH("ITCI US Equity","ARDR_FV_ASTS_REC_L3_TRAD_GSE_CMO","FQ2 2024","FQ2 2024","Currency=USD","Period=FQ","BEST_FPERIOD_OVERRIDE=FQ","FILING_STATUS=MR","SCALING_FORMAT=MLN","Sort=A","Dates=H","DateFormat=P","Fill=—","Direction=H","UseDPDF=Y")</f>
        <v>—</v>
      </c>
      <c r="Z117" s="13" t="str">
        <f>_xll.BDH("ITCI US Equity","ARDR_FV_ASTS_REC_L3_TRAD_GSE_CMO","FQ3 2024","FQ3 2024","Currency=USD","Period=FQ","BEST_FPERIOD_OVERRIDE=FQ","FILING_STATUS=MR","SCALING_FORMAT=MLN","Sort=A","Dates=H","DateFormat=P","Fill=—","Direction=H","UseDPDF=Y")</f>
        <v>—</v>
      </c>
      <c r="AA117" s="13" t="str">
        <f>_xll.BDH("ITCI US Equity","ARDR_FV_ASTS_REC_L3_TRAD_GSE_CMO","FQ4 2024","FQ4 2024","Currency=USD","Period=FQ","BEST_FPERIOD_OVERRIDE=FQ","FILING_STATUS=MR","SCALING_FORMAT=MLN","Sort=A","Dates=H","DateFormat=P","Fill=—","Direction=H","UseDPDF=Y")</f>
        <v>—</v>
      </c>
    </row>
    <row r="118" spans="1:27" x14ac:dyDescent="0.25">
      <c r="A118" s="10" t="s">
        <v>882</v>
      </c>
      <c r="B118" s="10" t="s">
        <v>883</v>
      </c>
      <c r="C118" s="13">
        <f>_xll.BDH("ITCI US Equity","ARDR_FV_ASSETS_REC_L3_OTHER","FQ4 2018","FQ4 2018","Currency=USD","Period=FQ","BEST_FPERIOD_OVERRIDE=FQ","FILING_STATUS=MR","SCALING_FORMAT=MLN","Sort=A","Dates=H","DateFormat=P","Fill=—","Direction=H","UseDPDF=Y")</f>
        <v>0</v>
      </c>
      <c r="D118" s="13">
        <f>_xll.BDH("ITCI US Equity","ARDR_FV_ASSETS_REC_L3_OTHER","FQ1 2019","FQ1 2019","Currency=USD","Period=FQ","BEST_FPERIOD_OVERRIDE=FQ","FILING_STATUS=MR","SCALING_FORMAT=MLN","Sort=A","Dates=H","DateFormat=P","Fill=—","Direction=H","UseDPDF=Y")</f>
        <v>0</v>
      </c>
      <c r="E118" s="13">
        <f>_xll.BDH("ITCI US Equity","ARDR_FV_ASSETS_REC_L3_OTHER","FQ2 2019","FQ2 2019","Currency=USD","Period=FQ","BEST_FPERIOD_OVERRIDE=FQ","FILING_STATUS=MR","SCALING_FORMAT=MLN","Sort=A","Dates=H","DateFormat=P","Fill=—","Direction=H","UseDPDF=Y")</f>
        <v>0</v>
      </c>
      <c r="F118" s="13">
        <f>_xll.BDH("ITCI US Equity","ARDR_FV_ASSETS_REC_L3_OTHER","FQ3 2019","FQ3 2019","Currency=USD","Period=FQ","BEST_FPERIOD_OVERRIDE=FQ","FILING_STATUS=MR","SCALING_FORMAT=MLN","Sort=A","Dates=H","DateFormat=P","Fill=—","Direction=H","UseDPDF=Y")</f>
        <v>0</v>
      </c>
      <c r="G118" s="13">
        <f>_xll.BDH("ITCI US Equity","ARDR_FV_ASSETS_REC_L3_OTHER","FQ4 2019","FQ4 2019","Currency=USD","Period=FQ","BEST_FPERIOD_OVERRIDE=FQ","FILING_STATUS=MR","SCALING_FORMAT=MLN","Sort=A","Dates=H","DateFormat=P","Fill=—","Direction=H","UseDPDF=Y")</f>
        <v>0</v>
      </c>
      <c r="H118" s="13" t="str">
        <f>_xll.BDH("ITCI US Equity","ARDR_FV_ASSETS_REC_L3_OTHER","FQ1 2020","FQ1 2020","Currency=USD","Period=FQ","BEST_FPERIOD_OVERRIDE=FQ","FILING_STATUS=MR","SCALING_FORMAT=MLN","Sort=A","Dates=H","DateFormat=P","Fill=—","Direction=H","UseDPDF=Y")</f>
        <v>—</v>
      </c>
      <c r="I118" s="13">
        <f>_xll.BDH("ITCI US Equity","ARDR_FV_ASSETS_REC_L3_OTHER","FQ2 2020","FQ2 2020","Currency=USD","Period=FQ","BEST_FPERIOD_OVERRIDE=FQ","FILING_STATUS=MR","SCALING_FORMAT=MLN","Sort=A","Dates=H","DateFormat=P","Fill=—","Direction=H","UseDPDF=Y")</f>
        <v>0</v>
      </c>
      <c r="J118" s="13">
        <f>_xll.BDH("ITCI US Equity","ARDR_FV_ASSETS_REC_L3_OTHER","FQ3 2020","FQ3 2020","Currency=USD","Period=FQ","BEST_FPERIOD_OVERRIDE=FQ","FILING_STATUS=MR","SCALING_FORMAT=MLN","Sort=A","Dates=H","DateFormat=P","Fill=—","Direction=H","UseDPDF=Y")</f>
        <v>0</v>
      </c>
      <c r="K118" s="13">
        <f>_xll.BDH("ITCI US Equity","ARDR_FV_ASSETS_REC_L3_OTHER","FQ4 2020","FQ4 2020","Currency=USD","Period=FQ","BEST_FPERIOD_OVERRIDE=FQ","FILING_STATUS=MR","SCALING_FORMAT=MLN","Sort=A","Dates=H","DateFormat=P","Fill=—","Direction=H","UseDPDF=Y")</f>
        <v>0</v>
      </c>
      <c r="L118" s="13">
        <f>_xll.BDH("ITCI US Equity","ARDR_FV_ASSETS_REC_L3_OTHER","FQ1 2021","FQ1 2021","Currency=USD","Period=FQ","BEST_FPERIOD_OVERRIDE=FQ","FILING_STATUS=MR","SCALING_FORMAT=MLN","Sort=A","Dates=H","DateFormat=P","Fill=—","Direction=H","UseDPDF=Y")</f>
        <v>0</v>
      </c>
      <c r="M118" s="13">
        <f>_xll.BDH("ITCI US Equity","ARDR_FV_ASSETS_REC_L3_OTHER","FQ2 2021","FQ2 2021","Currency=USD","Period=FQ","BEST_FPERIOD_OVERRIDE=FQ","FILING_STATUS=MR","SCALING_FORMAT=MLN","Sort=A","Dates=H","DateFormat=P","Fill=—","Direction=H","UseDPDF=Y")</f>
        <v>0</v>
      </c>
      <c r="N118" s="13" t="str">
        <f>_xll.BDH("ITCI US Equity","ARDR_FV_ASSETS_REC_L3_OTHER","FQ3 2021","FQ3 2021","Currency=USD","Period=FQ","BEST_FPERIOD_OVERRIDE=FQ","FILING_STATUS=MR","SCALING_FORMAT=MLN","Sort=A","Dates=H","DateFormat=P","Fill=—","Direction=H","UseDPDF=Y")</f>
        <v>—</v>
      </c>
      <c r="O118" s="13">
        <f>_xll.BDH("ITCI US Equity","ARDR_FV_ASSETS_REC_L3_OTHER","FQ4 2021","FQ4 2021","Currency=USD","Period=FQ","BEST_FPERIOD_OVERRIDE=FQ","FILING_STATUS=MR","SCALING_FORMAT=MLN","Sort=A","Dates=H","DateFormat=P","Fill=—","Direction=H","UseDPDF=Y")</f>
        <v>0</v>
      </c>
      <c r="P118" s="13">
        <f>_xll.BDH("ITCI US Equity","ARDR_FV_ASSETS_REC_L3_OTHER","FQ1 2022","FQ1 2022","Currency=USD","Period=FQ","BEST_FPERIOD_OVERRIDE=FQ","FILING_STATUS=MR","SCALING_FORMAT=MLN","Sort=A","Dates=H","DateFormat=P","Fill=—","Direction=H","UseDPDF=Y")</f>
        <v>0</v>
      </c>
      <c r="Q118" s="13">
        <f>_xll.BDH("ITCI US Equity","ARDR_FV_ASSETS_REC_L3_OTHER","FQ2 2022","FQ2 2022","Currency=USD","Period=FQ","BEST_FPERIOD_OVERRIDE=FQ","FILING_STATUS=MR","SCALING_FORMAT=MLN","Sort=A","Dates=H","DateFormat=P","Fill=—","Direction=H","UseDPDF=Y")</f>
        <v>0</v>
      </c>
      <c r="R118" s="13">
        <f>_xll.BDH("ITCI US Equity","ARDR_FV_ASSETS_REC_L3_OTHER","FQ3 2022","FQ3 2022","Currency=USD","Period=FQ","BEST_FPERIOD_OVERRIDE=FQ","FILING_STATUS=MR","SCALING_FORMAT=MLN","Sort=A","Dates=H","DateFormat=P","Fill=—","Direction=H","UseDPDF=Y")</f>
        <v>0</v>
      </c>
      <c r="S118" s="13">
        <f>_xll.BDH("ITCI US Equity","ARDR_FV_ASSETS_REC_L3_OTHER","FQ4 2022","FQ4 2022","Currency=USD","Period=FQ","BEST_FPERIOD_OVERRIDE=FQ","FILING_STATUS=MR","SCALING_FORMAT=MLN","Sort=A","Dates=H","DateFormat=P","Fill=—","Direction=H","UseDPDF=Y")</f>
        <v>0</v>
      </c>
      <c r="T118" s="13">
        <f>_xll.BDH("ITCI US Equity","ARDR_FV_ASSETS_REC_L3_OTHER","FQ1 2023","FQ1 2023","Currency=USD","Period=FQ","BEST_FPERIOD_OVERRIDE=FQ","FILING_STATUS=MR","SCALING_FORMAT=MLN","Sort=A","Dates=H","DateFormat=P","Fill=—","Direction=H","UseDPDF=Y")</f>
        <v>0</v>
      </c>
      <c r="U118" s="13">
        <f>_xll.BDH("ITCI US Equity","ARDR_FV_ASSETS_REC_L3_OTHER","FQ2 2023","FQ2 2023","Currency=USD","Period=FQ","BEST_FPERIOD_OVERRIDE=FQ","FILING_STATUS=MR","SCALING_FORMAT=MLN","Sort=A","Dates=H","DateFormat=P","Fill=—","Direction=H","UseDPDF=Y")</f>
        <v>0</v>
      </c>
      <c r="V118" s="13">
        <f>_xll.BDH("ITCI US Equity","ARDR_FV_ASSETS_REC_L3_OTHER","FQ3 2023","FQ3 2023","Currency=USD","Period=FQ","BEST_FPERIOD_OVERRIDE=FQ","FILING_STATUS=MR","SCALING_FORMAT=MLN","Sort=A","Dates=H","DateFormat=P","Fill=—","Direction=H","UseDPDF=Y")</f>
        <v>0</v>
      </c>
      <c r="W118" s="13">
        <f>_xll.BDH("ITCI US Equity","ARDR_FV_ASSETS_REC_L3_OTHER","FQ4 2023","FQ4 2023","Currency=USD","Period=FQ","BEST_FPERIOD_OVERRIDE=FQ","FILING_STATUS=MR","SCALING_FORMAT=MLN","Sort=A","Dates=H","DateFormat=P","Fill=—","Direction=H","UseDPDF=Y")</f>
        <v>0</v>
      </c>
      <c r="X118" s="13">
        <f>_xll.BDH("ITCI US Equity","ARDR_FV_ASSETS_REC_L3_OTHER","FQ1 2024","FQ1 2024","Currency=USD","Period=FQ","BEST_FPERIOD_OVERRIDE=FQ","FILING_STATUS=MR","SCALING_FORMAT=MLN","Sort=A","Dates=H","DateFormat=P","Fill=—","Direction=H","UseDPDF=Y")</f>
        <v>0</v>
      </c>
      <c r="Y118" s="13">
        <f>_xll.BDH("ITCI US Equity","ARDR_FV_ASSETS_REC_L3_OTHER","FQ2 2024","FQ2 2024","Currency=USD","Period=FQ","BEST_FPERIOD_OVERRIDE=FQ","FILING_STATUS=MR","SCALING_FORMAT=MLN","Sort=A","Dates=H","DateFormat=P","Fill=—","Direction=H","UseDPDF=Y")</f>
        <v>0</v>
      </c>
      <c r="Z118" s="13">
        <f>_xll.BDH("ITCI US Equity","ARDR_FV_ASSETS_REC_L3_OTHER","FQ3 2024","FQ3 2024","Currency=USD","Period=FQ","BEST_FPERIOD_OVERRIDE=FQ","FILING_STATUS=MR","SCALING_FORMAT=MLN","Sort=A","Dates=H","DateFormat=P","Fill=—","Direction=H","UseDPDF=Y")</f>
        <v>0</v>
      </c>
      <c r="AA118" s="13">
        <f>_xll.BDH("ITCI US Equity","ARDR_FV_ASSETS_REC_L3_OTHER","FQ4 2024","FQ4 2024","Currency=USD","Period=FQ","BEST_FPERIOD_OVERRIDE=FQ","FILING_STATUS=MR","SCALING_FORMAT=MLN","Sort=A","Dates=H","DateFormat=P","Fill=—","Direction=H","UseDPDF=Y")</f>
        <v>0</v>
      </c>
    </row>
    <row r="119" spans="1:27" x14ac:dyDescent="0.25">
      <c r="A119" s="10" t="s">
        <v>884</v>
      </c>
      <c r="B119" s="10" t="s">
        <v>885</v>
      </c>
      <c r="C119" s="13" t="str">
        <f>_xll.BDH("ITCI US Equity","ARDR_FV_ASSETS_REC_TOT_CASH_SECS","FQ4 2018","FQ4 2018","Currency=USD","Period=FQ","BEST_FPERIOD_OVERRIDE=FQ","FILING_STATUS=MR","SCALING_FORMAT=MLN","Sort=A","Dates=H","DateFormat=P","Fill=—","Direction=H","UseDPDF=Y")</f>
        <v>—</v>
      </c>
      <c r="D119" s="13" t="str">
        <f>_xll.BDH("ITCI US Equity","ARDR_FV_ASSETS_REC_TOT_CASH_SECS","FQ1 2019","FQ1 2019","Currency=USD","Period=FQ","BEST_FPERIOD_OVERRIDE=FQ","FILING_STATUS=MR","SCALING_FORMAT=MLN","Sort=A","Dates=H","DateFormat=P","Fill=—","Direction=H","UseDPDF=Y")</f>
        <v>—</v>
      </c>
      <c r="E119" s="13" t="str">
        <f>_xll.BDH("ITCI US Equity","ARDR_FV_ASSETS_REC_TOT_CASH_SECS","FQ2 2019","FQ2 2019","Currency=USD","Period=FQ","BEST_FPERIOD_OVERRIDE=FQ","FILING_STATUS=MR","SCALING_FORMAT=MLN","Sort=A","Dates=H","DateFormat=P","Fill=—","Direction=H","UseDPDF=Y")</f>
        <v>—</v>
      </c>
      <c r="F119" s="13" t="str">
        <f>_xll.BDH("ITCI US Equity","ARDR_FV_ASSETS_REC_TOT_CASH_SECS","FQ3 2019","FQ3 2019","Currency=USD","Period=FQ","BEST_FPERIOD_OVERRIDE=FQ","FILING_STATUS=MR","SCALING_FORMAT=MLN","Sort=A","Dates=H","DateFormat=P","Fill=—","Direction=H","UseDPDF=Y")</f>
        <v>—</v>
      </c>
      <c r="G119" s="13" t="str">
        <f>_xll.BDH("ITCI US Equity","ARDR_FV_ASSETS_REC_TOT_CASH_SECS","FQ4 2019","FQ4 2019","Currency=USD","Period=FQ","BEST_FPERIOD_OVERRIDE=FQ","FILING_STATUS=MR","SCALING_FORMAT=MLN","Sort=A","Dates=H","DateFormat=P","Fill=—","Direction=H","UseDPDF=Y")</f>
        <v>—</v>
      </c>
      <c r="H119" s="13">
        <f>_xll.BDH("ITCI US Equity","ARDR_FV_ASSETS_REC_TOT_CASH_SECS","FQ1 2020","FQ1 2020","Currency=USD","Period=FQ","BEST_FPERIOD_OVERRIDE=FQ","FILING_STATUS=MR","SCALING_FORMAT=MLN","Sort=A","Dates=H","DateFormat=P","Fill=—","Direction=H","UseDPDF=Y")</f>
        <v>59.654000000000003</v>
      </c>
      <c r="I119" s="13" t="str">
        <f>_xll.BDH("ITCI US Equity","ARDR_FV_ASSETS_REC_TOT_CASH_SECS","FQ2 2020","FQ2 2020","Currency=USD","Period=FQ","BEST_FPERIOD_OVERRIDE=FQ","FILING_STATUS=MR","SCALING_FORMAT=MLN","Sort=A","Dates=H","DateFormat=P","Fill=—","Direction=H","UseDPDF=Y")</f>
        <v>—</v>
      </c>
      <c r="J119" s="13" t="str">
        <f>_xll.BDH("ITCI US Equity","ARDR_FV_ASSETS_REC_TOT_CASH_SECS","FQ3 2020","FQ3 2020","Currency=USD","Period=FQ","BEST_FPERIOD_OVERRIDE=FQ","FILING_STATUS=MR","SCALING_FORMAT=MLN","Sort=A","Dates=H","DateFormat=P","Fill=—","Direction=H","UseDPDF=Y")</f>
        <v>—</v>
      </c>
      <c r="K119" s="13" t="str">
        <f>_xll.BDH("ITCI US Equity","ARDR_FV_ASSETS_REC_TOT_CASH_SECS","FQ4 2020","FQ4 2020","Currency=USD","Period=FQ","BEST_FPERIOD_OVERRIDE=FQ","FILING_STATUS=MR","SCALING_FORMAT=MLN","Sort=A","Dates=H","DateFormat=P","Fill=—","Direction=H","UseDPDF=Y")</f>
        <v>—</v>
      </c>
      <c r="L119" s="13" t="str">
        <f>_xll.BDH("ITCI US Equity","ARDR_FV_ASSETS_REC_TOT_CASH_SECS","FQ1 2021","FQ1 2021","Currency=USD","Period=FQ","BEST_FPERIOD_OVERRIDE=FQ","FILING_STATUS=MR","SCALING_FORMAT=MLN","Sort=A","Dates=H","DateFormat=P","Fill=—","Direction=H","UseDPDF=Y")</f>
        <v>—</v>
      </c>
      <c r="M119" s="13" t="str">
        <f>_xll.BDH("ITCI US Equity","ARDR_FV_ASSETS_REC_TOT_CASH_SECS","FQ2 2021","FQ2 2021","Currency=USD","Period=FQ","BEST_FPERIOD_OVERRIDE=FQ","FILING_STATUS=MR","SCALING_FORMAT=MLN","Sort=A","Dates=H","DateFormat=P","Fill=—","Direction=H","UseDPDF=Y")</f>
        <v>—</v>
      </c>
      <c r="N119" s="13" t="str">
        <f>_xll.BDH("ITCI US Equity","ARDR_FV_ASSETS_REC_TOT_CASH_SECS","FQ3 2021","FQ3 2021","Currency=USD","Period=FQ","BEST_FPERIOD_OVERRIDE=FQ","FILING_STATUS=MR","SCALING_FORMAT=MLN","Sort=A","Dates=H","DateFormat=P","Fill=—","Direction=H","UseDPDF=Y")</f>
        <v>—</v>
      </c>
      <c r="O119" s="13" t="str">
        <f>_xll.BDH("ITCI US Equity","ARDR_FV_ASSETS_REC_TOT_CASH_SECS","FQ4 2021","FQ4 2021","Currency=USD","Period=FQ","BEST_FPERIOD_OVERRIDE=FQ","FILING_STATUS=MR","SCALING_FORMAT=MLN","Sort=A","Dates=H","DateFormat=P","Fill=—","Direction=H","UseDPDF=Y")</f>
        <v>—</v>
      </c>
      <c r="P119" s="13" t="str">
        <f>_xll.BDH("ITCI US Equity","ARDR_FV_ASSETS_REC_TOT_CASH_SECS","FQ1 2022","FQ1 2022","Currency=USD","Period=FQ","BEST_FPERIOD_OVERRIDE=FQ","FILING_STATUS=MR","SCALING_FORMAT=MLN","Sort=A","Dates=H","DateFormat=P","Fill=—","Direction=H","UseDPDF=Y")</f>
        <v>—</v>
      </c>
      <c r="Q119" s="13" t="str">
        <f>_xll.BDH("ITCI US Equity","ARDR_FV_ASSETS_REC_TOT_CASH_SECS","FQ2 2022","FQ2 2022","Currency=USD","Period=FQ","BEST_FPERIOD_OVERRIDE=FQ","FILING_STATUS=MR","SCALING_FORMAT=MLN","Sort=A","Dates=H","DateFormat=P","Fill=—","Direction=H","UseDPDF=Y")</f>
        <v>—</v>
      </c>
      <c r="R119" s="13" t="str">
        <f>_xll.BDH("ITCI US Equity","ARDR_FV_ASSETS_REC_TOT_CASH_SECS","FQ3 2022","FQ3 2022","Currency=USD","Period=FQ","BEST_FPERIOD_OVERRIDE=FQ","FILING_STATUS=MR","SCALING_FORMAT=MLN","Sort=A","Dates=H","DateFormat=P","Fill=—","Direction=H","UseDPDF=Y")</f>
        <v>—</v>
      </c>
      <c r="S119" s="13" t="str">
        <f>_xll.BDH("ITCI US Equity","ARDR_FV_ASSETS_REC_TOT_CASH_SECS","FQ4 2022","FQ4 2022","Currency=USD","Period=FQ","BEST_FPERIOD_OVERRIDE=FQ","FILING_STATUS=MR","SCALING_FORMAT=MLN","Sort=A","Dates=H","DateFormat=P","Fill=—","Direction=H","UseDPDF=Y")</f>
        <v>—</v>
      </c>
      <c r="T119" s="13" t="str">
        <f>_xll.BDH("ITCI US Equity","ARDR_FV_ASSETS_REC_TOT_CASH_SECS","FQ1 2023","FQ1 2023","Currency=USD","Period=FQ","BEST_FPERIOD_OVERRIDE=FQ","FILING_STATUS=MR","SCALING_FORMAT=MLN","Sort=A","Dates=H","DateFormat=P","Fill=—","Direction=H","UseDPDF=Y")</f>
        <v>—</v>
      </c>
      <c r="U119" s="13" t="str">
        <f>_xll.BDH("ITCI US Equity","ARDR_FV_ASSETS_REC_TOT_CASH_SECS","FQ2 2023","FQ2 2023","Currency=USD","Period=FQ","BEST_FPERIOD_OVERRIDE=FQ","FILING_STATUS=MR","SCALING_FORMAT=MLN","Sort=A","Dates=H","DateFormat=P","Fill=—","Direction=H","UseDPDF=Y")</f>
        <v>—</v>
      </c>
      <c r="V119" s="13" t="str">
        <f>_xll.BDH("ITCI US Equity","ARDR_FV_ASSETS_REC_TOT_CASH_SECS","FQ3 2023","FQ3 2023","Currency=USD","Period=FQ","BEST_FPERIOD_OVERRIDE=FQ","FILING_STATUS=MR","SCALING_FORMAT=MLN","Sort=A","Dates=H","DateFormat=P","Fill=—","Direction=H","UseDPDF=Y")</f>
        <v>—</v>
      </c>
      <c r="W119" s="13" t="str">
        <f>_xll.BDH("ITCI US Equity","ARDR_FV_ASSETS_REC_TOT_CASH_SECS","FQ4 2023","FQ4 2023","Currency=USD","Period=FQ","BEST_FPERIOD_OVERRIDE=FQ","FILING_STATUS=MR","SCALING_FORMAT=MLN","Sort=A","Dates=H","DateFormat=P","Fill=—","Direction=H","UseDPDF=Y")</f>
        <v>—</v>
      </c>
      <c r="X119" s="13" t="str">
        <f>_xll.BDH("ITCI US Equity","ARDR_FV_ASSETS_REC_TOT_CASH_SECS","FQ1 2024","FQ1 2024","Currency=USD","Period=FQ","BEST_FPERIOD_OVERRIDE=FQ","FILING_STATUS=MR","SCALING_FORMAT=MLN","Sort=A","Dates=H","DateFormat=P","Fill=—","Direction=H","UseDPDF=Y")</f>
        <v>—</v>
      </c>
      <c r="Y119" s="13" t="str">
        <f>_xll.BDH("ITCI US Equity","ARDR_FV_ASSETS_REC_TOT_CASH_SECS","FQ2 2024","FQ2 2024","Currency=USD","Period=FQ","BEST_FPERIOD_OVERRIDE=FQ","FILING_STATUS=MR","SCALING_FORMAT=MLN","Sort=A","Dates=H","DateFormat=P","Fill=—","Direction=H","UseDPDF=Y")</f>
        <v>—</v>
      </c>
      <c r="Z119" s="13" t="str">
        <f>_xll.BDH("ITCI US Equity","ARDR_FV_ASSETS_REC_TOT_CASH_SECS","FQ3 2024","FQ3 2024","Currency=USD","Period=FQ","BEST_FPERIOD_OVERRIDE=FQ","FILING_STATUS=MR","SCALING_FORMAT=MLN","Sort=A","Dates=H","DateFormat=P","Fill=—","Direction=H","UseDPDF=Y")</f>
        <v>—</v>
      </c>
      <c r="AA119" s="13" t="str">
        <f>_xll.BDH("ITCI US Equity","ARDR_FV_ASSETS_REC_TOT_CASH_SECS","FQ4 2024","FQ4 2024","Currency=USD","Period=FQ","BEST_FPERIOD_OVERRIDE=FQ","FILING_STATUS=MR","SCALING_FORMAT=MLN","Sort=A","Dates=H","DateFormat=P","Fill=—","Direction=H","UseDPDF=Y")</f>
        <v>—</v>
      </c>
    </row>
    <row r="120" spans="1:27" x14ac:dyDescent="0.25">
      <c r="A120" s="10" t="s">
        <v>886</v>
      </c>
      <c r="B120" s="10" t="s">
        <v>887</v>
      </c>
      <c r="C120" s="13" t="str">
        <f>_xll.BDH("ITCI US Equity","ARDR_FV_ASTS_REC_TOT_TRADING_ACC","FQ4 2018","FQ4 2018","Currency=USD","Period=FQ","BEST_FPERIOD_OVERRIDE=FQ","FILING_STATUS=MR","SCALING_FORMAT=MLN","Sort=A","Dates=H","DateFormat=P","Fill=—","Direction=H","UseDPDF=Y")</f>
        <v>—</v>
      </c>
      <c r="D120" s="13" t="str">
        <f>_xll.BDH("ITCI US Equity","ARDR_FV_ASTS_REC_TOT_TRADING_ACC","FQ1 2019","FQ1 2019","Currency=USD","Period=FQ","BEST_FPERIOD_OVERRIDE=FQ","FILING_STATUS=MR","SCALING_FORMAT=MLN","Sort=A","Dates=H","DateFormat=P","Fill=—","Direction=H","UseDPDF=Y")</f>
        <v>—</v>
      </c>
      <c r="E120" s="13" t="str">
        <f>_xll.BDH("ITCI US Equity","ARDR_FV_ASTS_REC_TOT_TRADING_ACC","FQ2 2019","FQ2 2019","Currency=USD","Period=FQ","BEST_FPERIOD_OVERRIDE=FQ","FILING_STATUS=MR","SCALING_FORMAT=MLN","Sort=A","Dates=H","DateFormat=P","Fill=—","Direction=H","UseDPDF=Y")</f>
        <v>—</v>
      </c>
      <c r="F120" s="13" t="str">
        <f>_xll.BDH("ITCI US Equity","ARDR_FV_ASTS_REC_TOT_TRADING_ACC","FQ3 2019","FQ3 2019","Currency=USD","Period=FQ","BEST_FPERIOD_OVERRIDE=FQ","FILING_STATUS=MR","SCALING_FORMAT=MLN","Sort=A","Dates=H","DateFormat=P","Fill=—","Direction=H","UseDPDF=Y")</f>
        <v>—</v>
      </c>
      <c r="G120" s="13" t="str">
        <f>_xll.BDH("ITCI US Equity","ARDR_FV_ASTS_REC_TOT_TRADING_ACC","FQ4 2019","FQ4 2019","Currency=USD","Period=FQ","BEST_FPERIOD_OVERRIDE=FQ","FILING_STATUS=MR","SCALING_FORMAT=MLN","Sort=A","Dates=H","DateFormat=P","Fill=—","Direction=H","UseDPDF=Y")</f>
        <v>—</v>
      </c>
      <c r="H120" s="13" t="str">
        <f>_xll.BDH("ITCI US Equity","ARDR_FV_ASTS_REC_TOT_TRADING_ACC","FQ1 2020","FQ1 2020","Currency=USD","Period=FQ","BEST_FPERIOD_OVERRIDE=FQ","FILING_STATUS=MR","SCALING_FORMAT=MLN","Sort=A","Dates=H","DateFormat=P","Fill=—","Direction=H","UseDPDF=Y")</f>
        <v>—</v>
      </c>
      <c r="I120" s="13" t="str">
        <f>_xll.BDH("ITCI US Equity","ARDR_FV_ASTS_REC_TOT_TRADING_ACC","FQ2 2020","FQ2 2020","Currency=USD","Period=FQ","BEST_FPERIOD_OVERRIDE=FQ","FILING_STATUS=MR","SCALING_FORMAT=MLN","Sort=A","Dates=H","DateFormat=P","Fill=—","Direction=H","UseDPDF=Y")</f>
        <v>—</v>
      </c>
      <c r="J120" s="13" t="str">
        <f>_xll.BDH("ITCI US Equity","ARDR_FV_ASTS_REC_TOT_TRADING_ACC","FQ3 2020","FQ3 2020","Currency=USD","Period=FQ","BEST_FPERIOD_OVERRIDE=FQ","FILING_STATUS=MR","SCALING_FORMAT=MLN","Sort=A","Dates=H","DateFormat=P","Fill=—","Direction=H","UseDPDF=Y")</f>
        <v>—</v>
      </c>
      <c r="K120" s="13">
        <f>_xll.BDH("ITCI US Equity","ARDR_FV_ASTS_REC_TOT_TRADING_ACC","FQ4 2020","FQ4 2020","Currency=USD","Period=FQ","BEST_FPERIOD_OVERRIDE=FQ","FILING_STATUS=MR","SCALING_FORMAT=MLN","Sort=A","Dates=H","DateFormat=P","Fill=—","Direction=H","UseDPDF=Y")</f>
        <v>27.917000000000002</v>
      </c>
      <c r="L120" s="13" t="str">
        <f>_xll.BDH("ITCI US Equity","ARDR_FV_ASTS_REC_TOT_TRADING_ACC","FQ1 2021","FQ1 2021","Currency=USD","Period=FQ","BEST_FPERIOD_OVERRIDE=FQ","FILING_STATUS=MR","SCALING_FORMAT=MLN","Sort=A","Dates=H","DateFormat=P","Fill=—","Direction=H","UseDPDF=Y")</f>
        <v>—</v>
      </c>
      <c r="M120" s="13" t="str">
        <f>_xll.BDH("ITCI US Equity","ARDR_FV_ASTS_REC_TOT_TRADING_ACC","FQ2 2021","FQ2 2021","Currency=USD","Period=FQ","BEST_FPERIOD_OVERRIDE=FQ","FILING_STATUS=MR","SCALING_FORMAT=MLN","Sort=A","Dates=H","DateFormat=P","Fill=—","Direction=H","UseDPDF=Y")</f>
        <v>—</v>
      </c>
      <c r="N120" s="13">
        <f>_xll.BDH("ITCI US Equity","ARDR_FV_ASTS_REC_TOT_TRADING_ACC","FQ3 2021","FQ3 2021","Currency=USD","Period=FQ","BEST_FPERIOD_OVERRIDE=FQ","FILING_STATUS=MR","SCALING_FORMAT=MLN","Sort=A","Dates=H","DateFormat=P","Fill=—","Direction=H","UseDPDF=Y")</f>
        <v>304.70499999999998</v>
      </c>
      <c r="O120" s="13">
        <f>_xll.BDH("ITCI US Equity","ARDR_FV_ASTS_REC_TOT_TRADING_ACC","FQ4 2021","FQ4 2021","Currency=USD","Period=FQ","BEST_FPERIOD_OVERRIDE=FQ","FILING_STATUS=MR","SCALING_FORMAT=MLN","Sort=A","Dates=H","DateFormat=P","Fill=—","Direction=H","UseDPDF=Y")</f>
        <v>56.539000000000001</v>
      </c>
      <c r="P120" s="13" t="str">
        <f>_xll.BDH("ITCI US Equity","ARDR_FV_ASTS_REC_TOT_TRADING_ACC","FQ1 2022","FQ1 2022","Currency=USD","Period=FQ","BEST_FPERIOD_OVERRIDE=FQ","FILING_STATUS=MR","SCALING_FORMAT=MLN","Sort=A","Dates=H","DateFormat=P","Fill=—","Direction=H","UseDPDF=Y")</f>
        <v>—</v>
      </c>
      <c r="Q120" s="13" t="str">
        <f>_xll.BDH("ITCI US Equity","ARDR_FV_ASTS_REC_TOT_TRADING_ACC","FQ2 2022","FQ2 2022","Currency=USD","Period=FQ","BEST_FPERIOD_OVERRIDE=FQ","FILING_STATUS=MR","SCALING_FORMAT=MLN","Sort=A","Dates=H","DateFormat=P","Fill=—","Direction=H","UseDPDF=Y")</f>
        <v>—</v>
      </c>
      <c r="R120" s="13">
        <f>_xll.BDH("ITCI US Equity","ARDR_FV_ASTS_REC_TOT_TRADING_ACC","FQ3 2022","FQ3 2022","Currency=USD","Period=FQ","BEST_FPERIOD_OVERRIDE=FQ","FILING_STATUS=MR","SCALING_FORMAT=MLN","Sort=A","Dates=H","DateFormat=P","Fill=—","Direction=H","UseDPDF=Y")</f>
        <v>47.122</v>
      </c>
      <c r="S120" s="13">
        <f>_xll.BDH("ITCI US Equity","ARDR_FV_ASTS_REC_TOT_TRADING_ACC","FQ4 2022","FQ4 2022","Currency=USD","Period=FQ","BEST_FPERIOD_OVERRIDE=FQ","FILING_STATUS=MR","SCALING_FORMAT=MLN","Sort=A","Dates=H","DateFormat=P","Fill=—","Direction=H","UseDPDF=Y")</f>
        <v>12.202999999999999</v>
      </c>
      <c r="T120" s="13">
        <f>_xll.BDH("ITCI US Equity","ARDR_FV_ASTS_REC_TOT_TRADING_ACC","FQ1 2023","FQ1 2023","Currency=USD","Period=FQ","BEST_FPERIOD_OVERRIDE=FQ","FILING_STATUS=MR","SCALING_FORMAT=MLN","Sort=A","Dates=H","DateFormat=P","Fill=—","Direction=H","UseDPDF=Y")</f>
        <v>30.917000000000002</v>
      </c>
      <c r="U120" s="13">
        <f>_xll.BDH("ITCI US Equity","ARDR_FV_ASTS_REC_TOT_TRADING_ACC","FQ2 2023","FQ2 2023","Currency=USD","Period=FQ","BEST_FPERIOD_OVERRIDE=FQ","FILING_STATUS=MR","SCALING_FORMAT=MLN","Sort=A","Dates=H","DateFormat=P","Fill=—","Direction=H","UseDPDF=Y")</f>
        <v>12.202999999999999</v>
      </c>
      <c r="V120" s="13">
        <f>_xll.BDH("ITCI US Equity","ARDR_FV_ASTS_REC_TOT_TRADING_ACC","FQ3 2023","FQ3 2023","Currency=USD","Period=FQ","BEST_FPERIOD_OVERRIDE=FQ","FILING_STATUS=MR","SCALING_FORMAT=MLN","Sort=A","Dates=H","DateFormat=P","Fill=—","Direction=H","UseDPDF=Y")</f>
        <v>4.42</v>
      </c>
      <c r="W120" s="13">
        <f>_xll.BDH("ITCI US Equity","ARDR_FV_ASTS_REC_TOT_TRADING_ACC","FQ4 2023","FQ4 2023","Currency=USD","Period=FQ","BEST_FPERIOD_OVERRIDE=FQ","FILING_STATUS=MR","SCALING_FORMAT=MLN","Sort=A","Dates=H","DateFormat=P","Fill=—","Direction=H","UseDPDF=Y")</f>
        <v>10.698</v>
      </c>
      <c r="X120" s="13">
        <f>_xll.BDH("ITCI US Equity","ARDR_FV_ASTS_REC_TOT_TRADING_ACC","FQ1 2024","FQ1 2024","Currency=USD","Period=FQ","BEST_FPERIOD_OVERRIDE=FQ","FILING_STATUS=MR","SCALING_FORMAT=MLN","Sort=A","Dates=H","DateFormat=P","Fill=—","Direction=H","UseDPDF=Y")</f>
        <v>362.85300000000001</v>
      </c>
      <c r="Y120" s="13">
        <f>_xll.BDH("ITCI US Equity","ARDR_FV_ASTS_REC_TOT_TRADING_ACC","FQ2 2024","FQ2 2024","Currency=USD","Period=FQ","BEST_FPERIOD_OVERRIDE=FQ","FILING_STATUS=MR","SCALING_FORMAT=MLN","Sort=A","Dates=H","DateFormat=P","Fill=—","Direction=H","UseDPDF=Y")</f>
        <v>370.072</v>
      </c>
      <c r="Z120" s="13">
        <f>_xll.BDH("ITCI US Equity","ARDR_FV_ASTS_REC_TOT_TRADING_ACC","FQ3 2024","FQ3 2024","Currency=USD","Period=FQ","BEST_FPERIOD_OVERRIDE=FQ","FILING_STATUS=MR","SCALING_FORMAT=MLN","Sort=A","Dates=H","DateFormat=P","Fill=—","Direction=H","UseDPDF=Y")</f>
        <v>729.66499999999996</v>
      </c>
      <c r="AA120" s="13">
        <f>_xll.BDH("ITCI US Equity","ARDR_FV_ASTS_REC_TOT_TRADING_ACC","FQ4 2024","FQ4 2024","Currency=USD","Period=FQ","BEST_FPERIOD_OVERRIDE=FQ","FILING_STATUS=MR","SCALING_FORMAT=MLN","Sort=A","Dates=H","DateFormat=P","Fill=—","Direction=H","UseDPDF=Y")</f>
        <v>193.52199999999999</v>
      </c>
    </row>
    <row r="121" spans="1:27" x14ac:dyDescent="0.25">
      <c r="A121" s="10" t="s">
        <v>888</v>
      </c>
      <c r="B121" s="10" t="s">
        <v>889</v>
      </c>
      <c r="C121" s="13" t="str">
        <f>_xll.BDH("ITCI US Equity","ARDR_FV_ASSETS_REC_TOT_AFS","FQ4 2018","FQ4 2018","Currency=USD","Period=FQ","BEST_FPERIOD_OVERRIDE=FQ","FILING_STATUS=MR","SCALING_FORMAT=MLN","Sort=A","Dates=H","DateFormat=P","Fill=—","Direction=H","UseDPDF=Y")</f>
        <v>—</v>
      </c>
      <c r="D121" s="13" t="str">
        <f>_xll.BDH("ITCI US Equity","ARDR_FV_ASSETS_REC_TOT_AFS","FQ1 2019","FQ1 2019","Currency=USD","Period=FQ","BEST_FPERIOD_OVERRIDE=FQ","FILING_STATUS=MR","SCALING_FORMAT=MLN","Sort=A","Dates=H","DateFormat=P","Fill=—","Direction=H","UseDPDF=Y")</f>
        <v>—</v>
      </c>
      <c r="E121" s="13" t="str">
        <f>_xll.BDH("ITCI US Equity","ARDR_FV_ASSETS_REC_TOT_AFS","FQ2 2019","FQ2 2019","Currency=USD","Period=FQ","BEST_FPERIOD_OVERRIDE=FQ","FILING_STATUS=MR","SCALING_FORMAT=MLN","Sort=A","Dates=H","DateFormat=P","Fill=—","Direction=H","UseDPDF=Y")</f>
        <v>—</v>
      </c>
      <c r="F121" s="13" t="str">
        <f>_xll.BDH("ITCI US Equity","ARDR_FV_ASSETS_REC_TOT_AFS","FQ3 2019","FQ3 2019","Currency=USD","Period=FQ","BEST_FPERIOD_OVERRIDE=FQ","FILING_STATUS=MR","SCALING_FORMAT=MLN","Sort=A","Dates=H","DateFormat=P","Fill=—","Direction=H","UseDPDF=Y")</f>
        <v>—</v>
      </c>
      <c r="G121" s="13" t="str">
        <f>_xll.BDH("ITCI US Equity","ARDR_FV_ASSETS_REC_TOT_AFS","FQ4 2019","FQ4 2019","Currency=USD","Period=FQ","BEST_FPERIOD_OVERRIDE=FQ","FILING_STATUS=MR","SCALING_FORMAT=MLN","Sort=A","Dates=H","DateFormat=P","Fill=—","Direction=H","UseDPDF=Y")</f>
        <v>—</v>
      </c>
      <c r="H121" s="13">
        <f>_xll.BDH("ITCI US Equity","ARDR_FV_ASSETS_REC_TOT_AFS","FQ1 2020","FQ1 2020","Currency=USD","Period=FQ","BEST_FPERIOD_OVERRIDE=FQ","FILING_STATUS=MR","SCALING_FORMAT=MLN","Sort=A","Dates=H","DateFormat=P","Fill=—","Direction=H","UseDPDF=Y")</f>
        <v>106.235</v>
      </c>
      <c r="I121" s="13" t="str">
        <f>_xll.BDH("ITCI US Equity","ARDR_FV_ASSETS_REC_TOT_AFS","FQ2 2020","FQ2 2020","Currency=USD","Period=FQ","BEST_FPERIOD_OVERRIDE=FQ","FILING_STATUS=MR","SCALING_FORMAT=MLN","Sort=A","Dates=H","DateFormat=P","Fill=—","Direction=H","UseDPDF=Y")</f>
        <v>—</v>
      </c>
      <c r="J121" s="13" t="str">
        <f>_xll.BDH("ITCI US Equity","ARDR_FV_ASSETS_REC_TOT_AFS","FQ3 2020","FQ3 2020","Currency=USD","Period=FQ","BEST_FPERIOD_OVERRIDE=FQ","FILING_STATUS=MR","SCALING_FORMAT=MLN","Sort=A","Dates=H","DateFormat=P","Fill=—","Direction=H","UseDPDF=Y")</f>
        <v>—</v>
      </c>
      <c r="K121" s="13" t="str">
        <f>_xll.BDH("ITCI US Equity","ARDR_FV_ASSETS_REC_TOT_AFS","FQ4 2020","FQ4 2020","Currency=USD","Period=FQ","BEST_FPERIOD_OVERRIDE=FQ","FILING_STATUS=MR","SCALING_FORMAT=MLN","Sort=A","Dates=H","DateFormat=P","Fill=—","Direction=H","UseDPDF=Y")</f>
        <v>—</v>
      </c>
      <c r="L121" s="13" t="str">
        <f>_xll.BDH("ITCI US Equity","ARDR_FV_ASSETS_REC_TOT_AFS","FQ1 2021","FQ1 2021","Currency=USD","Period=FQ","BEST_FPERIOD_OVERRIDE=FQ","FILING_STATUS=MR","SCALING_FORMAT=MLN","Sort=A","Dates=H","DateFormat=P","Fill=—","Direction=H","UseDPDF=Y")</f>
        <v>—</v>
      </c>
      <c r="M121" s="13" t="str">
        <f>_xll.BDH("ITCI US Equity","ARDR_FV_ASSETS_REC_TOT_AFS","FQ2 2021","FQ2 2021","Currency=USD","Period=FQ","BEST_FPERIOD_OVERRIDE=FQ","FILING_STATUS=MR","SCALING_FORMAT=MLN","Sort=A","Dates=H","DateFormat=P","Fill=—","Direction=H","UseDPDF=Y")</f>
        <v>—</v>
      </c>
      <c r="N121" s="13" t="str">
        <f>_xll.BDH("ITCI US Equity","ARDR_FV_ASSETS_REC_TOT_AFS","FQ3 2021","FQ3 2021","Currency=USD","Period=FQ","BEST_FPERIOD_OVERRIDE=FQ","FILING_STATUS=MR","SCALING_FORMAT=MLN","Sort=A","Dates=H","DateFormat=P","Fill=—","Direction=H","UseDPDF=Y")</f>
        <v>—</v>
      </c>
      <c r="O121" s="13" t="str">
        <f>_xll.BDH("ITCI US Equity","ARDR_FV_ASSETS_REC_TOT_AFS","FQ4 2021","FQ4 2021","Currency=USD","Period=FQ","BEST_FPERIOD_OVERRIDE=FQ","FILING_STATUS=MR","SCALING_FORMAT=MLN","Sort=A","Dates=H","DateFormat=P","Fill=—","Direction=H","UseDPDF=Y")</f>
        <v>—</v>
      </c>
      <c r="P121" s="13" t="str">
        <f>_xll.BDH("ITCI US Equity","ARDR_FV_ASSETS_REC_TOT_AFS","FQ1 2022","FQ1 2022","Currency=USD","Period=FQ","BEST_FPERIOD_OVERRIDE=FQ","FILING_STATUS=MR","SCALING_FORMAT=MLN","Sort=A","Dates=H","DateFormat=P","Fill=—","Direction=H","UseDPDF=Y")</f>
        <v>—</v>
      </c>
      <c r="Q121" s="13" t="str">
        <f>_xll.BDH("ITCI US Equity","ARDR_FV_ASSETS_REC_TOT_AFS","FQ2 2022","FQ2 2022","Currency=USD","Period=FQ","BEST_FPERIOD_OVERRIDE=FQ","FILING_STATUS=MR","SCALING_FORMAT=MLN","Sort=A","Dates=H","DateFormat=P","Fill=—","Direction=H","UseDPDF=Y")</f>
        <v>—</v>
      </c>
      <c r="R121" s="13" t="str">
        <f>_xll.BDH("ITCI US Equity","ARDR_FV_ASSETS_REC_TOT_AFS","FQ3 2022","FQ3 2022","Currency=USD","Period=FQ","BEST_FPERIOD_OVERRIDE=FQ","FILING_STATUS=MR","SCALING_FORMAT=MLN","Sort=A","Dates=H","DateFormat=P","Fill=—","Direction=H","UseDPDF=Y")</f>
        <v>—</v>
      </c>
      <c r="S121" s="13" t="str">
        <f>_xll.BDH("ITCI US Equity","ARDR_FV_ASSETS_REC_TOT_AFS","FQ4 2022","FQ4 2022","Currency=USD","Period=FQ","BEST_FPERIOD_OVERRIDE=FQ","FILING_STATUS=MR","SCALING_FORMAT=MLN","Sort=A","Dates=H","DateFormat=P","Fill=—","Direction=H","UseDPDF=Y")</f>
        <v>—</v>
      </c>
      <c r="T121" s="13" t="str">
        <f>_xll.BDH("ITCI US Equity","ARDR_FV_ASSETS_REC_TOT_AFS","FQ1 2023","FQ1 2023","Currency=USD","Period=FQ","BEST_FPERIOD_OVERRIDE=FQ","FILING_STATUS=MR","SCALING_FORMAT=MLN","Sort=A","Dates=H","DateFormat=P","Fill=—","Direction=H","UseDPDF=Y")</f>
        <v>—</v>
      </c>
      <c r="U121" s="13" t="str">
        <f>_xll.BDH("ITCI US Equity","ARDR_FV_ASSETS_REC_TOT_AFS","FQ2 2023","FQ2 2023","Currency=USD","Period=FQ","BEST_FPERIOD_OVERRIDE=FQ","FILING_STATUS=MR","SCALING_FORMAT=MLN","Sort=A","Dates=H","DateFormat=P","Fill=—","Direction=H","UseDPDF=Y")</f>
        <v>—</v>
      </c>
      <c r="V121" s="13" t="str">
        <f>_xll.BDH("ITCI US Equity","ARDR_FV_ASSETS_REC_TOT_AFS","FQ3 2023","FQ3 2023","Currency=USD","Period=FQ","BEST_FPERIOD_OVERRIDE=FQ","FILING_STATUS=MR","SCALING_FORMAT=MLN","Sort=A","Dates=H","DateFormat=P","Fill=—","Direction=H","UseDPDF=Y")</f>
        <v>—</v>
      </c>
      <c r="W121" s="13" t="str">
        <f>_xll.BDH("ITCI US Equity","ARDR_FV_ASSETS_REC_TOT_AFS","FQ4 2023","FQ4 2023","Currency=USD","Period=FQ","BEST_FPERIOD_OVERRIDE=FQ","FILING_STATUS=MR","SCALING_FORMAT=MLN","Sort=A","Dates=H","DateFormat=P","Fill=—","Direction=H","UseDPDF=Y")</f>
        <v>—</v>
      </c>
      <c r="X121" s="13" t="str">
        <f>_xll.BDH("ITCI US Equity","ARDR_FV_ASSETS_REC_TOT_AFS","FQ1 2024","FQ1 2024","Currency=USD","Period=FQ","BEST_FPERIOD_OVERRIDE=FQ","FILING_STATUS=MR","SCALING_FORMAT=MLN","Sort=A","Dates=H","DateFormat=P","Fill=—","Direction=H","UseDPDF=Y")</f>
        <v>—</v>
      </c>
      <c r="Y121" s="13" t="str">
        <f>_xll.BDH("ITCI US Equity","ARDR_FV_ASSETS_REC_TOT_AFS","FQ2 2024","FQ2 2024","Currency=USD","Period=FQ","BEST_FPERIOD_OVERRIDE=FQ","FILING_STATUS=MR","SCALING_FORMAT=MLN","Sort=A","Dates=H","DateFormat=P","Fill=—","Direction=H","UseDPDF=Y")</f>
        <v>—</v>
      </c>
      <c r="Z121" s="13" t="str">
        <f>_xll.BDH("ITCI US Equity","ARDR_FV_ASSETS_REC_TOT_AFS","FQ3 2024","FQ3 2024","Currency=USD","Period=FQ","BEST_FPERIOD_OVERRIDE=FQ","FILING_STATUS=MR","SCALING_FORMAT=MLN","Sort=A","Dates=H","DateFormat=P","Fill=—","Direction=H","UseDPDF=Y")</f>
        <v>—</v>
      </c>
      <c r="AA121" s="13" t="str">
        <f>_xll.BDH("ITCI US Equity","ARDR_FV_ASSETS_REC_TOT_AFS","FQ4 2024","FQ4 2024","Currency=USD","Period=FQ","BEST_FPERIOD_OVERRIDE=FQ","FILING_STATUS=MR","SCALING_FORMAT=MLN","Sort=A","Dates=H","DateFormat=P","Fill=—","Direction=H","UseDPDF=Y")</f>
        <v>—</v>
      </c>
    </row>
    <row r="122" spans="1:27" x14ac:dyDescent="0.25">
      <c r="A122" s="10" t="s">
        <v>890</v>
      </c>
      <c r="B122" s="10" t="s">
        <v>891</v>
      </c>
      <c r="C122" s="13" t="str">
        <f>_xll.BDH("ITCI US Equity","ARDR_FV_ASSETS_REC_TOT_CP","FQ4 2018","FQ4 2018","Currency=USD","Period=FQ","BEST_FPERIOD_OVERRIDE=FQ","FILING_STATUS=MR","SCALING_FORMAT=MLN","Sort=A","Dates=H","DateFormat=P","Fill=—","Direction=H","UseDPDF=Y")</f>
        <v>—</v>
      </c>
      <c r="D122" s="13" t="str">
        <f>_xll.BDH("ITCI US Equity","ARDR_FV_ASSETS_REC_TOT_CP","FQ1 2019","FQ1 2019","Currency=USD","Period=FQ","BEST_FPERIOD_OVERRIDE=FQ","FILING_STATUS=MR","SCALING_FORMAT=MLN","Sort=A","Dates=H","DateFormat=P","Fill=—","Direction=H","UseDPDF=Y")</f>
        <v>—</v>
      </c>
      <c r="E122" s="13" t="str">
        <f>_xll.BDH("ITCI US Equity","ARDR_FV_ASSETS_REC_TOT_CP","FQ2 2019","FQ2 2019","Currency=USD","Period=FQ","BEST_FPERIOD_OVERRIDE=FQ","FILING_STATUS=MR","SCALING_FORMAT=MLN","Sort=A","Dates=H","DateFormat=P","Fill=—","Direction=H","UseDPDF=Y")</f>
        <v>—</v>
      </c>
      <c r="F122" s="13" t="str">
        <f>_xll.BDH("ITCI US Equity","ARDR_FV_ASSETS_REC_TOT_CP","FQ3 2019","FQ3 2019","Currency=USD","Period=FQ","BEST_FPERIOD_OVERRIDE=FQ","FILING_STATUS=MR","SCALING_FORMAT=MLN","Sort=A","Dates=H","DateFormat=P","Fill=—","Direction=H","UseDPDF=Y")</f>
        <v>—</v>
      </c>
      <c r="G122" s="13" t="str">
        <f>_xll.BDH("ITCI US Equity","ARDR_FV_ASSETS_REC_TOT_CP","FQ4 2019","FQ4 2019","Currency=USD","Period=FQ","BEST_FPERIOD_OVERRIDE=FQ","FILING_STATUS=MR","SCALING_FORMAT=MLN","Sort=A","Dates=H","DateFormat=P","Fill=—","Direction=H","UseDPDF=Y")</f>
        <v>—</v>
      </c>
      <c r="H122" s="13">
        <f>_xll.BDH("ITCI US Equity","ARDR_FV_ASSETS_REC_TOT_CP","FQ1 2020","FQ1 2020","Currency=USD","Period=FQ","BEST_FPERIOD_OVERRIDE=FQ","FILING_STATUS=MR","SCALING_FORMAT=MLN","Sort=A","Dates=H","DateFormat=P","Fill=—","Direction=H","UseDPDF=Y")</f>
        <v>186.35300000000001</v>
      </c>
      <c r="I122" s="13" t="str">
        <f>_xll.BDH("ITCI US Equity","ARDR_FV_ASSETS_REC_TOT_CP","FQ2 2020","FQ2 2020","Currency=USD","Period=FQ","BEST_FPERIOD_OVERRIDE=FQ","FILING_STATUS=MR","SCALING_FORMAT=MLN","Sort=A","Dates=H","DateFormat=P","Fill=—","Direction=H","UseDPDF=Y")</f>
        <v>—</v>
      </c>
      <c r="J122" s="13" t="str">
        <f>_xll.BDH("ITCI US Equity","ARDR_FV_ASSETS_REC_TOT_CP","FQ3 2020","FQ3 2020","Currency=USD","Period=FQ","BEST_FPERIOD_OVERRIDE=FQ","FILING_STATUS=MR","SCALING_FORMAT=MLN","Sort=A","Dates=H","DateFormat=P","Fill=—","Direction=H","UseDPDF=Y")</f>
        <v>—</v>
      </c>
      <c r="K122" s="13" t="str">
        <f>_xll.BDH("ITCI US Equity","ARDR_FV_ASSETS_REC_TOT_CP","FQ4 2020","FQ4 2020","Currency=USD","Period=FQ","BEST_FPERIOD_OVERRIDE=FQ","FILING_STATUS=MR","SCALING_FORMAT=MLN","Sort=A","Dates=H","DateFormat=P","Fill=—","Direction=H","UseDPDF=Y")</f>
        <v>—</v>
      </c>
      <c r="L122" s="13">
        <f>_xll.BDH("ITCI US Equity","ARDR_FV_ASSETS_REC_TOT_CP","FQ1 2021","FQ1 2021","Currency=USD","Period=FQ","BEST_FPERIOD_OVERRIDE=FQ","FILING_STATUS=MR","SCALING_FORMAT=MLN","Sort=A","Dates=H","DateFormat=P","Fill=—","Direction=H","UseDPDF=Y")</f>
        <v>83.602000000000004</v>
      </c>
      <c r="M122" s="13">
        <f>_xll.BDH("ITCI US Equity","ARDR_FV_ASSETS_REC_TOT_CP","FQ2 2021","FQ2 2021","Currency=USD","Period=FQ","BEST_FPERIOD_OVERRIDE=FQ","FILING_STATUS=MR","SCALING_FORMAT=MLN","Sort=A","Dates=H","DateFormat=P","Fill=—","Direction=H","UseDPDF=Y")</f>
        <v>97.146000000000001</v>
      </c>
      <c r="N122" s="13">
        <f>_xll.BDH("ITCI US Equity","ARDR_FV_ASSETS_REC_TOT_CP","FQ3 2021","FQ3 2021","Currency=USD","Period=FQ","BEST_FPERIOD_OVERRIDE=FQ","FILING_STATUS=MR","SCALING_FORMAT=MLN","Sort=A","Dates=H","DateFormat=P","Fill=—","Direction=H","UseDPDF=Y")</f>
        <v>161.702</v>
      </c>
      <c r="O122" s="13" t="str">
        <f>_xll.BDH("ITCI US Equity","ARDR_FV_ASSETS_REC_TOT_CP","FQ4 2021","FQ4 2021","Currency=USD","Period=FQ","BEST_FPERIOD_OVERRIDE=FQ","FILING_STATUS=MR","SCALING_FORMAT=MLN","Sort=A","Dates=H","DateFormat=P","Fill=—","Direction=H","UseDPDF=Y")</f>
        <v>—</v>
      </c>
      <c r="P122" s="13">
        <f>_xll.BDH("ITCI US Equity","ARDR_FV_ASSETS_REC_TOT_CP","FQ1 2022","FQ1 2022","Currency=USD","Period=FQ","BEST_FPERIOD_OVERRIDE=FQ","FILING_STATUS=MR","SCALING_FORMAT=MLN","Sort=A","Dates=H","DateFormat=P","Fill=—","Direction=H","UseDPDF=Y")</f>
        <v>65.866</v>
      </c>
      <c r="Q122" s="13">
        <f>_xll.BDH("ITCI US Equity","ARDR_FV_ASSETS_REC_TOT_CP","FQ2 2022","FQ2 2022","Currency=USD","Period=FQ","BEST_FPERIOD_OVERRIDE=FQ","FILING_STATUS=MR","SCALING_FORMAT=MLN","Sort=A","Dates=H","DateFormat=P","Fill=—","Direction=H","UseDPDF=Y")</f>
        <v>55.774999999999999</v>
      </c>
      <c r="R122" s="13" t="str">
        <f>_xll.BDH("ITCI US Equity","ARDR_FV_ASSETS_REC_TOT_CP","FQ3 2022","FQ3 2022","Currency=USD","Period=FQ","BEST_FPERIOD_OVERRIDE=FQ","FILING_STATUS=MR","SCALING_FORMAT=MLN","Sort=A","Dates=H","DateFormat=P","Fill=—","Direction=H","UseDPDF=Y")</f>
        <v>—</v>
      </c>
      <c r="S122" s="13" t="str">
        <f>_xll.BDH("ITCI US Equity","ARDR_FV_ASSETS_REC_TOT_CP","FQ4 2022","FQ4 2022","Currency=USD","Period=FQ","BEST_FPERIOD_OVERRIDE=FQ","FILING_STATUS=MR","SCALING_FORMAT=MLN","Sort=A","Dates=H","DateFormat=P","Fill=—","Direction=H","UseDPDF=Y")</f>
        <v>—</v>
      </c>
      <c r="T122" s="13">
        <f>_xll.BDH("ITCI US Equity","ARDR_FV_ASSETS_REC_TOT_CP","FQ1 2023","FQ1 2023","Currency=USD","Period=FQ","BEST_FPERIOD_OVERRIDE=FQ","FILING_STATUS=MR","SCALING_FORMAT=MLN","Sort=A","Dates=H","DateFormat=P","Fill=—","Direction=H","UseDPDF=Y")</f>
        <v>88.97</v>
      </c>
      <c r="U122" s="13">
        <f>_xll.BDH("ITCI US Equity","ARDR_FV_ASSETS_REC_TOT_CP","FQ2 2023","FQ2 2023","Currency=USD","Period=FQ","BEST_FPERIOD_OVERRIDE=FQ","FILING_STATUS=MR","SCALING_FORMAT=MLN","Sort=A","Dates=H","DateFormat=P","Fill=—","Direction=H","UseDPDF=Y")</f>
        <v>12.202999999999999</v>
      </c>
      <c r="V122" s="13">
        <f>_xll.BDH("ITCI US Equity","ARDR_FV_ASSETS_REC_TOT_CP","FQ3 2023","FQ3 2023","Currency=USD","Period=FQ","BEST_FPERIOD_OVERRIDE=FQ","FILING_STATUS=MR","SCALING_FORMAT=MLN","Sort=A","Dates=H","DateFormat=P","Fill=—","Direction=H","UseDPDF=Y")</f>
        <v>4.42</v>
      </c>
      <c r="W122" s="13" t="str">
        <f>_xll.BDH("ITCI US Equity","ARDR_FV_ASSETS_REC_TOT_CP","FQ4 2023","FQ4 2023","Currency=USD","Period=FQ","BEST_FPERIOD_OVERRIDE=FQ","FILING_STATUS=MR","SCALING_FORMAT=MLN","Sort=A","Dates=H","DateFormat=P","Fill=—","Direction=H","UseDPDF=Y")</f>
        <v>—</v>
      </c>
      <c r="X122" s="13" t="str">
        <f>_xll.BDH("ITCI US Equity","ARDR_FV_ASSETS_REC_TOT_CP","FQ1 2024","FQ1 2024","Currency=USD","Period=FQ","BEST_FPERIOD_OVERRIDE=FQ","FILING_STATUS=MR","SCALING_FORMAT=MLN","Sort=A","Dates=H","DateFormat=P","Fill=—","Direction=H","UseDPDF=Y")</f>
        <v>—</v>
      </c>
      <c r="Y122" s="13" t="str">
        <f>_xll.BDH("ITCI US Equity","ARDR_FV_ASSETS_REC_TOT_CP","FQ2 2024","FQ2 2024","Currency=USD","Period=FQ","BEST_FPERIOD_OVERRIDE=FQ","FILING_STATUS=MR","SCALING_FORMAT=MLN","Sort=A","Dates=H","DateFormat=P","Fill=—","Direction=H","UseDPDF=Y")</f>
        <v>—</v>
      </c>
      <c r="Z122" s="13" t="str">
        <f>_xll.BDH("ITCI US Equity","ARDR_FV_ASSETS_REC_TOT_CP","FQ3 2024","FQ3 2024","Currency=USD","Period=FQ","BEST_FPERIOD_OVERRIDE=FQ","FILING_STATUS=MR","SCALING_FORMAT=MLN","Sort=A","Dates=H","DateFormat=P","Fill=—","Direction=H","UseDPDF=Y")</f>
        <v>—</v>
      </c>
      <c r="AA122" s="13" t="str">
        <f>_xll.BDH("ITCI US Equity","ARDR_FV_ASSETS_REC_TOT_CP","FQ4 2024","FQ4 2024","Currency=USD","Period=FQ","BEST_FPERIOD_OVERRIDE=FQ","FILING_STATUS=MR","SCALING_FORMAT=MLN","Sort=A","Dates=H","DateFormat=P","Fill=—","Direction=H","UseDPDF=Y")</f>
        <v>—</v>
      </c>
    </row>
    <row r="123" spans="1:27" x14ac:dyDescent="0.25">
      <c r="A123" s="10" t="s">
        <v>892</v>
      </c>
      <c r="B123" s="10" t="s">
        <v>893</v>
      </c>
      <c r="C123" s="13" t="str">
        <f>_xll.BDH("ITCI US Equity","ARDR_FV_ASSETS_REC_TOT_OTHER","FQ4 2018","FQ4 2018","Currency=USD","Period=FQ","BEST_FPERIOD_OVERRIDE=FQ","FILING_STATUS=MR","SCALING_FORMAT=MLN","Sort=A","Dates=H","DateFormat=P","Fill=—","Direction=H","UseDPDF=Y")</f>
        <v>—</v>
      </c>
      <c r="D123" s="13" t="str">
        <f>_xll.BDH("ITCI US Equity","ARDR_FV_ASSETS_REC_TOT_OTHER","FQ1 2019","FQ1 2019","Currency=USD","Period=FQ","BEST_FPERIOD_OVERRIDE=FQ","FILING_STATUS=MR","SCALING_FORMAT=MLN","Sort=A","Dates=H","DateFormat=P","Fill=—","Direction=H","UseDPDF=Y")</f>
        <v>—</v>
      </c>
      <c r="E123" s="13">
        <f>_xll.BDH("ITCI US Equity","ARDR_FV_ASSETS_REC_TOT_OTHER","FQ2 2019","FQ2 2019","Currency=USD","Period=FQ","BEST_FPERIOD_OVERRIDE=FQ","FILING_STATUS=MR","SCALING_FORMAT=MLN","Sort=A","Dates=H","DateFormat=P","Fill=—","Direction=H","UseDPDF=Y")</f>
        <v>279.18299999999999</v>
      </c>
      <c r="F123" s="13">
        <f>_xll.BDH("ITCI US Equity","ARDR_FV_ASSETS_REC_TOT_OTHER","FQ3 2019","FQ3 2019","Currency=USD","Period=FQ","BEST_FPERIOD_OVERRIDE=FQ","FILING_STATUS=MR","SCALING_FORMAT=MLN","Sort=A","Dates=H","DateFormat=P","Fill=—","Direction=H","UseDPDF=Y")</f>
        <v>247.626</v>
      </c>
      <c r="G123" s="13">
        <f>_xll.BDH("ITCI US Equity","ARDR_FV_ASSETS_REC_TOT_OTHER","FQ4 2019","FQ4 2019","Currency=USD","Period=FQ","BEST_FPERIOD_OVERRIDE=FQ","FILING_STATUS=MR","SCALING_FORMAT=MLN","Sort=A","Dates=H","DateFormat=P","Fill=—","Direction=H","UseDPDF=Y")</f>
        <v>216.874</v>
      </c>
      <c r="H123" s="13">
        <f>_xll.BDH("ITCI US Equity","ARDR_FV_ASSETS_REC_TOT_OTHER","FQ1 2020","FQ1 2020","Currency=USD","Period=FQ","BEST_FPERIOD_OVERRIDE=FQ","FILING_STATUS=MR","SCALING_FORMAT=MLN","Sort=A","Dates=H","DateFormat=P","Fill=—","Direction=H","UseDPDF=Y")</f>
        <v>93.733000000000004</v>
      </c>
      <c r="I123" s="13">
        <f>_xll.BDH("ITCI US Equity","ARDR_FV_ASSETS_REC_TOT_OTHER","FQ2 2020","FQ2 2020","Currency=USD","Period=FQ","BEST_FPERIOD_OVERRIDE=FQ","FILING_STATUS=MR","SCALING_FORMAT=MLN","Sort=A","Dates=H","DateFormat=P","Fill=—","Direction=H","UseDPDF=Y")</f>
        <v>393.32900000000001</v>
      </c>
      <c r="J123" s="13">
        <f>_xll.BDH("ITCI US Equity","ARDR_FV_ASSETS_REC_TOT_OTHER","FQ3 2020","FQ3 2020","Currency=USD","Period=FQ","BEST_FPERIOD_OVERRIDE=FQ","FILING_STATUS=MR","SCALING_FORMAT=MLN","Sort=A","Dates=H","DateFormat=P","Fill=—","Direction=H","UseDPDF=Y")</f>
        <v>420.959</v>
      </c>
      <c r="K123" s="13">
        <f>_xll.BDH("ITCI US Equity","ARDR_FV_ASSETS_REC_TOT_OTHER","FQ4 2020","FQ4 2020","Currency=USD","Period=FQ","BEST_FPERIOD_OVERRIDE=FQ","FILING_STATUS=MR","SCALING_FORMAT=MLN","Sort=A","Dates=H","DateFormat=P","Fill=—","Direction=H","UseDPDF=Y")</f>
        <v>597.40200000000004</v>
      </c>
      <c r="L123" s="13">
        <f>_xll.BDH("ITCI US Equity","ARDR_FV_ASSETS_REC_TOT_OTHER","FQ1 2021","FQ1 2021","Currency=USD","Period=FQ","BEST_FPERIOD_OVERRIDE=FQ","FILING_STATUS=MR","SCALING_FORMAT=MLN","Sort=A","Dates=H","DateFormat=P","Fill=—","Direction=H","UseDPDF=Y")</f>
        <v>481.98500000000001</v>
      </c>
      <c r="M123" s="13">
        <f>_xll.BDH("ITCI US Equity","ARDR_FV_ASSETS_REC_TOT_OTHER","FQ2 2021","FQ2 2021","Currency=USD","Period=FQ","BEST_FPERIOD_OVERRIDE=FQ","FILING_STATUS=MR","SCALING_FORMAT=MLN","Sort=A","Dates=H","DateFormat=P","Fill=—","Direction=H","UseDPDF=Y")</f>
        <v>433.72699999999998</v>
      </c>
      <c r="N123" s="13" t="str">
        <f>_xll.BDH("ITCI US Equity","ARDR_FV_ASSETS_REC_TOT_OTHER","FQ3 2021","FQ3 2021","Currency=USD","Period=FQ","BEST_FPERIOD_OVERRIDE=FQ","FILING_STATUS=MR","SCALING_FORMAT=MLN","Sort=A","Dates=H","DateFormat=P","Fill=—","Direction=H","UseDPDF=Y")</f>
        <v>—</v>
      </c>
      <c r="O123" s="13">
        <f>_xll.BDH("ITCI US Equity","ARDR_FV_ASSETS_REC_TOT_OTHER","FQ4 2021","FQ4 2021","Currency=USD","Period=FQ","BEST_FPERIOD_OVERRIDE=FQ","FILING_STATUS=MR","SCALING_FORMAT=MLN","Sort=A","Dates=H","DateFormat=P","Fill=—","Direction=H","UseDPDF=Y")</f>
        <v>319.96800000000002</v>
      </c>
      <c r="P123" s="13">
        <f>_xll.BDH("ITCI US Equity","ARDR_FV_ASSETS_REC_TOT_OTHER","FQ1 2022","FQ1 2022","Currency=USD","Period=FQ","BEST_FPERIOD_OVERRIDE=FQ","FILING_STATUS=MR","SCALING_FORMAT=MLN","Sort=A","Dates=H","DateFormat=P","Fill=—","Direction=H","UseDPDF=Y")</f>
        <v>319.96800000000002</v>
      </c>
      <c r="Q123" s="13">
        <f>_xll.BDH("ITCI US Equity","ARDR_FV_ASSETS_REC_TOT_OTHER","FQ2 2022","FQ2 2022","Currency=USD","Period=FQ","BEST_FPERIOD_OVERRIDE=FQ","FILING_STATUS=MR","SCALING_FORMAT=MLN","Sort=A","Dates=H","DateFormat=P","Fill=—","Direction=H","UseDPDF=Y")</f>
        <v>319.96800000000002</v>
      </c>
      <c r="R123" s="13">
        <f>_xll.BDH("ITCI US Equity","ARDR_FV_ASSETS_REC_TOT_OTHER","FQ3 2022","FQ3 2022","Currency=USD","Period=FQ","BEST_FPERIOD_OVERRIDE=FQ","FILING_STATUS=MR","SCALING_FORMAT=MLN","Sort=A","Dates=H","DateFormat=P","Fill=—","Direction=H","UseDPDF=Y")</f>
        <v>529.35500000000002</v>
      </c>
      <c r="S123" s="13">
        <f>_xll.BDH("ITCI US Equity","ARDR_FV_ASSETS_REC_TOT_OTHER","FQ4 2022","FQ4 2022","Currency=USD","Period=FQ","BEST_FPERIOD_OVERRIDE=FQ","FILING_STATUS=MR","SCALING_FORMAT=MLN","Sort=A","Dates=H","DateFormat=P","Fill=—","Direction=H","UseDPDF=Y")</f>
        <v>486.22899999999998</v>
      </c>
      <c r="T123" s="13">
        <f>_xll.BDH("ITCI US Equity","ARDR_FV_ASSETS_REC_TOT_OTHER","FQ1 2023","FQ1 2023","Currency=USD","Period=FQ","BEST_FPERIOD_OVERRIDE=FQ","FILING_STATUS=MR","SCALING_FORMAT=MLN","Sort=A","Dates=H","DateFormat=P","Fill=—","Direction=H","UseDPDF=Y")</f>
        <v>374.01100000000002</v>
      </c>
      <c r="U123" s="13">
        <f>_xll.BDH("ITCI US Equity","ARDR_FV_ASSETS_REC_TOT_OTHER","FQ2 2023","FQ2 2023","Currency=USD","Period=FQ","BEST_FPERIOD_OVERRIDE=FQ","FILING_STATUS=MR","SCALING_FORMAT=MLN","Sort=A","Dates=H","DateFormat=P","Fill=—","Direction=H","UseDPDF=Y")</f>
        <v>482.14299999999997</v>
      </c>
      <c r="V123" s="13">
        <f>_xll.BDH("ITCI US Equity","ARDR_FV_ASSETS_REC_TOT_OTHER","FQ3 2023","FQ3 2023","Currency=USD","Period=FQ","BEST_FPERIOD_OVERRIDE=FQ","FILING_STATUS=MR","SCALING_FORMAT=MLN","Sort=A","Dates=H","DateFormat=P","Fill=—","Direction=H","UseDPDF=Y")</f>
        <v>413.61900000000003</v>
      </c>
      <c r="W123" s="13">
        <f>_xll.BDH("ITCI US Equity","ARDR_FV_ASSETS_REC_TOT_OTHER","FQ4 2023","FQ4 2023","Currency=USD","Period=FQ","BEST_FPERIOD_OVERRIDE=FQ","FILING_STATUS=MR","SCALING_FORMAT=MLN","Sort=A","Dates=H","DateFormat=P","Fill=—","Direction=H","UseDPDF=Y")</f>
        <v>412.67399999999998</v>
      </c>
      <c r="X123" s="13">
        <f>_xll.BDH("ITCI US Equity","ARDR_FV_ASSETS_REC_TOT_OTHER","FQ1 2024","FQ1 2024","Currency=USD","Period=FQ","BEST_FPERIOD_OVERRIDE=FQ","FILING_STATUS=MR","SCALING_FORMAT=MLN","Sort=A","Dates=H","DateFormat=P","Fill=—","Direction=H","UseDPDF=Y")</f>
        <v>64.159000000000006</v>
      </c>
      <c r="Y123" s="13">
        <f>_xll.BDH("ITCI US Equity","ARDR_FV_ASSETS_REC_TOT_OTHER","FQ2 2024","FQ2 2024","Currency=USD","Period=FQ","BEST_FPERIOD_OVERRIDE=FQ","FILING_STATUS=MR","SCALING_FORMAT=MLN","Sort=A","Dates=H","DateFormat=P","Fill=—","Direction=H","UseDPDF=Y")</f>
        <v>61.469000000000001</v>
      </c>
      <c r="Z123" s="13">
        <f>_xll.BDH("ITCI US Equity","ARDR_FV_ASSETS_REC_TOT_OTHER","FQ3 2024","FQ3 2024","Currency=USD","Period=FQ","BEST_FPERIOD_OVERRIDE=FQ","FILING_STATUS=MR","SCALING_FORMAT=MLN","Sort=A","Dates=H","DateFormat=P","Fill=—","Direction=H","UseDPDF=Y")</f>
        <v>60.98</v>
      </c>
      <c r="AA123" s="13">
        <f>_xll.BDH("ITCI US Equity","ARDR_FV_ASSETS_REC_TOT_OTHER","FQ4 2024","FQ4 2024","Currency=USD","Period=FQ","BEST_FPERIOD_OVERRIDE=FQ","FILING_STATUS=MR","SCALING_FORMAT=MLN","Sort=A","Dates=H","DateFormat=P","Fill=—","Direction=H","UseDPDF=Y")</f>
        <v>694.11800000000005</v>
      </c>
    </row>
    <row r="124" spans="1:27" x14ac:dyDescent="0.25">
      <c r="A124" s="10" t="s">
        <v>894</v>
      </c>
      <c r="B124" s="10" t="s">
        <v>895</v>
      </c>
      <c r="C124" s="13">
        <f>_xll.BDH("ITCI US Equity","ARDR_DTA_NOL_CARRYFORWARD","FQ4 2018","FQ4 2018","Currency=USD","Period=FQ","BEST_FPERIOD_OVERRIDE=FQ","FILING_STATUS=MR","SCALING_FORMAT=MLN","Sort=A","Dates=H","DateFormat=P","Fill=—","Direction=H","UseDPDF=Y")</f>
        <v>43.872599999999998</v>
      </c>
      <c r="D124" s="13" t="str">
        <f>_xll.BDH("ITCI US Equity","ARDR_DTA_NOL_CARRYFORWARD","FQ1 2019","FQ1 2019","Currency=USD","Period=FQ","BEST_FPERIOD_OVERRIDE=FQ","FILING_STATUS=MR","SCALING_FORMAT=MLN","Sort=A","Dates=H","DateFormat=P","Fill=—","Direction=H","UseDPDF=Y")</f>
        <v>—</v>
      </c>
      <c r="E124" s="13" t="str">
        <f>_xll.BDH("ITCI US Equity","ARDR_DTA_NOL_CARRYFORWARD","FQ2 2019","FQ2 2019","Currency=USD","Period=FQ","BEST_FPERIOD_OVERRIDE=FQ","FILING_STATUS=MR","SCALING_FORMAT=MLN","Sort=A","Dates=H","DateFormat=P","Fill=—","Direction=H","UseDPDF=Y")</f>
        <v>—</v>
      </c>
      <c r="F124" s="13" t="str">
        <f>_xll.BDH("ITCI US Equity","ARDR_DTA_NOL_CARRYFORWARD","FQ3 2019","FQ3 2019","Currency=USD","Period=FQ","BEST_FPERIOD_OVERRIDE=FQ","FILING_STATUS=MR","SCALING_FORMAT=MLN","Sort=A","Dates=H","DateFormat=P","Fill=—","Direction=H","UseDPDF=Y")</f>
        <v>—</v>
      </c>
      <c r="G124" s="13">
        <f>_xll.BDH("ITCI US Equity","ARDR_DTA_NOL_CARRYFORWARD","FQ4 2019","FQ4 2019","Currency=USD","Period=FQ","BEST_FPERIOD_OVERRIDE=FQ","FILING_STATUS=MR","SCALING_FORMAT=MLN","Sort=A","Dates=H","DateFormat=P","Fill=—","Direction=H","UseDPDF=Y")</f>
        <v>49.668199999999999</v>
      </c>
      <c r="H124" s="13" t="str">
        <f>_xll.BDH("ITCI US Equity","ARDR_DTA_NOL_CARRYFORWARD","FQ1 2020","FQ1 2020","Currency=USD","Period=FQ","BEST_FPERIOD_OVERRIDE=FQ","FILING_STATUS=MR","SCALING_FORMAT=MLN","Sort=A","Dates=H","DateFormat=P","Fill=—","Direction=H","UseDPDF=Y")</f>
        <v>—</v>
      </c>
      <c r="I124" s="13" t="str">
        <f>_xll.BDH("ITCI US Equity","ARDR_DTA_NOL_CARRYFORWARD","FQ2 2020","FQ2 2020","Currency=USD","Period=FQ","BEST_FPERIOD_OVERRIDE=FQ","FILING_STATUS=MR","SCALING_FORMAT=MLN","Sort=A","Dates=H","DateFormat=P","Fill=—","Direction=H","UseDPDF=Y")</f>
        <v>—</v>
      </c>
      <c r="J124" s="13" t="str">
        <f>_xll.BDH("ITCI US Equity","ARDR_DTA_NOL_CARRYFORWARD","FQ3 2020","FQ3 2020","Currency=USD","Period=FQ","BEST_FPERIOD_OVERRIDE=FQ","FILING_STATUS=MR","SCALING_FORMAT=MLN","Sort=A","Dates=H","DateFormat=P","Fill=—","Direction=H","UseDPDF=Y")</f>
        <v>—</v>
      </c>
      <c r="K124" s="13">
        <f>_xll.BDH("ITCI US Equity","ARDR_DTA_NOL_CARRYFORWARD","FQ4 2020","FQ4 2020","Currency=USD","Period=FQ","BEST_FPERIOD_OVERRIDE=FQ","FILING_STATUS=MR","SCALING_FORMAT=MLN","Sort=A","Dates=H","DateFormat=P","Fill=—","Direction=H","UseDPDF=Y")</f>
        <v>85.751199999999997</v>
      </c>
      <c r="L124" s="13" t="str">
        <f>_xll.BDH("ITCI US Equity","ARDR_DTA_NOL_CARRYFORWARD","FQ1 2021","FQ1 2021","Currency=USD","Period=FQ","BEST_FPERIOD_OVERRIDE=FQ","FILING_STATUS=MR","SCALING_FORMAT=MLN","Sort=A","Dates=H","DateFormat=P","Fill=—","Direction=H","UseDPDF=Y")</f>
        <v>—</v>
      </c>
      <c r="M124" s="13" t="str">
        <f>_xll.BDH("ITCI US Equity","ARDR_DTA_NOL_CARRYFORWARD","FQ2 2021","FQ2 2021","Currency=USD","Period=FQ","BEST_FPERIOD_OVERRIDE=FQ","FILING_STATUS=MR","SCALING_FORMAT=MLN","Sort=A","Dates=H","DateFormat=P","Fill=—","Direction=H","UseDPDF=Y")</f>
        <v>—</v>
      </c>
      <c r="N124" s="13" t="str">
        <f>_xll.BDH("ITCI US Equity","ARDR_DTA_NOL_CARRYFORWARD","FQ3 2021","FQ3 2021","Currency=USD","Period=FQ","BEST_FPERIOD_OVERRIDE=FQ","FILING_STATUS=MR","SCALING_FORMAT=MLN","Sort=A","Dates=H","DateFormat=P","Fill=—","Direction=H","UseDPDF=Y")</f>
        <v>—</v>
      </c>
      <c r="O124" s="13">
        <f>_xll.BDH("ITCI US Equity","ARDR_DTA_NOL_CARRYFORWARD","FQ4 2021","FQ4 2021","Currency=USD","Period=FQ","BEST_FPERIOD_OVERRIDE=FQ","FILING_STATUS=MR","SCALING_FORMAT=MLN","Sort=A","Dates=H","DateFormat=P","Fill=—","Direction=H","UseDPDF=Y")</f>
        <v>137.56129999999999</v>
      </c>
      <c r="P124" s="13" t="str">
        <f>_xll.BDH("ITCI US Equity","ARDR_DTA_NOL_CARRYFORWARD","FQ1 2022","FQ1 2022","Currency=USD","Period=FQ","BEST_FPERIOD_OVERRIDE=FQ","FILING_STATUS=MR","SCALING_FORMAT=MLN","Sort=A","Dates=H","DateFormat=P","Fill=—","Direction=H","UseDPDF=Y")</f>
        <v>—</v>
      </c>
      <c r="Q124" s="13" t="str">
        <f>_xll.BDH("ITCI US Equity","ARDR_DTA_NOL_CARRYFORWARD","FQ2 2022","FQ2 2022","Currency=USD","Period=FQ","BEST_FPERIOD_OVERRIDE=FQ","FILING_STATUS=MR","SCALING_FORMAT=MLN","Sort=A","Dates=H","DateFormat=P","Fill=—","Direction=H","UseDPDF=Y")</f>
        <v>—</v>
      </c>
      <c r="R124" s="13" t="str">
        <f>_xll.BDH("ITCI US Equity","ARDR_DTA_NOL_CARRYFORWARD","FQ3 2022","FQ3 2022","Currency=USD","Period=FQ","BEST_FPERIOD_OVERRIDE=FQ","FILING_STATUS=MR","SCALING_FORMAT=MLN","Sort=A","Dates=H","DateFormat=P","Fill=—","Direction=H","UseDPDF=Y")</f>
        <v>—</v>
      </c>
      <c r="S124" s="13">
        <f>_xll.BDH("ITCI US Equity","ARDR_DTA_NOL_CARRYFORWARD","FQ4 2022","FQ4 2022","Currency=USD","Period=FQ","BEST_FPERIOD_OVERRIDE=FQ","FILING_STATUS=MR","SCALING_FORMAT=MLN","Sort=A","Dates=H","DateFormat=P","Fill=—","Direction=H","UseDPDF=Y")</f>
        <v>168.60599999999999</v>
      </c>
      <c r="T124" s="13" t="str">
        <f>_xll.BDH("ITCI US Equity","ARDR_DTA_NOL_CARRYFORWARD","FQ1 2023","FQ1 2023","Currency=USD","Period=FQ","BEST_FPERIOD_OVERRIDE=FQ","FILING_STATUS=MR","SCALING_FORMAT=MLN","Sort=A","Dates=H","DateFormat=P","Fill=—","Direction=H","UseDPDF=Y")</f>
        <v>—</v>
      </c>
      <c r="U124" s="13" t="str">
        <f>_xll.BDH("ITCI US Equity","ARDR_DTA_NOL_CARRYFORWARD","FQ2 2023","FQ2 2023","Currency=USD","Period=FQ","BEST_FPERIOD_OVERRIDE=FQ","FILING_STATUS=MR","SCALING_FORMAT=MLN","Sort=A","Dates=H","DateFormat=P","Fill=—","Direction=H","UseDPDF=Y")</f>
        <v>—</v>
      </c>
      <c r="V124" s="13" t="str">
        <f>_xll.BDH("ITCI US Equity","ARDR_DTA_NOL_CARRYFORWARD","FQ3 2023","FQ3 2023","Currency=USD","Period=FQ","BEST_FPERIOD_OVERRIDE=FQ","FILING_STATUS=MR","SCALING_FORMAT=MLN","Sort=A","Dates=H","DateFormat=P","Fill=—","Direction=H","UseDPDF=Y")</f>
        <v>—</v>
      </c>
      <c r="W124" s="13">
        <f>_xll.BDH("ITCI US Equity","ARDR_DTA_NOL_CARRYFORWARD","FQ4 2023","FQ4 2023","Currency=USD","Period=FQ","BEST_FPERIOD_OVERRIDE=FQ","FILING_STATUS=MR","SCALING_FORMAT=MLN","Sort=A","Dates=H","DateFormat=P","Fill=—","Direction=H","UseDPDF=Y")</f>
        <v>138.685</v>
      </c>
      <c r="X124" s="13" t="str">
        <f>_xll.BDH("ITCI US Equity","ARDR_DTA_NOL_CARRYFORWARD","FQ1 2024","FQ1 2024","Currency=USD","Period=FQ","BEST_FPERIOD_OVERRIDE=FQ","FILING_STATUS=MR","SCALING_FORMAT=MLN","Sort=A","Dates=H","DateFormat=P","Fill=—","Direction=H","UseDPDF=Y")</f>
        <v>—</v>
      </c>
      <c r="Y124" s="13" t="str">
        <f>_xll.BDH("ITCI US Equity","ARDR_DTA_NOL_CARRYFORWARD","FQ2 2024","FQ2 2024","Currency=USD","Period=FQ","BEST_FPERIOD_OVERRIDE=FQ","FILING_STATUS=MR","SCALING_FORMAT=MLN","Sort=A","Dates=H","DateFormat=P","Fill=—","Direction=H","UseDPDF=Y")</f>
        <v>—</v>
      </c>
      <c r="Z124" s="13" t="str">
        <f>_xll.BDH("ITCI US Equity","ARDR_DTA_NOL_CARRYFORWARD","FQ3 2024","FQ3 2024","Currency=USD","Period=FQ","BEST_FPERIOD_OVERRIDE=FQ","FILING_STATUS=MR","SCALING_FORMAT=MLN","Sort=A","Dates=H","DateFormat=P","Fill=—","Direction=H","UseDPDF=Y")</f>
        <v>—</v>
      </c>
      <c r="AA124" s="13">
        <f>_xll.BDH("ITCI US Equity","ARDR_DTA_NOL_CARRYFORWARD","FQ4 2024","FQ4 2024","Currency=USD","Period=FQ","BEST_FPERIOD_OVERRIDE=FQ","FILING_STATUS=MR","SCALING_FORMAT=MLN","Sort=A","Dates=H","DateFormat=P","Fill=—","Direction=H","UseDPDF=Y")</f>
        <v>130.066</v>
      </c>
    </row>
    <row r="125" spans="1:27" x14ac:dyDescent="0.25">
      <c r="A125" s="10" t="s">
        <v>896</v>
      </c>
      <c r="B125" s="10" t="s">
        <v>897</v>
      </c>
      <c r="C125" s="13">
        <f>_xll.BDH("ITCI US Equity","ARDR_OPTIONS_BEGINNING_OF_PERIOD","FQ4 2018","FQ4 2018","Currency=USD","Period=FQ","BEST_FPERIOD_OVERRIDE=FQ","FILING_STATUS=MR","Sort=A","Dates=H","DateFormat=P","Fill=—","Direction=H","UseDPDF=Y")</f>
        <v>4.5221</v>
      </c>
      <c r="D125" s="13">
        <f>_xll.BDH("ITCI US Equity","ARDR_OPTIONS_BEGINNING_OF_PERIOD","FQ1 2019","FQ1 2019","Currency=USD","Period=FQ","BEST_FPERIOD_OVERRIDE=FQ","FILING_STATUS=MR","Sort=A","Dates=H","DateFormat=P","Fill=—","Direction=H","UseDPDF=Y")</f>
        <v>4.7484000000000002</v>
      </c>
      <c r="E125" s="13">
        <f>_xll.BDH("ITCI US Equity","ARDR_OPTIONS_BEGINNING_OF_PERIOD","FQ2 2019","FQ2 2019","Currency=USD","Period=FQ","BEST_FPERIOD_OVERRIDE=FQ","FILING_STATUS=MR","Sort=A","Dates=H","DateFormat=P","Fill=—","Direction=H","UseDPDF=Y")</f>
        <v>6.0121000000000002</v>
      </c>
      <c r="F125" s="13">
        <f>_xll.BDH("ITCI US Equity","ARDR_OPTIONS_BEGINNING_OF_PERIOD","FQ3 2019","FQ3 2019","Currency=USD","Period=FQ","BEST_FPERIOD_OVERRIDE=FQ","FILING_STATUS=MR","Sort=A","Dates=H","DateFormat=P","Fill=—","Direction=H","UseDPDF=Y")</f>
        <v>6.4062000000000001</v>
      </c>
      <c r="G125" s="13">
        <f>_xll.BDH("ITCI US Equity","ARDR_OPTIONS_BEGINNING_OF_PERIOD","FQ4 2019","FQ4 2019","Currency=USD","Period=FQ","BEST_FPERIOD_OVERRIDE=FQ","FILING_STATUS=MR","Sort=A","Dates=H","DateFormat=P","Fill=—","Direction=H","UseDPDF=Y")</f>
        <v>6.3308999999999997</v>
      </c>
      <c r="H125" s="13">
        <f>_xll.BDH("ITCI US Equity","ARDR_OPTIONS_BEGINNING_OF_PERIOD","FQ1 2020","FQ1 2020","Currency=USD","Period=FQ","BEST_FPERIOD_OVERRIDE=FQ","FILING_STATUS=MR","Sort=A","Dates=H","DateFormat=P","Fill=—","Direction=H","UseDPDF=Y")</f>
        <v>6.0399000000000003</v>
      </c>
      <c r="I125" s="13">
        <f>_xll.BDH("ITCI US Equity","ARDR_OPTIONS_BEGINNING_OF_PERIOD","FQ2 2020","FQ2 2020","Currency=USD","Period=FQ","BEST_FPERIOD_OVERRIDE=FQ","FILING_STATUS=MR","Sort=A","Dates=H","DateFormat=P","Fill=—","Direction=H","UseDPDF=Y")</f>
        <v>6.4084000000000003</v>
      </c>
      <c r="J125" s="13">
        <f>_xll.BDH("ITCI US Equity","ARDR_OPTIONS_BEGINNING_OF_PERIOD","FQ3 2020","FQ3 2020","Currency=USD","Period=FQ","BEST_FPERIOD_OVERRIDE=FQ","FILING_STATUS=MR","Sort=A","Dates=H","DateFormat=P","Fill=—","Direction=H","UseDPDF=Y")</f>
        <v>6.1121999999999996</v>
      </c>
      <c r="K125" s="13">
        <f>_xll.BDH("ITCI US Equity","ARDR_OPTIONS_BEGINNING_OF_PERIOD","FQ4 2020","FQ4 2020","Currency=USD","Period=FQ","BEST_FPERIOD_OVERRIDE=FQ","FILING_STATUS=MR","Sort=A","Dates=H","DateFormat=P","Fill=—","Direction=H","UseDPDF=Y")</f>
        <v>5.9641000000000002</v>
      </c>
      <c r="L125" s="13">
        <f>_xll.BDH("ITCI US Equity","ARDR_OPTIONS_BEGINNING_OF_PERIOD","FQ1 2021","FQ1 2021","Currency=USD","Period=FQ","BEST_FPERIOD_OVERRIDE=FQ","FILING_STATUS=MR","Sort=A","Dates=H","DateFormat=P","Fill=—","Direction=H","UseDPDF=Y")</f>
        <v>5.5175999999999998</v>
      </c>
      <c r="M125" s="13">
        <f>_xll.BDH("ITCI US Equity","ARDR_OPTIONS_BEGINNING_OF_PERIOD","FQ2 2021","FQ2 2021","Currency=USD","Period=FQ","BEST_FPERIOD_OVERRIDE=FQ","FILING_STATUS=MR","Sort=A","Dates=H","DateFormat=P","Fill=—","Direction=H","UseDPDF=Y")</f>
        <v>5.9298999999999999</v>
      </c>
      <c r="N125" s="13">
        <f>_xll.BDH("ITCI US Equity","ARDR_OPTIONS_BEGINNING_OF_PERIOD","FQ3 2021","FQ3 2021","Currency=USD","Period=FQ","BEST_FPERIOD_OVERRIDE=FQ","FILING_STATUS=MR","Sort=A","Dates=H","DateFormat=P","Fill=—","Direction=H","UseDPDF=Y")</f>
        <v>6.0140000000000002</v>
      </c>
      <c r="O125" s="13">
        <f>_xll.BDH("ITCI US Equity","ARDR_OPTIONS_BEGINNING_OF_PERIOD","FQ4 2021","FQ4 2021","Currency=USD","Period=FQ","BEST_FPERIOD_OVERRIDE=FQ","FILING_STATUS=MR","Sort=A","Dates=H","DateFormat=P","Fill=—","Direction=H","UseDPDF=Y")</f>
        <v>5.9523000000000001</v>
      </c>
      <c r="P125" s="13">
        <f>_xll.BDH("ITCI US Equity","ARDR_OPTIONS_BEGINNING_OF_PERIOD","FQ1 2022","FQ1 2022","Currency=USD","Period=FQ","BEST_FPERIOD_OVERRIDE=FQ","FILING_STATUS=MR","Sort=A","Dates=H","DateFormat=P","Fill=—","Direction=H","UseDPDF=Y")</f>
        <v>5.4513999999999996</v>
      </c>
      <c r="Q125" s="13">
        <f>_xll.BDH("ITCI US Equity","ARDR_OPTIONS_BEGINNING_OF_PERIOD","FQ2 2022","FQ2 2022","Currency=USD","Period=FQ","BEST_FPERIOD_OVERRIDE=FQ","FILING_STATUS=MR","Sort=A","Dates=H","DateFormat=P","Fill=—","Direction=H","UseDPDF=Y")</f>
        <v>5.4770000000000003</v>
      </c>
      <c r="R125" s="13">
        <f>_xll.BDH("ITCI US Equity","ARDR_OPTIONS_BEGINNING_OF_PERIOD","FQ3 2022","FQ3 2022","Currency=USD","Period=FQ","BEST_FPERIOD_OVERRIDE=FQ","FILING_STATUS=MR","Sort=A","Dates=H","DateFormat=P","Fill=—","Direction=H","UseDPDF=Y")</f>
        <v>5.2417999999999996</v>
      </c>
      <c r="S125" s="13">
        <f>_xll.BDH("ITCI US Equity","ARDR_OPTIONS_BEGINNING_OF_PERIOD","FQ4 2022","FQ4 2022","Currency=USD","Period=FQ","BEST_FPERIOD_OVERRIDE=FQ","FILING_STATUS=MR","Sort=A","Dates=H","DateFormat=P","Fill=—","Direction=H","UseDPDF=Y")</f>
        <v>4.9260999999999999</v>
      </c>
      <c r="T125" s="13">
        <f>_xll.BDH("ITCI US Equity","ARDR_OPTIONS_BEGINNING_OF_PERIOD","FQ1 2023","FQ1 2023","Currency=USD","Period=FQ","BEST_FPERIOD_OVERRIDE=FQ","FILING_STATUS=MR","Sort=A","Dates=H","DateFormat=P","Fill=—","Direction=H","UseDPDF=Y")</f>
        <v>4.7859999999999996</v>
      </c>
      <c r="U125" s="13">
        <f>_xll.BDH("ITCI US Equity","ARDR_OPTIONS_BEGINNING_OF_PERIOD","FQ2 2023","FQ2 2023","Currency=USD","Period=FQ","BEST_FPERIOD_OVERRIDE=FQ","FILING_STATUS=MR","Sort=A","Dates=H","DateFormat=P","Fill=—","Direction=H","UseDPDF=Y")</f>
        <v>4.7380000000000004</v>
      </c>
      <c r="V125" s="13">
        <f>_xll.BDH("ITCI US Equity","ARDR_OPTIONS_BEGINNING_OF_PERIOD","FQ3 2023","FQ3 2023","Currency=USD","Period=FQ","BEST_FPERIOD_OVERRIDE=FQ","FILING_STATUS=MR","Sort=A","Dates=H","DateFormat=P","Fill=—","Direction=H","UseDPDF=Y")</f>
        <v>4.5152000000000001</v>
      </c>
      <c r="W125" s="13">
        <f>_xll.BDH("ITCI US Equity","ARDR_OPTIONS_BEGINNING_OF_PERIOD","FQ4 2023","FQ4 2023","Currency=USD","Period=FQ","BEST_FPERIOD_OVERRIDE=FQ","FILING_STATUS=MR","Sort=A","Dates=H","DateFormat=P","Fill=—","Direction=H","UseDPDF=Y")</f>
        <v>4.3856000000000002</v>
      </c>
      <c r="X125" s="13">
        <f>_xll.BDH("ITCI US Equity","ARDR_OPTIONS_BEGINNING_OF_PERIOD","FQ1 2024","FQ1 2024","Currency=USD","Period=FQ","BEST_FPERIOD_OVERRIDE=FQ","FILING_STATUS=MR","Sort=A","Dates=H","DateFormat=P","Fill=—","Direction=H","UseDPDF=Y")</f>
        <v>4.24</v>
      </c>
      <c r="Y125" s="13">
        <f>_xll.BDH("ITCI US Equity","ARDR_OPTIONS_BEGINNING_OF_PERIOD","FQ2 2024","FQ2 2024","Currency=USD","Period=FQ","BEST_FPERIOD_OVERRIDE=FQ","FILING_STATUS=MR","Sort=A","Dates=H","DateFormat=P","Fill=—","Direction=H","UseDPDF=Y")</f>
        <v>3.7730999999999999</v>
      </c>
      <c r="Z125" s="13">
        <f>_xll.BDH("ITCI US Equity","ARDR_OPTIONS_BEGINNING_OF_PERIOD","FQ3 2024","FQ3 2024","Currency=USD","Period=FQ","BEST_FPERIOD_OVERRIDE=FQ","FILING_STATUS=MR","Sort=A","Dates=H","DateFormat=P","Fill=—","Direction=H","UseDPDF=Y")</f>
        <v>3.6736</v>
      </c>
      <c r="AA125" s="13">
        <f>_xll.BDH("ITCI US Equity","ARDR_OPTIONS_BEGINNING_OF_PERIOD","FQ4 2024","FQ4 2024","Currency=USD","Period=FQ","BEST_FPERIOD_OVERRIDE=FQ","FILING_STATUS=MR","Sort=A","Dates=H","DateFormat=P","Fill=—","Direction=H","UseDPDF=Y")</f>
        <v>3.3294999999999999</v>
      </c>
    </row>
    <row r="126" spans="1:27" x14ac:dyDescent="0.25">
      <c r="A126" s="10" t="s">
        <v>898</v>
      </c>
      <c r="B126" s="10" t="s">
        <v>899</v>
      </c>
      <c r="C126" s="13" t="str">
        <f>_xll.BDH("ITCI US Equity","ARDR_OPTIONS_CANCEL_FORFEIT_EXP","FQ4 2018","FQ4 2018","Currency=USD","Period=FQ","BEST_FPERIOD_OVERRIDE=FQ","FILING_STATUS=MR","Sort=A","Dates=H","DateFormat=P","Fill=—","Direction=H","UseDPDF=Y")</f>
        <v>—</v>
      </c>
      <c r="D126" s="13" t="str">
        <f>_xll.BDH("ITCI US Equity","ARDR_OPTIONS_CANCEL_FORFEIT_EXP","FQ1 2019","FQ1 2019","Currency=USD","Period=FQ","BEST_FPERIOD_OVERRIDE=FQ","FILING_STATUS=MR","Sort=A","Dates=H","DateFormat=P","Fill=—","Direction=H","UseDPDF=Y")</f>
        <v>—</v>
      </c>
      <c r="E126" s="13" t="str">
        <f>_xll.BDH("ITCI US Equity","ARDR_OPTIONS_CANCEL_FORFEIT_EXP","FQ2 2019","FQ2 2019","Currency=USD","Period=FQ","BEST_FPERIOD_OVERRIDE=FQ","FILING_STATUS=MR","Sort=A","Dates=H","DateFormat=P","Fill=—","Direction=H","UseDPDF=Y")</f>
        <v>—</v>
      </c>
      <c r="F126" s="13" t="str">
        <f>_xll.BDH("ITCI US Equity","ARDR_OPTIONS_CANCEL_FORFEIT_EXP","FQ3 2019","FQ3 2019","Currency=USD","Period=FQ","BEST_FPERIOD_OVERRIDE=FQ","FILING_STATUS=MR","Sort=A","Dates=H","DateFormat=P","Fill=—","Direction=H","UseDPDF=Y")</f>
        <v>—</v>
      </c>
      <c r="G126" s="13" t="str">
        <f>_xll.BDH("ITCI US Equity","ARDR_OPTIONS_CANCEL_FORFEIT_EXP","FQ4 2019","FQ4 2019","Currency=USD","Period=FQ","BEST_FPERIOD_OVERRIDE=FQ","FILING_STATUS=MR","Sort=A","Dates=H","DateFormat=P","Fill=—","Direction=H","UseDPDF=Y")</f>
        <v>—</v>
      </c>
      <c r="H126" s="13" t="str">
        <f>_xll.BDH("ITCI US Equity","ARDR_OPTIONS_CANCEL_FORFEIT_EXP","FQ1 2020","FQ1 2020","Currency=USD","Period=FQ","BEST_FPERIOD_OVERRIDE=FQ","FILING_STATUS=MR","Sort=A","Dates=H","DateFormat=P","Fill=—","Direction=H","UseDPDF=Y")</f>
        <v>—</v>
      </c>
      <c r="I126" s="13" t="str">
        <f>_xll.BDH("ITCI US Equity","ARDR_OPTIONS_CANCEL_FORFEIT_EXP","FQ2 2020","FQ2 2020","Currency=USD","Period=FQ","BEST_FPERIOD_OVERRIDE=FQ","FILING_STATUS=MR","Sort=A","Dates=H","DateFormat=P","Fill=—","Direction=H","UseDPDF=Y")</f>
        <v>—</v>
      </c>
      <c r="J126" s="13" t="str">
        <f>_xll.BDH("ITCI US Equity","ARDR_OPTIONS_CANCEL_FORFEIT_EXP","FQ3 2020","FQ3 2020","Currency=USD","Period=FQ","BEST_FPERIOD_OVERRIDE=FQ","FILING_STATUS=MR","Sort=A","Dates=H","DateFormat=P","Fill=—","Direction=H","UseDPDF=Y")</f>
        <v>—</v>
      </c>
      <c r="K126" s="13" t="str">
        <f>_xll.BDH("ITCI US Equity","ARDR_OPTIONS_CANCEL_FORFEIT_EXP","FQ4 2020","FQ4 2020","Currency=USD","Period=FQ","BEST_FPERIOD_OVERRIDE=FQ","FILING_STATUS=MR","Sort=A","Dates=H","DateFormat=P","Fill=—","Direction=H","UseDPDF=Y")</f>
        <v>—</v>
      </c>
      <c r="L126" s="13" t="str">
        <f>_xll.BDH("ITCI US Equity","ARDR_OPTIONS_CANCEL_FORFEIT_EXP","FQ1 2021","FQ1 2021","Currency=USD","Period=FQ","BEST_FPERIOD_OVERRIDE=FQ","FILING_STATUS=MR","Sort=A","Dates=H","DateFormat=P","Fill=—","Direction=H","UseDPDF=Y")</f>
        <v>—</v>
      </c>
      <c r="M126" s="13" t="str">
        <f>_xll.BDH("ITCI US Equity","ARDR_OPTIONS_CANCEL_FORFEIT_EXP","FQ2 2021","FQ2 2021","Currency=USD","Period=FQ","BEST_FPERIOD_OVERRIDE=FQ","FILING_STATUS=MR","Sort=A","Dates=H","DateFormat=P","Fill=—","Direction=H","UseDPDF=Y")</f>
        <v>—</v>
      </c>
      <c r="N126" s="13">
        <f>_xll.BDH("ITCI US Equity","ARDR_OPTIONS_CANCEL_FORFEIT_EXP","FQ3 2021","FQ3 2021","Currency=USD","Period=FQ","BEST_FPERIOD_OVERRIDE=FQ","FILING_STATUS=MR","Sort=A","Dates=H","DateFormat=P","Fill=—","Direction=H","UseDPDF=Y")</f>
        <v>6.1000000000000004E-3</v>
      </c>
      <c r="O126" s="13" t="str">
        <f>_xll.BDH("ITCI US Equity","ARDR_OPTIONS_CANCEL_FORFEIT_EXP","FQ4 2021","FQ4 2021","Currency=USD","Period=FQ","BEST_FPERIOD_OVERRIDE=FQ","FILING_STATUS=MR","Sort=A","Dates=H","DateFormat=P","Fill=—","Direction=H","UseDPDF=Y")</f>
        <v>—</v>
      </c>
      <c r="P126" s="13" t="str">
        <f>_xll.BDH("ITCI US Equity","ARDR_OPTIONS_CANCEL_FORFEIT_EXP","FQ1 2022","FQ1 2022","Currency=USD","Period=FQ","BEST_FPERIOD_OVERRIDE=FQ","FILING_STATUS=MR","Sort=A","Dates=H","DateFormat=P","Fill=—","Direction=H","UseDPDF=Y")</f>
        <v>—</v>
      </c>
      <c r="Q126" s="13" t="str">
        <f>_xll.BDH("ITCI US Equity","ARDR_OPTIONS_CANCEL_FORFEIT_EXP","FQ2 2022","FQ2 2022","Currency=USD","Period=FQ","BEST_FPERIOD_OVERRIDE=FQ","FILING_STATUS=MR","Sort=A","Dates=H","DateFormat=P","Fill=—","Direction=H","UseDPDF=Y")</f>
        <v>—</v>
      </c>
      <c r="R126" s="13">
        <f>_xll.BDH("ITCI US Equity","ARDR_OPTIONS_CANCEL_FORFEIT_EXP","FQ3 2022","FQ3 2022","Currency=USD","Period=FQ","BEST_FPERIOD_OVERRIDE=FQ","FILING_STATUS=MR","Sort=A","Dates=H","DateFormat=P","Fill=—","Direction=H","UseDPDF=Y")</f>
        <v>9.4999999999999998E-3</v>
      </c>
      <c r="S126" s="13" t="str">
        <f>_xll.BDH("ITCI US Equity","ARDR_OPTIONS_CANCEL_FORFEIT_EXP","FQ4 2022","FQ4 2022","Currency=USD","Period=FQ","BEST_FPERIOD_OVERRIDE=FQ","FILING_STATUS=MR","Sort=A","Dates=H","DateFormat=P","Fill=—","Direction=H","UseDPDF=Y")</f>
        <v>—</v>
      </c>
      <c r="T126" s="13" t="str">
        <f>_xll.BDH("ITCI US Equity","ARDR_OPTIONS_CANCEL_FORFEIT_EXP","FQ1 2023","FQ1 2023","Currency=USD","Period=FQ","BEST_FPERIOD_OVERRIDE=FQ","FILING_STATUS=MR","Sort=A","Dates=H","DateFormat=P","Fill=—","Direction=H","UseDPDF=Y")</f>
        <v>—</v>
      </c>
      <c r="U126" s="13" t="str">
        <f>_xll.BDH("ITCI US Equity","ARDR_OPTIONS_CANCEL_FORFEIT_EXP","FQ2 2023","FQ2 2023","Currency=USD","Period=FQ","BEST_FPERIOD_OVERRIDE=FQ","FILING_STATUS=MR","Sort=A","Dates=H","DateFormat=P","Fill=—","Direction=H","UseDPDF=Y")</f>
        <v>—</v>
      </c>
      <c r="V126" s="13" t="str">
        <f>_xll.BDH("ITCI US Equity","ARDR_OPTIONS_CANCEL_FORFEIT_EXP","FQ3 2023","FQ3 2023","Currency=USD","Period=FQ","BEST_FPERIOD_OVERRIDE=FQ","FILING_STATUS=MR","Sort=A","Dates=H","DateFormat=P","Fill=—","Direction=H","UseDPDF=Y")</f>
        <v>—</v>
      </c>
      <c r="W126" s="13" t="str">
        <f>_xll.BDH("ITCI US Equity","ARDR_OPTIONS_CANCEL_FORFEIT_EXP","FQ4 2023","FQ4 2023","Currency=USD","Period=FQ","BEST_FPERIOD_OVERRIDE=FQ","FILING_STATUS=MR","Sort=A","Dates=H","DateFormat=P","Fill=—","Direction=H","UseDPDF=Y")</f>
        <v>—</v>
      </c>
      <c r="X126" s="13" t="str">
        <f>_xll.BDH("ITCI US Equity","ARDR_OPTIONS_CANCEL_FORFEIT_EXP","FQ1 2024","FQ1 2024","Currency=USD","Period=FQ","BEST_FPERIOD_OVERRIDE=FQ","FILING_STATUS=MR","Sort=A","Dates=H","DateFormat=P","Fill=—","Direction=H","UseDPDF=Y")</f>
        <v>—</v>
      </c>
      <c r="Y126" s="13" t="str">
        <f>_xll.BDH("ITCI US Equity","ARDR_OPTIONS_CANCEL_FORFEIT_EXP","FQ2 2024","FQ2 2024","Currency=USD","Period=FQ","BEST_FPERIOD_OVERRIDE=FQ","FILING_STATUS=MR","Sort=A","Dates=H","DateFormat=P","Fill=—","Direction=H","UseDPDF=Y")</f>
        <v>—</v>
      </c>
      <c r="Z126" s="13" t="str">
        <f>_xll.BDH("ITCI US Equity","ARDR_OPTIONS_CANCEL_FORFEIT_EXP","FQ3 2024","FQ3 2024","Currency=USD","Period=FQ","BEST_FPERIOD_OVERRIDE=FQ","FILING_STATUS=MR","Sort=A","Dates=H","DateFormat=P","Fill=—","Direction=H","UseDPDF=Y")</f>
        <v>—</v>
      </c>
      <c r="AA126" s="13" t="str">
        <f>_xll.BDH("ITCI US Equity","ARDR_OPTIONS_CANCEL_FORFEIT_EXP","FQ4 2024","FQ4 2024","Currency=USD","Period=FQ","BEST_FPERIOD_OVERRIDE=FQ","FILING_STATUS=MR","Sort=A","Dates=H","DateFormat=P","Fill=—","Direction=H","UseDPDF=Y")</f>
        <v>—</v>
      </c>
    </row>
    <row r="127" spans="1:27" x14ac:dyDescent="0.25">
      <c r="A127" s="10" t="s">
        <v>900</v>
      </c>
      <c r="B127" s="10" t="s">
        <v>901</v>
      </c>
      <c r="C127" s="13" t="str">
        <f>_xll.BDH("ITCI US Equity","ARDR_OPTIONS_ADJUSTMENT","FQ4 2018","FQ4 2018","Currency=USD","Period=FQ","BEST_FPERIOD_OVERRIDE=FQ","FILING_STATUS=MR","Sort=A","Dates=H","DateFormat=P","Fill=—","Direction=H","UseDPDF=Y")</f>
        <v>—</v>
      </c>
      <c r="D127" s="13" t="str">
        <f>_xll.BDH("ITCI US Equity","ARDR_OPTIONS_ADJUSTMENT","FQ1 2019","FQ1 2019","Currency=USD","Period=FQ","BEST_FPERIOD_OVERRIDE=FQ","FILING_STATUS=MR","Sort=A","Dates=H","DateFormat=P","Fill=—","Direction=H","UseDPDF=Y")</f>
        <v>—</v>
      </c>
      <c r="E127" s="13" t="str">
        <f>_xll.BDH("ITCI US Equity","ARDR_OPTIONS_ADJUSTMENT","FQ2 2019","FQ2 2019","Currency=USD","Period=FQ","BEST_FPERIOD_OVERRIDE=FQ","FILING_STATUS=MR","Sort=A","Dates=H","DateFormat=P","Fill=—","Direction=H","UseDPDF=Y")</f>
        <v>—</v>
      </c>
      <c r="F127" s="13" t="str">
        <f>_xll.BDH("ITCI US Equity","ARDR_OPTIONS_ADJUSTMENT","FQ3 2019","FQ3 2019","Currency=USD","Period=FQ","BEST_FPERIOD_OVERRIDE=FQ","FILING_STATUS=MR","Sort=A","Dates=H","DateFormat=P","Fill=—","Direction=H","UseDPDF=Y")</f>
        <v>—</v>
      </c>
      <c r="G127" s="13" t="str">
        <f>_xll.BDH("ITCI US Equity","ARDR_OPTIONS_ADJUSTMENT","FQ4 2019","FQ4 2019","Currency=USD","Period=FQ","BEST_FPERIOD_OVERRIDE=FQ","FILING_STATUS=MR","Sort=A","Dates=H","DateFormat=P","Fill=—","Direction=H","UseDPDF=Y")</f>
        <v>—</v>
      </c>
      <c r="H127" s="13" t="str">
        <f>_xll.BDH("ITCI US Equity","ARDR_OPTIONS_ADJUSTMENT","FQ1 2020","FQ1 2020","Currency=USD","Period=FQ","BEST_FPERIOD_OVERRIDE=FQ","FILING_STATUS=MR","Sort=A","Dates=H","DateFormat=P","Fill=—","Direction=H","UseDPDF=Y")</f>
        <v>—</v>
      </c>
      <c r="I127" s="13" t="str">
        <f>_xll.BDH("ITCI US Equity","ARDR_OPTIONS_ADJUSTMENT","FQ2 2020","FQ2 2020","Currency=USD","Period=FQ","BEST_FPERIOD_OVERRIDE=FQ","FILING_STATUS=MR","Sort=A","Dates=H","DateFormat=P","Fill=—","Direction=H","UseDPDF=Y")</f>
        <v>—</v>
      </c>
      <c r="J127" s="13" t="str">
        <f>_xll.BDH("ITCI US Equity","ARDR_OPTIONS_ADJUSTMENT","FQ3 2020","FQ3 2020","Currency=USD","Period=FQ","BEST_FPERIOD_OVERRIDE=FQ","FILING_STATUS=MR","Sort=A","Dates=H","DateFormat=P","Fill=—","Direction=H","UseDPDF=Y")</f>
        <v>—</v>
      </c>
      <c r="K127" s="13" t="str">
        <f>_xll.BDH("ITCI US Equity","ARDR_OPTIONS_ADJUSTMENT","FQ4 2020","FQ4 2020","Currency=USD","Period=FQ","BEST_FPERIOD_OVERRIDE=FQ","FILING_STATUS=MR","Sort=A","Dates=H","DateFormat=P","Fill=—","Direction=H","UseDPDF=Y")</f>
        <v>—</v>
      </c>
      <c r="L127" s="13" t="str">
        <f>_xll.BDH("ITCI US Equity","ARDR_OPTIONS_ADJUSTMENT","FQ1 2021","FQ1 2021","Currency=USD","Period=FQ","BEST_FPERIOD_OVERRIDE=FQ","FILING_STATUS=MR","Sort=A","Dates=H","DateFormat=P","Fill=—","Direction=H","UseDPDF=Y")</f>
        <v>—</v>
      </c>
      <c r="M127" s="13" t="str">
        <f>_xll.BDH("ITCI US Equity","ARDR_OPTIONS_ADJUSTMENT","FQ2 2021","FQ2 2021","Currency=USD","Period=FQ","BEST_FPERIOD_OVERRIDE=FQ","FILING_STATUS=MR","Sort=A","Dates=H","DateFormat=P","Fill=—","Direction=H","UseDPDF=Y")</f>
        <v>—</v>
      </c>
      <c r="N127" s="13">
        <f>_xll.BDH("ITCI US Equity","ARDR_OPTIONS_ADJUSTMENT","FQ3 2021","FQ3 2021","Currency=USD","Period=FQ","BEST_FPERIOD_OVERRIDE=FQ","FILING_STATUS=MR","Sort=A","Dates=H","DateFormat=P","Fill=—","Direction=H","UseDPDF=Y")</f>
        <v>-4.1000000000000003E-3</v>
      </c>
      <c r="O127" s="13">
        <f>_xll.BDH("ITCI US Equity","ARDR_OPTIONS_ADJUSTMENT","FQ4 2021","FQ4 2021","Currency=USD","Period=FQ","BEST_FPERIOD_OVERRIDE=FQ","FILING_STATUS=MR","Sort=A","Dates=H","DateFormat=P","Fill=—","Direction=H","UseDPDF=Y")</f>
        <v>-0.67030000000000001</v>
      </c>
      <c r="P127" s="13" t="str">
        <f>_xll.BDH("ITCI US Equity","ARDR_OPTIONS_ADJUSTMENT","FQ1 2022","FQ1 2022","Currency=USD","Period=FQ","BEST_FPERIOD_OVERRIDE=FQ","FILING_STATUS=MR","Sort=A","Dates=H","DateFormat=P","Fill=—","Direction=H","UseDPDF=Y")</f>
        <v>—</v>
      </c>
      <c r="Q127" s="13" t="str">
        <f>_xll.BDH("ITCI US Equity","ARDR_OPTIONS_ADJUSTMENT","FQ2 2022","FQ2 2022","Currency=USD","Period=FQ","BEST_FPERIOD_OVERRIDE=FQ","FILING_STATUS=MR","Sort=A","Dates=H","DateFormat=P","Fill=—","Direction=H","UseDPDF=Y")</f>
        <v>—</v>
      </c>
      <c r="R127" s="13" t="str">
        <f>_xll.BDH("ITCI US Equity","ARDR_OPTIONS_ADJUSTMENT","FQ3 2022","FQ3 2022","Currency=USD","Period=FQ","BEST_FPERIOD_OVERRIDE=FQ","FILING_STATUS=MR","Sort=A","Dates=H","DateFormat=P","Fill=—","Direction=H","UseDPDF=Y")</f>
        <v>—</v>
      </c>
      <c r="S127" s="13" t="str">
        <f>_xll.BDH("ITCI US Equity","ARDR_OPTIONS_ADJUSTMENT","FQ4 2022","FQ4 2022","Currency=USD","Period=FQ","BEST_FPERIOD_OVERRIDE=FQ","FILING_STATUS=MR","Sort=A","Dates=H","DateFormat=P","Fill=—","Direction=H","UseDPDF=Y")</f>
        <v>—</v>
      </c>
      <c r="T127" s="13" t="str">
        <f>_xll.BDH("ITCI US Equity","ARDR_OPTIONS_ADJUSTMENT","FQ1 2023","FQ1 2023","Currency=USD","Period=FQ","BEST_FPERIOD_OVERRIDE=FQ","FILING_STATUS=MR","Sort=A","Dates=H","DateFormat=P","Fill=—","Direction=H","UseDPDF=Y")</f>
        <v>—</v>
      </c>
      <c r="U127" s="13" t="str">
        <f>_xll.BDH("ITCI US Equity","ARDR_OPTIONS_ADJUSTMENT","FQ2 2023","FQ2 2023","Currency=USD","Period=FQ","BEST_FPERIOD_OVERRIDE=FQ","FILING_STATUS=MR","Sort=A","Dates=H","DateFormat=P","Fill=—","Direction=H","UseDPDF=Y")</f>
        <v>—</v>
      </c>
      <c r="V127" s="13" t="str">
        <f>_xll.BDH("ITCI US Equity","ARDR_OPTIONS_ADJUSTMENT","FQ3 2023","FQ3 2023","Currency=USD","Period=FQ","BEST_FPERIOD_OVERRIDE=FQ","FILING_STATUS=MR","Sort=A","Dates=H","DateFormat=P","Fill=—","Direction=H","UseDPDF=Y")</f>
        <v>—</v>
      </c>
      <c r="W127" s="13" t="str">
        <f>_xll.BDH("ITCI US Equity","ARDR_OPTIONS_ADJUSTMENT","FQ4 2023","FQ4 2023","Currency=USD","Period=FQ","BEST_FPERIOD_OVERRIDE=FQ","FILING_STATUS=MR","Sort=A","Dates=H","DateFormat=P","Fill=—","Direction=H","UseDPDF=Y")</f>
        <v>—</v>
      </c>
      <c r="X127" s="13" t="str">
        <f>_xll.BDH("ITCI US Equity","ARDR_OPTIONS_ADJUSTMENT","FQ1 2024","FQ1 2024","Currency=USD","Period=FQ","BEST_FPERIOD_OVERRIDE=FQ","FILING_STATUS=MR","Sort=A","Dates=H","DateFormat=P","Fill=—","Direction=H","UseDPDF=Y")</f>
        <v>—</v>
      </c>
      <c r="Y127" s="13" t="str">
        <f>_xll.BDH("ITCI US Equity","ARDR_OPTIONS_ADJUSTMENT","FQ2 2024","FQ2 2024","Currency=USD","Period=FQ","BEST_FPERIOD_OVERRIDE=FQ","FILING_STATUS=MR","Sort=A","Dates=H","DateFormat=P","Fill=—","Direction=H","UseDPDF=Y")</f>
        <v>—</v>
      </c>
      <c r="Z127" s="13" t="str">
        <f>_xll.BDH("ITCI US Equity","ARDR_OPTIONS_ADJUSTMENT","FQ3 2024","FQ3 2024","Currency=USD","Period=FQ","BEST_FPERIOD_OVERRIDE=FQ","FILING_STATUS=MR","Sort=A","Dates=H","DateFormat=P","Fill=—","Direction=H","UseDPDF=Y")</f>
        <v>—</v>
      </c>
      <c r="AA127" s="13" t="str">
        <f>_xll.BDH("ITCI US Equity","ARDR_OPTIONS_ADJUSTMENT","FQ4 2024","FQ4 2024","Currency=USD","Period=FQ","BEST_FPERIOD_OVERRIDE=FQ","FILING_STATUS=MR","Sort=A","Dates=H","DateFormat=P","Fill=—","Direction=H","UseDPDF=Y")</f>
        <v>—</v>
      </c>
    </row>
    <row r="128" spans="1:27" x14ac:dyDescent="0.25">
      <c r="A128" s="10" t="s">
        <v>902</v>
      </c>
      <c r="B128" s="10" t="s">
        <v>903</v>
      </c>
      <c r="C128" s="13" t="str">
        <f>_xll.BDH("ITCI US Equity","ARDR_RESTRICTED_STOCK_UNITS","FQ4 2018","FQ4 2018","Currency=USD","Period=FQ","BEST_FPERIOD_OVERRIDE=FQ","FILING_STATUS=MR","Sort=A","Dates=H","DateFormat=P","Fill=—","Direction=H","UseDPDF=Y")</f>
        <v>—</v>
      </c>
      <c r="D128" s="13" t="str">
        <f>_xll.BDH("ITCI US Equity","ARDR_RESTRICTED_STOCK_UNITS","FQ1 2019","FQ1 2019","Currency=USD","Period=FQ","BEST_FPERIOD_OVERRIDE=FQ","FILING_STATUS=MR","Sort=A","Dates=H","DateFormat=P","Fill=—","Direction=H","UseDPDF=Y")</f>
        <v>—</v>
      </c>
      <c r="E128" s="13" t="str">
        <f>_xll.BDH("ITCI US Equity","ARDR_RESTRICTED_STOCK_UNITS","FQ2 2019","FQ2 2019","Currency=USD","Period=FQ","BEST_FPERIOD_OVERRIDE=FQ","FILING_STATUS=MR","Sort=A","Dates=H","DateFormat=P","Fill=—","Direction=H","UseDPDF=Y")</f>
        <v>—</v>
      </c>
      <c r="F128" s="13" t="str">
        <f>_xll.BDH("ITCI US Equity","ARDR_RESTRICTED_STOCK_UNITS","FQ3 2019","FQ3 2019","Currency=USD","Period=FQ","BEST_FPERIOD_OVERRIDE=FQ","FILING_STATUS=MR","Sort=A","Dates=H","DateFormat=P","Fill=—","Direction=H","UseDPDF=Y")</f>
        <v>—</v>
      </c>
      <c r="G128" s="13" t="str">
        <f>_xll.BDH("ITCI US Equity","ARDR_RESTRICTED_STOCK_UNITS","FQ4 2019","FQ4 2019","Currency=USD","Period=FQ","BEST_FPERIOD_OVERRIDE=FQ","FILING_STATUS=MR","Sort=A","Dates=H","DateFormat=P","Fill=—","Direction=H","UseDPDF=Y")</f>
        <v>—</v>
      </c>
      <c r="H128" s="13">
        <f>_xll.BDH("ITCI US Equity","ARDR_RESTRICTED_STOCK_UNITS","FQ1 2020","FQ1 2020","Currency=USD","Period=FQ","BEST_FPERIOD_OVERRIDE=FQ","FILING_STATUS=MR","Sort=A","Dates=H","DateFormat=P","Fill=—","Direction=H","UseDPDF=Y")</f>
        <v>0.27439999999999998</v>
      </c>
      <c r="I128" s="13">
        <f>_xll.BDH("ITCI US Equity","ARDR_RESTRICTED_STOCK_UNITS","FQ2 2020","FQ2 2020","Currency=USD","Period=FQ","BEST_FPERIOD_OVERRIDE=FQ","FILING_STATUS=MR","Sort=A","Dates=H","DateFormat=P","Fill=—","Direction=H","UseDPDF=Y")</f>
        <v>6.1121999999999996</v>
      </c>
      <c r="J128" s="13">
        <f>_xll.BDH("ITCI US Equity","ARDR_RESTRICTED_STOCK_UNITS","FQ3 2020","FQ3 2020","Currency=USD","Period=FQ","BEST_FPERIOD_OVERRIDE=FQ","FILING_STATUS=MR","Sort=A","Dates=H","DateFormat=P","Fill=—","Direction=H","UseDPDF=Y")</f>
        <v>1.4001999999999999</v>
      </c>
      <c r="K128" s="13">
        <f>_xll.BDH("ITCI US Equity","ARDR_RESTRICTED_STOCK_UNITS","FQ4 2020","FQ4 2020","Currency=USD","Period=FQ","BEST_FPERIOD_OVERRIDE=FQ","FILING_STATUS=MR","Sort=A","Dates=H","DateFormat=P","Fill=—","Direction=H","UseDPDF=Y")</f>
        <v>0.25190000000000001</v>
      </c>
      <c r="L128" s="13">
        <f>_xll.BDH("ITCI US Equity","ARDR_RESTRICTED_STOCK_UNITS","FQ1 2021","FQ1 2021","Currency=USD","Period=FQ","BEST_FPERIOD_OVERRIDE=FQ","FILING_STATUS=MR","Sort=A","Dates=H","DateFormat=P","Fill=—","Direction=H","UseDPDF=Y")</f>
        <v>5.5587999999999997</v>
      </c>
      <c r="M128" s="13">
        <f>_xll.BDH("ITCI US Equity","ARDR_RESTRICTED_STOCK_UNITS","FQ2 2021","FQ2 2021","Currency=USD","Period=FQ","BEST_FPERIOD_OVERRIDE=FQ","FILING_STATUS=MR","Sort=A","Dates=H","DateFormat=P","Fill=—","Direction=H","UseDPDF=Y")</f>
        <v>1.4017999999999999</v>
      </c>
      <c r="N128" s="13">
        <f>_xll.BDH("ITCI US Equity","ARDR_RESTRICTED_STOCK_UNITS","FQ3 2021","FQ3 2021","Currency=USD","Period=FQ","BEST_FPERIOD_OVERRIDE=FQ","FILING_STATUS=MR","Sort=A","Dates=H","DateFormat=P","Fill=—","Direction=H","UseDPDF=Y")</f>
        <v>1.6698999999999999</v>
      </c>
      <c r="O128" s="13">
        <f>_xll.BDH("ITCI US Equity","ARDR_RESTRICTED_STOCK_UNITS","FQ4 2021","FQ4 2021","Currency=USD","Period=FQ","BEST_FPERIOD_OVERRIDE=FQ","FILING_STATUS=MR","Sort=A","Dates=H","DateFormat=P","Fill=—","Direction=H","UseDPDF=Y")</f>
        <v>0.152</v>
      </c>
      <c r="P128" s="13">
        <f>_xll.BDH("ITCI US Equity","ARDR_RESTRICTED_STOCK_UNITS","FQ1 2022","FQ1 2022","Currency=USD","Period=FQ","BEST_FPERIOD_OVERRIDE=FQ","FILING_STATUS=MR","Sort=A","Dates=H","DateFormat=P","Fill=—","Direction=H","UseDPDF=Y")</f>
        <v>1.3493999999999999</v>
      </c>
      <c r="Q128" s="13">
        <f>_xll.BDH("ITCI US Equity","ARDR_RESTRICTED_STOCK_UNITS","FQ2 2022","FQ2 2022","Currency=USD","Period=FQ","BEST_FPERIOD_OVERRIDE=FQ","FILING_STATUS=MR","Sort=A","Dates=H","DateFormat=P","Fill=—","Direction=H","UseDPDF=Y")</f>
        <v>1.3228</v>
      </c>
      <c r="R128" s="13">
        <f>_xll.BDH("ITCI US Equity","ARDR_RESTRICTED_STOCK_UNITS","FQ3 2022","FQ3 2022","Currency=USD","Period=FQ","BEST_FPERIOD_OVERRIDE=FQ","FILING_STATUS=MR","Sort=A","Dates=H","DateFormat=P","Fill=—","Direction=H","UseDPDF=Y")</f>
        <v>1.3007</v>
      </c>
      <c r="S128" s="13">
        <f>_xll.BDH("ITCI US Equity","ARDR_RESTRICTED_STOCK_UNITS","FQ4 2022","FQ4 2022","Currency=USD","Period=FQ","BEST_FPERIOD_OVERRIDE=FQ","FILING_STATUS=MR","Sort=A","Dates=H","DateFormat=P","Fill=—","Direction=H","UseDPDF=Y")</f>
        <v>1.2746999999999999</v>
      </c>
      <c r="T128" s="13">
        <f>_xll.BDH("ITCI US Equity","ARDR_RESTRICTED_STOCK_UNITS","FQ1 2023","FQ1 2023","Currency=USD","Period=FQ","BEST_FPERIOD_OVERRIDE=FQ","FILING_STATUS=MR","Sort=A","Dates=H","DateFormat=P","Fill=—","Direction=H","UseDPDF=Y")</f>
        <v>1.6135999999999999</v>
      </c>
      <c r="U128" s="13">
        <f>_xll.BDH("ITCI US Equity","ARDR_RESTRICTED_STOCK_UNITS","FQ2 2023","FQ2 2023","Currency=USD","Period=FQ","BEST_FPERIOD_OVERRIDE=FQ","FILING_STATUS=MR","Sort=A","Dates=H","DateFormat=P","Fill=—","Direction=H","UseDPDF=Y")</f>
        <v>1.6263000000000001</v>
      </c>
      <c r="V128" s="13">
        <f>_xll.BDH("ITCI US Equity","ARDR_RESTRICTED_STOCK_UNITS","FQ3 2023","FQ3 2023","Currency=USD","Period=FQ","BEST_FPERIOD_OVERRIDE=FQ","FILING_STATUS=MR","Sort=A","Dates=H","DateFormat=P","Fill=—","Direction=H","UseDPDF=Y")</f>
        <v>1.6476999999999999</v>
      </c>
      <c r="W128" s="13">
        <f>_xll.BDH("ITCI US Equity","ARDR_RESTRICTED_STOCK_UNITS","FQ4 2023","FQ4 2023","Currency=USD","Period=FQ","BEST_FPERIOD_OVERRIDE=FQ","FILING_STATUS=MR","Sort=A","Dates=H","DateFormat=P","Fill=—","Direction=H","UseDPDF=Y")</f>
        <v>1.6451</v>
      </c>
      <c r="X128" s="13">
        <f>_xll.BDH("ITCI US Equity","ARDR_RESTRICTED_STOCK_UNITS","FQ1 2024","FQ1 2024","Currency=USD","Period=FQ","BEST_FPERIOD_OVERRIDE=FQ","FILING_STATUS=MR","Sort=A","Dates=H","DateFormat=P","Fill=—","Direction=H","UseDPDF=Y")</f>
        <v>1.9151</v>
      </c>
      <c r="Y128" s="13">
        <f>_xll.BDH("ITCI US Equity","ARDR_RESTRICTED_STOCK_UNITS","FQ2 2024","FQ2 2024","Currency=USD","Period=FQ","BEST_FPERIOD_OVERRIDE=FQ","FILING_STATUS=MR","Sort=A","Dates=H","DateFormat=P","Fill=—","Direction=H","UseDPDF=Y")</f>
        <v>1.9295</v>
      </c>
      <c r="Z128" s="13">
        <f>_xll.BDH("ITCI US Equity","ARDR_RESTRICTED_STOCK_UNITS","FQ3 2024","FQ3 2024","Currency=USD","Period=FQ","BEST_FPERIOD_OVERRIDE=FQ","FILING_STATUS=MR","Sort=A","Dates=H","DateFormat=P","Fill=—","Direction=H","UseDPDF=Y")</f>
        <v>1.9508000000000001</v>
      </c>
      <c r="AA128" s="13">
        <f>_xll.BDH("ITCI US Equity","ARDR_RESTRICTED_STOCK_UNITS","FQ4 2024","FQ4 2024","Currency=USD","Period=FQ","BEST_FPERIOD_OVERRIDE=FQ","FILING_STATUS=MR","Sort=A","Dates=H","DateFormat=P","Fill=—","Direction=H","UseDPDF=Y")</f>
        <v>2.0019999999999998</v>
      </c>
    </row>
    <row r="129" spans="1:27" x14ac:dyDescent="0.25">
      <c r="A129" s="10" t="s">
        <v>904</v>
      </c>
      <c r="B129" s="10" t="s">
        <v>905</v>
      </c>
      <c r="C129" s="14" t="str">
        <f>_xll.BDH("ITCI US Equity","ARDR_RSTR_STK_UNIT_WAVG_FV_PS","FQ4 2018","FQ4 2018","Currency=USD","Period=FQ","BEST_FPERIOD_OVERRIDE=FQ","FILING_STATUS=MR","Sort=A","Dates=H","DateFormat=P","Fill=—","Direction=H","UseDPDF=Y")</f>
        <v>—</v>
      </c>
      <c r="D129" s="14" t="str">
        <f>_xll.BDH("ITCI US Equity","ARDR_RSTR_STK_UNIT_WAVG_FV_PS","FQ1 2019","FQ1 2019","Currency=USD","Period=FQ","BEST_FPERIOD_OVERRIDE=FQ","FILING_STATUS=MR","Sort=A","Dates=H","DateFormat=P","Fill=—","Direction=H","UseDPDF=Y")</f>
        <v>—</v>
      </c>
      <c r="E129" s="14" t="str">
        <f>_xll.BDH("ITCI US Equity","ARDR_RSTR_STK_UNIT_WAVG_FV_PS","FQ2 2019","FQ2 2019","Currency=USD","Period=FQ","BEST_FPERIOD_OVERRIDE=FQ","FILING_STATUS=MR","Sort=A","Dates=H","DateFormat=P","Fill=—","Direction=H","UseDPDF=Y")</f>
        <v>—</v>
      </c>
      <c r="F129" s="14" t="str">
        <f>_xll.BDH("ITCI US Equity","ARDR_RSTR_STK_UNIT_WAVG_FV_PS","FQ3 2019","FQ3 2019","Currency=USD","Period=FQ","BEST_FPERIOD_OVERRIDE=FQ","FILING_STATUS=MR","Sort=A","Dates=H","DateFormat=P","Fill=—","Direction=H","UseDPDF=Y")</f>
        <v>—</v>
      </c>
      <c r="G129" s="14" t="str">
        <f>_xll.BDH("ITCI US Equity","ARDR_RSTR_STK_UNIT_WAVG_FV_PS","FQ4 2019","FQ4 2019","Currency=USD","Period=FQ","BEST_FPERIOD_OVERRIDE=FQ","FILING_STATUS=MR","Sort=A","Dates=H","DateFormat=P","Fill=—","Direction=H","UseDPDF=Y")</f>
        <v>—</v>
      </c>
      <c r="H129" s="14">
        <f>_xll.BDH("ITCI US Equity","ARDR_RSTR_STK_UNIT_WAVG_FV_PS","FQ1 2020","FQ1 2020","Currency=USD","Period=FQ","BEST_FPERIOD_OVERRIDE=FQ","FILING_STATUS=MR","Sort=A","Dates=H","DateFormat=P","Fill=—","Direction=H","UseDPDF=Y")</f>
        <v>16.010000000000002</v>
      </c>
      <c r="I129" s="14">
        <f>_xll.BDH("ITCI US Equity","ARDR_RSTR_STK_UNIT_WAVG_FV_PS","FQ2 2020","FQ2 2020","Currency=USD","Period=FQ","BEST_FPERIOD_OVERRIDE=FQ","FILING_STATUS=MR","Sort=A","Dates=H","DateFormat=P","Fill=—","Direction=H","UseDPDF=Y")</f>
        <v>17.920000000000002</v>
      </c>
      <c r="J129" s="14">
        <f>_xll.BDH("ITCI US Equity","ARDR_RSTR_STK_UNIT_WAVG_FV_PS","FQ3 2020","FQ3 2020","Currency=USD","Period=FQ","BEST_FPERIOD_OVERRIDE=FQ","FILING_STATUS=MR","Sort=A","Dates=H","DateFormat=P","Fill=—","Direction=H","UseDPDF=Y")</f>
        <v>18.690000000000001</v>
      </c>
      <c r="K129" s="14">
        <f>_xll.BDH("ITCI US Equity","ARDR_RSTR_STK_UNIT_WAVG_FV_PS","FQ4 2020","FQ4 2020","Currency=USD","Period=FQ","BEST_FPERIOD_OVERRIDE=FQ","FILING_STATUS=MR","Sort=A","Dates=H","DateFormat=P","Fill=—","Direction=H","UseDPDF=Y")</f>
        <v>16.03</v>
      </c>
      <c r="L129" s="14">
        <f>_xll.BDH("ITCI US Equity","ARDR_RSTR_STK_UNIT_WAVG_FV_PS","FQ1 2021","FQ1 2021","Currency=USD","Period=FQ","BEST_FPERIOD_OVERRIDE=FQ","FILING_STATUS=MR","Sort=A","Dates=H","DateFormat=P","Fill=—","Direction=H","UseDPDF=Y")</f>
        <v>44.74</v>
      </c>
      <c r="M129" s="14">
        <f>_xll.BDH("ITCI US Equity","ARDR_RSTR_STK_UNIT_WAVG_FV_PS","FQ2 2021","FQ2 2021","Currency=USD","Period=FQ","BEST_FPERIOD_OVERRIDE=FQ","FILING_STATUS=MR","Sort=A","Dates=H","DateFormat=P","Fill=—","Direction=H","UseDPDF=Y")</f>
        <v>20.64</v>
      </c>
      <c r="N129" s="14">
        <f>_xll.BDH("ITCI US Equity","ARDR_RSTR_STK_UNIT_WAVG_FV_PS","FQ3 2021","FQ3 2021","Currency=USD","Period=FQ","BEST_FPERIOD_OVERRIDE=FQ","FILING_STATUS=MR","Sort=A","Dates=H","DateFormat=P","Fill=—","Direction=H","UseDPDF=Y")</f>
        <v>48.5</v>
      </c>
      <c r="O129" s="14">
        <f>_xll.BDH("ITCI US Equity","ARDR_RSTR_STK_UNIT_WAVG_FV_PS","FQ4 2021","FQ4 2021","Currency=USD","Period=FQ","BEST_FPERIOD_OVERRIDE=FQ","FILING_STATUS=MR","Sort=A","Dates=H","DateFormat=P","Fill=—","Direction=H","UseDPDF=Y")</f>
        <v>16.05</v>
      </c>
      <c r="P129" s="14">
        <f>_xll.BDH("ITCI US Equity","ARDR_RSTR_STK_UNIT_WAVG_FV_PS","FQ1 2022","FQ1 2022","Currency=USD","Period=FQ","BEST_FPERIOD_OVERRIDE=FQ","FILING_STATUS=MR","Sort=A","Dates=H","DateFormat=P","Fill=—","Direction=H","UseDPDF=Y")</f>
        <v>42.23</v>
      </c>
      <c r="Q129" s="14">
        <f>_xll.BDH("ITCI US Equity","ARDR_RSTR_STK_UNIT_WAVG_FV_PS","FQ2 2022","FQ2 2022","Currency=USD","Period=FQ","BEST_FPERIOD_OVERRIDE=FQ","FILING_STATUS=MR","Sort=A","Dates=H","DateFormat=P","Fill=—","Direction=H","UseDPDF=Y")</f>
        <v>42.39</v>
      </c>
      <c r="R129" s="14">
        <f>_xll.BDH("ITCI US Equity","ARDR_RSTR_STK_UNIT_WAVG_FV_PS","FQ3 2022","FQ3 2022","Currency=USD","Period=FQ","BEST_FPERIOD_OVERRIDE=FQ","FILING_STATUS=MR","Sort=A","Dates=H","DateFormat=P","Fill=—","Direction=H","UseDPDF=Y")</f>
        <v>42.75</v>
      </c>
      <c r="S129" s="14">
        <f>_xll.BDH("ITCI US Equity","ARDR_RSTR_STK_UNIT_WAVG_FV_PS","FQ4 2022","FQ4 2022","Currency=USD","Period=FQ","BEST_FPERIOD_OVERRIDE=FQ","FILING_STATUS=MR","Sort=A","Dates=H","DateFormat=P","Fill=—","Direction=H","UseDPDF=Y")</f>
        <v>42.76</v>
      </c>
      <c r="T129" s="14">
        <f>_xll.BDH("ITCI US Equity","ARDR_RSTR_STK_UNIT_WAVG_FV_PS","FQ1 2023","FQ1 2023","Currency=USD","Period=FQ","BEST_FPERIOD_OVERRIDE=FQ","FILING_STATUS=MR","Sort=A","Dates=H","DateFormat=P","Fill=—","Direction=H","UseDPDF=Y")</f>
        <v>48.42</v>
      </c>
      <c r="U129" s="14">
        <f>_xll.BDH("ITCI US Equity","ARDR_RSTR_STK_UNIT_WAVG_FV_PS","FQ2 2023","FQ2 2023","Currency=USD","Period=FQ","BEST_FPERIOD_OVERRIDE=FQ","FILING_STATUS=MR","Sort=A","Dates=H","DateFormat=P","Fill=—","Direction=H","UseDPDF=Y")</f>
        <v>48.62</v>
      </c>
      <c r="V129" s="14">
        <f>_xll.BDH("ITCI US Equity","ARDR_RSTR_STK_UNIT_WAVG_FV_PS","FQ3 2023","FQ3 2023","Currency=USD","Period=FQ","BEST_FPERIOD_OVERRIDE=FQ","FILING_STATUS=MR","Sort=A","Dates=H","DateFormat=P","Fill=—","Direction=H","UseDPDF=Y")</f>
        <v>48.9</v>
      </c>
      <c r="W129" s="14">
        <f>_xll.BDH("ITCI US Equity","ARDR_RSTR_STK_UNIT_WAVG_FV_PS","FQ4 2023","FQ4 2023","Currency=USD","Period=FQ","BEST_FPERIOD_OVERRIDE=FQ","FILING_STATUS=MR","Sort=A","Dates=H","DateFormat=P","Fill=—","Direction=H","UseDPDF=Y")</f>
        <v>48.92</v>
      </c>
      <c r="X129" s="14">
        <f>_xll.BDH("ITCI US Equity","ARDR_RSTR_STK_UNIT_WAVG_FV_PS","FQ1 2024","FQ1 2024","Currency=USD","Period=FQ","BEST_FPERIOD_OVERRIDE=FQ","FILING_STATUS=MR","Sort=A","Dates=H","DateFormat=P","Fill=—","Direction=H","UseDPDF=Y")</f>
        <v>59.67</v>
      </c>
      <c r="Y129" s="14">
        <f>_xll.BDH("ITCI US Equity","ARDR_RSTR_STK_UNIT_WAVG_FV_PS","FQ2 2024","FQ2 2024","Currency=USD","Period=FQ","BEST_FPERIOD_OVERRIDE=FQ","FILING_STATUS=MR","Sort=A","Dates=H","DateFormat=P","Fill=—","Direction=H","UseDPDF=Y")</f>
        <v>59.99</v>
      </c>
      <c r="Z129" s="14">
        <f>_xll.BDH("ITCI US Equity","ARDR_RSTR_STK_UNIT_WAVG_FV_PS","FQ3 2024","FQ3 2024","Currency=USD","Period=FQ","BEST_FPERIOD_OVERRIDE=FQ","FILING_STATUS=MR","Sort=A","Dates=H","DateFormat=P","Fill=—","Direction=H","UseDPDF=Y")</f>
        <v>60.35</v>
      </c>
      <c r="AA129" s="14">
        <f>_xll.BDH("ITCI US Equity","ARDR_RSTR_STK_UNIT_WAVG_FV_PS","FQ4 2024","FQ4 2024","Currency=USD","Period=FQ","BEST_FPERIOD_OVERRIDE=FQ","FILING_STATUS=MR","Sort=A","Dates=H","DateFormat=P","Fill=—","Direction=H","UseDPDF=Y")</f>
        <v>60.85</v>
      </c>
    </row>
    <row r="130" spans="1:27" x14ac:dyDescent="0.25">
      <c r="A130" s="10" t="s">
        <v>906</v>
      </c>
      <c r="B130" s="10" t="s">
        <v>907</v>
      </c>
      <c r="C130" s="14">
        <f>_xll.BDH("ITCI US Equity","ARDR_FULL_TIME_EMPLOYEES","FQ4 2018","FQ4 2018","Currency=USD","Period=FQ","BEST_FPERIOD_OVERRIDE=FQ","FILING_STATUS=MR","Sort=A","Dates=H","DateFormat=P","Fill=—","Direction=H","UseDPDF=Y")</f>
        <v>73</v>
      </c>
      <c r="D130" s="14" t="str">
        <f>_xll.BDH("ITCI US Equity","ARDR_FULL_TIME_EMPLOYEES","FQ1 2019","FQ1 2019","Currency=USD","Period=FQ","BEST_FPERIOD_OVERRIDE=FQ","FILING_STATUS=MR","Sort=A","Dates=H","DateFormat=P","Fill=—","Direction=H","UseDPDF=Y")</f>
        <v>—</v>
      </c>
      <c r="E130" s="14" t="str">
        <f>_xll.BDH("ITCI US Equity","ARDR_FULL_TIME_EMPLOYEES","FQ2 2019","FQ2 2019","Currency=USD","Period=FQ","BEST_FPERIOD_OVERRIDE=FQ","FILING_STATUS=MR","Sort=A","Dates=H","DateFormat=P","Fill=—","Direction=H","UseDPDF=Y")</f>
        <v>—</v>
      </c>
      <c r="F130" s="14" t="str">
        <f>_xll.BDH("ITCI US Equity","ARDR_FULL_TIME_EMPLOYEES","FQ3 2019","FQ3 2019","Currency=USD","Period=FQ","BEST_FPERIOD_OVERRIDE=FQ","FILING_STATUS=MR","Sort=A","Dates=H","DateFormat=P","Fill=—","Direction=H","UseDPDF=Y")</f>
        <v>—</v>
      </c>
      <c r="G130" s="14">
        <f>_xll.BDH("ITCI US Equity","ARDR_FULL_TIME_EMPLOYEES","FQ4 2019","FQ4 2019","Currency=USD","Period=FQ","BEST_FPERIOD_OVERRIDE=FQ","FILING_STATUS=MR","Sort=A","Dates=H","DateFormat=P","Fill=—","Direction=H","UseDPDF=Y")</f>
        <v>330</v>
      </c>
      <c r="H130" s="14" t="str">
        <f>_xll.BDH("ITCI US Equity","ARDR_FULL_TIME_EMPLOYEES","FQ1 2020","FQ1 2020","Currency=USD","Period=FQ","BEST_FPERIOD_OVERRIDE=FQ","FILING_STATUS=MR","Sort=A","Dates=H","DateFormat=P","Fill=—","Direction=H","UseDPDF=Y")</f>
        <v>—</v>
      </c>
      <c r="I130" s="14" t="str">
        <f>_xll.BDH("ITCI US Equity","ARDR_FULL_TIME_EMPLOYEES","FQ2 2020","FQ2 2020","Currency=USD","Period=FQ","BEST_FPERIOD_OVERRIDE=FQ","FILING_STATUS=MR","Sort=A","Dates=H","DateFormat=P","Fill=—","Direction=H","UseDPDF=Y")</f>
        <v>—</v>
      </c>
      <c r="J130" s="14" t="str">
        <f>_xll.BDH("ITCI US Equity","ARDR_FULL_TIME_EMPLOYEES","FQ3 2020","FQ3 2020","Currency=USD","Period=FQ","BEST_FPERIOD_OVERRIDE=FQ","FILING_STATUS=MR","Sort=A","Dates=H","DateFormat=P","Fill=—","Direction=H","UseDPDF=Y")</f>
        <v>—</v>
      </c>
      <c r="K130" s="14">
        <f>_xll.BDH("ITCI US Equity","ARDR_FULL_TIME_EMPLOYEES","FQ4 2020","FQ4 2020","Currency=USD","Period=FQ","BEST_FPERIOD_OVERRIDE=FQ","FILING_STATUS=MR","Sort=A","Dates=H","DateFormat=P","Fill=—","Direction=H","UseDPDF=Y")</f>
        <v>383</v>
      </c>
      <c r="L130" s="14" t="str">
        <f>_xll.BDH("ITCI US Equity","ARDR_FULL_TIME_EMPLOYEES","FQ1 2021","FQ1 2021","Currency=USD","Period=FQ","BEST_FPERIOD_OVERRIDE=FQ","FILING_STATUS=MR","Sort=A","Dates=H","DateFormat=P","Fill=—","Direction=H","UseDPDF=Y")</f>
        <v>—</v>
      </c>
      <c r="M130" s="14" t="str">
        <f>_xll.BDH("ITCI US Equity","ARDR_FULL_TIME_EMPLOYEES","FQ2 2021","FQ2 2021","Currency=USD","Period=FQ","BEST_FPERIOD_OVERRIDE=FQ","FILING_STATUS=MR","Sort=A","Dates=H","DateFormat=P","Fill=—","Direction=H","UseDPDF=Y")</f>
        <v>—</v>
      </c>
      <c r="N130" s="14" t="str">
        <f>_xll.BDH("ITCI US Equity","ARDR_FULL_TIME_EMPLOYEES","FQ3 2021","FQ3 2021","Currency=USD","Period=FQ","BEST_FPERIOD_OVERRIDE=FQ","FILING_STATUS=MR","Sort=A","Dates=H","DateFormat=P","Fill=—","Direction=H","UseDPDF=Y")</f>
        <v>—</v>
      </c>
      <c r="O130" s="14">
        <f>_xll.BDH("ITCI US Equity","ARDR_FULL_TIME_EMPLOYEES","FQ4 2021","FQ4 2021","Currency=USD","Period=FQ","BEST_FPERIOD_OVERRIDE=FQ","FILING_STATUS=MR","Sort=A","Dates=H","DateFormat=P","Fill=—","Direction=H","UseDPDF=Y")</f>
        <v>512</v>
      </c>
      <c r="P130" s="14" t="str">
        <f>_xll.BDH("ITCI US Equity","ARDR_FULL_TIME_EMPLOYEES","FQ1 2022","FQ1 2022","Currency=USD","Period=FQ","BEST_FPERIOD_OVERRIDE=FQ","FILING_STATUS=MR","Sort=A","Dates=H","DateFormat=P","Fill=—","Direction=H","UseDPDF=Y")</f>
        <v>—</v>
      </c>
      <c r="Q130" s="14" t="str">
        <f>_xll.BDH("ITCI US Equity","ARDR_FULL_TIME_EMPLOYEES","FQ2 2022","FQ2 2022","Currency=USD","Period=FQ","BEST_FPERIOD_OVERRIDE=FQ","FILING_STATUS=MR","Sort=A","Dates=H","DateFormat=P","Fill=—","Direction=H","UseDPDF=Y")</f>
        <v>—</v>
      </c>
      <c r="R130" s="14" t="str">
        <f>_xll.BDH("ITCI US Equity","ARDR_FULL_TIME_EMPLOYEES","FQ3 2022","FQ3 2022","Currency=USD","Period=FQ","BEST_FPERIOD_OVERRIDE=FQ","FILING_STATUS=MR","Sort=A","Dates=H","DateFormat=P","Fill=—","Direction=H","UseDPDF=Y")</f>
        <v>—</v>
      </c>
      <c r="S130" s="14">
        <f>_xll.BDH("ITCI US Equity","ARDR_FULL_TIME_EMPLOYEES","FQ4 2022","FQ4 2022","Currency=USD","Period=FQ","BEST_FPERIOD_OVERRIDE=FQ","FILING_STATUS=MR","Sort=A","Dates=H","DateFormat=P","Fill=—","Direction=H","UseDPDF=Y")</f>
        <v>561</v>
      </c>
      <c r="T130" s="14" t="str">
        <f>_xll.BDH("ITCI US Equity","ARDR_FULL_TIME_EMPLOYEES","FQ1 2023","FQ1 2023","Currency=USD","Period=FQ","BEST_FPERIOD_OVERRIDE=FQ","FILING_STATUS=MR","Sort=A","Dates=H","DateFormat=P","Fill=—","Direction=H","UseDPDF=Y")</f>
        <v>—</v>
      </c>
      <c r="U130" s="14" t="str">
        <f>_xll.BDH("ITCI US Equity","ARDR_FULL_TIME_EMPLOYEES","FQ2 2023","FQ2 2023","Currency=USD","Period=FQ","BEST_FPERIOD_OVERRIDE=FQ","FILING_STATUS=MR","Sort=A","Dates=H","DateFormat=P","Fill=—","Direction=H","UseDPDF=Y")</f>
        <v>—</v>
      </c>
      <c r="V130" s="14" t="str">
        <f>_xll.BDH("ITCI US Equity","ARDR_FULL_TIME_EMPLOYEES","FQ3 2023","FQ3 2023","Currency=USD","Period=FQ","BEST_FPERIOD_OVERRIDE=FQ","FILING_STATUS=MR","Sort=A","Dates=H","DateFormat=P","Fill=—","Direction=H","UseDPDF=Y")</f>
        <v>—</v>
      </c>
      <c r="W130" s="14">
        <f>_xll.BDH("ITCI US Equity","ARDR_FULL_TIME_EMPLOYEES","FQ4 2023","FQ4 2023","Currency=USD","Period=FQ","BEST_FPERIOD_OVERRIDE=FQ","FILING_STATUS=MR","Sort=A","Dates=H","DateFormat=P","Fill=—","Direction=H","UseDPDF=Y")</f>
        <v>610</v>
      </c>
      <c r="X130" s="14" t="str">
        <f>_xll.BDH("ITCI US Equity","ARDR_FULL_TIME_EMPLOYEES","FQ1 2024","FQ1 2024","Currency=USD","Period=FQ","BEST_FPERIOD_OVERRIDE=FQ","FILING_STATUS=MR","Sort=A","Dates=H","DateFormat=P","Fill=—","Direction=H","UseDPDF=Y")</f>
        <v>—</v>
      </c>
      <c r="Y130" s="14" t="str">
        <f>_xll.BDH("ITCI US Equity","ARDR_FULL_TIME_EMPLOYEES","FQ2 2024","FQ2 2024","Currency=USD","Period=FQ","BEST_FPERIOD_OVERRIDE=FQ","FILING_STATUS=MR","Sort=A","Dates=H","DateFormat=P","Fill=—","Direction=H","UseDPDF=Y")</f>
        <v>—</v>
      </c>
      <c r="Z130" s="14" t="str">
        <f>_xll.BDH("ITCI US Equity","ARDR_FULL_TIME_EMPLOYEES","FQ3 2024","FQ3 2024","Currency=USD","Period=FQ","BEST_FPERIOD_OVERRIDE=FQ","FILING_STATUS=MR","Sort=A","Dates=H","DateFormat=P","Fill=—","Direction=H","UseDPDF=Y")</f>
        <v>—</v>
      </c>
      <c r="AA130" s="14">
        <f>_xll.BDH("ITCI US Equity","ARDR_FULL_TIME_EMPLOYEES","FQ4 2024","FQ4 2024","Currency=USD","Period=FQ","BEST_FPERIOD_OVERRIDE=FQ","FILING_STATUS=MR","Sort=A","Dates=H","DateFormat=P","Fill=—","Direction=H","UseDPDF=Y")</f>
        <v>860</v>
      </c>
    </row>
    <row r="131" spans="1:27" x14ac:dyDescent="0.25">
      <c r="A131" s="10" t="s">
        <v>908</v>
      </c>
      <c r="B131" s="10" t="s">
        <v>909</v>
      </c>
      <c r="C131" s="14">
        <f>_xll.BDH("ITCI US Equity","ARDR_STK_OPT_VALN_EXP_VOL_PCT_LO","FQ4 2018","FQ4 2018","Currency=USD","Period=FQ","BEST_FPERIOD_OVERRIDE=FQ","FILING_STATUS=MR","Sort=A","Dates=H","DateFormat=P","Fill=—","Direction=H","UseDPDF=Y")</f>
        <v>85.2</v>
      </c>
      <c r="D131" s="14">
        <f>_xll.BDH("ITCI US Equity","ARDR_STK_OPT_VALN_EXP_VOL_PCT_LO","FQ1 2019","FQ1 2019","Currency=USD","Period=FQ","BEST_FPERIOD_OVERRIDE=FQ","FILING_STATUS=MR","Sort=A","Dates=H","DateFormat=P","Fill=—","Direction=H","UseDPDF=Y")</f>
        <v>85.7</v>
      </c>
      <c r="E131" s="14">
        <f>_xll.BDH("ITCI US Equity","ARDR_STK_OPT_VALN_EXP_VOL_PCT_LO","FQ2 2019","FQ2 2019","Currency=USD","Period=FQ","BEST_FPERIOD_OVERRIDE=FQ","FILING_STATUS=MR","Sort=A","Dates=H","DateFormat=P","Fill=—","Direction=H","UseDPDF=Y")</f>
        <v>83.7</v>
      </c>
      <c r="F131" s="14">
        <f>_xll.BDH("ITCI US Equity","ARDR_STK_OPT_VALN_EXP_VOL_PCT_LO","FQ3 2019","FQ3 2019","Currency=USD","Period=FQ","BEST_FPERIOD_OVERRIDE=FQ","FILING_STATUS=MR","Sort=A","Dates=H","DateFormat=P","Fill=—","Direction=H","UseDPDF=Y")</f>
        <v>83.7</v>
      </c>
      <c r="G131" s="14">
        <f>_xll.BDH("ITCI US Equity","ARDR_STK_OPT_VALN_EXP_VOL_PCT_LO","FQ4 2019","FQ4 2019","Currency=USD","Period=FQ","BEST_FPERIOD_OVERRIDE=FQ","FILING_STATUS=MR","Sort=A","Dates=H","DateFormat=P","Fill=—","Direction=H","UseDPDF=Y")</f>
        <v>85.7</v>
      </c>
      <c r="H131" s="14">
        <f>_xll.BDH("ITCI US Equity","ARDR_STK_OPT_VALN_EXP_VOL_PCT_LO","FQ1 2020","FQ1 2020","Currency=USD","Period=FQ","BEST_FPERIOD_OVERRIDE=FQ","FILING_STATUS=MR","Sort=A","Dates=H","DateFormat=P","Fill=—","Direction=H","UseDPDF=Y")</f>
        <v>91.6</v>
      </c>
      <c r="I131" s="14">
        <f>_xll.BDH("ITCI US Equity","ARDR_STK_OPT_VALN_EXP_VOL_PCT_LO","FQ2 2020","FQ2 2020","Currency=USD","Period=FQ","BEST_FPERIOD_OVERRIDE=FQ","FILING_STATUS=MR","Sort=A","Dates=H","DateFormat=P","Fill=—","Direction=H","UseDPDF=Y")</f>
        <v>91.6</v>
      </c>
      <c r="J131" s="14">
        <f>_xll.BDH("ITCI US Equity","ARDR_STK_OPT_VALN_EXP_VOL_PCT_LO","FQ3 2020","FQ3 2020","Currency=USD","Period=FQ","BEST_FPERIOD_OVERRIDE=FQ","FILING_STATUS=MR","Sort=A","Dates=H","DateFormat=P","Fill=—","Direction=H","UseDPDF=Y")</f>
        <v>91.6</v>
      </c>
      <c r="K131" s="14">
        <f>_xll.BDH("ITCI US Equity","ARDR_STK_OPT_VALN_EXP_VOL_PCT_LO","FQ4 2020","FQ4 2020","Currency=USD","Period=FQ","BEST_FPERIOD_OVERRIDE=FQ","FILING_STATUS=MR","Sort=A","Dates=H","DateFormat=P","Fill=—","Direction=H","UseDPDF=Y")</f>
        <v>91.6</v>
      </c>
      <c r="L131" s="14" t="str">
        <f>_xll.BDH("ITCI US Equity","ARDR_STK_OPT_VALN_EXP_VOL_PCT_LO","FQ1 2021","FQ1 2021","Currency=USD","Period=FQ","BEST_FPERIOD_OVERRIDE=FQ","FILING_STATUS=MR","Sort=A","Dates=H","DateFormat=P","Fill=—","Direction=H","UseDPDF=Y")</f>
        <v>—</v>
      </c>
      <c r="M131" s="14">
        <f>_xll.BDH("ITCI US Equity","ARDR_STK_OPT_VALN_EXP_VOL_PCT_LO","FQ2 2021","FQ2 2021","Currency=USD","Period=FQ","BEST_FPERIOD_OVERRIDE=FQ","FILING_STATUS=MR","Sort=A","Dates=H","DateFormat=P","Fill=—","Direction=H","UseDPDF=Y")</f>
        <v>94.5</v>
      </c>
      <c r="N131" s="14">
        <f>_xll.BDH("ITCI US Equity","ARDR_STK_OPT_VALN_EXP_VOL_PCT_LO","FQ3 2021","FQ3 2021","Currency=USD","Period=FQ","BEST_FPERIOD_OVERRIDE=FQ","FILING_STATUS=MR","Sort=A","Dates=H","DateFormat=P","Fill=—","Direction=H","UseDPDF=Y")</f>
        <v>94.5</v>
      </c>
      <c r="O131" s="14">
        <f>_xll.BDH("ITCI US Equity","ARDR_STK_OPT_VALN_EXP_VOL_PCT_LO","FQ4 2021","FQ4 2021","Currency=USD","Period=FQ","BEST_FPERIOD_OVERRIDE=FQ","FILING_STATUS=MR","Sort=A","Dates=H","DateFormat=P","Fill=—","Direction=H","UseDPDF=Y")</f>
        <v>89.4</v>
      </c>
      <c r="P131" s="14" t="str">
        <f>_xll.BDH("ITCI US Equity","ARDR_STK_OPT_VALN_EXP_VOL_PCT_LO","FQ1 2022","FQ1 2022","Currency=USD","Period=FQ","BEST_FPERIOD_OVERRIDE=FQ","FILING_STATUS=MR","Sort=A","Dates=H","DateFormat=P","Fill=—","Direction=H","UseDPDF=Y")</f>
        <v>—</v>
      </c>
      <c r="Q131" s="14" t="str">
        <f>_xll.BDH("ITCI US Equity","ARDR_STK_OPT_VALN_EXP_VOL_PCT_LO","FQ2 2022","FQ2 2022","Currency=USD","Period=FQ","BEST_FPERIOD_OVERRIDE=FQ","FILING_STATUS=MR","Sort=A","Dates=H","DateFormat=P","Fill=—","Direction=H","UseDPDF=Y")</f>
        <v>—</v>
      </c>
      <c r="R131" s="14" t="str">
        <f>_xll.BDH("ITCI US Equity","ARDR_STK_OPT_VALN_EXP_VOL_PCT_LO","FQ3 2022","FQ3 2022","Currency=USD","Period=FQ","BEST_FPERIOD_OVERRIDE=FQ","FILING_STATUS=MR","Sort=A","Dates=H","DateFormat=P","Fill=—","Direction=H","UseDPDF=Y")</f>
        <v>—</v>
      </c>
      <c r="S131" s="14">
        <f>_xll.BDH("ITCI US Equity","ARDR_STK_OPT_VALN_EXP_VOL_PCT_LO","FQ4 2022","FQ4 2022","Currency=USD","Period=FQ","BEST_FPERIOD_OVERRIDE=FQ","FILING_STATUS=MR","Sort=A","Dates=H","DateFormat=P","Fill=—","Direction=H","UseDPDF=Y")</f>
        <v>78.7</v>
      </c>
      <c r="T131" s="14" t="str">
        <f>_xll.BDH("ITCI US Equity","ARDR_STK_OPT_VALN_EXP_VOL_PCT_LO","FQ1 2023","FQ1 2023","Currency=USD","Period=FQ","BEST_FPERIOD_OVERRIDE=FQ","FILING_STATUS=MR","Sort=A","Dates=H","DateFormat=P","Fill=—","Direction=H","UseDPDF=Y")</f>
        <v>—</v>
      </c>
      <c r="U131" s="14" t="str">
        <f>_xll.BDH("ITCI US Equity","ARDR_STK_OPT_VALN_EXP_VOL_PCT_LO","FQ2 2023","FQ2 2023","Currency=USD","Period=FQ","BEST_FPERIOD_OVERRIDE=FQ","FILING_STATUS=MR","Sort=A","Dates=H","DateFormat=P","Fill=—","Direction=H","UseDPDF=Y")</f>
        <v>—</v>
      </c>
      <c r="V131" s="14" t="str">
        <f>_xll.BDH("ITCI US Equity","ARDR_STK_OPT_VALN_EXP_VOL_PCT_LO","FQ3 2023","FQ3 2023","Currency=USD","Period=FQ","BEST_FPERIOD_OVERRIDE=FQ","FILING_STATUS=MR","Sort=A","Dates=H","DateFormat=P","Fill=—","Direction=H","UseDPDF=Y")</f>
        <v>—</v>
      </c>
      <c r="W131" s="14">
        <f>_xll.BDH("ITCI US Equity","ARDR_STK_OPT_VALN_EXP_VOL_PCT_LO","FQ4 2023","FQ4 2023","Currency=USD","Period=FQ","BEST_FPERIOD_OVERRIDE=FQ","FILING_STATUS=MR","Sort=A","Dates=H","DateFormat=P","Fill=—","Direction=H","UseDPDF=Y")</f>
        <v>74.8</v>
      </c>
      <c r="X131" s="14" t="str">
        <f>_xll.BDH("ITCI US Equity","ARDR_STK_OPT_VALN_EXP_VOL_PCT_LO","FQ1 2024","FQ1 2024","Currency=USD","Period=FQ","BEST_FPERIOD_OVERRIDE=FQ","FILING_STATUS=MR","Sort=A","Dates=H","DateFormat=P","Fill=—","Direction=H","UseDPDF=Y")</f>
        <v>—</v>
      </c>
      <c r="Y131" s="14" t="str">
        <f>_xll.BDH("ITCI US Equity","ARDR_STK_OPT_VALN_EXP_VOL_PCT_LO","FQ2 2024","FQ2 2024","Currency=USD","Period=FQ","BEST_FPERIOD_OVERRIDE=FQ","FILING_STATUS=MR","Sort=A","Dates=H","DateFormat=P","Fill=—","Direction=H","UseDPDF=Y")</f>
        <v>—</v>
      </c>
      <c r="Z131" s="14" t="str">
        <f>_xll.BDH("ITCI US Equity","ARDR_STK_OPT_VALN_EXP_VOL_PCT_LO","FQ3 2024","FQ3 2024","Currency=USD","Period=FQ","BEST_FPERIOD_OVERRIDE=FQ","FILING_STATUS=MR","Sort=A","Dates=H","DateFormat=P","Fill=—","Direction=H","UseDPDF=Y")</f>
        <v>—</v>
      </c>
      <c r="AA131" s="14">
        <f>_xll.BDH("ITCI US Equity","ARDR_STK_OPT_VALN_EXP_VOL_PCT_LO","FQ4 2024","FQ4 2024","Currency=USD","Period=FQ","BEST_FPERIOD_OVERRIDE=FQ","FILING_STATUS=MR","Sort=A","Dates=H","DateFormat=P","Fill=—","Direction=H","UseDPDF=Y")</f>
        <v>74.2</v>
      </c>
    </row>
    <row r="132" spans="1:27" x14ac:dyDescent="0.25">
      <c r="A132" s="10" t="s">
        <v>910</v>
      </c>
      <c r="B132" s="10" t="s">
        <v>911</v>
      </c>
      <c r="C132" s="14">
        <f>_xll.BDH("ITCI US Equity","ARDR_STK_OPT_VALN_EXP_VOL_PCT_HI","FQ4 2018","FQ4 2018","Currency=USD","Period=FQ","BEST_FPERIOD_OVERRIDE=FQ","FILING_STATUS=MR","Sort=A","Dates=H","DateFormat=P","Fill=—","Direction=H","UseDPDF=Y")</f>
        <v>85.8</v>
      </c>
      <c r="D132" s="14" t="str">
        <f>_xll.BDH("ITCI US Equity","ARDR_STK_OPT_VALN_EXP_VOL_PCT_HI","FQ1 2019","FQ1 2019","Currency=USD","Period=FQ","BEST_FPERIOD_OVERRIDE=FQ","FILING_STATUS=MR","Sort=A","Dates=H","DateFormat=P","Fill=—","Direction=H","UseDPDF=Y")</f>
        <v>—</v>
      </c>
      <c r="E132" s="14">
        <f>_xll.BDH("ITCI US Equity","ARDR_STK_OPT_VALN_EXP_VOL_PCT_HI","FQ2 2019","FQ2 2019","Currency=USD","Period=FQ","BEST_FPERIOD_OVERRIDE=FQ","FILING_STATUS=MR","Sort=A","Dates=H","DateFormat=P","Fill=—","Direction=H","UseDPDF=Y")</f>
        <v>85.7</v>
      </c>
      <c r="F132" s="14">
        <f>_xll.BDH("ITCI US Equity","ARDR_STK_OPT_VALN_EXP_VOL_PCT_HI","FQ3 2019","FQ3 2019","Currency=USD","Period=FQ","BEST_FPERIOD_OVERRIDE=FQ","FILING_STATUS=MR","Sort=A","Dates=H","DateFormat=P","Fill=—","Direction=H","UseDPDF=Y")</f>
        <v>85.7</v>
      </c>
      <c r="G132" s="14">
        <f>_xll.BDH("ITCI US Equity","ARDR_STK_OPT_VALN_EXP_VOL_PCT_HI","FQ4 2019","FQ4 2019","Currency=USD","Period=FQ","BEST_FPERIOD_OVERRIDE=FQ","FILING_STATUS=MR","Sort=A","Dates=H","DateFormat=P","Fill=—","Direction=H","UseDPDF=Y")</f>
        <v>96.5</v>
      </c>
      <c r="H132" s="14">
        <f>_xll.BDH("ITCI US Equity","ARDR_STK_OPT_VALN_EXP_VOL_PCT_HI","FQ1 2020","FQ1 2020","Currency=USD","Period=FQ","BEST_FPERIOD_OVERRIDE=FQ","FILING_STATUS=MR","Sort=A","Dates=H","DateFormat=P","Fill=—","Direction=H","UseDPDF=Y")</f>
        <v>92.5</v>
      </c>
      <c r="I132" s="14">
        <f>_xll.BDH("ITCI US Equity","ARDR_STK_OPT_VALN_EXP_VOL_PCT_HI","FQ2 2020","FQ2 2020","Currency=USD","Period=FQ","BEST_FPERIOD_OVERRIDE=FQ","FILING_STATUS=MR","Sort=A","Dates=H","DateFormat=P","Fill=—","Direction=H","UseDPDF=Y")</f>
        <v>92.7</v>
      </c>
      <c r="J132" s="14">
        <f>_xll.BDH("ITCI US Equity","ARDR_STK_OPT_VALN_EXP_VOL_PCT_HI","FQ3 2020","FQ3 2020","Currency=USD","Period=FQ","BEST_FPERIOD_OVERRIDE=FQ","FILING_STATUS=MR","Sort=A","Dates=H","DateFormat=P","Fill=—","Direction=H","UseDPDF=Y")</f>
        <v>92.7</v>
      </c>
      <c r="K132" s="14">
        <f>_xll.BDH("ITCI US Equity","ARDR_STK_OPT_VALN_EXP_VOL_PCT_HI","FQ4 2020","FQ4 2020","Currency=USD","Period=FQ","BEST_FPERIOD_OVERRIDE=FQ","FILING_STATUS=MR","Sort=A","Dates=H","DateFormat=P","Fill=—","Direction=H","UseDPDF=Y")</f>
        <v>95.5</v>
      </c>
      <c r="L132" s="14">
        <f>_xll.BDH("ITCI US Equity","ARDR_STK_OPT_VALN_EXP_VOL_PCT_HI","FQ1 2021","FQ1 2021","Currency=USD","Period=FQ","BEST_FPERIOD_OVERRIDE=FQ","FILING_STATUS=MR","Sort=A","Dates=H","DateFormat=P","Fill=—","Direction=H","UseDPDF=Y")</f>
        <v>94.8</v>
      </c>
      <c r="M132" s="14">
        <f>_xll.BDH("ITCI US Equity","ARDR_STK_OPT_VALN_EXP_VOL_PCT_HI","FQ2 2021","FQ2 2021","Currency=USD","Period=FQ","BEST_FPERIOD_OVERRIDE=FQ","FILING_STATUS=MR","Sort=A","Dates=H","DateFormat=P","Fill=—","Direction=H","UseDPDF=Y")</f>
        <v>94.9</v>
      </c>
      <c r="N132" s="14">
        <f>_xll.BDH("ITCI US Equity","ARDR_STK_OPT_VALN_EXP_VOL_PCT_HI","FQ3 2021","FQ3 2021","Currency=USD","Period=FQ","BEST_FPERIOD_OVERRIDE=FQ","FILING_STATUS=MR","Sort=A","Dates=H","DateFormat=P","Fill=—","Direction=H","UseDPDF=Y")</f>
        <v>94.9</v>
      </c>
      <c r="O132" s="14">
        <f>_xll.BDH("ITCI US Equity","ARDR_STK_OPT_VALN_EXP_VOL_PCT_HI","FQ4 2021","FQ4 2021","Currency=USD","Period=FQ","BEST_FPERIOD_OVERRIDE=FQ","FILING_STATUS=MR","Sort=A","Dates=H","DateFormat=P","Fill=—","Direction=H","UseDPDF=Y")</f>
        <v>94.9</v>
      </c>
      <c r="P132" s="14" t="str">
        <f>_xll.BDH("ITCI US Equity","ARDR_STK_OPT_VALN_EXP_VOL_PCT_HI","FQ1 2022","FQ1 2022","Currency=USD","Period=FQ","BEST_FPERIOD_OVERRIDE=FQ","FILING_STATUS=MR","Sort=A","Dates=H","DateFormat=P","Fill=—","Direction=H","UseDPDF=Y")</f>
        <v>—</v>
      </c>
      <c r="Q132" s="14" t="str">
        <f>_xll.BDH("ITCI US Equity","ARDR_STK_OPT_VALN_EXP_VOL_PCT_HI","FQ2 2022","FQ2 2022","Currency=USD","Period=FQ","BEST_FPERIOD_OVERRIDE=FQ","FILING_STATUS=MR","Sort=A","Dates=H","DateFormat=P","Fill=—","Direction=H","UseDPDF=Y")</f>
        <v>—</v>
      </c>
      <c r="R132" s="14" t="str">
        <f>_xll.BDH("ITCI US Equity","ARDR_STK_OPT_VALN_EXP_VOL_PCT_HI","FQ3 2022","FQ3 2022","Currency=USD","Period=FQ","BEST_FPERIOD_OVERRIDE=FQ","FILING_STATUS=MR","Sort=A","Dates=H","DateFormat=P","Fill=—","Direction=H","UseDPDF=Y")</f>
        <v>—</v>
      </c>
      <c r="S132" s="14">
        <f>_xll.BDH("ITCI US Equity","ARDR_STK_OPT_VALN_EXP_VOL_PCT_HI","FQ4 2022","FQ4 2022","Currency=USD","Period=FQ","BEST_FPERIOD_OVERRIDE=FQ","FILING_STATUS=MR","Sort=A","Dates=H","DateFormat=P","Fill=—","Direction=H","UseDPDF=Y")</f>
        <v>88.7</v>
      </c>
      <c r="T132" s="14" t="str">
        <f>_xll.BDH("ITCI US Equity","ARDR_STK_OPT_VALN_EXP_VOL_PCT_HI","FQ1 2023","FQ1 2023","Currency=USD","Period=FQ","BEST_FPERIOD_OVERRIDE=FQ","FILING_STATUS=MR","Sort=A","Dates=H","DateFormat=P","Fill=—","Direction=H","UseDPDF=Y")</f>
        <v>—</v>
      </c>
      <c r="U132" s="14" t="str">
        <f>_xll.BDH("ITCI US Equity","ARDR_STK_OPT_VALN_EXP_VOL_PCT_HI","FQ2 2023","FQ2 2023","Currency=USD","Period=FQ","BEST_FPERIOD_OVERRIDE=FQ","FILING_STATUS=MR","Sort=A","Dates=H","DateFormat=P","Fill=—","Direction=H","UseDPDF=Y")</f>
        <v>—</v>
      </c>
      <c r="V132" s="14" t="str">
        <f>_xll.BDH("ITCI US Equity","ARDR_STK_OPT_VALN_EXP_VOL_PCT_HI","FQ3 2023","FQ3 2023","Currency=USD","Period=FQ","BEST_FPERIOD_OVERRIDE=FQ","FILING_STATUS=MR","Sort=A","Dates=H","DateFormat=P","Fill=—","Direction=H","UseDPDF=Y")</f>
        <v>—</v>
      </c>
      <c r="W132" s="14">
        <f>_xll.BDH("ITCI US Equity","ARDR_STK_OPT_VALN_EXP_VOL_PCT_HI","FQ4 2023","FQ4 2023","Currency=USD","Period=FQ","BEST_FPERIOD_OVERRIDE=FQ","FILING_STATUS=MR","Sort=A","Dates=H","DateFormat=P","Fill=—","Direction=H","UseDPDF=Y")</f>
        <v>78</v>
      </c>
      <c r="X132" s="14" t="str">
        <f>_xll.BDH("ITCI US Equity","ARDR_STK_OPT_VALN_EXP_VOL_PCT_HI","FQ1 2024","FQ1 2024","Currency=USD","Period=FQ","BEST_FPERIOD_OVERRIDE=FQ","FILING_STATUS=MR","Sort=A","Dates=H","DateFormat=P","Fill=—","Direction=H","UseDPDF=Y")</f>
        <v>—</v>
      </c>
      <c r="Y132" s="14" t="str">
        <f>_xll.BDH("ITCI US Equity","ARDR_STK_OPT_VALN_EXP_VOL_PCT_HI","FQ2 2024","FQ2 2024","Currency=USD","Period=FQ","BEST_FPERIOD_OVERRIDE=FQ","FILING_STATUS=MR","Sort=A","Dates=H","DateFormat=P","Fill=—","Direction=H","UseDPDF=Y")</f>
        <v>—</v>
      </c>
      <c r="Z132" s="14" t="str">
        <f>_xll.BDH("ITCI US Equity","ARDR_STK_OPT_VALN_EXP_VOL_PCT_HI","FQ3 2024","FQ3 2024","Currency=USD","Period=FQ","BEST_FPERIOD_OVERRIDE=FQ","FILING_STATUS=MR","Sort=A","Dates=H","DateFormat=P","Fill=—","Direction=H","UseDPDF=Y")</f>
        <v>—</v>
      </c>
      <c r="AA132" s="14">
        <f>_xll.BDH("ITCI US Equity","ARDR_STK_OPT_VALN_EXP_VOL_PCT_HI","FQ4 2024","FQ4 2024","Currency=USD","Period=FQ","BEST_FPERIOD_OVERRIDE=FQ","FILING_STATUS=MR","Sort=A","Dates=H","DateFormat=P","Fill=—","Direction=H","UseDPDF=Y")</f>
        <v>74.2</v>
      </c>
    </row>
    <row r="133" spans="1:27" x14ac:dyDescent="0.25">
      <c r="A133" s="7" t="s">
        <v>90</v>
      </c>
      <c r="B133" s="7"/>
      <c r="C133" s="7" t="s">
        <v>5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93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912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6" t="s">
        <v>112</v>
      </c>
      <c r="B6" s="6" t="s">
        <v>113</v>
      </c>
      <c r="C6" s="19">
        <f>_xll.BDH("ITCI US Equity","BS_TOT_ASSET","FQ4 2018","FQ4 2018","Currency=USD","Period=FQ","BEST_FPERIOD_OVERRIDE=FQ","FILING_STATUS=MR","SCALING_FORMAT=MLN","Sort=A","Dates=H","DateFormat=P","Fill=—","Direction=H","UseDPDF=Y")</f>
        <v>357.20650000000001</v>
      </c>
      <c r="D6" s="19">
        <f>_xll.BDH("ITCI US Equity","BS_TOT_ASSET","FQ1 2019","FQ1 2019","Currency=USD","Period=FQ","BEST_FPERIOD_OVERRIDE=FQ","FILING_STATUS=MR","SCALING_FORMAT=MLN","Sort=A","Dates=H","DateFormat=P","Fill=—","Direction=H","UseDPDF=Y")</f>
        <v>342.97280000000001</v>
      </c>
      <c r="E6" s="19">
        <f>_xll.BDH("ITCI US Equity","BS_TOT_ASSET","FQ2 2019","FQ2 2019","Currency=USD","Period=FQ","BEST_FPERIOD_OVERRIDE=FQ","FILING_STATUS=MR","SCALING_FORMAT=MLN","Sort=A","Dates=H","DateFormat=P","Fill=—","Direction=H","UseDPDF=Y")</f>
        <v>309.86259999999999</v>
      </c>
      <c r="F6" s="19">
        <f>_xll.BDH("ITCI US Equity","BS_TOT_ASSET","FQ3 2019","FQ3 2019","Currency=USD","Period=FQ","BEST_FPERIOD_OVERRIDE=FQ","FILING_STATUS=MR","SCALING_FORMAT=MLN","Sort=A","Dates=H","DateFormat=P","Fill=—","Direction=H","UseDPDF=Y")</f>
        <v>280.52300000000002</v>
      </c>
      <c r="G6" s="19">
        <f>_xll.BDH("ITCI US Equity","BS_TOT_ASSET","FQ4 2019","FQ4 2019","Currency=USD","Period=FQ","BEST_FPERIOD_OVERRIDE=FQ","FILING_STATUS=MR","SCALING_FORMAT=MLN","Sort=A","Dates=H","DateFormat=P","Fill=—","Direction=H","UseDPDF=Y")</f>
        <v>251.1865</v>
      </c>
      <c r="H6" s="19">
        <f>_xll.BDH("ITCI US Equity","BS_TOT_ASSET","FQ1 2020","FQ1 2020","Currency=USD","Period=FQ","BEST_FPERIOD_OVERRIDE=FQ","FILING_STATUS=MR","SCALING_FORMAT=MLN","Sort=A","Dates=H","DateFormat=P","Fill=—","Direction=H","UseDPDF=Y")</f>
        <v>481.24270000000001</v>
      </c>
      <c r="I6" s="19">
        <f>_xll.BDH("ITCI US Equity","BS_TOT_ASSET","FQ2 2020","FQ2 2020","Currency=USD","Period=FQ","BEST_FPERIOD_OVERRIDE=FQ","FILING_STATUS=MR","SCALING_FORMAT=MLN","Sort=A","Dates=H","DateFormat=P","Fill=—","Direction=H","UseDPDF=Y")</f>
        <v>440.93079999999998</v>
      </c>
      <c r="J6" s="19">
        <f>_xll.BDH("ITCI US Equity","BS_TOT_ASSET","FQ3 2020","FQ3 2020","Currency=USD","Period=FQ","BEST_FPERIOD_OVERRIDE=FQ","FILING_STATUS=MR","SCALING_FORMAT=MLN","Sort=A","Dates=H","DateFormat=P","Fill=—","Direction=H","UseDPDF=Y")</f>
        <v>771.29380000000003</v>
      </c>
      <c r="K6" s="19">
        <f>_xll.BDH("ITCI US Equity","BS_TOT_ASSET","FQ4 2020","FQ4 2020","Currency=USD","Period=FQ","BEST_FPERIOD_OVERRIDE=FQ","FILING_STATUS=MR","SCALING_FORMAT=MLN","Sort=A","Dates=H","DateFormat=P","Fill=—","Direction=H","UseDPDF=Y")</f>
        <v>717.31370000000004</v>
      </c>
      <c r="L6" s="19">
        <f>_xll.BDH("ITCI US Equity","BS_TOT_ASSET","FQ1 2021","FQ1 2021","Currency=USD","Period=FQ","BEST_FPERIOD_OVERRIDE=FQ","FILING_STATUS=MR","SCALING_FORMAT=MLN","Sort=A","Dates=H","DateFormat=P","Fill=—","Direction=H","UseDPDF=Y")</f>
        <v>674.48860000000002</v>
      </c>
      <c r="M6" s="19">
        <f>_xll.BDH("ITCI US Equity","BS_TOT_ASSET","FQ2 2021","FQ2 2021","Currency=USD","Period=FQ","BEST_FPERIOD_OVERRIDE=FQ","FILING_STATUS=MR","SCALING_FORMAT=MLN","Sort=A","Dates=H","DateFormat=P","Fill=—","Direction=H","UseDPDF=Y")</f>
        <v>625.69669999999996</v>
      </c>
      <c r="N6" s="19">
        <f>_xll.BDH("ITCI US Equity","BS_TOT_ASSET","FQ3 2021","FQ3 2021","Currency=USD","Period=FQ","BEST_FPERIOD_OVERRIDE=FQ","FILING_STATUS=MR","SCALING_FORMAT=MLN","Sort=A","Dates=H","DateFormat=P","Fill=—","Direction=H","UseDPDF=Y")</f>
        <v>556.97569999999996</v>
      </c>
      <c r="O6" s="19">
        <f>_xll.BDH("ITCI US Equity","BS_TOT_ASSET","FQ4 2021","FQ4 2021","Currency=USD","Period=FQ","BEST_FPERIOD_OVERRIDE=FQ","FILING_STATUS=MR","SCALING_FORMAT=MLN","Sort=A","Dates=H","DateFormat=P","Fill=—","Direction=H","UseDPDF=Y")</f>
        <v>489.9221</v>
      </c>
      <c r="P6" s="19">
        <f>_xll.BDH("ITCI US Equity","BS_TOT_ASSET","FQ1 2022","FQ1 2022","Currency=USD","Period=FQ","BEST_FPERIOD_OVERRIDE=FQ","FILING_STATUS=MR","SCALING_FORMAT=MLN","Sort=A","Dates=H","DateFormat=P","Fill=—","Direction=H","UseDPDF=Y")</f>
        <v>868.58</v>
      </c>
      <c r="Q6" s="19">
        <f>_xll.BDH("ITCI US Equity","BS_TOT_ASSET","FQ2 2022","FQ2 2022","Currency=USD","Period=FQ","BEST_FPERIOD_OVERRIDE=FQ","FILING_STATUS=MR","SCALING_FORMAT=MLN","Sort=A","Dates=H","DateFormat=P","Fill=—","Direction=H","UseDPDF=Y")</f>
        <v>811.90599999999995</v>
      </c>
      <c r="R6" s="19">
        <f>_xll.BDH("ITCI US Equity","BS_TOT_ASSET","FQ3 2022","FQ3 2022","Currency=USD","Period=FQ","BEST_FPERIOD_OVERRIDE=FQ","FILING_STATUS=MR","SCALING_FORMAT=MLN","Sort=A","Dates=H","DateFormat=P","Fill=—","Direction=H","UseDPDF=Y")</f>
        <v>781.99900000000002</v>
      </c>
      <c r="S6" s="19">
        <f>_xll.BDH("ITCI US Equity","BS_TOT_ASSET","FQ4 2022","FQ4 2022","Currency=USD","Period=FQ","BEST_FPERIOD_OVERRIDE=FQ","FILING_STATUS=MR","SCALING_FORMAT=MLN","Sort=A","Dates=H","DateFormat=P","Fill=—","Direction=H","UseDPDF=Y")</f>
        <v>754.78</v>
      </c>
      <c r="T6" s="19">
        <f>_xll.BDH("ITCI US Equity","BS_TOT_ASSET","FQ1 2023","FQ1 2023","Currency=USD","Period=FQ","BEST_FPERIOD_OVERRIDE=FQ","FILING_STATUS=MR","SCALING_FORMAT=MLN","Sort=A","Dates=H","DateFormat=P","Fill=—","Direction=H","UseDPDF=Y")</f>
        <v>722.15800000000002</v>
      </c>
      <c r="U6" s="19">
        <f>_xll.BDH("ITCI US Equity","BS_TOT_ASSET","FQ2 2023","FQ2 2023","Currency=USD","Period=FQ","BEST_FPERIOD_OVERRIDE=FQ","FILING_STATUS=MR","SCALING_FORMAT=MLN","Sort=A","Dates=H","DateFormat=P","Fill=—","Direction=H","UseDPDF=Y")</f>
        <v>713.60199999999998</v>
      </c>
      <c r="V6" s="19">
        <f>_xll.BDH("ITCI US Equity","BS_TOT_ASSET","FQ3 2023","FQ3 2023","Currency=USD","Period=FQ","BEST_FPERIOD_OVERRIDE=FQ","FILING_STATUS=MR","SCALING_FORMAT=MLN","Sort=A","Dates=H","DateFormat=P","Fill=—","Direction=H","UseDPDF=Y")</f>
        <v>717.66399999999999</v>
      </c>
      <c r="W6" s="19">
        <f>_xll.BDH("ITCI US Equity","BS_TOT_ASSET","FQ4 2023","FQ4 2023","Currency=USD","Period=FQ","BEST_FPERIOD_OVERRIDE=FQ","FILING_STATUS=MR","SCALING_FORMAT=MLN","Sort=A","Dates=H","DateFormat=P","Fill=—","Direction=H","UseDPDF=Y")</f>
        <v>728.29499999999996</v>
      </c>
      <c r="X6" s="19">
        <f>_xll.BDH("ITCI US Equity","BS_TOT_ASSET","FQ1 2024","FQ1 2024","Currency=USD","Period=FQ","BEST_FPERIOD_OVERRIDE=FQ","FILING_STATUS=MR","SCALING_FORMAT=MLN","Sort=A","Dates=H","DateFormat=P","Fill=—","Direction=H","UseDPDF=Y")</f>
        <v>747.03599999999994</v>
      </c>
      <c r="Y6" s="19">
        <f>_xll.BDH("ITCI US Equity","BS_TOT_ASSET","FQ2 2024","FQ2 2024","Currency=USD","Period=FQ","BEST_FPERIOD_OVERRIDE=FQ","FILING_STATUS=MR","SCALING_FORMAT=MLN","Sort=A","Dates=H","DateFormat=P","Fill=—","Direction=H","UseDPDF=Y")</f>
        <v>1320.5039999999999</v>
      </c>
      <c r="Z6" s="19">
        <f>_xll.BDH("ITCI US Equity","BS_TOT_ASSET","FQ3 2024","FQ3 2024","Currency=USD","Period=FQ","BEST_FPERIOD_OVERRIDE=FQ","FILING_STATUS=MR","SCALING_FORMAT=MLN","Sort=A","Dates=H","DateFormat=P","Fill=—","Direction=H","UseDPDF=Y")</f>
        <v>1324.4449999999999</v>
      </c>
      <c r="AA6" s="19">
        <f>_xll.BDH("ITCI US Equity","BS_TOT_ASSET","FQ4 2024","FQ4 2024","Currency=USD","Period=FQ","BEST_FPERIOD_OVERRIDE=FQ","FILING_STATUS=MR","SCALING_FORMAT=MLN","Sort=A","Dates=H","DateFormat=P","Fill=—","Direction=H","UseDPDF=Y")</f>
        <v>1366.912</v>
      </c>
    </row>
    <row r="7" spans="1:27" x14ac:dyDescent="0.25">
      <c r="A7" s="6" t="s">
        <v>112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x14ac:dyDescent="0.25">
      <c r="A8" s="10" t="s">
        <v>541</v>
      </c>
      <c r="B8" s="10" t="s">
        <v>542</v>
      </c>
      <c r="C8" s="13">
        <v>97.291216690016697</v>
      </c>
      <c r="D8" s="13">
        <v>91.2090858209326</v>
      </c>
      <c r="E8" s="13">
        <v>92.073117281583393</v>
      </c>
      <c r="F8" s="13">
        <v>91.056188149685994</v>
      </c>
      <c r="G8" s="13">
        <v>89.180829942452803</v>
      </c>
      <c r="H8" s="13">
        <v>93.290545942952903</v>
      </c>
      <c r="I8" s="13">
        <v>92.476852332736897</v>
      </c>
      <c r="J8" s="13">
        <v>93.602137288774699</v>
      </c>
      <c r="K8" s="13">
        <v>91.654192974439198</v>
      </c>
      <c r="L8" s="13">
        <v>90.730177357135005</v>
      </c>
      <c r="M8" s="13">
        <v>88.662352812743606</v>
      </c>
      <c r="N8" s="13">
        <v>85.692051531997294</v>
      </c>
      <c r="O8" s="13">
        <v>84.163041709390498</v>
      </c>
      <c r="P8" s="13">
        <v>88.863202007874904</v>
      </c>
      <c r="Q8" s="13">
        <v>83.486142484474797</v>
      </c>
      <c r="R8" s="13">
        <v>80.401765219648595</v>
      </c>
      <c r="S8" s="13">
        <v>78.420864357826105</v>
      </c>
      <c r="T8" s="13">
        <v>74.596971853804803</v>
      </c>
      <c r="U8" s="13">
        <v>71.868352386904803</v>
      </c>
      <c r="V8" s="13">
        <v>68.698025817095498</v>
      </c>
      <c r="W8" s="13">
        <v>68.370783816997204</v>
      </c>
      <c r="X8" s="13">
        <v>63.668015999228999</v>
      </c>
      <c r="Y8" s="13">
        <v>77.463377619454405</v>
      </c>
      <c r="Z8" s="13">
        <v>75.998776846150705</v>
      </c>
      <c r="AA8" s="13">
        <v>73.2355850266879</v>
      </c>
    </row>
    <row r="9" spans="1:27" x14ac:dyDescent="0.25">
      <c r="A9" s="10" t="s">
        <v>543</v>
      </c>
      <c r="B9" s="10" t="s">
        <v>544</v>
      </c>
      <c r="C9" s="13">
        <v>15.382559474044101</v>
      </c>
      <c r="D9" s="13">
        <v>18.686927016726202</v>
      </c>
      <c r="E9" s="13">
        <v>29.614210896704002</v>
      </c>
      <c r="F9" s="13">
        <v>36.418750360710099</v>
      </c>
      <c r="G9" s="13">
        <v>42.851371106460398</v>
      </c>
      <c r="H9" s="13">
        <v>37.318597384612502</v>
      </c>
      <c r="I9" s="13">
        <v>29.3221607478274</v>
      </c>
      <c r="J9" s="13">
        <v>39.0239072954882</v>
      </c>
      <c r="K9" s="13">
        <v>8.3709449821529507</v>
      </c>
      <c r="L9" s="13">
        <v>19.2708808075751</v>
      </c>
      <c r="M9" s="13">
        <v>19.343263173745399</v>
      </c>
      <c r="N9" s="13">
        <v>19.0539645664348</v>
      </c>
      <c r="O9" s="13">
        <v>18.852995354592</v>
      </c>
      <c r="P9" s="13">
        <v>14.8857906007506</v>
      </c>
      <c r="Q9" s="13">
        <v>9.5128007429431491</v>
      </c>
      <c r="R9" s="13">
        <v>17.309229295689601</v>
      </c>
      <c r="S9" s="13">
        <v>19.689843398076299</v>
      </c>
      <c r="T9" s="13">
        <v>10.4862093890811</v>
      </c>
      <c r="U9" s="13">
        <v>19.935201975330799</v>
      </c>
      <c r="V9" s="13">
        <v>13.8507713916262</v>
      </c>
      <c r="W9" s="13">
        <v>20.289443151470199</v>
      </c>
      <c r="X9" s="13">
        <v>18.716500945068201</v>
      </c>
      <c r="Y9" s="13">
        <v>52.503135166572797</v>
      </c>
      <c r="Z9" s="13">
        <v>35.057099388800602</v>
      </c>
      <c r="AA9" s="13">
        <v>22.4555787058713</v>
      </c>
    </row>
    <row r="10" spans="1:27" x14ac:dyDescent="0.25">
      <c r="A10" s="10" t="s">
        <v>545</v>
      </c>
      <c r="B10" s="10" t="s">
        <v>546</v>
      </c>
      <c r="C10" s="13">
        <v>81.908657215972596</v>
      </c>
      <c r="D10" s="13">
        <v>72.522158804206299</v>
      </c>
      <c r="E10" s="13">
        <v>62.458906384879299</v>
      </c>
      <c r="F10" s="13">
        <v>54.637437788975802</v>
      </c>
      <c r="G10" s="13">
        <v>46.329458835992398</v>
      </c>
      <c r="H10" s="13">
        <v>55.9719485583405</v>
      </c>
      <c r="I10" s="13">
        <v>63.1546915849095</v>
      </c>
      <c r="J10" s="13">
        <v>54.578229993286499</v>
      </c>
      <c r="K10" s="13">
        <v>83.283247992286306</v>
      </c>
      <c r="L10" s="13">
        <v>71.459296549559895</v>
      </c>
      <c r="M10" s="13">
        <v>69.319089638998307</v>
      </c>
      <c r="N10" s="13">
        <v>66.638086965562493</v>
      </c>
      <c r="O10" s="13">
        <v>65.310046354798402</v>
      </c>
      <c r="P10" s="13">
        <v>73.977411407124293</v>
      </c>
      <c r="Q10" s="13">
        <v>73.973341741531698</v>
      </c>
      <c r="R10" s="13">
        <v>63.092535923958998</v>
      </c>
      <c r="S10" s="13">
        <v>58.731020959749898</v>
      </c>
      <c r="T10" s="13">
        <v>64.110762464723805</v>
      </c>
      <c r="U10" s="13">
        <v>51.933150411573997</v>
      </c>
      <c r="V10" s="13">
        <v>54.847254425469302</v>
      </c>
      <c r="W10" s="13">
        <v>48.081340665527001</v>
      </c>
      <c r="X10" s="13">
        <v>44.951515054160701</v>
      </c>
      <c r="Y10" s="13">
        <v>24.960242452881602</v>
      </c>
      <c r="Z10" s="13">
        <v>40.941677457350103</v>
      </c>
      <c r="AA10" s="13">
        <v>50.780006320816597</v>
      </c>
    </row>
    <row r="11" spans="1:27" x14ac:dyDescent="0.25">
      <c r="A11" s="10" t="s">
        <v>547</v>
      </c>
      <c r="B11" s="10" t="s">
        <v>548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0.28073422251915298</v>
      </c>
      <c r="I11" s="13">
        <v>0.53370163116561797</v>
      </c>
      <c r="J11" s="13">
        <v>0.96987735577688305</v>
      </c>
      <c r="K11" s="13">
        <v>1.50068002188956</v>
      </c>
      <c r="L11" s="13">
        <v>2.0255335150469098</v>
      </c>
      <c r="M11" s="13">
        <v>2.42734457803452</v>
      </c>
      <c r="N11" s="13">
        <v>3.0404110926671</v>
      </c>
      <c r="O11" s="13">
        <v>4.1141222583273702</v>
      </c>
      <c r="P11" s="13">
        <v>3.7799626977365399</v>
      </c>
      <c r="Q11" s="13">
        <v>5.7858914701948301</v>
      </c>
      <c r="R11" s="13">
        <v>7.86931952598405</v>
      </c>
      <c r="S11" s="13">
        <v>9.9617106971567893</v>
      </c>
      <c r="T11" s="13">
        <v>11.2918502599154</v>
      </c>
      <c r="U11" s="13">
        <v>13.4478322650441</v>
      </c>
      <c r="V11" s="13">
        <v>14.306137691175801</v>
      </c>
      <c r="W11" s="13">
        <v>15.6554692809919</v>
      </c>
      <c r="X11" s="13">
        <v>17.5569852055323</v>
      </c>
      <c r="Y11" s="13">
        <v>11.0347261348697</v>
      </c>
      <c r="Z11" s="13">
        <v>10.9938880059195</v>
      </c>
      <c r="AA11" s="13">
        <v>12.180740237849999</v>
      </c>
    </row>
    <row r="12" spans="1:27" x14ac:dyDescent="0.25">
      <c r="A12" s="10" t="s">
        <v>549</v>
      </c>
      <c r="B12" s="10" t="s">
        <v>550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0.28073422251915298</v>
      </c>
      <c r="I12" s="13">
        <v>0.53370163116561797</v>
      </c>
      <c r="J12" s="13">
        <v>0.96987735577688305</v>
      </c>
      <c r="K12" s="13">
        <v>1.50068002188956</v>
      </c>
      <c r="L12" s="13">
        <v>2.0255335150469098</v>
      </c>
      <c r="M12" s="13">
        <v>2.42734457803452</v>
      </c>
      <c r="N12" s="13">
        <v>3.0404110926671</v>
      </c>
      <c r="O12" s="13">
        <v>4.1141222583273702</v>
      </c>
      <c r="P12" s="13">
        <v>3.7799626977365399</v>
      </c>
      <c r="Q12" s="13">
        <v>5.7858914701948301</v>
      </c>
      <c r="R12" s="13">
        <v>7.86931952598405</v>
      </c>
      <c r="S12" s="13">
        <v>9.9617106971567893</v>
      </c>
      <c r="T12" s="13">
        <v>11.2918502599154</v>
      </c>
      <c r="U12" s="13">
        <v>13.4478322650441</v>
      </c>
      <c r="V12" s="13">
        <v>14.306137691175801</v>
      </c>
      <c r="W12" s="13">
        <v>15.6554692809919</v>
      </c>
      <c r="X12" s="13">
        <v>17.5569852055323</v>
      </c>
      <c r="Y12" s="13">
        <v>11.0347261348697</v>
      </c>
      <c r="Z12" s="13">
        <v>10.9938880059195</v>
      </c>
      <c r="AA12" s="13">
        <v>12.180740237849999</v>
      </c>
    </row>
    <row r="13" spans="1:27" x14ac:dyDescent="0.25">
      <c r="A13" s="10" t="s">
        <v>551</v>
      </c>
      <c r="B13" s="10" t="s">
        <v>552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</row>
    <row r="14" spans="1:27" x14ac:dyDescent="0.25">
      <c r="A14" s="10" t="s">
        <v>553</v>
      </c>
      <c r="B14" s="10" t="s">
        <v>554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0.28906910190185803</v>
      </c>
      <c r="I14" s="13">
        <v>0.52957105126313397</v>
      </c>
      <c r="J14" s="13">
        <v>0.38210315778639897</v>
      </c>
      <c r="K14" s="13">
        <v>0.98372375374514298</v>
      </c>
      <c r="L14" s="13">
        <v>1.12372445725426</v>
      </c>
      <c r="M14" s="13">
        <v>1.2416316838206201</v>
      </c>
      <c r="N14" s="13">
        <v>1.46629996631056</v>
      </c>
      <c r="O14" s="13">
        <v>1.6223244603362399</v>
      </c>
      <c r="P14" s="13">
        <v>0.90872458495475406</v>
      </c>
      <c r="Q14" s="13">
        <v>3.08188386340291</v>
      </c>
      <c r="R14" s="13">
        <v>3.01752304031079</v>
      </c>
      <c r="S14" s="13">
        <v>3.169135377196</v>
      </c>
      <c r="T14" s="13">
        <v>3.92448743903689</v>
      </c>
      <c r="U14" s="13">
        <v>5.8709196442835099</v>
      </c>
      <c r="V14" s="13">
        <v>5.9897110625585199</v>
      </c>
      <c r="W14" s="13">
        <v>1.5992146039722901</v>
      </c>
      <c r="X14" s="13">
        <v>2.13497073768868</v>
      </c>
      <c r="Y14" s="13">
        <v>1.52078297377365</v>
      </c>
      <c r="Z14" s="13">
        <v>1.77727274443257</v>
      </c>
      <c r="AA14" s="13">
        <v>1.92280117520367</v>
      </c>
    </row>
    <row r="15" spans="1:27" x14ac:dyDescent="0.25">
      <c r="A15" s="10" t="s">
        <v>555</v>
      </c>
      <c r="B15" s="10" t="s">
        <v>556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 t="s">
        <v>76</v>
      </c>
      <c r="J15" s="13" t="s">
        <v>76</v>
      </c>
      <c r="K15" s="13">
        <v>0.34626427601044202</v>
      </c>
      <c r="L15" s="13">
        <v>0.43736693844157198</v>
      </c>
      <c r="M15" s="13">
        <v>0.48355603981150902</v>
      </c>
      <c r="N15" s="13">
        <v>0.39180539955085403</v>
      </c>
      <c r="O15" s="13">
        <v>0.50697876668130504</v>
      </c>
      <c r="P15" s="13">
        <v>0.28437219369545702</v>
      </c>
      <c r="Q15" s="13">
        <v>2.2367121316999801</v>
      </c>
      <c r="R15" s="13">
        <v>2.2771128863336099</v>
      </c>
      <c r="S15" s="13">
        <v>2.2823869206921201</v>
      </c>
      <c r="T15" s="13">
        <v>3.00709816965262</v>
      </c>
      <c r="U15" s="13">
        <v>4.7506873579390199</v>
      </c>
      <c r="V15" s="13">
        <v>4.6223580951531602</v>
      </c>
      <c r="W15" s="13" t="s">
        <v>76</v>
      </c>
      <c r="X15" s="13">
        <v>4.66081955889676</v>
      </c>
      <c r="Y15" s="13">
        <v>2.4658766652732602</v>
      </c>
      <c r="Z15" s="13">
        <v>2.3012658132274302</v>
      </c>
      <c r="AA15" s="13">
        <v>2.8450990261260398</v>
      </c>
    </row>
    <row r="16" spans="1:27" x14ac:dyDescent="0.25">
      <c r="A16" s="10" t="s">
        <v>557</v>
      </c>
      <c r="B16" s="10" t="s">
        <v>558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0.25974938546446602</v>
      </c>
      <c r="I16" s="13" t="s">
        <v>76</v>
      </c>
      <c r="J16" s="13" t="s">
        <v>76</v>
      </c>
      <c r="K16" s="13">
        <v>0.24830155405625201</v>
      </c>
      <c r="L16" s="13">
        <v>0.17636103211166701</v>
      </c>
      <c r="M16" s="13">
        <v>0.22539580049733399</v>
      </c>
      <c r="N16" s="13">
        <v>0.61834166010542901</v>
      </c>
      <c r="O16" s="13">
        <v>0.491336279717419</v>
      </c>
      <c r="P16" s="13">
        <v>0.13792627046443601</v>
      </c>
      <c r="Q16" s="13">
        <v>0.21443369059965101</v>
      </c>
      <c r="R16" s="13">
        <v>0.25409239653759103</v>
      </c>
      <c r="S16" s="13">
        <v>0.34367630302869701</v>
      </c>
      <c r="T16" s="13">
        <v>0.44727054190357202</v>
      </c>
      <c r="U16" s="13">
        <v>0.56768338653759398</v>
      </c>
      <c r="V16" s="13">
        <v>0.66507446381593605</v>
      </c>
      <c r="W16" s="13" t="s">
        <v>76</v>
      </c>
      <c r="X16" s="13">
        <v>1.18802842165572</v>
      </c>
      <c r="Y16" s="13">
        <v>0.92017896197209503</v>
      </c>
      <c r="Z16" s="13">
        <v>0.98516737199355198</v>
      </c>
      <c r="AA16" s="13">
        <v>1.0952424150201301</v>
      </c>
    </row>
    <row r="17" spans="1:27" x14ac:dyDescent="0.25">
      <c r="A17" s="10" t="s">
        <v>559</v>
      </c>
      <c r="B17" s="10" t="s">
        <v>560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2.9319716437391799E-2</v>
      </c>
      <c r="I17" s="13" t="s">
        <v>76</v>
      </c>
      <c r="J17" s="13" t="s">
        <v>76</v>
      </c>
      <c r="K17" s="13">
        <v>0.38915792367844898</v>
      </c>
      <c r="L17" s="13">
        <v>0.50999648670101705</v>
      </c>
      <c r="M17" s="13">
        <v>0.532679843511775</v>
      </c>
      <c r="N17" s="13">
        <v>0.45615290665427799</v>
      </c>
      <c r="O17" s="13">
        <v>0.62400941393751697</v>
      </c>
      <c r="P17" s="13">
        <v>0.48642612079486103</v>
      </c>
      <c r="Q17" s="13">
        <v>0.63073804110328102</v>
      </c>
      <c r="R17" s="13">
        <v>0.48631775743958799</v>
      </c>
      <c r="S17" s="13">
        <v>0.543072153475185</v>
      </c>
      <c r="T17" s="13">
        <v>0.47011872748069</v>
      </c>
      <c r="U17" s="13">
        <v>0.55254889980689503</v>
      </c>
      <c r="V17" s="13">
        <v>0.70227850358942301</v>
      </c>
      <c r="W17" s="13" t="s">
        <v>76</v>
      </c>
      <c r="X17" s="13">
        <v>0.94694231603296197</v>
      </c>
      <c r="Y17" s="13">
        <v>0.60060401180155498</v>
      </c>
      <c r="Z17" s="13">
        <v>0.79210537243902202</v>
      </c>
      <c r="AA17" s="13">
        <v>0.82755876018353802</v>
      </c>
    </row>
    <row r="18" spans="1:27" x14ac:dyDescent="0.25">
      <c r="A18" s="10" t="s">
        <v>561</v>
      </c>
      <c r="B18" s="10" t="s">
        <v>562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 t="s">
        <v>76</v>
      </c>
      <c r="J18" s="13" t="s">
        <v>76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-4.66081955889676</v>
      </c>
      <c r="Y18" s="13">
        <v>-2.4658766652732602</v>
      </c>
      <c r="Z18" s="13">
        <v>-2.3012658132274302</v>
      </c>
      <c r="AA18" s="13">
        <v>-2.8450990261260398</v>
      </c>
    </row>
    <row r="19" spans="1:27" x14ac:dyDescent="0.25">
      <c r="A19" s="10" t="s">
        <v>563</v>
      </c>
      <c r="B19" s="10" t="s">
        <v>564</v>
      </c>
      <c r="C19" s="13">
        <v>2.2138827384937398</v>
      </c>
      <c r="D19" s="13">
        <v>2.42155021865771</v>
      </c>
      <c r="E19" s="13">
        <v>0.98163826888777195</v>
      </c>
      <c r="F19" s="13">
        <v>1.4342309078866</v>
      </c>
      <c r="G19" s="13">
        <v>2.5135847679952299</v>
      </c>
      <c r="H19" s="13">
        <v>1.9275938465786699</v>
      </c>
      <c r="I19" s="13">
        <v>1.38936396970968</v>
      </c>
      <c r="J19" s="13">
        <v>1.6194573137044299</v>
      </c>
      <c r="K19" s="13">
        <v>2.1797235389102601</v>
      </c>
      <c r="L19" s="13">
        <v>2.3565090283338899</v>
      </c>
      <c r="M19" s="13">
        <v>3.7700696571719901</v>
      </c>
      <c r="N19" s="13">
        <v>5.5401776264816602</v>
      </c>
      <c r="O19" s="13">
        <v>5.4791102951192503</v>
      </c>
      <c r="P19" s="13">
        <v>4.1181008082157096</v>
      </c>
      <c r="Q19" s="13">
        <v>4.8501920173024997</v>
      </c>
      <c r="R19" s="13">
        <v>5.8670151752112201</v>
      </c>
      <c r="S19" s="13">
        <v>6.2194281777471598</v>
      </c>
      <c r="T19" s="13">
        <v>7.96224648899548</v>
      </c>
      <c r="U19" s="13">
        <v>6.6367526996841404</v>
      </c>
      <c r="V19" s="13">
        <v>8.8827083426227293</v>
      </c>
      <c r="W19" s="13">
        <v>6.0680081560356696</v>
      </c>
      <c r="X19" s="13">
        <v>9.0756001049480908</v>
      </c>
      <c r="Y19" s="13">
        <v>5.7211488946644602</v>
      </c>
      <c r="Z19" s="13">
        <v>7.24998018037744</v>
      </c>
      <c r="AA19" s="13">
        <v>8.3044848534507008</v>
      </c>
    </row>
    <row r="20" spans="1:27" x14ac:dyDescent="0.25">
      <c r="A20" s="10" t="s">
        <v>565</v>
      </c>
      <c r="B20" s="10" t="s">
        <v>566</v>
      </c>
      <c r="C20" s="13">
        <v>0</v>
      </c>
      <c r="D20" s="13" t="s">
        <v>76</v>
      </c>
      <c r="E20" s="13" t="s">
        <v>76</v>
      </c>
      <c r="F20" s="13" t="s">
        <v>76</v>
      </c>
      <c r="G20" s="13">
        <v>0</v>
      </c>
      <c r="H20" s="13" t="s">
        <v>76</v>
      </c>
      <c r="I20" s="13" t="s">
        <v>76</v>
      </c>
      <c r="J20" s="13" t="s">
        <v>76</v>
      </c>
      <c r="K20" s="13">
        <v>0</v>
      </c>
      <c r="L20" s="13" t="s">
        <v>76</v>
      </c>
      <c r="M20" s="13" t="s">
        <v>76</v>
      </c>
      <c r="N20" s="13" t="s">
        <v>76</v>
      </c>
      <c r="O20" s="13" t="s">
        <v>76</v>
      </c>
      <c r="P20" s="13" t="s">
        <v>76</v>
      </c>
      <c r="Q20" s="13" t="s">
        <v>76</v>
      </c>
      <c r="R20" s="13" t="s">
        <v>76</v>
      </c>
      <c r="S20" s="13">
        <v>0</v>
      </c>
      <c r="T20" s="13" t="s">
        <v>76</v>
      </c>
      <c r="U20" s="13" t="s">
        <v>76</v>
      </c>
      <c r="V20" s="13" t="s">
        <v>76</v>
      </c>
      <c r="W20" s="13">
        <v>0</v>
      </c>
      <c r="X20" s="13" t="s">
        <v>76</v>
      </c>
      <c r="Y20" s="13" t="s">
        <v>76</v>
      </c>
      <c r="Z20" s="13" t="s">
        <v>76</v>
      </c>
      <c r="AA20" s="13">
        <v>0</v>
      </c>
    </row>
    <row r="21" spans="1:27" x14ac:dyDescent="0.25">
      <c r="A21" s="10" t="s">
        <v>567</v>
      </c>
      <c r="B21" s="10" t="s">
        <v>568</v>
      </c>
      <c r="C21" s="13">
        <v>2.2138827384937398</v>
      </c>
      <c r="D21" s="13">
        <v>2.42155021865771</v>
      </c>
      <c r="E21" s="13">
        <v>0.98163826888777195</v>
      </c>
      <c r="F21" s="13">
        <v>1.4342309078866</v>
      </c>
      <c r="G21" s="13">
        <v>2.5135847679952299</v>
      </c>
      <c r="H21" s="13">
        <v>1.9275938465786699</v>
      </c>
      <c r="I21" s="13">
        <v>1.38936396970968</v>
      </c>
      <c r="J21" s="13">
        <v>1.6194573137044299</v>
      </c>
      <c r="K21" s="13">
        <v>2.1797235389102601</v>
      </c>
      <c r="L21" s="13">
        <v>2.3565090283338899</v>
      </c>
      <c r="M21" s="13">
        <v>3.7700696571719901</v>
      </c>
      <c r="N21" s="13">
        <v>5.5401776264816602</v>
      </c>
      <c r="O21" s="13">
        <v>5.4791102951192503</v>
      </c>
      <c r="P21" s="13">
        <v>4.1181008082157096</v>
      </c>
      <c r="Q21" s="13">
        <v>4.8501920173024997</v>
      </c>
      <c r="R21" s="13">
        <v>5.8670151752112201</v>
      </c>
      <c r="S21" s="13">
        <v>6.2194281777471598</v>
      </c>
      <c r="T21" s="13">
        <v>7.96224648899548</v>
      </c>
      <c r="U21" s="13">
        <v>6.6367526996841404</v>
      </c>
      <c r="V21" s="13">
        <v>8.8827083426227293</v>
      </c>
      <c r="W21" s="13">
        <v>6.0680081560356696</v>
      </c>
      <c r="X21" s="13">
        <v>9.0756001049480908</v>
      </c>
      <c r="Y21" s="13">
        <v>5.7211488946644602</v>
      </c>
      <c r="Z21" s="13">
        <v>7.24998018037744</v>
      </c>
      <c r="AA21" s="13">
        <v>8.3044848534507008</v>
      </c>
    </row>
    <row r="22" spans="1:27" x14ac:dyDescent="0.25">
      <c r="A22" s="6" t="s">
        <v>110</v>
      </c>
      <c r="B22" s="6" t="s">
        <v>111</v>
      </c>
      <c r="C22" s="19">
        <v>99.505099428510405</v>
      </c>
      <c r="D22" s="19">
        <v>93.6306360395903</v>
      </c>
      <c r="E22" s="19">
        <v>93.054755550471199</v>
      </c>
      <c r="F22" s="19">
        <v>92.490419057572595</v>
      </c>
      <c r="G22" s="19">
        <v>91.694414710448001</v>
      </c>
      <c r="H22" s="19">
        <v>95.787943113952593</v>
      </c>
      <c r="I22" s="19">
        <v>94.929488984875306</v>
      </c>
      <c r="J22" s="19">
        <v>96.573575116042406</v>
      </c>
      <c r="K22" s="19">
        <v>96.318320288984197</v>
      </c>
      <c r="L22" s="19">
        <v>96.235944357770094</v>
      </c>
      <c r="M22" s="19">
        <v>96.1013987317708</v>
      </c>
      <c r="N22" s="19">
        <v>95.738940217456602</v>
      </c>
      <c r="O22" s="19">
        <v>95.378598723173297</v>
      </c>
      <c r="P22" s="19">
        <v>97.669990098781895</v>
      </c>
      <c r="Q22" s="19">
        <v>97.204109835374993</v>
      </c>
      <c r="R22" s="19">
        <v>97.155622961154705</v>
      </c>
      <c r="S22" s="19">
        <v>97.771138609926098</v>
      </c>
      <c r="T22" s="19">
        <v>97.775556041752594</v>
      </c>
      <c r="U22" s="19">
        <v>97.823856995916501</v>
      </c>
      <c r="V22" s="19">
        <v>97.876582913452495</v>
      </c>
      <c r="W22" s="19">
        <v>91.6934758579971</v>
      </c>
      <c r="X22" s="19">
        <v>92.435572047397997</v>
      </c>
      <c r="Y22" s="19">
        <v>95.740035622762207</v>
      </c>
      <c r="Z22" s="19">
        <v>96.019917776880106</v>
      </c>
      <c r="AA22" s="19">
        <v>95.643611293192194</v>
      </c>
    </row>
    <row r="23" spans="1:27" x14ac:dyDescent="0.25">
      <c r="A23" s="10" t="s">
        <v>569</v>
      </c>
      <c r="B23" s="10" t="s">
        <v>570</v>
      </c>
      <c r="C23" s="13">
        <v>0.32467662444371298</v>
      </c>
      <c r="D23" s="13">
        <v>6.1899616960022801</v>
      </c>
      <c r="E23" s="13">
        <v>6.74667225262613</v>
      </c>
      <c r="F23" s="13">
        <v>7.3845669640742102</v>
      </c>
      <c r="G23" s="13">
        <v>8.1659706870524396</v>
      </c>
      <c r="H23" s="13">
        <v>4.1941690309258197</v>
      </c>
      <c r="I23" s="13">
        <v>5.0509877712699902</v>
      </c>
      <c r="J23" s="13">
        <v>3.415263897185</v>
      </c>
      <c r="K23" s="13">
        <v>3.6696788244970802</v>
      </c>
      <c r="L23" s="13">
        <v>3.7512927869223698</v>
      </c>
      <c r="M23" s="13">
        <v>3.8848431638268801</v>
      </c>
      <c r="N23" s="13">
        <v>4.2456041720481803</v>
      </c>
      <c r="O23" s="13">
        <v>4.6038303199943904</v>
      </c>
      <c r="P23" s="13">
        <v>2.3201086831379998</v>
      </c>
      <c r="Q23" s="13">
        <v>2.7852978054109698</v>
      </c>
      <c r="R23" s="13">
        <v>2.8333795823268302</v>
      </c>
      <c r="S23" s="13">
        <v>2.2174673414769899</v>
      </c>
      <c r="T23" s="13">
        <v>2.2125352069768698</v>
      </c>
      <c r="U23" s="13">
        <v>2.1640914683535102</v>
      </c>
      <c r="V23" s="13">
        <v>2.1114337628751101</v>
      </c>
      <c r="W23" s="13">
        <v>2.0022106426653998</v>
      </c>
      <c r="X23" s="13">
        <v>1.8744745902473201</v>
      </c>
      <c r="Y23" s="13">
        <v>1.20802360310912</v>
      </c>
      <c r="Z23" s="13">
        <v>1.2092612377259899</v>
      </c>
      <c r="AA23" s="13">
        <v>1.0897555950931701</v>
      </c>
    </row>
    <row r="24" spans="1:27" x14ac:dyDescent="0.25">
      <c r="A24" s="10" t="s">
        <v>571</v>
      </c>
      <c r="B24" s="10" t="s">
        <v>572</v>
      </c>
      <c r="C24" s="13">
        <v>1.1740234355983099</v>
      </c>
      <c r="D24" s="13">
        <v>7.1033466188662997</v>
      </c>
      <c r="E24" s="13">
        <v>7.7915604881587903</v>
      </c>
      <c r="F24" s="13">
        <v>8.5847432918431004</v>
      </c>
      <c r="G24" s="13">
        <v>9.5627142760663606</v>
      </c>
      <c r="H24" s="13">
        <v>4.9541250512057102</v>
      </c>
      <c r="I24" s="13">
        <v>5.9104271195156901</v>
      </c>
      <c r="J24" s="13">
        <v>3.9222791168546798</v>
      </c>
      <c r="K24" s="13">
        <v>4.2324101854497798</v>
      </c>
      <c r="L24" s="13">
        <v>4.3685837533720804</v>
      </c>
      <c r="M24" s="13">
        <v>4.5703411471931403</v>
      </c>
      <c r="N24" s="13">
        <v>5.0397290737265799</v>
      </c>
      <c r="O24" s="13">
        <v>5.5363596011395204</v>
      </c>
      <c r="P24" s="13" t="s">
        <v>76</v>
      </c>
      <c r="Q24" s="13" t="s">
        <v>76</v>
      </c>
      <c r="R24" s="13" t="s">
        <v>76</v>
      </c>
      <c r="S24" s="13">
        <v>2.9095895492726398</v>
      </c>
      <c r="T24" s="13" t="s">
        <v>76</v>
      </c>
      <c r="U24" s="13" t="s">
        <v>76</v>
      </c>
      <c r="V24" s="13" t="s">
        <v>76</v>
      </c>
      <c r="W24" s="13" t="s">
        <v>76</v>
      </c>
      <c r="X24" s="13" t="s">
        <v>76</v>
      </c>
      <c r="Y24" s="13" t="s">
        <v>76</v>
      </c>
      <c r="Z24" s="13" t="s">
        <v>76</v>
      </c>
      <c r="AA24" s="13" t="s">
        <v>76</v>
      </c>
    </row>
    <row r="25" spans="1:27" x14ac:dyDescent="0.25">
      <c r="A25" s="10" t="s">
        <v>573</v>
      </c>
      <c r="B25" s="10" t="s">
        <v>574</v>
      </c>
      <c r="C25" s="13">
        <v>0.84934681115459398</v>
      </c>
      <c r="D25" s="13">
        <v>0.91338492286401796</v>
      </c>
      <c r="E25" s="13">
        <v>1.0448882355326701</v>
      </c>
      <c r="F25" s="13">
        <v>1.2001763277688799</v>
      </c>
      <c r="G25" s="13">
        <v>1.3967435890139199</v>
      </c>
      <c r="H25" s="13">
        <v>0.75995602027988696</v>
      </c>
      <c r="I25" s="13">
        <v>0.85943934824570101</v>
      </c>
      <c r="J25" s="13">
        <v>0.50701521966968099</v>
      </c>
      <c r="K25" s="13">
        <v>0.56273136095269805</v>
      </c>
      <c r="L25" s="13">
        <v>0.61729096644970904</v>
      </c>
      <c r="M25" s="13">
        <v>0.685497983366259</v>
      </c>
      <c r="N25" s="13">
        <v>0.794124901678392</v>
      </c>
      <c r="O25" s="13">
        <v>0.932529281145139</v>
      </c>
      <c r="P25" s="13" t="s">
        <v>76</v>
      </c>
      <c r="Q25" s="13" t="s">
        <v>76</v>
      </c>
      <c r="R25" s="13" t="s">
        <v>76</v>
      </c>
      <c r="S25" s="13">
        <v>0.69212220779564904</v>
      </c>
      <c r="T25" s="13" t="s">
        <v>76</v>
      </c>
      <c r="U25" s="13" t="s">
        <v>76</v>
      </c>
      <c r="V25" s="13" t="s">
        <v>76</v>
      </c>
      <c r="W25" s="13" t="s">
        <v>76</v>
      </c>
      <c r="X25" s="13" t="s">
        <v>76</v>
      </c>
      <c r="Y25" s="13" t="s">
        <v>76</v>
      </c>
      <c r="Z25" s="13" t="s">
        <v>76</v>
      </c>
      <c r="AA25" s="13" t="s">
        <v>76</v>
      </c>
    </row>
    <row r="26" spans="1:27" x14ac:dyDescent="0.25">
      <c r="A26" s="10" t="s">
        <v>575</v>
      </c>
      <c r="B26" s="10" t="s">
        <v>576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</row>
    <row r="27" spans="1:27" x14ac:dyDescent="0.25">
      <c r="A27" s="10" t="s">
        <v>577</v>
      </c>
      <c r="B27" s="10" t="s">
        <v>578</v>
      </c>
      <c r="C27" s="13">
        <v>0.170223947045891</v>
      </c>
      <c r="D27" s="13">
        <v>0.179402264407444</v>
      </c>
      <c r="E27" s="13">
        <v>0.19857219690272199</v>
      </c>
      <c r="F27" s="13">
        <v>0.12501397835322101</v>
      </c>
      <c r="G27" s="13">
        <v>0.139614602499539</v>
      </c>
      <c r="H27" s="13">
        <v>1.7887855121555999E-2</v>
      </c>
      <c r="I27" s="13">
        <v>1.95232438546868E-2</v>
      </c>
      <c r="J27" s="13">
        <v>1.1160986772551699E-2</v>
      </c>
      <c r="K27" s="13">
        <v>1.20008865187198E-2</v>
      </c>
      <c r="L27" s="13">
        <v>1.2762855307578799E-2</v>
      </c>
      <c r="M27" s="13">
        <v>1.3758104402353401E-2</v>
      </c>
      <c r="N27" s="13">
        <v>1.54556104952321E-2</v>
      </c>
      <c r="O27" s="13">
        <v>1.75709568322879E-2</v>
      </c>
      <c r="P27" s="13">
        <v>9.9012180800847407E-3</v>
      </c>
      <c r="Q27" s="13">
        <v>1.0592359213997701E-2</v>
      </c>
      <c r="R27" s="13">
        <v>1.09974565184866E-2</v>
      </c>
      <c r="S27" s="13">
        <v>1.1394048596942199E-2</v>
      </c>
      <c r="T27" s="13">
        <v>1.19087512704976E-2</v>
      </c>
      <c r="U27" s="13">
        <v>1.20515357300008E-2</v>
      </c>
      <c r="V27" s="13">
        <v>1.19833236723592E-2</v>
      </c>
      <c r="W27" s="13">
        <v>6.3043134993374901</v>
      </c>
      <c r="X27" s="13">
        <v>5.6899533623546903</v>
      </c>
      <c r="Y27" s="13">
        <v>3.0519407741286702</v>
      </c>
      <c r="Z27" s="13">
        <v>2.7708209853938799</v>
      </c>
      <c r="AA27" s="13">
        <v>3.2666331117145799</v>
      </c>
    </row>
    <row r="28" spans="1:27" x14ac:dyDescent="0.25">
      <c r="A28" s="10" t="s">
        <v>579</v>
      </c>
      <c r="B28" s="10" t="s">
        <v>580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</row>
    <row r="29" spans="1:27" x14ac:dyDescent="0.25">
      <c r="A29" s="11" t="s">
        <v>581</v>
      </c>
      <c r="B29" s="11" t="s">
        <v>582</v>
      </c>
      <c r="C29" s="25">
        <v>0</v>
      </c>
      <c r="D29" s="25" t="s">
        <v>76</v>
      </c>
      <c r="E29" s="25" t="s">
        <v>76</v>
      </c>
      <c r="F29" s="25">
        <v>0</v>
      </c>
      <c r="G29" s="25">
        <v>0</v>
      </c>
      <c r="H29" s="25" t="s">
        <v>76</v>
      </c>
      <c r="I29" s="25" t="s">
        <v>76</v>
      </c>
      <c r="J29" s="25" t="s">
        <v>76</v>
      </c>
      <c r="K29" s="25">
        <v>0</v>
      </c>
      <c r="L29" s="25" t="s">
        <v>76</v>
      </c>
      <c r="M29" s="25" t="s">
        <v>76</v>
      </c>
      <c r="N29" s="25" t="s">
        <v>76</v>
      </c>
      <c r="O29" s="25">
        <v>0</v>
      </c>
      <c r="P29" s="25" t="s">
        <v>76</v>
      </c>
      <c r="Q29" s="25">
        <v>0</v>
      </c>
      <c r="R29" s="25" t="s">
        <v>76</v>
      </c>
      <c r="S29" s="25">
        <v>0</v>
      </c>
      <c r="T29" s="25" t="s">
        <v>76</v>
      </c>
      <c r="U29" s="25" t="s">
        <v>76</v>
      </c>
      <c r="V29" s="25" t="s">
        <v>76</v>
      </c>
      <c r="W29" s="25">
        <v>0</v>
      </c>
      <c r="X29" s="25" t="s">
        <v>76</v>
      </c>
      <c r="Y29" s="25" t="s">
        <v>76</v>
      </c>
      <c r="Z29" s="25" t="s">
        <v>76</v>
      </c>
      <c r="AA29" s="25">
        <v>0</v>
      </c>
    </row>
    <row r="30" spans="1:27" x14ac:dyDescent="0.25">
      <c r="A30" s="11" t="s">
        <v>583</v>
      </c>
      <c r="B30" s="11" t="s">
        <v>584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</row>
    <row r="31" spans="1:27" x14ac:dyDescent="0.25">
      <c r="A31" s="10" t="s">
        <v>585</v>
      </c>
      <c r="B31" s="10" t="s">
        <v>586</v>
      </c>
      <c r="C31" s="13">
        <v>0.14815463967287601</v>
      </c>
      <c r="D31" s="13">
        <v>0.154303190739457</v>
      </c>
      <c r="E31" s="13">
        <v>0.17079117521418699</v>
      </c>
      <c r="F31" s="13">
        <v>9.4327014790906799E-2</v>
      </c>
      <c r="G31" s="13">
        <v>0.105343649154105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 t="s">
        <v>76</v>
      </c>
      <c r="N31" s="13" t="s">
        <v>76</v>
      </c>
      <c r="O31" s="13" t="s">
        <v>76</v>
      </c>
      <c r="P31" s="13">
        <v>0</v>
      </c>
      <c r="Q31" s="13">
        <v>0</v>
      </c>
      <c r="R31" s="13" t="s">
        <v>76</v>
      </c>
      <c r="S31" s="13" t="s">
        <v>76</v>
      </c>
      <c r="T31" s="13">
        <v>0</v>
      </c>
      <c r="U31" s="13" t="s">
        <v>76</v>
      </c>
      <c r="V31" s="13" t="s">
        <v>76</v>
      </c>
      <c r="W31" s="13" t="s">
        <v>76</v>
      </c>
      <c r="X31" s="13">
        <v>0</v>
      </c>
      <c r="Y31" s="13" t="s">
        <v>76</v>
      </c>
      <c r="Z31" s="13" t="s">
        <v>76</v>
      </c>
      <c r="AA31" s="13" t="s">
        <v>76</v>
      </c>
    </row>
    <row r="32" spans="1:27" x14ac:dyDescent="0.25">
      <c r="A32" s="10" t="s">
        <v>565</v>
      </c>
      <c r="B32" s="10" t="s">
        <v>587</v>
      </c>
      <c r="C32" s="13">
        <v>0</v>
      </c>
      <c r="D32" s="13" t="s">
        <v>76</v>
      </c>
      <c r="E32" s="13" t="s">
        <v>76</v>
      </c>
      <c r="F32" s="13" t="s">
        <v>76</v>
      </c>
      <c r="G32" s="13">
        <v>0</v>
      </c>
      <c r="H32" s="13" t="s">
        <v>76</v>
      </c>
      <c r="I32" s="13" t="s">
        <v>76</v>
      </c>
      <c r="J32" s="13" t="s">
        <v>76</v>
      </c>
      <c r="K32" s="13">
        <v>0</v>
      </c>
      <c r="L32" s="13" t="s">
        <v>76</v>
      </c>
      <c r="M32" s="13" t="s">
        <v>76</v>
      </c>
      <c r="N32" s="13" t="s">
        <v>76</v>
      </c>
      <c r="O32" s="13" t="s">
        <v>76</v>
      </c>
      <c r="P32" s="13" t="s">
        <v>76</v>
      </c>
      <c r="Q32" s="13" t="s">
        <v>76</v>
      </c>
      <c r="R32" s="13" t="s">
        <v>76</v>
      </c>
      <c r="S32" s="13">
        <v>0</v>
      </c>
      <c r="T32" s="13" t="s">
        <v>76</v>
      </c>
      <c r="U32" s="13" t="s">
        <v>76</v>
      </c>
      <c r="V32" s="13" t="s">
        <v>76</v>
      </c>
      <c r="W32" s="13">
        <v>0</v>
      </c>
      <c r="X32" s="13" t="s">
        <v>76</v>
      </c>
      <c r="Y32" s="13" t="s">
        <v>76</v>
      </c>
      <c r="Z32" s="13" t="s">
        <v>76</v>
      </c>
      <c r="AA32" s="13">
        <v>0</v>
      </c>
    </row>
    <row r="33" spans="1:27" x14ac:dyDescent="0.25">
      <c r="A33" s="10" t="s">
        <v>588</v>
      </c>
      <c r="B33" s="10" t="s">
        <v>589</v>
      </c>
      <c r="C33" s="13">
        <v>2.2069307373014199E-2</v>
      </c>
      <c r="D33" s="13">
        <v>2.5099073667986901E-2</v>
      </c>
      <c r="E33" s="13">
        <v>2.77810216885345E-2</v>
      </c>
      <c r="F33" s="13">
        <v>3.06869635623143E-2</v>
      </c>
      <c r="G33" s="13">
        <v>3.4270953345434098E-2</v>
      </c>
      <c r="H33" s="13">
        <v>1.7887855121555999E-2</v>
      </c>
      <c r="I33" s="13">
        <v>1.95232438546868E-2</v>
      </c>
      <c r="J33" s="13">
        <v>1.1160986772551699E-2</v>
      </c>
      <c r="K33" s="13">
        <v>1.20008865187198E-2</v>
      </c>
      <c r="L33" s="13">
        <v>1.2762855307578799E-2</v>
      </c>
      <c r="M33" s="13">
        <v>1.3758104402353401E-2</v>
      </c>
      <c r="N33" s="13">
        <v>1.54556104952321E-2</v>
      </c>
      <c r="O33" s="13">
        <v>1.75709568322879E-2</v>
      </c>
      <c r="P33" s="13">
        <v>9.9012180800847407E-3</v>
      </c>
      <c r="Q33" s="13">
        <v>1.0592359213997701E-2</v>
      </c>
      <c r="R33" s="13">
        <v>1.09974565184866E-2</v>
      </c>
      <c r="S33" s="13">
        <v>1.1394048596942199E-2</v>
      </c>
      <c r="T33" s="13">
        <v>1.19087512704976E-2</v>
      </c>
      <c r="U33" s="13">
        <v>1.20515357300008E-2</v>
      </c>
      <c r="V33" s="13">
        <v>1.19833236723592E-2</v>
      </c>
      <c r="W33" s="13">
        <v>6.3043134993374901</v>
      </c>
      <c r="X33" s="13">
        <v>5.6899533623546903</v>
      </c>
      <c r="Y33" s="13">
        <v>3.0519407741286702</v>
      </c>
      <c r="Z33" s="13">
        <v>2.7708209853938799</v>
      </c>
      <c r="AA33" s="13">
        <v>3.2666331117145799</v>
      </c>
    </row>
    <row r="34" spans="1:27" x14ac:dyDescent="0.25">
      <c r="A34" s="6" t="s">
        <v>590</v>
      </c>
      <c r="B34" s="6" t="s">
        <v>591</v>
      </c>
      <c r="C34" s="19">
        <v>0.49490057148960398</v>
      </c>
      <c r="D34" s="19">
        <v>6.3693639604097303</v>
      </c>
      <c r="E34" s="19">
        <v>6.9452444495288503</v>
      </c>
      <c r="F34" s="19">
        <v>7.5095809424274398</v>
      </c>
      <c r="G34" s="19">
        <v>8.3055852895519706</v>
      </c>
      <c r="H34" s="19">
        <v>4.2120568860473799</v>
      </c>
      <c r="I34" s="19">
        <v>5.0705110151246799</v>
      </c>
      <c r="J34" s="19">
        <v>3.4264248839575502</v>
      </c>
      <c r="K34" s="19">
        <v>3.6816797110157999</v>
      </c>
      <c r="L34" s="19">
        <v>3.76405564222995</v>
      </c>
      <c r="M34" s="19">
        <v>3.8986012682292399</v>
      </c>
      <c r="N34" s="19">
        <v>4.2610597825434198</v>
      </c>
      <c r="O34" s="19">
        <v>4.6214012768266697</v>
      </c>
      <c r="P34" s="19">
        <v>2.3300099012180802</v>
      </c>
      <c r="Q34" s="19">
        <v>2.7958901646249701</v>
      </c>
      <c r="R34" s="19">
        <v>2.84437703884532</v>
      </c>
      <c r="S34" s="19">
        <v>2.2288613900739298</v>
      </c>
      <c r="T34" s="19">
        <v>2.2244439582473601</v>
      </c>
      <c r="U34" s="19">
        <v>2.1761430040835101</v>
      </c>
      <c r="V34" s="19">
        <v>2.12341708654747</v>
      </c>
      <c r="W34" s="19">
        <v>8.3065241420028997</v>
      </c>
      <c r="X34" s="19">
        <v>7.5644279526020197</v>
      </c>
      <c r="Y34" s="19">
        <v>4.2599643772377798</v>
      </c>
      <c r="Z34" s="19">
        <v>3.98008222311987</v>
      </c>
      <c r="AA34" s="19">
        <v>4.35638870680775</v>
      </c>
    </row>
    <row r="35" spans="1:27" x14ac:dyDescent="0.25">
      <c r="A35" s="6" t="s">
        <v>112</v>
      </c>
      <c r="B35" s="6" t="s">
        <v>113</v>
      </c>
      <c r="C35" s="19">
        <v>100</v>
      </c>
      <c r="D35" s="19">
        <v>100</v>
      </c>
      <c r="E35" s="19">
        <v>100</v>
      </c>
      <c r="F35" s="19">
        <v>100</v>
      </c>
      <c r="G35" s="19">
        <v>100</v>
      </c>
      <c r="H35" s="19">
        <v>100</v>
      </c>
      <c r="I35" s="19">
        <v>100</v>
      </c>
      <c r="J35" s="19">
        <v>100</v>
      </c>
      <c r="K35" s="19">
        <v>100</v>
      </c>
      <c r="L35" s="19">
        <v>100</v>
      </c>
      <c r="M35" s="19">
        <v>100</v>
      </c>
      <c r="N35" s="19">
        <v>100</v>
      </c>
      <c r="O35" s="19">
        <v>100</v>
      </c>
      <c r="P35" s="19">
        <v>100</v>
      </c>
      <c r="Q35" s="19">
        <v>100</v>
      </c>
      <c r="R35" s="19">
        <v>100</v>
      </c>
      <c r="S35" s="19">
        <v>100</v>
      </c>
      <c r="T35" s="19">
        <v>100</v>
      </c>
      <c r="U35" s="19">
        <v>100</v>
      </c>
      <c r="V35" s="19">
        <v>100</v>
      </c>
      <c r="W35" s="19">
        <v>100</v>
      </c>
      <c r="X35" s="19">
        <v>100</v>
      </c>
      <c r="Y35" s="19">
        <v>100</v>
      </c>
      <c r="Z35" s="19">
        <v>100</v>
      </c>
      <c r="AA35" s="19">
        <v>100</v>
      </c>
    </row>
    <row r="36" spans="1:27" x14ac:dyDescent="0.25">
      <c r="A36" s="6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x14ac:dyDescent="0.25">
      <c r="A37" s="6" t="s">
        <v>592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x14ac:dyDescent="0.25">
      <c r="A38" s="10" t="s">
        <v>593</v>
      </c>
      <c r="B38" s="10" t="s">
        <v>594</v>
      </c>
      <c r="C38" s="13">
        <v>10.1619609954576</v>
      </c>
      <c r="D38" s="13">
        <v>8.9296519962980003</v>
      </c>
      <c r="E38" s="13">
        <v>9.7667510156614092</v>
      </c>
      <c r="F38" s="13">
        <v>11.0815194032376</v>
      </c>
      <c r="G38" s="13">
        <v>13.1522144528195</v>
      </c>
      <c r="H38" s="13">
        <v>5.7902445098197699</v>
      </c>
      <c r="I38" s="13">
        <v>8.2255068200902208</v>
      </c>
      <c r="J38" s="13">
        <v>4.2475978178115996</v>
      </c>
      <c r="K38" s="13">
        <v>4.3650946768372902</v>
      </c>
      <c r="L38" s="13">
        <v>5.0599034022471399</v>
      </c>
      <c r="M38" s="13">
        <v>7.1643150303397398</v>
      </c>
      <c r="N38" s="13">
        <v>7.86632277233105</v>
      </c>
      <c r="O38" s="13">
        <v>9.5167550883436807</v>
      </c>
      <c r="P38" s="13">
        <v>5.9220797163185903</v>
      </c>
      <c r="Q38" s="13">
        <v>7.7460937596224202</v>
      </c>
      <c r="R38" s="13">
        <v>8.9725178676699109</v>
      </c>
      <c r="S38" s="13">
        <v>10.4227721985214</v>
      </c>
      <c r="T38" s="13">
        <v>10.5317672863833</v>
      </c>
      <c r="U38" s="13">
        <v>12.4049540219898</v>
      </c>
      <c r="V38" s="13">
        <v>13.865541534757201</v>
      </c>
      <c r="W38" s="13">
        <v>16.467640173281399</v>
      </c>
      <c r="X38" s="13">
        <v>17.557654517319101</v>
      </c>
      <c r="Y38" s="13">
        <v>11.9351399162744</v>
      </c>
      <c r="Z38" s="13">
        <v>12.2247431943191</v>
      </c>
      <c r="AA38" s="13">
        <v>14.739134633392601</v>
      </c>
    </row>
    <row r="39" spans="1:27" x14ac:dyDescent="0.25">
      <c r="A39" s="10" t="s">
        <v>595</v>
      </c>
      <c r="B39" s="10" t="s">
        <v>596</v>
      </c>
      <c r="C39" s="13">
        <v>3.9084003449455702</v>
      </c>
      <c r="D39" s="13">
        <v>2.5000328233009799</v>
      </c>
      <c r="E39" s="13">
        <v>1.81783240233041</v>
      </c>
      <c r="F39" s="13">
        <v>2.22118055690472</v>
      </c>
      <c r="G39" s="13">
        <v>2.9559807989025599</v>
      </c>
      <c r="H39" s="13">
        <v>2.2845191442138799</v>
      </c>
      <c r="I39" s="13">
        <v>1.24123483823394</v>
      </c>
      <c r="J39" s="13">
        <v>1.11100956600573</v>
      </c>
      <c r="K39" s="13">
        <v>0.76700405964936302</v>
      </c>
      <c r="L39" s="13">
        <v>1.29297328579778</v>
      </c>
      <c r="M39" s="13">
        <v>2.5476811637521601</v>
      </c>
      <c r="N39" s="13">
        <v>2.1599888945969798</v>
      </c>
      <c r="O39" s="13">
        <v>1.7740004116899399</v>
      </c>
      <c r="P39" s="13">
        <v>1.3411545280803101</v>
      </c>
      <c r="Q39" s="13">
        <v>1.3239217347821099</v>
      </c>
      <c r="R39" s="13">
        <v>1.8182887701902399</v>
      </c>
      <c r="S39" s="13">
        <v>1.37722250192109</v>
      </c>
      <c r="T39" s="13">
        <v>1.16885778458454</v>
      </c>
      <c r="U39" s="13">
        <v>1.0836572767453001</v>
      </c>
      <c r="V39" s="13">
        <v>1.4788257457528899</v>
      </c>
      <c r="W39" s="13">
        <v>1.5724397393913201</v>
      </c>
      <c r="X39" s="13">
        <v>1.5437007051869001</v>
      </c>
      <c r="Y39" s="13">
        <v>1.3288865463489701</v>
      </c>
      <c r="Z39" s="13">
        <v>0.78055336386184404</v>
      </c>
      <c r="AA39" s="13">
        <v>1.90751123700721</v>
      </c>
    </row>
    <row r="40" spans="1:27" x14ac:dyDescent="0.25">
      <c r="A40" s="10" t="s">
        <v>597</v>
      </c>
      <c r="B40" s="10" t="s">
        <v>598</v>
      </c>
      <c r="C40" s="13">
        <v>6.2535606505120196</v>
      </c>
      <c r="D40" s="13">
        <v>6.4296191729970298</v>
      </c>
      <c r="E40" s="13">
        <v>7.9489186133310001</v>
      </c>
      <c r="F40" s="13">
        <v>8.8603388463328692</v>
      </c>
      <c r="G40" s="13">
        <v>10.196233653916901</v>
      </c>
      <c r="H40" s="13">
        <v>3.5057253656059002</v>
      </c>
      <c r="I40" s="13">
        <v>6.9842719818562697</v>
      </c>
      <c r="J40" s="13">
        <v>3.1365882518058701</v>
      </c>
      <c r="K40" s="13">
        <v>3.5980906171879301</v>
      </c>
      <c r="L40" s="13">
        <v>3.7669301164493598</v>
      </c>
      <c r="M40" s="13">
        <v>4.6166338665875797</v>
      </c>
      <c r="N40" s="13">
        <v>5.7063338777340702</v>
      </c>
      <c r="O40" s="13">
        <v>7.7427546766537301</v>
      </c>
      <c r="P40" s="13">
        <v>4.58092518823827</v>
      </c>
      <c r="Q40" s="13">
        <v>6.42217202484031</v>
      </c>
      <c r="R40" s="13">
        <v>7.1542290974796598</v>
      </c>
      <c r="S40" s="13">
        <v>9.0455496966003306</v>
      </c>
      <c r="T40" s="13">
        <v>9.3629095017987805</v>
      </c>
      <c r="U40" s="13">
        <v>11.321296745244499</v>
      </c>
      <c r="V40" s="13">
        <v>12.386715789004301</v>
      </c>
      <c r="W40" s="13">
        <v>14.8952004338901</v>
      </c>
      <c r="X40" s="13">
        <v>16.0139538121322</v>
      </c>
      <c r="Y40" s="13">
        <v>10.606253369925399</v>
      </c>
      <c r="Z40" s="13">
        <v>11.444189830457301</v>
      </c>
      <c r="AA40" s="13">
        <v>12.8316233963854</v>
      </c>
    </row>
    <row r="41" spans="1:27" x14ac:dyDescent="0.25">
      <c r="A41" s="10" t="s">
        <v>599</v>
      </c>
      <c r="B41" s="10" t="s">
        <v>600</v>
      </c>
      <c r="C41" s="13">
        <v>0</v>
      </c>
      <c r="D41" s="13">
        <v>0.83768213035962003</v>
      </c>
      <c r="E41" s="13">
        <v>0.73031624266875905</v>
      </c>
      <c r="F41" s="13">
        <v>0.81522183757960998</v>
      </c>
      <c r="G41" s="13">
        <v>1.2689516771595599</v>
      </c>
      <c r="H41" s="13">
        <v>0.66727950087606203</v>
      </c>
      <c r="I41" s="13">
        <v>0.90125701894680899</v>
      </c>
      <c r="J41" s="13">
        <v>0.682912002992624</v>
      </c>
      <c r="K41" s="13">
        <v>0.77257721424671999</v>
      </c>
      <c r="L41" s="13">
        <v>0.82629124708900903</v>
      </c>
      <c r="M41" s="13">
        <v>0.89421237794616804</v>
      </c>
      <c r="N41" s="13">
        <v>1.0919782727913201</v>
      </c>
      <c r="O41" s="13">
        <v>1.3740535597316701</v>
      </c>
      <c r="P41" s="13">
        <v>0.87913606115729104</v>
      </c>
      <c r="Q41" s="13">
        <v>0.95368183016260499</v>
      </c>
      <c r="R41" s="13">
        <v>0.92647177298180705</v>
      </c>
      <c r="S41" s="13">
        <v>0.605076976072498</v>
      </c>
      <c r="T41" s="13">
        <v>0.48895117135031402</v>
      </c>
      <c r="U41" s="13">
        <v>0.49859725729468202</v>
      </c>
      <c r="V41" s="13">
        <v>0.49939804699692297</v>
      </c>
      <c r="W41" s="13">
        <v>0.495952876238338</v>
      </c>
      <c r="X41" s="13">
        <v>0.48712511846818601</v>
      </c>
      <c r="Y41" s="13">
        <v>0.31586424577282601</v>
      </c>
      <c r="Z41" s="13">
        <v>0.31734047091423201</v>
      </c>
      <c r="AA41" s="13">
        <v>0.30967611667759098</v>
      </c>
    </row>
    <row r="42" spans="1:27" x14ac:dyDescent="0.25">
      <c r="A42" s="10" t="s">
        <v>601</v>
      </c>
      <c r="B42" s="10" t="s">
        <v>602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</row>
    <row r="43" spans="1:27" x14ac:dyDescent="0.25">
      <c r="A43" s="10" t="s">
        <v>603</v>
      </c>
      <c r="B43" s="10" t="s">
        <v>604</v>
      </c>
      <c r="C43" s="13">
        <v>0</v>
      </c>
      <c r="D43" s="13">
        <v>0.83768213035962003</v>
      </c>
      <c r="E43" s="13">
        <v>0.73031624266875905</v>
      </c>
      <c r="F43" s="13">
        <v>0.81522183757960998</v>
      </c>
      <c r="G43" s="13">
        <v>1.2689516771595599</v>
      </c>
      <c r="H43" s="13">
        <v>0.66727950087606203</v>
      </c>
      <c r="I43" s="13">
        <v>0.90125701894680899</v>
      </c>
      <c r="J43" s="13">
        <v>0.682912002992624</v>
      </c>
      <c r="K43" s="13">
        <v>0.77257721424671999</v>
      </c>
      <c r="L43" s="13">
        <v>0.82629124708900903</v>
      </c>
      <c r="M43" s="13">
        <v>0.89421237794616804</v>
      </c>
      <c r="N43" s="13">
        <v>1.0919782727913201</v>
      </c>
      <c r="O43" s="13">
        <v>1.3740535597316701</v>
      </c>
      <c r="P43" s="13">
        <v>0.87913606115729104</v>
      </c>
      <c r="Q43" s="13">
        <v>0.95368183016260499</v>
      </c>
      <c r="R43" s="13">
        <v>0.92647177298180705</v>
      </c>
      <c r="S43" s="13">
        <v>0.605076976072498</v>
      </c>
      <c r="T43" s="13">
        <v>0.48895117135031402</v>
      </c>
      <c r="U43" s="13">
        <v>0.49859725729468202</v>
      </c>
      <c r="V43" s="13">
        <v>0.49939804699692297</v>
      </c>
      <c r="W43" s="13">
        <v>0.495952876238338</v>
      </c>
      <c r="X43" s="13">
        <v>0.48712511846818601</v>
      </c>
      <c r="Y43" s="13">
        <v>0.31586424577282601</v>
      </c>
      <c r="Z43" s="13">
        <v>0.31734047091423201</v>
      </c>
      <c r="AA43" s="13">
        <v>0.30967611667759098</v>
      </c>
    </row>
    <row r="44" spans="1:27" x14ac:dyDescent="0.25">
      <c r="A44" s="11" t="s">
        <v>605</v>
      </c>
      <c r="B44" s="11" t="s">
        <v>606</v>
      </c>
      <c r="C44" s="25">
        <v>0</v>
      </c>
      <c r="D44" s="25" t="s">
        <v>76</v>
      </c>
      <c r="E44" s="25" t="s">
        <v>76</v>
      </c>
      <c r="F44" s="25" t="s">
        <v>76</v>
      </c>
      <c r="G44" s="25" t="s">
        <v>76</v>
      </c>
      <c r="H44" s="25" t="s">
        <v>76</v>
      </c>
      <c r="I44" s="25" t="s">
        <v>76</v>
      </c>
      <c r="J44" s="25" t="s">
        <v>76</v>
      </c>
      <c r="K44" s="25" t="s">
        <v>76</v>
      </c>
      <c r="L44" s="25" t="s">
        <v>76</v>
      </c>
      <c r="M44" s="25" t="s">
        <v>76</v>
      </c>
      <c r="N44" s="25" t="s">
        <v>76</v>
      </c>
      <c r="O44" s="25" t="s">
        <v>76</v>
      </c>
      <c r="P44" s="25" t="s">
        <v>76</v>
      </c>
      <c r="Q44" s="25" t="s">
        <v>76</v>
      </c>
      <c r="R44" s="25" t="s">
        <v>76</v>
      </c>
      <c r="S44" s="25" t="s">
        <v>76</v>
      </c>
      <c r="T44" s="25" t="s">
        <v>76</v>
      </c>
      <c r="U44" s="25" t="s">
        <v>76</v>
      </c>
      <c r="V44" s="25" t="s">
        <v>76</v>
      </c>
      <c r="W44" s="25" t="s">
        <v>76</v>
      </c>
      <c r="X44" s="25" t="s">
        <v>76</v>
      </c>
      <c r="Y44" s="25" t="s">
        <v>76</v>
      </c>
      <c r="Z44" s="25" t="s">
        <v>76</v>
      </c>
      <c r="AA44" s="25" t="s">
        <v>76</v>
      </c>
    </row>
    <row r="45" spans="1:27" x14ac:dyDescent="0.25">
      <c r="A45" s="11" t="s">
        <v>607</v>
      </c>
      <c r="B45" s="11" t="s">
        <v>608</v>
      </c>
      <c r="C45" s="25" t="s">
        <v>76</v>
      </c>
      <c r="D45" s="25">
        <v>0.83768213035962003</v>
      </c>
      <c r="E45" s="25">
        <v>0.73031624266875905</v>
      </c>
      <c r="F45" s="25">
        <v>0.81522183757960998</v>
      </c>
      <c r="G45" s="25">
        <v>1.2689516771595599</v>
      </c>
      <c r="H45" s="25">
        <v>0.66727950087606203</v>
      </c>
      <c r="I45" s="25">
        <v>0.90125701894680899</v>
      </c>
      <c r="J45" s="25">
        <v>0.682912002992624</v>
      </c>
      <c r="K45" s="25">
        <v>0.77257721424671999</v>
      </c>
      <c r="L45" s="25">
        <v>0.82629124708900903</v>
      </c>
      <c r="M45" s="25">
        <v>0.89421237794616804</v>
      </c>
      <c r="N45" s="25">
        <v>1.0919782727913201</v>
      </c>
      <c r="O45" s="25">
        <v>1.3740535597316701</v>
      </c>
      <c r="P45" s="25">
        <v>0.87913606115729104</v>
      </c>
      <c r="Q45" s="25">
        <v>0.95368183016260499</v>
      </c>
      <c r="R45" s="25">
        <v>0.92647177298180705</v>
      </c>
      <c r="S45" s="25">
        <v>0.605076976072498</v>
      </c>
      <c r="T45" s="25">
        <v>0.48895117135031402</v>
      </c>
      <c r="U45" s="25">
        <v>0.49859725729468202</v>
      </c>
      <c r="V45" s="25">
        <v>0.49939804699692297</v>
      </c>
      <c r="W45" s="25">
        <v>0.495952876238338</v>
      </c>
      <c r="X45" s="25">
        <v>0.48712511846818601</v>
      </c>
      <c r="Y45" s="25">
        <v>0.31586424577282601</v>
      </c>
      <c r="Z45" s="25">
        <v>0.31734047091423201</v>
      </c>
      <c r="AA45" s="25">
        <v>0.30967611667759098</v>
      </c>
    </row>
    <row r="46" spans="1:27" x14ac:dyDescent="0.25">
      <c r="A46" s="10" t="s">
        <v>609</v>
      </c>
      <c r="B46" s="10" t="s">
        <v>610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</row>
    <row r="47" spans="1:27" x14ac:dyDescent="0.25">
      <c r="A47" s="10" t="s">
        <v>611</v>
      </c>
      <c r="B47" s="10" t="s">
        <v>612</v>
      </c>
      <c r="C47" s="13">
        <v>0</v>
      </c>
      <c r="D47" s="13" t="s">
        <v>76</v>
      </c>
      <c r="E47" s="13" t="s">
        <v>76</v>
      </c>
      <c r="F47" s="13" t="s">
        <v>76</v>
      </c>
      <c r="G47" s="13">
        <v>0</v>
      </c>
      <c r="H47" s="13" t="s">
        <v>76</v>
      </c>
      <c r="I47" s="13" t="s">
        <v>76</v>
      </c>
      <c r="J47" s="13" t="s">
        <v>76</v>
      </c>
      <c r="K47" s="13">
        <v>0</v>
      </c>
      <c r="L47" s="13" t="s">
        <v>76</v>
      </c>
      <c r="M47" s="13" t="s">
        <v>76</v>
      </c>
      <c r="N47" s="13" t="s">
        <v>76</v>
      </c>
      <c r="O47" s="13">
        <v>0</v>
      </c>
      <c r="P47" s="13" t="s">
        <v>76</v>
      </c>
      <c r="Q47" s="13">
        <v>0</v>
      </c>
      <c r="R47" s="13" t="s">
        <v>76</v>
      </c>
      <c r="S47" s="13">
        <v>0</v>
      </c>
      <c r="T47" s="13" t="s">
        <v>76</v>
      </c>
      <c r="U47" s="13" t="s">
        <v>76</v>
      </c>
      <c r="V47" s="13" t="s">
        <v>76</v>
      </c>
      <c r="W47" s="13">
        <v>0</v>
      </c>
      <c r="X47" s="13" t="s">
        <v>76</v>
      </c>
      <c r="Y47" s="13" t="s">
        <v>76</v>
      </c>
      <c r="Z47" s="13" t="s">
        <v>76</v>
      </c>
      <c r="AA47" s="13">
        <v>0</v>
      </c>
    </row>
    <row r="48" spans="1:27" x14ac:dyDescent="0.25">
      <c r="A48" s="10" t="s">
        <v>613</v>
      </c>
      <c r="B48" s="10" t="s">
        <v>614</v>
      </c>
      <c r="C48" s="13">
        <v>0</v>
      </c>
      <c r="D48" s="13" t="s">
        <v>76</v>
      </c>
      <c r="E48" s="13" t="s">
        <v>76</v>
      </c>
      <c r="F48" s="13" t="s">
        <v>76</v>
      </c>
      <c r="G48" s="13">
        <v>0</v>
      </c>
      <c r="H48" s="13" t="s">
        <v>76</v>
      </c>
      <c r="I48" s="13" t="s">
        <v>76</v>
      </c>
      <c r="J48" s="13" t="s">
        <v>76</v>
      </c>
      <c r="K48" s="13">
        <v>0</v>
      </c>
      <c r="L48" s="13" t="s">
        <v>76</v>
      </c>
      <c r="M48" s="13" t="s">
        <v>76</v>
      </c>
      <c r="N48" s="13" t="s">
        <v>76</v>
      </c>
      <c r="O48" s="13" t="s">
        <v>76</v>
      </c>
      <c r="P48" s="13" t="s">
        <v>76</v>
      </c>
      <c r="Q48" s="13">
        <v>0</v>
      </c>
      <c r="R48" s="13" t="s">
        <v>76</v>
      </c>
      <c r="S48" s="13">
        <v>0</v>
      </c>
      <c r="T48" s="13" t="s">
        <v>76</v>
      </c>
      <c r="U48" s="13" t="s">
        <v>76</v>
      </c>
      <c r="V48" s="13" t="s">
        <v>76</v>
      </c>
      <c r="W48" s="13">
        <v>0</v>
      </c>
      <c r="X48" s="13" t="s">
        <v>76</v>
      </c>
      <c r="Y48" s="13" t="s">
        <v>76</v>
      </c>
      <c r="Z48" s="13" t="s">
        <v>76</v>
      </c>
      <c r="AA48" s="13">
        <v>0</v>
      </c>
    </row>
    <row r="49" spans="1:27" x14ac:dyDescent="0.25">
      <c r="A49" s="10" t="s">
        <v>615</v>
      </c>
      <c r="B49" s="10" t="s">
        <v>616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</row>
    <row r="50" spans="1:27" x14ac:dyDescent="0.25">
      <c r="A50" s="6" t="s">
        <v>114</v>
      </c>
      <c r="B50" s="6" t="s">
        <v>115</v>
      </c>
      <c r="C50" s="19">
        <v>10.1619609954576</v>
      </c>
      <c r="D50" s="19">
        <v>9.7673341266576195</v>
      </c>
      <c r="E50" s="19">
        <v>10.497067258330199</v>
      </c>
      <c r="F50" s="19">
        <v>11.8967412408172</v>
      </c>
      <c r="G50" s="19">
        <v>14.421166129979101</v>
      </c>
      <c r="H50" s="19">
        <v>6.4575240106958303</v>
      </c>
      <c r="I50" s="19">
        <v>9.1267638390370305</v>
      </c>
      <c r="J50" s="19">
        <v>4.9305098208042297</v>
      </c>
      <c r="K50" s="19">
        <v>5.1376718910840102</v>
      </c>
      <c r="L50" s="19">
        <v>5.8861946493361499</v>
      </c>
      <c r="M50" s="19">
        <v>8.0585274082859009</v>
      </c>
      <c r="N50" s="19">
        <v>8.9583010451223704</v>
      </c>
      <c r="O50" s="19">
        <v>10.8908086480753</v>
      </c>
      <c r="P50" s="19">
        <v>6.8012157774758801</v>
      </c>
      <c r="Q50" s="19">
        <v>8.6997755897850304</v>
      </c>
      <c r="R50" s="19">
        <v>9.8989896406517097</v>
      </c>
      <c r="S50" s="19">
        <v>11.0278491745939</v>
      </c>
      <c r="T50" s="19">
        <v>11.020718457733601</v>
      </c>
      <c r="U50" s="19">
        <v>12.9035512792845</v>
      </c>
      <c r="V50" s="19">
        <v>14.364939581754101</v>
      </c>
      <c r="W50" s="19">
        <v>16.963593049519801</v>
      </c>
      <c r="X50" s="19">
        <v>18.0447796357873</v>
      </c>
      <c r="Y50" s="19">
        <v>12.251004162047201</v>
      </c>
      <c r="Z50" s="19">
        <v>12.542083665233401</v>
      </c>
      <c r="AA50" s="19">
        <v>15.048810750070199</v>
      </c>
    </row>
    <row r="51" spans="1:27" x14ac:dyDescent="0.25">
      <c r="A51" s="10" t="s">
        <v>617</v>
      </c>
      <c r="B51" s="10" t="s">
        <v>618</v>
      </c>
      <c r="C51" s="13">
        <v>0</v>
      </c>
      <c r="D51" s="13">
        <v>6.0818490463633399</v>
      </c>
      <c r="E51" s="13">
        <v>6.6377046054352302</v>
      </c>
      <c r="F51" s="13">
        <v>7.2256620071443001</v>
      </c>
      <c r="G51" s="13">
        <v>7.9443711770533403</v>
      </c>
      <c r="H51" s="13">
        <v>4.0973135391885798</v>
      </c>
      <c r="I51" s="13">
        <v>4.7985397818320799</v>
      </c>
      <c r="J51" s="13">
        <v>3.0947424601978102</v>
      </c>
      <c r="K51" s="13">
        <v>3.2901013678431599</v>
      </c>
      <c r="L51" s="13">
        <v>3.3561873505319402</v>
      </c>
      <c r="M51" s="13">
        <v>3.4663523584532099</v>
      </c>
      <c r="N51" s="13">
        <v>3.6489772820156601</v>
      </c>
      <c r="O51" s="13">
        <v>3.8118188896709801</v>
      </c>
      <c r="P51" s="13">
        <v>1.9291256994174399</v>
      </c>
      <c r="Q51" s="13">
        <v>2.34940990705821</v>
      </c>
      <c r="R51" s="13">
        <v>2.4510261522073602</v>
      </c>
      <c r="S51" s="13">
        <v>2.0501338138265499</v>
      </c>
      <c r="T51" s="13">
        <v>2.07170729951063</v>
      </c>
      <c r="U51" s="13">
        <v>2.0224158564577999</v>
      </c>
      <c r="V51" s="13">
        <v>1.9355854550318801</v>
      </c>
      <c r="W51" s="13">
        <v>1.82975305336436</v>
      </c>
      <c r="X51" s="13">
        <v>1.7050048458173399</v>
      </c>
      <c r="Y51" s="13">
        <v>1.06906150984776</v>
      </c>
      <c r="Z51" s="13">
        <v>1.0197478944010501</v>
      </c>
      <c r="AA51" s="13">
        <v>0.93261307238505498</v>
      </c>
    </row>
    <row r="52" spans="1:27" x14ac:dyDescent="0.25">
      <c r="A52" s="10" t="s">
        <v>619</v>
      </c>
      <c r="B52" s="10" t="s">
        <v>620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</row>
    <row r="53" spans="1:27" x14ac:dyDescent="0.25">
      <c r="A53" s="10" t="s">
        <v>621</v>
      </c>
      <c r="B53" s="10" t="s">
        <v>622</v>
      </c>
      <c r="C53" s="13">
        <v>0</v>
      </c>
      <c r="D53" s="13">
        <v>6.0818490463633399</v>
      </c>
      <c r="E53" s="13">
        <v>6.6377046054352302</v>
      </c>
      <c r="F53" s="13">
        <v>7.2256620071443001</v>
      </c>
      <c r="G53" s="13">
        <v>7.9443711770533403</v>
      </c>
      <c r="H53" s="13">
        <v>4.0973135391885798</v>
      </c>
      <c r="I53" s="13">
        <v>4.7985397818320799</v>
      </c>
      <c r="J53" s="13">
        <v>3.0947424601978102</v>
      </c>
      <c r="K53" s="13">
        <v>3.2901013678431599</v>
      </c>
      <c r="L53" s="13">
        <v>3.3561873505319402</v>
      </c>
      <c r="M53" s="13">
        <v>3.4663523584532099</v>
      </c>
      <c r="N53" s="13">
        <v>3.6489772820156601</v>
      </c>
      <c r="O53" s="13">
        <v>3.8118188896709801</v>
      </c>
      <c r="P53" s="13">
        <v>1.9291256994174399</v>
      </c>
      <c r="Q53" s="13">
        <v>2.34940990705821</v>
      </c>
      <c r="R53" s="13">
        <v>2.4510261522073602</v>
      </c>
      <c r="S53" s="13">
        <v>2.0501338138265499</v>
      </c>
      <c r="T53" s="13">
        <v>2.07170729951063</v>
      </c>
      <c r="U53" s="13">
        <v>2.0224158564577999</v>
      </c>
      <c r="V53" s="13">
        <v>1.9355854550318801</v>
      </c>
      <c r="W53" s="13">
        <v>1.82975305336436</v>
      </c>
      <c r="X53" s="13">
        <v>1.7050048458173399</v>
      </c>
      <c r="Y53" s="13">
        <v>1.06906150984776</v>
      </c>
      <c r="Z53" s="13">
        <v>1.0197478944010501</v>
      </c>
      <c r="AA53" s="13">
        <v>0.93261307238505498</v>
      </c>
    </row>
    <row r="54" spans="1:27" x14ac:dyDescent="0.25">
      <c r="A54" s="11" t="s">
        <v>623</v>
      </c>
      <c r="B54" s="11" t="s">
        <v>624</v>
      </c>
      <c r="C54" s="25">
        <v>0</v>
      </c>
      <c r="D54" s="25" t="s">
        <v>76</v>
      </c>
      <c r="E54" s="25" t="s">
        <v>76</v>
      </c>
      <c r="F54" s="25" t="s">
        <v>76</v>
      </c>
      <c r="G54" s="25" t="s">
        <v>76</v>
      </c>
      <c r="H54" s="25" t="s">
        <v>76</v>
      </c>
      <c r="I54" s="25" t="s">
        <v>76</v>
      </c>
      <c r="J54" s="25" t="s">
        <v>76</v>
      </c>
      <c r="K54" s="25" t="s">
        <v>76</v>
      </c>
      <c r="L54" s="25" t="s">
        <v>76</v>
      </c>
      <c r="M54" s="25" t="s">
        <v>76</v>
      </c>
      <c r="N54" s="25" t="s">
        <v>76</v>
      </c>
      <c r="O54" s="25" t="s">
        <v>76</v>
      </c>
      <c r="P54" s="25" t="s">
        <v>76</v>
      </c>
      <c r="Q54" s="25" t="s">
        <v>76</v>
      </c>
      <c r="R54" s="25" t="s">
        <v>76</v>
      </c>
      <c r="S54" s="25" t="s">
        <v>76</v>
      </c>
      <c r="T54" s="25" t="s">
        <v>76</v>
      </c>
      <c r="U54" s="25" t="s">
        <v>76</v>
      </c>
      <c r="V54" s="25" t="s">
        <v>76</v>
      </c>
      <c r="W54" s="25" t="s">
        <v>76</v>
      </c>
      <c r="X54" s="25" t="s">
        <v>76</v>
      </c>
      <c r="Y54" s="25" t="s">
        <v>76</v>
      </c>
      <c r="Z54" s="25" t="s">
        <v>76</v>
      </c>
      <c r="AA54" s="25" t="s">
        <v>76</v>
      </c>
    </row>
    <row r="55" spans="1:27" x14ac:dyDescent="0.25">
      <c r="A55" s="11" t="s">
        <v>625</v>
      </c>
      <c r="B55" s="11" t="s">
        <v>626</v>
      </c>
      <c r="C55" s="25" t="s">
        <v>76</v>
      </c>
      <c r="D55" s="25">
        <v>6.0818490463633399</v>
      </c>
      <c r="E55" s="25">
        <v>6.6377046054352302</v>
      </c>
      <c r="F55" s="25">
        <v>7.2256620071443001</v>
      </c>
      <c r="G55" s="25">
        <v>7.9443711770533403</v>
      </c>
      <c r="H55" s="25">
        <v>4.0973135391885798</v>
      </c>
      <c r="I55" s="25">
        <v>4.7985397818320799</v>
      </c>
      <c r="J55" s="25">
        <v>3.0947424601978102</v>
      </c>
      <c r="K55" s="25">
        <v>3.2901013678431599</v>
      </c>
      <c r="L55" s="25">
        <v>3.3561873505319402</v>
      </c>
      <c r="M55" s="25">
        <v>3.4663523584532099</v>
      </c>
      <c r="N55" s="25">
        <v>3.6489772820156601</v>
      </c>
      <c r="O55" s="25">
        <v>3.8118188896709801</v>
      </c>
      <c r="P55" s="25">
        <v>1.9291256994174399</v>
      </c>
      <c r="Q55" s="25">
        <v>2.34940990705821</v>
      </c>
      <c r="R55" s="25">
        <v>2.4510261522073602</v>
      </c>
      <c r="S55" s="25">
        <v>2.0501338138265499</v>
      </c>
      <c r="T55" s="25">
        <v>2.07170729951063</v>
      </c>
      <c r="U55" s="25">
        <v>2.0224158564577999</v>
      </c>
      <c r="V55" s="25">
        <v>1.9355854550318801</v>
      </c>
      <c r="W55" s="25">
        <v>1.82975305336436</v>
      </c>
      <c r="X55" s="25">
        <v>1.7050048458173399</v>
      </c>
      <c r="Y55" s="25">
        <v>1.06906150984776</v>
      </c>
      <c r="Z55" s="25">
        <v>1.0197478944010501</v>
      </c>
      <c r="AA55" s="25">
        <v>0.93261307238505498</v>
      </c>
    </row>
    <row r="56" spans="1:27" x14ac:dyDescent="0.25">
      <c r="A56" s="10" t="s">
        <v>627</v>
      </c>
      <c r="B56" s="10" t="s">
        <v>628</v>
      </c>
      <c r="C56" s="13">
        <v>0.89372170379722504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</row>
    <row r="57" spans="1:27" x14ac:dyDescent="0.25">
      <c r="A57" s="10" t="s">
        <v>629</v>
      </c>
      <c r="B57" s="10" t="s">
        <v>630</v>
      </c>
      <c r="C57" s="13">
        <v>0</v>
      </c>
      <c r="D57" s="13" t="s">
        <v>76</v>
      </c>
      <c r="E57" s="13" t="s">
        <v>76</v>
      </c>
      <c r="F57" s="13" t="s">
        <v>76</v>
      </c>
      <c r="G57" s="13">
        <v>0</v>
      </c>
      <c r="H57" s="13" t="s">
        <v>76</v>
      </c>
      <c r="I57" s="13" t="s">
        <v>76</v>
      </c>
      <c r="J57" s="13" t="s">
        <v>76</v>
      </c>
      <c r="K57" s="13">
        <v>0</v>
      </c>
      <c r="L57" s="13" t="s">
        <v>76</v>
      </c>
      <c r="M57" s="13" t="s">
        <v>76</v>
      </c>
      <c r="N57" s="13" t="s">
        <v>76</v>
      </c>
      <c r="O57" s="13" t="s">
        <v>76</v>
      </c>
      <c r="P57" s="13" t="s">
        <v>76</v>
      </c>
      <c r="Q57" s="13">
        <v>0</v>
      </c>
      <c r="R57" s="13" t="s">
        <v>76</v>
      </c>
      <c r="S57" s="13">
        <v>0</v>
      </c>
      <c r="T57" s="13" t="s">
        <v>76</v>
      </c>
      <c r="U57" s="13" t="s">
        <v>76</v>
      </c>
      <c r="V57" s="13" t="s">
        <v>76</v>
      </c>
      <c r="W57" s="13">
        <v>0</v>
      </c>
      <c r="X57" s="13" t="s">
        <v>76</v>
      </c>
      <c r="Y57" s="13" t="s">
        <v>76</v>
      </c>
      <c r="Z57" s="13" t="s">
        <v>76</v>
      </c>
      <c r="AA57" s="13">
        <v>0</v>
      </c>
    </row>
    <row r="58" spans="1:27" x14ac:dyDescent="0.25">
      <c r="A58" s="10" t="s">
        <v>631</v>
      </c>
      <c r="B58" s="10" t="s">
        <v>632</v>
      </c>
      <c r="C58" s="13">
        <v>0</v>
      </c>
      <c r="D58" s="13" t="s">
        <v>76</v>
      </c>
      <c r="E58" s="13" t="s">
        <v>76</v>
      </c>
      <c r="F58" s="13" t="s">
        <v>76</v>
      </c>
      <c r="G58" s="13">
        <v>0</v>
      </c>
      <c r="H58" s="13" t="s">
        <v>76</v>
      </c>
      <c r="I58" s="13" t="s">
        <v>76</v>
      </c>
      <c r="J58" s="13" t="s">
        <v>76</v>
      </c>
      <c r="K58" s="13">
        <v>0</v>
      </c>
      <c r="L58" s="13" t="s">
        <v>76</v>
      </c>
      <c r="M58" s="13" t="s">
        <v>76</v>
      </c>
      <c r="N58" s="13" t="s">
        <v>76</v>
      </c>
      <c r="O58" s="13" t="s">
        <v>76</v>
      </c>
      <c r="P58" s="13" t="s">
        <v>76</v>
      </c>
      <c r="Q58" s="13" t="s">
        <v>76</v>
      </c>
      <c r="R58" s="13" t="s">
        <v>76</v>
      </c>
      <c r="S58" s="13">
        <v>0</v>
      </c>
      <c r="T58" s="13" t="s">
        <v>76</v>
      </c>
      <c r="U58" s="13" t="s">
        <v>76</v>
      </c>
      <c r="V58" s="13" t="s">
        <v>76</v>
      </c>
      <c r="W58" s="13">
        <v>0</v>
      </c>
      <c r="X58" s="13" t="s">
        <v>76</v>
      </c>
      <c r="Y58" s="13" t="s">
        <v>76</v>
      </c>
      <c r="Z58" s="13" t="s">
        <v>76</v>
      </c>
      <c r="AA58" s="13">
        <v>0</v>
      </c>
    </row>
    <row r="59" spans="1:27" x14ac:dyDescent="0.25">
      <c r="A59" s="11" t="s">
        <v>633</v>
      </c>
      <c r="B59" s="11" t="s">
        <v>634</v>
      </c>
      <c r="C59" s="25">
        <v>0</v>
      </c>
      <c r="D59" s="25" t="s">
        <v>76</v>
      </c>
      <c r="E59" s="25" t="s">
        <v>76</v>
      </c>
      <c r="F59" s="25" t="s">
        <v>76</v>
      </c>
      <c r="G59" s="25">
        <v>0</v>
      </c>
      <c r="H59" s="25" t="s">
        <v>76</v>
      </c>
      <c r="I59" s="25" t="s">
        <v>76</v>
      </c>
      <c r="J59" s="25" t="s">
        <v>76</v>
      </c>
      <c r="K59" s="25">
        <v>0</v>
      </c>
      <c r="L59" s="25" t="s">
        <v>76</v>
      </c>
      <c r="M59" s="25" t="s">
        <v>76</v>
      </c>
      <c r="N59" s="25" t="s">
        <v>76</v>
      </c>
      <c r="O59" s="25" t="s">
        <v>76</v>
      </c>
      <c r="P59" s="25" t="s">
        <v>76</v>
      </c>
      <c r="Q59" s="25" t="s">
        <v>76</v>
      </c>
      <c r="R59" s="25" t="s">
        <v>76</v>
      </c>
      <c r="S59" s="25">
        <v>0</v>
      </c>
      <c r="T59" s="25" t="s">
        <v>76</v>
      </c>
      <c r="U59" s="25" t="s">
        <v>76</v>
      </c>
      <c r="V59" s="25" t="s">
        <v>76</v>
      </c>
      <c r="W59" s="25">
        <v>0</v>
      </c>
      <c r="X59" s="25" t="s">
        <v>76</v>
      </c>
      <c r="Y59" s="25" t="s">
        <v>76</v>
      </c>
      <c r="Z59" s="25" t="s">
        <v>76</v>
      </c>
      <c r="AA59" s="25">
        <v>0</v>
      </c>
    </row>
    <row r="60" spans="1:27" x14ac:dyDescent="0.25">
      <c r="A60" s="11" t="s">
        <v>635</v>
      </c>
      <c r="B60" s="11" t="s">
        <v>636</v>
      </c>
      <c r="C60" s="25">
        <v>0</v>
      </c>
      <c r="D60" s="25" t="s">
        <v>76</v>
      </c>
      <c r="E60" s="25" t="s">
        <v>76</v>
      </c>
      <c r="F60" s="25" t="s">
        <v>76</v>
      </c>
      <c r="G60" s="25">
        <v>0</v>
      </c>
      <c r="H60" s="25" t="s">
        <v>76</v>
      </c>
      <c r="I60" s="25" t="s">
        <v>76</v>
      </c>
      <c r="J60" s="25" t="s">
        <v>76</v>
      </c>
      <c r="K60" s="25">
        <v>0</v>
      </c>
      <c r="L60" s="25" t="s">
        <v>76</v>
      </c>
      <c r="M60" s="25" t="s">
        <v>76</v>
      </c>
      <c r="N60" s="25" t="s">
        <v>76</v>
      </c>
      <c r="O60" s="25" t="s">
        <v>76</v>
      </c>
      <c r="P60" s="25" t="s">
        <v>76</v>
      </c>
      <c r="Q60" s="25" t="s">
        <v>76</v>
      </c>
      <c r="R60" s="25" t="s">
        <v>76</v>
      </c>
      <c r="S60" s="25">
        <v>0</v>
      </c>
      <c r="T60" s="25" t="s">
        <v>76</v>
      </c>
      <c r="U60" s="25" t="s">
        <v>76</v>
      </c>
      <c r="V60" s="25" t="s">
        <v>76</v>
      </c>
      <c r="W60" s="25">
        <v>0</v>
      </c>
      <c r="X60" s="25" t="s">
        <v>76</v>
      </c>
      <c r="Y60" s="25" t="s">
        <v>76</v>
      </c>
      <c r="Z60" s="25" t="s">
        <v>76</v>
      </c>
      <c r="AA60" s="25">
        <v>0</v>
      </c>
    </row>
    <row r="61" spans="1:27" x14ac:dyDescent="0.25">
      <c r="A61" s="10" t="s">
        <v>611</v>
      </c>
      <c r="B61" s="10" t="s">
        <v>637</v>
      </c>
      <c r="C61" s="13">
        <v>0.89372170379722504</v>
      </c>
      <c r="D61" s="13">
        <v>0</v>
      </c>
      <c r="E61" s="13">
        <v>0</v>
      </c>
      <c r="F61" s="13">
        <v>0</v>
      </c>
      <c r="G61" s="13">
        <v>0</v>
      </c>
      <c r="H61" s="13" t="s">
        <v>76</v>
      </c>
      <c r="I61" s="13" t="s">
        <v>76</v>
      </c>
      <c r="J61" s="13" t="s">
        <v>76</v>
      </c>
      <c r="K61" s="13" t="s">
        <v>76</v>
      </c>
      <c r="L61" s="13" t="s">
        <v>76</v>
      </c>
      <c r="M61" s="13" t="s">
        <v>76</v>
      </c>
      <c r="N61" s="13" t="s">
        <v>76</v>
      </c>
      <c r="O61" s="13" t="s">
        <v>76</v>
      </c>
      <c r="P61" s="13" t="s">
        <v>76</v>
      </c>
      <c r="Q61" s="13" t="s">
        <v>76</v>
      </c>
      <c r="R61" s="13" t="s">
        <v>76</v>
      </c>
      <c r="S61" s="13">
        <v>0</v>
      </c>
      <c r="T61" s="13" t="s">
        <v>76</v>
      </c>
      <c r="U61" s="13" t="s">
        <v>76</v>
      </c>
      <c r="V61" s="13" t="s">
        <v>76</v>
      </c>
      <c r="W61" s="13">
        <v>0</v>
      </c>
      <c r="X61" s="13" t="s">
        <v>76</v>
      </c>
      <c r="Y61" s="13" t="s">
        <v>76</v>
      </c>
      <c r="Z61" s="13" t="s">
        <v>76</v>
      </c>
      <c r="AA61" s="13">
        <v>0</v>
      </c>
    </row>
    <row r="62" spans="1:27" x14ac:dyDescent="0.25">
      <c r="A62" s="10" t="s">
        <v>613</v>
      </c>
      <c r="B62" s="10" t="s">
        <v>638</v>
      </c>
      <c r="C62" s="13">
        <v>0</v>
      </c>
      <c r="D62" s="13" t="s">
        <v>76</v>
      </c>
      <c r="E62" s="13" t="s">
        <v>76</v>
      </c>
      <c r="F62" s="13" t="s">
        <v>76</v>
      </c>
      <c r="G62" s="13">
        <v>0</v>
      </c>
      <c r="H62" s="13" t="s">
        <v>76</v>
      </c>
      <c r="I62" s="13" t="s">
        <v>76</v>
      </c>
      <c r="J62" s="13" t="s">
        <v>76</v>
      </c>
      <c r="K62" s="13">
        <v>0</v>
      </c>
      <c r="L62" s="13" t="s">
        <v>76</v>
      </c>
      <c r="M62" s="13" t="s">
        <v>76</v>
      </c>
      <c r="N62" s="13" t="s">
        <v>76</v>
      </c>
      <c r="O62" s="13" t="s">
        <v>76</v>
      </c>
      <c r="P62" s="13" t="s">
        <v>76</v>
      </c>
      <c r="Q62" s="13" t="s">
        <v>76</v>
      </c>
      <c r="R62" s="13" t="s">
        <v>76</v>
      </c>
      <c r="S62" s="13">
        <v>0</v>
      </c>
      <c r="T62" s="13" t="s">
        <v>76</v>
      </c>
      <c r="U62" s="13" t="s">
        <v>76</v>
      </c>
      <c r="V62" s="13" t="s">
        <v>76</v>
      </c>
      <c r="W62" s="13">
        <v>0</v>
      </c>
      <c r="X62" s="13" t="s">
        <v>76</v>
      </c>
      <c r="Y62" s="13" t="s">
        <v>76</v>
      </c>
      <c r="Z62" s="13" t="s">
        <v>76</v>
      </c>
      <c r="AA62" s="13">
        <v>0</v>
      </c>
    </row>
    <row r="63" spans="1:27" x14ac:dyDescent="0.25">
      <c r="A63" s="10" t="s">
        <v>639</v>
      </c>
      <c r="B63" s="10" t="s">
        <v>640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</row>
    <row r="64" spans="1:27" x14ac:dyDescent="0.25">
      <c r="A64" s="6" t="s">
        <v>641</v>
      </c>
      <c r="B64" s="6" t="s">
        <v>642</v>
      </c>
      <c r="C64" s="19">
        <v>0.89372170379722504</v>
      </c>
      <c r="D64" s="19">
        <v>6.0818490463633399</v>
      </c>
      <c r="E64" s="19">
        <v>6.6377046054352302</v>
      </c>
      <c r="F64" s="19">
        <v>7.2256620071443001</v>
      </c>
      <c r="G64" s="19">
        <v>7.9443711770533403</v>
      </c>
      <c r="H64" s="19">
        <v>4.0973135391885798</v>
      </c>
      <c r="I64" s="19">
        <v>4.7985397818320799</v>
      </c>
      <c r="J64" s="19">
        <v>3.0947424601978102</v>
      </c>
      <c r="K64" s="19">
        <v>3.2901013678431599</v>
      </c>
      <c r="L64" s="19">
        <v>3.3561873505319402</v>
      </c>
      <c r="M64" s="19">
        <v>3.4663523584532099</v>
      </c>
      <c r="N64" s="19">
        <v>3.6489772820156601</v>
      </c>
      <c r="O64" s="19">
        <v>3.8118188896709801</v>
      </c>
      <c r="P64" s="19">
        <v>1.9291256994174399</v>
      </c>
      <c r="Q64" s="19">
        <v>2.34940990705821</v>
      </c>
      <c r="R64" s="19">
        <v>2.4510261522073602</v>
      </c>
      <c r="S64" s="19">
        <v>2.0501338138265499</v>
      </c>
      <c r="T64" s="19">
        <v>2.07170729951063</v>
      </c>
      <c r="U64" s="19">
        <v>2.0224158564577999</v>
      </c>
      <c r="V64" s="19">
        <v>1.9355854550318801</v>
      </c>
      <c r="W64" s="19">
        <v>1.82975305336436</v>
      </c>
      <c r="X64" s="19">
        <v>1.7050048458173399</v>
      </c>
      <c r="Y64" s="19">
        <v>1.06906150984776</v>
      </c>
      <c r="Z64" s="19">
        <v>1.0197478944010501</v>
      </c>
      <c r="AA64" s="19">
        <v>0.93261307238505498</v>
      </c>
    </row>
    <row r="65" spans="1:27" x14ac:dyDescent="0.25">
      <c r="A65" s="6" t="s">
        <v>116</v>
      </c>
      <c r="B65" s="6" t="s">
        <v>117</v>
      </c>
      <c r="C65" s="19">
        <v>11.055682699254801</v>
      </c>
      <c r="D65" s="19">
        <v>15.849183173021</v>
      </c>
      <c r="E65" s="19">
        <v>17.134771863765401</v>
      </c>
      <c r="F65" s="19">
        <v>19.1224032479615</v>
      </c>
      <c r="G65" s="19">
        <v>22.365537307032401</v>
      </c>
      <c r="H65" s="19">
        <v>10.5548375498844</v>
      </c>
      <c r="I65" s="19">
        <v>13.9253036208691</v>
      </c>
      <c r="J65" s="19">
        <v>8.0252522810020395</v>
      </c>
      <c r="K65" s="19">
        <v>8.4277732589271697</v>
      </c>
      <c r="L65" s="19">
        <v>9.2423819998680798</v>
      </c>
      <c r="M65" s="19">
        <v>11.524879766739099</v>
      </c>
      <c r="N65" s="19">
        <v>12.607278327137999</v>
      </c>
      <c r="O65" s="19">
        <v>14.7026275377463</v>
      </c>
      <c r="P65" s="19">
        <v>8.7303414768933205</v>
      </c>
      <c r="Q65" s="19">
        <v>11.049185496843201</v>
      </c>
      <c r="R65" s="19">
        <v>12.3500157928591</v>
      </c>
      <c r="S65" s="19">
        <v>13.0779829884205</v>
      </c>
      <c r="T65" s="19">
        <v>13.0924257572443</v>
      </c>
      <c r="U65" s="19">
        <v>14.925967135742299</v>
      </c>
      <c r="V65" s="19">
        <v>16.300525036785999</v>
      </c>
      <c r="W65" s="19">
        <v>18.793346102884101</v>
      </c>
      <c r="X65" s="19">
        <v>19.7497844816046</v>
      </c>
      <c r="Y65" s="19">
        <v>13.320065671895</v>
      </c>
      <c r="Z65" s="19">
        <v>13.561831559634401</v>
      </c>
      <c r="AA65" s="19">
        <v>15.9814238224553</v>
      </c>
    </row>
    <row r="66" spans="1:27" x14ac:dyDescent="0.25">
      <c r="A66" s="10" t="s">
        <v>643</v>
      </c>
      <c r="B66" s="10" t="s">
        <v>167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</row>
    <row r="67" spans="1:27" x14ac:dyDescent="0.25">
      <c r="A67" s="10" t="s">
        <v>644</v>
      </c>
      <c r="B67" s="10" t="s">
        <v>645</v>
      </c>
      <c r="C67" s="13">
        <v>246.56853498784901</v>
      </c>
      <c r="D67" s="13">
        <v>258.29855518841299</v>
      </c>
      <c r="E67" s="13">
        <v>287.60779672503497</v>
      </c>
      <c r="F67" s="13">
        <v>319.47350454613297</v>
      </c>
      <c r="G67" s="13">
        <v>360.281069829572</v>
      </c>
      <c r="H67" s="13">
        <v>246.882177751482</v>
      </c>
      <c r="I67" s="13">
        <v>272.05696057211901</v>
      </c>
      <c r="J67" s="13">
        <v>205.50296560204899</v>
      </c>
      <c r="K67" s="13">
        <v>222.145988534439</v>
      </c>
      <c r="L67" s="13">
        <v>237.475809671544</v>
      </c>
      <c r="M67" s="13">
        <v>257.63242972199203</v>
      </c>
      <c r="N67" s="13">
        <v>291.24389322138802</v>
      </c>
      <c r="O67" s="13">
        <v>334.64178068016798</v>
      </c>
      <c r="P67" s="13">
        <v>240.556655690898</v>
      </c>
      <c r="Q67" s="13">
        <v>259.50676556153098</v>
      </c>
      <c r="R67" s="13">
        <v>271.659938184064</v>
      </c>
      <c r="S67" s="13">
        <v>283.22769548742701</v>
      </c>
      <c r="T67" s="13">
        <v>297.974542967052</v>
      </c>
      <c r="U67" s="13">
        <v>304.60690973399699</v>
      </c>
      <c r="V67" s="13">
        <v>305.23991728719898</v>
      </c>
      <c r="W67" s="13">
        <v>303.23975861429801</v>
      </c>
      <c r="X67" s="13">
        <v>298.82562553879598</v>
      </c>
      <c r="Y67" s="13">
        <v>211.57883656543299</v>
      </c>
      <c r="Z67" s="13">
        <v>212.77954161932001</v>
      </c>
      <c r="AA67" s="13">
        <v>207.77526278209601</v>
      </c>
    </row>
    <row r="68" spans="1:27" x14ac:dyDescent="0.25">
      <c r="A68" s="10" t="s">
        <v>646</v>
      </c>
      <c r="B68" s="10" t="s">
        <v>647</v>
      </c>
      <c r="C68" s="13">
        <v>1.53692612837071E-3</v>
      </c>
      <c r="D68" s="13">
        <v>1.60741601862867E-3</v>
      </c>
      <c r="E68" s="13">
        <v>1.7811119349816101E-3</v>
      </c>
      <c r="F68" s="13">
        <v>1.9695352641813401E-3</v>
      </c>
      <c r="G68" s="13">
        <v>2.2099119699422001E-3</v>
      </c>
      <c r="H68" s="13">
        <v>1.37560523331515E-3</v>
      </c>
      <c r="I68" s="13">
        <v>1.5145232849495701E-3</v>
      </c>
      <c r="J68" s="13">
        <v>1.0390333627065299E-3</v>
      </c>
      <c r="K68" s="13">
        <v>1.1216850161425999E-3</v>
      </c>
      <c r="L68" s="13">
        <v>1.2028372881184299E-3</v>
      </c>
      <c r="M68" s="13">
        <v>1.29967130941798E-3</v>
      </c>
      <c r="N68" s="13">
        <v>1.46110494644997E-3</v>
      </c>
      <c r="O68" s="13">
        <v>1.6714902362762599E-3</v>
      </c>
      <c r="P68" s="13">
        <v>1.0361739851251499E-3</v>
      </c>
      <c r="Q68" s="13">
        <v>1.10850270844162E-3</v>
      </c>
      <c r="R68" s="13">
        <v>1.15089661239976E-3</v>
      </c>
      <c r="S68" s="13">
        <v>1.19240043456371E-3</v>
      </c>
      <c r="T68" s="13">
        <v>1.3847385198252999E-3</v>
      </c>
      <c r="U68" s="13">
        <v>1.4013413639535799E-3</v>
      </c>
      <c r="V68" s="13">
        <v>1.3934097293440901E-3</v>
      </c>
      <c r="W68" s="13">
        <v>1.37306997851146E-3</v>
      </c>
      <c r="X68" s="13">
        <v>1.33862357369658E-3</v>
      </c>
      <c r="Y68" s="13">
        <v>8.33015272956386E-4</v>
      </c>
      <c r="Z68" s="13">
        <v>8.3053656437224598E-4</v>
      </c>
      <c r="AA68" s="13">
        <v>8.04733589287386E-4</v>
      </c>
    </row>
    <row r="69" spans="1:27" x14ac:dyDescent="0.25">
      <c r="A69" s="10" t="s">
        <v>648</v>
      </c>
      <c r="B69" s="10" t="s">
        <v>649</v>
      </c>
      <c r="C69" s="13">
        <v>246.56699806172099</v>
      </c>
      <c r="D69" s="13">
        <v>258.29694777239399</v>
      </c>
      <c r="E69" s="13">
        <v>287.6060156131</v>
      </c>
      <c r="F69" s="13">
        <v>319.47153501086899</v>
      </c>
      <c r="G69" s="13">
        <v>360.27885991760201</v>
      </c>
      <c r="H69" s="13">
        <v>246.88080214624799</v>
      </c>
      <c r="I69" s="13">
        <v>272.05544604883403</v>
      </c>
      <c r="J69" s="13">
        <v>205.501926568686</v>
      </c>
      <c r="K69" s="13">
        <v>222.14486684942199</v>
      </c>
      <c r="L69" s="13">
        <v>237.47460683425501</v>
      </c>
      <c r="M69" s="13">
        <v>257.631130050683</v>
      </c>
      <c r="N69" s="13">
        <v>291.24243211644102</v>
      </c>
      <c r="O69" s="13">
        <v>334.64010918993102</v>
      </c>
      <c r="P69" s="13">
        <v>240.555619516913</v>
      </c>
      <c r="Q69" s="13">
        <v>259.50565705882201</v>
      </c>
      <c r="R69" s="13">
        <v>271.65878728745201</v>
      </c>
      <c r="S69" s="13">
        <v>283.22650308699201</v>
      </c>
      <c r="T69" s="13">
        <v>297.97315822853199</v>
      </c>
      <c r="U69" s="13">
        <v>304.605508392633</v>
      </c>
      <c r="V69" s="13">
        <v>305.23852387746899</v>
      </c>
      <c r="W69" s="13">
        <v>303.23838554431899</v>
      </c>
      <c r="X69" s="13">
        <v>298.82428691522199</v>
      </c>
      <c r="Y69" s="13">
        <v>211.57800355015999</v>
      </c>
      <c r="Z69" s="13">
        <v>212.778711082755</v>
      </c>
      <c r="AA69" s="13">
        <v>207.77445804850601</v>
      </c>
    </row>
    <row r="70" spans="1:27" x14ac:dyDescent="0.25">
      <c r="A70" s="10" t="s">
        <v>650</v>
      </c>
      <c r="B70" s="10" t="s">
        <v>651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</row>
    <row r="71" spans="1:27" x14ac:dyDescent="0.25">
      <c r="A71" s="10" t="s">
        <v>652</v>
      </c>
      <c r="B71" s="10" t="s">
        <v>653</v>
      </c>
      <c r="C71" s="13">
        <v>-157.437279038524</v>
      </c>
      <c r="D71" s="13">
        <v>-174.12807207983499</v>
      </c>
      <c r="E71" s="13">
        <v>-204.81758376956</v>
      </c>
      <c r="F71" s="13">
        <v>-238.666863822197</v>
      </c>
      <c r="G71" s="13">
        <v>-282.69769149514201</v>
      </c>
      <c r="H71" s="13">
        <v>-157.406843623984</v>
      </c>
      <c r="I71" s="13">
        <v>-186.24718080494199</v>
      </c>
      <c r="J71" s="13">
        <v>-113.627886516589</v>
      </c>
      <c r="K71" s="13">
        <v>-130.64075954029599</v>
      </c>
      <c r="L71" s="13">
        <v>-146.75474455187501</v>
      </c>
      <c r="M71" s="13">
        <v>-169.18545699385601</v>
      </c>
      <c r="N71" s="13">
        <v>-203.868084673147</v>
      </c>
      <c r="O71" s="13">
        <v>-249.27018151881799</v>
      </c>
      <c r="P71" s="13">
        <v>-148.90384305417999</v>
      </c>
      <c r="Q71" s="13">
        <v>-169.964503279936</v>
      </c>
      <c r="R71" s="13">
        <v>-183.30713977895101</v>
      </c>
      <c r="S71" s="13">
        <v>-195.75054982908901</v>
      </c>
      <c r="T71" s="13">
        <v>-210.69336627164699</v>
      </c>
      <c r="U71" s="13">
        <v>-219.21505264839499</v>
      </c>
      <c r="V71" s="13">
        <v>-221.354422125117</v>
      </c>
      <c r="W71" s="13">
        <v>-222.04738464495799</v>
      </c>
      <c r="X71" s="13">
        <v>-218.517849206732</v>
      </c>
      <c r="Y71" s="13">
        <v>-124.848315491661</v>
      </c>
      <c r="Z71" s="13">
        <v>-126.46436809380501</v>
      </c>
      <c r="AA71" s="13">
        <v>-123.770659705965</v>
      </c>
    </row>
    <row r="72" spans="1:27" x14ac:dyDescent="0.25">
      <c r="A72" s="10" t="s">
        <v>654</v>
      </c>
      <c r="B72" s="10" t="s">
        <v>655</v>
      </c>
      <c r="C72" s="13">
        <v>-0.18693864857968001</v>
      </c>
      <c r="D72" s="13">
        <v>-1.9666281599220702E-2</v>
      </c>
      <c r="E72" s="13">
        <v>7.5015180760077099E-2</v>
      </c>
      <c r="F72" s="13">
        <v>7.0956028102220306E-2</v>
      </c>
      <c r="G72" s="13">
        <v>5.1084358538474803E-2</v>
      </c>
      <c r="H72" s="13">
        <v>-3.01716773824964E-2</v>
      </c>
      <c r="I72" s="13">
        <v>0.26491661195362498</v>
      </c>
      <c r="J72" s="13">
        <v>9.9668633538843796E-2</v>
      </c>
      <c r="K72" s="13">
        <v>6.6997746929887705E-2</v>
      </c>
      <c r="L72" s="13">
        <v>3.6552880463349799E-2</v>
      </c>
      <c r="M72" s="13">
        <v>2.8147505124456001E-2</v>
      </c>
      <c r="N72" s="13">
        <v>1.6913124620973202E-2</v>
      </c>
      <c r="O72" s="13">
        <v>-7.4226699095441495E-2</v>
      </c>
      <c r="P72" s="13">
        <v>-0.38315411361072099</v>
      </c>
      <c r="Q72" s="13">
        <v>-0.59144777843740504</v>
      </c>
      <c r="R72" s="13">
        <v>-0.70281419797211997</v>
      </c>
      <c r="S72" s="13">
        <v>-0.555128646757996</v>
      </c>
      <c r="T72" s="13">
        <v>-0.37360245264886599</v>
      </c>
      <c r="U72" s="13">
        <v>-0.31782422134467098</v>
      </c>
      <c r="V72" s="13">
        <v>-0.18602019886743701</v>
      </c>
      <c r="W72" s="13">
        <v>1.42799277765191E-2</v>
      </c>
      <c r="X72" s="13">
        <v>-5.7560813668953E-2</v>
      </c>
      <c r="Y72" s="13">
        <v>-5.0586745666806002E-2</v>
      </c>
      <c r="Z72" s="13">
        <v>0.122994914851126</v>
      </c>
      <c r="AA72" s="13">
        <v>1.3973101413990101E-2</v>
      </c>
    </row>
    <row r="73" spans="1:27" x14ac:dyDescent="0.25">
      <c r="A73" s="6" t="s">
        <v>656</v>
      </c>
      <c r="B73" s="6" t="s">
        <v>657</v>
      </c>
      <c r="C73" s="19">
        <v>88.944317300745197</v>
      </c>
      <c r="D73" s="19">
        <v>84.150816826978996</v>
      </c>
      <c r="E73" s="19">
        <v>82.865228136234606</v>
      </c>
      <c r="F73" s="19">
        <v>80.8775967520385</v>
      </c>
      <c r="G73" s="19">
        <v>77.634462692967602</v>
      </c>
      <c r="H73" s="19">
        <v>89.445162450115603</v>
      </c>
      <c r="I73" s="19">
        <v>86.074696379130899</v>
      </c>
      <c r="J73" s="19">
        <v>91.974747718998003</v>
      </c>
      <c r="K73" s="19">
        <v>91.572226741072797</v>
      </c>
      <c r="L73" s="19">
        <v>90.757618000131899</v>
      </c>
      <c r="M73" s="19">
        <v>88.475120233260895</v>
      </c>
      <c r="N73" s="19">
        <v>87.392721672861995</v>
      </c>
      <c r="O73" s="19">
        <v>85.297372462253705</v>
      </c>
      <c r="P73" s="19">
        <v>91.269658523106699</v>
      </c>
      <c r="Q73" s="19">
        <v>88.950814503156806</v>
      </c>
      <c r="R73" s="19">
        <v>87.649984207140903</v>
      </c>
      <c r="S73" s="19">
        <v>86.922017011579499</v>
      </c>
      <c r="T73" s="19">
        <v>86.9075742427557</v>
      </c>
      <c r="U73" s="19">
        <v>85.074032864257703</v>
      </c>
      <c r="V73" s="19">
        <v>83.699474963214001</v>
      </c>
      <c r="W73" s="19">
        <v>81.206653897115899</v>
      </c>
      <c r="X73" s="19">
        <v>80.250215518395393</v>
      </c>
      <c r="Y73" s="19">
        <v>86.679934328105006</v>
      </c>
      <c r="Z73" s="19">
        <v>86.438168440365601</v>
      </c>
      <c r="AA73" s="19">
        <v>84.018576177544702</v>
      </c>
    </row>
    <row r="74" spans="1:27" x14ac:dyDescent="0.25">
      <c r="A74" s="10" t="s">
        <v>658</v>
      </c>
      <c r="B74" s="10" t="s">
        <v>169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</row>
    <row r="75" spans="1:27" x14ac:dyDescent="0.25">
      <c r="A75" s="6" t="s">
        <v>118</v>
      </c>
      <c r="B75" s="6" t="s">
        <v>119</v>
      </c>
      <c r="C75" s="19">
        <v>88.944317300745197</v>
      </c>
      <c r="D75" s="19">
        <v>84.150816826978996</v>
      </c>
      <c r="E75" s="19">
        <v>82.865228136234606</v>
      </c>
      <c r="F75" s="19">
        <v>80.8775967520385</v>
      </c>
      <c r="G75" s="19">
        <v>77.634462692967602</v>
      </c>
      <c r="H75" s="19">
        <v>89.445162450115603</v>
      </c>
      <c r="I75" s="19">
        <v>86.074696379130899</v>
      </c>
      <c r="J75" s="19">
        <v>91.974747718998003</v>
      </c>
      <c r="K75" s="19">
        <v>91.572226741072797</v>
      </c>
      <c r="L75" s="19">
        <v>90.757618000131899</v>
      </c>
      <c r="M75" s="19">
        <v>88.475120233260895</v>
      </c>
      <c r="N75" s="19">
        <v>87.392721672861995</v>
      </c>
      <c r="O75" s="19">
        <v>85.297372462253705</v>
      </c>
      <c r="P75" s="19">
        <v>91.269658523106699</v>
      </c>
      <c r="Q75" s="19">
        <v>88.950814503156806</v>
      </c>
      <c r="R75" s="19">
        <v>87.649984207140903</v>
      </c>
      <c r="S75" s="19">
        <v>86.922017011579499</v>
      </c>
      <c r="T75" s="19">
        <v>86.9075742427557</v>
      </c>
      <c r="U75" s="19">
        <v>85.074032864257703</v>
      </c>
      <c r="V75" s="19">
        <v>83.699474963214001</v>
      </c>
      <c r="W75" s="19">
        <v>81.206653897115899</v>
      </c>
      <c r="X75" s="19">
        <v>80.250215518395393</v>
      </c>
      <c r="Y75" s="19">
        <v>86.679934328105006</v>
      </c>
      <c r="Z75" s="19">
        <v>86.438168440365601</v>
      </c>
      <c r="AA75" s="19">
        <v>84.018576177544702</v>
      </c>
    </row>
    <row r="76" spans="1:27" x14ac:dyDescent="0.25">
      <c r="A76" s="6" t="s">
        <v>659</v>
      </c>
      <c r="B76" s="6" t="s">
        <v>660</v>
      </c>
      <c r="C76" s="19">
        <v>100</v>
      </c>
      <c r="D76" s="19">
        <v>100</v>
      </c>
      <c r="E76" s="19">
        <v>100</v>
      </c>
      <c r="F76" s="19">
        <v>100</v>
      </c>
      <c r="G76" s="19">
        <v>100</v>
      </c>
      <c r="H76" s="19">
        <v>100</v>
      </c>
      <c r="I76" s="19">
        <v>100</v>
      </c>
      <c r="J76" s="19">
        <v>100</v>
      </c>
      <c r="K76" s="19">
        <v>100</v>
      </c>
      <c r="L76" s="19">
        <v>100</v>
      </c>
      <c r="M76" s="19">
        <v>100</v>
      </c>
      <c r="N76" s="19">
        <v>100</v>
      </c>
      <c r="O76" s="19">
        <v>100</v>
      </c>
      <c r="P76" s="19">
        <v>100</v>
      </c>
      <c r="Q76" s="19">
        <v>100</v>
      </c>
      <c r="R76" s="19">
        <v>100</v>
      </c>
      <c r="S76" s="19">
        <v>100</v>
      </c>
      <c r="T76" s="19">
        <v>100</v>
      </c>
      <c r="U76" s="19">
        <v>100</v>
      </c>
      <c r="V76" s="19">
        <v>100</v>
      </c>
      <c r="W76" s="19">
        <v>100</v>
      </c>
      <c r="X76" s="19">
        <v>100</v>
      </c>
      <c r="Y76" s="19">
        <v>100</v>
      </c>
      <c r="Z76" s="19">
        <v>100</v>
      </c>
      <c r="AA76" s="19">
        <v>100</v>
      </c>
    </row>
    <row r="77" spans="1:27" x14ac:dyDescent="0.25">
      <c r="A77" s="6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 x14ac:dyDescent="0.25">
      <c r="A78" s="6" t="s">
        <v>4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 x14ac:dyDescent="0.25">
      <c r="A79" s="10" t="s">
        <v>350</v>
      </c>
      <c r="B79" s="10" t="s">
        <v>351</v>
      </c>
      <c r="C79" s="12" t="s">
        <v>352</v>
      </c>
      <c r="D79" s="12" t="s">
        <v>352</v>
      </c>
      <c r="E79" s="12" t="s">
        <v>352</v>
      </c>
      <c r="F79" s="12" t="s">
        <v>352</v>
      </c>
      <c r="G79" s="12" t="s">
        <v>352</v>
      </c>
      <c r="H79" s="12" t="s">
        <v>352</v>
      </c>
      <c r="I79" s="12" t="s">
        <v>352</v>
      </c>
      <c r="J79" s="12" t="s">
        <v>352</v>
      </c>
      <c r="K79" s="12" t="s">
        <v>352</v>
      </c>
      <c r="L79" s="12" t="s">
        <v>352</v>
      </c>
      <c r="M79" s="12" t="s">
        <v>352</v>
      </c>
      <c r="N79" s="12" t="s">
        <v>352</v>
      </c>
      <c r="O79" s="12" t="s">
        <v>352</v>
      </c>
      <c r="P79" s="12" t="s">
        <v>352</v>
      </c>
      <c r="Q79" s="12" t="s">
        <v>352</v>
      </c>
      <c r="R79" s="12" t="s">
        <v>352</v>
      </c>
      <c r="S79" s="12" t="s">
        <v>352</v>
      </c>
      <c r="T79" s="12" t="s">
        <v>352</v>
      </c>
      <c r="U79" s="12" t="s">
        <v>352</v>
      </c>
      <c r="V79" s="12" t="s">
        <v>352</v>
      </c>
      <c r="W79" s="12" t="s">
        <v>352</v>
      </c>
      <c r="X79" s="12" t="s">
        <v>352</v>
      </c>
      <c r="Y79" s="12" t="s">
        <v>352</v>
      </c>
      <c r="Z79" s="12" t="s">
        <v>352</v>
      </c>
      <c r="AA79" s="12" t="s">
        <v>352</v>
      </c>
    </row>
    <row r="80" spans="1:27" x14ac:dyDescent="0.25">
      <c r="A80" s="10" t="s">
        <v>661</v>
      </c>
      <c r="B80" s="10" t="s">
        <v>121</v>
      </c>
      <c r="C80" s="13">
        <v>15.367944118418601</v>
      </c>
      <c r="D80" s="13">
        <v>16.074488200620301</v>
      </c>
      <c r="E80" s="13">
        <v>17.810068884270098</v>
      </c>
      <c r="F80" s="13">
        <v>19.694489611066899</v>
      </c>
      <c r="G80" s="13">
        <v>22.098123228576998</v>
      </c>
      <c r="H80" s="13">
        <v>13.7562104654147</v>
      </c>
      <c r="I80" s="13">
        <v>15.1447196170617</v>
      </c>
      <c r="J80" s="13">
        <v>10.3906962644893</v>
      </c>
      <c r="K80" s="13">
        <v>11.2172807959046</v>
      </c>
      <c r="L80" s="13">
        <v>12.028943535778399</v>
      </c>
      <c r="M80" s="13">
        <v>12.995415021088901</v>
      </c>
      <c r="N80" s="13">
        <v>14.6105837350537</v>
      </c>
      <c r="O80" s="13">
        <v>16.714282876516801</v>
      </c>
      <c r="P80" s="13">
        <v>10.8246131617122</v>
      </c>
      <c r="Q80" s="13">
        <v>11.622925929849</v>
      </c>
      <c r="R80" s="13">
        <v>12.110202442714099</v>
      </c>
      <c r="S80" s="13">
        <v>12.5638986194653</v>
      </c>
      <c r="T80" s="13">
        <v>13.249182173430199</v>
      </c>
      <c r="U80" s="13">
        <v>13.464562459185901</v>
      </c>
      <c r="V80" s="13">
        <v>13.408171093993801</v>
      </c>
      <c r="W80" s="13">
        <v>13.2336225018708</v>
      </c>
      <c r="X80" s="13">
        <v>13.0486105087305</v>
      </c>
      <c r="Y80" s="13">
        <v>7.9988324155019601</v>
      </c>
      <c r="Z80" s="13">
        <v>8.0032606865517302</v>
      </c>
      <c r="AA80" s="13">
        <v>7.7722639789540198</v>
      </c>
    </row>
    <row r="81" spans="1:27" x14ac:dyDescent="0.25">
      <c r="A81" s="10" t="s">
        <v>662</v>
      </c>
      <c r="B81" s="10" t="s">
        <v>663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</row>
    <row r="82" spans="1:27" x14ac:dyDescent="0.25">
      <c r="A82" s="10" t="s">
        <v>664</v>
      </c>
      <c r="B82" s="10" t="s">
        <v>665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</row>
    <row r="83" spans="1:27" x14ac:dyDescent="0.25">
      <c r="A83" s="10" t="s">
        <v>666</v>
      </c>
      <c r="B83" s="10" t="s">
        <v>667</v>
      </c>
      <c r="C83" s="13">
        <v>9.3521344620108202</v>
      </c>
      <c r="D83" s="13">
        <v>10.8900096884355</v>
      </c>
      <c r="E83" s="13">
        <v>11.588647799892399</v>
      </c>
      <c r="F83" s="13">
        <v>12.511784148346001</v>
      </c>
      <c r="G83" s="13">
        <v>13.9954055488242</v>
      </c>
      <c r="H83" s="13">
        <v>7.15264580305326</v>
      </c>
      <c r="I83" s="13">
        <v>8.2091843050645998</v>
      </c>
      <c r="J83" s="13">
        <v>5.1574155705429803</v>
      </c>
      <c r="K83" s="13">
        <v>5.4745971565014404</v>
      </c>
      <c r="L83" s="13">
        <v>5.6077967506782098</v>
      </c>
      <c r="M83" s="13">
        <v>5.8149362478139599</v>
      </c>
      <c r="N83" s="13">
        <v>6.2838008666280603</v>
      </c>
      <c r="O83" s="13">
        <v>6.8404018258445696</v>
      </c>
      <c r="P83" s="13">
        <v>0.52269221027424095</v>
      </c>
      <c r="Q83" s="13">
        <v>0.88298399075755096</v>
      </c>
      <c r="R83" s="13">
        <v>0.92634389558042896</v>
      </c>
      <c r="S83" s="13">
        <v>3.4912159834653802</v>
      </c>
      <c r="T83" s="13">
        <v>3.37543861592615</v>
      </c>
      <c r="U83" s="13">
        <v>3.2872665715623</v>
      </c>
      <c r="V83" s="13">
        <v>3.1407455299415901</v>
      </c>
      <c r="W83" s="13">
        <v>2.9672042235632499</v>
      </c>
      <c r="X83" s="13">
        <v>2.7666672021160998</v>
      </c>
      <c r="Y83" s="13">
        <v>1.7224483984902701</v>
      </c>
      <c r="Z83" s="13">
        <v>1.6458214572896599</v>
      </c>
      <c r="AA83" s="13">
        <v>1.51326493585542</v>
      </c>
    </row>
    <row r="84" spans="1:27" x14ac:dyDescent="0.25">
      <c r="A84" s="10" t="s">
        <v>668</v>
      </c>
      <c r="B84" s="10" t="s">
        <v>669</v>
      </c>
      <c r="C84" s="13">
        <v>0</v>
      </c>
      <c r="D84" s="13" t="s">
        <v>76</v>
      </c>
      <c r="E84" s="13" t="s">
        <v>76</v>
      </c>
      <c r="F84" s="13" t="s">
        <v>76</v>
      </c>
      <c r="G84" s="13" t="s">
        <v>76</v>
      </c>
      <c r="H84" s="13" t="s">
        <v>76</v>
      </c>
      <c r="I84" s="13" t="s">
        <v>76</v>
      </c>
      <c r="J84" s="13" t="s">
        <v>76</v>
      </c>
      <c r="K84" s="13" t="s">
        <v>76</v>
      </c>
      <c r="L84" s="13" t="s">
        <v>76</v>
      </c>
      <c r="M84" s="13" t="s">
        <v>76</v>
      </c>
      <c r="N84" s="13" t="s">
        <v>76</v>
      </c>
      <c r="O84" s="13" t="s">
        <v>76</v>
      </c>
      <c r="P84" s="13" t="s">
        <v>76</v>
      </c>
      <c r="Q84" s="13" t="s">
        <v>76</v>
      </c>
      <c r="R84" s="13" t="s">
        <v>76</v>
      </c>
      <c r="S84" s="13" t="s">
        <v>76</v>
      </c>
      <c r="T84" s="13" t="s">
        <v>76</v>
      </c>
      <c r="U84" s="13" t="s">
        <v>76</v>
      </c>
      <c r="V84" s="13" t="s">
        <v>76</v>
      </c>
      <c r="W84" s="13" t="s">
        <v>76</v>
      </c>
      <c r="X84" s="13" t="s">
        <v>76</v>
      </c>
      <c r="Y84" s="13" t="s">
        <v>76</v>
      </c>
      <c r="Z84" s="13" t="s">
        <v>76</v>
      </c>
      <c r="AA84" s="13" t="s">
        <v>76</v>
      </c>
    </row>
    <row r="85" spans="1:27" x14ac:dyDescent="0.25">
      <c r="A85" s="10" t="s">
        <v>670</v>
      </c>
      <c r="B85" s="10" t="s">
        <v>671</v>
      </c>
      <c r="C85" s="13">
        <v>9.4818263916352397E-2</v>
      </c>
      <c r="D85" s="13">
        <v>0.38029107128918599</v>
      </c>
      <c r="E85" s="13">
        <v>0.150666449873814</v>
      </c>
      <c r="F85" s="13">
        <v>1.7860922149600299E-2</v>
      </c>
      <c r="G85" s="13">
        <v>4.7152220090065696E-3</v>
      </c>
      <c r="H85" s="13">
        <v>0.144659020367055</v>
      </c>
      <c r="I85" s="13">
        <v>1.05113994026419E-2</v>
      </c>
      <c r="J85" s="13">
        <v>5.15082573416585E-3</v>
      </c>
      <c r="K85" s="13">
        <v>2.5042043182910202E-3</v>
      </c>
      <c r="L85" s="13">
        <v>7.5899284923091503E-2</v>
      </c>
      <c r="M85" s="13">
        <v>2.5951393040994E-2</v>
      </c>
      <c r="N85" s="13">
        <v>0</v>
      </c>
      <c r="O85" s="13">
        <v>0.139531775680516</v>
      </c>
      <c r="P85" s="13">
        <v>5.2659973750259E-2</v>
      </c>
      <c r="Q85" s="13">
        <v>7.2955736255182202E-2</v>
      </c>
      <c r="R85" s="13">
        <v>1.5817155776414E-3</v>
      </c>
      <c r="S85" s="13">
        <v>1.0922387980603599E-3</v>
      </c>
      <c r="T85" s="13">
        <v>3.3201460068295302E-2</v>
      </c>
      <c r="U85" s="13">
        <v>4.9962023649036897E-3</v>
      </c>
      <c r="V85" s="13">
        <v>1.2250858340393299E-3</v>
      </c>
      <c r="W85" s="13">
        <v>6.6895969353078098E-4</v>
      </c>
      <c r="X85" s="13">
        <v>0</v>
      </c>
      <c r="Y85" s="13">
        <v>1.3091970944427299E-3</v>
      </c>
      <c r="Z85" s="13">
        <v>1.3025078429077801E-3</v>
      </c>
      <c r="AA85" s="13">
        <v>0</v>
      </c>
    </row>
    <row r="86" spans="1:27" x14ac:dyDescent="0.25">
      <c r="A86" s="10" t="s">
        <v>672</v>
      </c>
      <c r="B86" s="10" t="s">
        <v>673</v>
      </c>
      <c r="C86" s="13">
        <v>1.32931260393813</v>
      </c>
      <c r="D86" s="13">
        <v>1.7529287167968199</v>
      </c>
      <c r="E86" s="13">
        <v>2.0674352795590898</v>
      </c>
      <c r="F86" s="13">
        <v>2.2568250457012402</v>
      </c>
      <c r="G86" s="13">
        <v>2.4045661598437298</v>
      </c>
      <c r="H86" s="13">
        <v>1.33163345098478</v>
      </c>
      <c r="I86" s="13">
        <v>1.3861961258576001</v>
      </c>
      <c r="J86" s="13">
        <v>0.77326369412100404</v>
      </c>
      <c r="K86" s="13">
        <v>0.76920630401923695</v>
      </c>
      <c r="L86" s="13">
        <v>0.87916745832821896</v>
      </c>
      <c r="M86" s="13">
        <v>0.96117134152139705</v>
      </c>
      <c r="N86" s="13">
        <v>1.06867348730852</v>
      </c>
      <c r="O86" s="13">
        <v>1.1127071108872799</v>
      </c>
      <c r="P86" s="13">
        <v>0.63056862925694801</v>
      </c>
      <c r="Q86" s="13">
        <v>0.64561710345779</v>
      </c>
      <c r="R86" s="13">
        <v>0.62993904084276298</v>
      </c>
      <c r="S86" s="13">
        <v>0.63408834362330702</v>
      </c>
      <c r="T86" s="13">
        <v>0.65608398716070404</v>
      </c>
      <c r="U86" s="13">
        <v>0.63273197104268197</v>
      </c>
      <c r="V86" s="13">
        <v>0.61108750055736405</v>
      </c>
      <c r="W86" s="13">
        <v>0.58217919936289597</v>
      </c>
      <c r="X86" s="13">
        <v>0.50507672990324404</v>
      </c>
      <c r="Y86" s="13">
        <v>0.27819847573350798</v>
      </c>
      <c r="Z86" s="13">
        <v>0.25138529723771103</v>
      </c>
      <c r="AA86" s="13">
        <v>0.226643339146924</v>
      </c>
    </row>
    <row r="87" spans="1:27" x14ac:dyDescent="0.25">
      <c r="A87" s="10" t="s">
        <v>674</v>
      </c>
      <c r="B87" s="10" t="s">
        <v>675</v>
      </c>
      <c r="C87" s="13">
        <v>-97.291216690016697</v>
      </c>
      <c r="D87" s="13">
        <v>-84.289554644209602</v>
      </c>
      <c r="E87" s="13">
        <v>-84.705096433479397</v>
      </c>
      <c r="F87" s="13">
        <v>-83.0153043049621</v>
      </c>
      <c r="G87" s="13">
        <v>-79.967507088239898</v>
      </c>
      <c r="H87" s="13">
        <v>-88.525952902888307</v>
      </c>
      <c r="I87" s="13">
        <v>-86.777055531957998</v>
      </c>
      <c r="J87" s="13">
        <v>-89.824482825584298</v>
      </c>
      <c r="K87" s="13">
        <v>-87.591514392349396</v>
      </c>
      <c r="L87" s="13">
        <v>-86.547698759514006</v>
      </c>
      <c r="M87" s="13">
        <v>-84.301788076344295</v>
      </c>
      <c r="N87" s="13">
        <v>-80.951095977190306</v>
      </c>
      <c r="O87" s="13">
        <v>-78.977169259987804</v>
      </c>
      <c r="P87" s="13">
        <v>-86.054940247300195</v>
      </c>
      <c r="Q87" s="13">
        <v>-80.183050747254001</v>
      </c>
      <c r="R87" s="13">
        <v>-77.024267294459406</v>
      </c>
      <c r="S87" s="13">
        <v>-75.765653567927103</v>
      </c>
      <c r="T87" s="13">
        <v>-72.036313382943902</v>
      </c>
      <c r="U87" s="13">
        <v>-69.347339273152301</v>
      </c>
      <c r="V87" s="13">
        <v>-66.263042315066699</v>
      </c>
      <c r="W87" s="13">
        <v>-66.045077887394498</v>
      </c>
      <c r="X87" s="13">
        <v>-61.4758860349434</v>
      </c>
      <c r="Y87" s="13">
        <v>-76.078451863833806</v>
      </c>
      <c r="Z87" s="13">
        <v>-74.661688480835394</v>
      </c>
      <c r="AA87" s="13">
        <v>-71.993295837625297</v>
      </c>
    </row>
    <row r="88" spans="1:27" x14ac:dyDescent="0.25">
      <c r="A88" s="10" t="s">
        <v>676</v>
      </c>
      <c r="B88" s="10" t="s">
        <v>677</v>
      </c>
      <c r="C88" s="13">
        <v>-30.6221780993469</v>
      </c>
      <c r="D88" s="13">
        <v>-29.2048999323465</v>
      </c>
      <c r="E88" s="13">
        <v>-32.988914887292601</v>
      </c>
      <c r="F88" s="13">
        <v>-36.589915273622999</v>
      </c>
      <c r="G88" s="13">
        <v>-41.007448983837797</v>
      </c>
      <c r="H88" s="13">
        <v>-20.565988326427</v>
      </c>
      <c r="I88" s="13">
        <v>-22.8643547950279</v>
      </c>
      <c r="J88" s="13">
        <v>-12.6621156374406</v>
      </c>
      <c r="K88" s="13">
        <v>-13.334881163857499</v>
      </c>
      <c r="L88" s="13">
        <v>-14.138321170181801</v>
      </c>
      <c r="M88" s="13">
        <v>-15.228312661191699</v>
      </c>
      <c r="N88" s="13">
        <v>-16.630725424027201</v>
      </c>
      <c r="O88" s="13">
        <v>-18.899002465077601</v>
      </c>
      <c r="P88" s="13">
        <v>-10.8552431554952</v>
      </c>
      <c r="Q88" s="13">
        <v>-11.102656341990301</v>
      </c>
      <c r="R88" s="13">
        <v>-11.237495572245001</v>
      </c>
      <c r="S88" s="13">
        <v>-11.548410000264999</v>
      </c>
      <c r="T88" s="13">
        <v>-11.477878525198101</v>
      </c>
      <c r="U88" s="13">
        <v>-11.422909128617899</v>
      </c>
      <c r="V88" s="13">
        <v>-11.0313198098274</v>
      </c>
      <c r="W88" s="13">
        <v>-11.1671284301004</v>
      </c>
      <c r="X88" s="13">
        <v>-10.2545606905156</v>
      </c>
      <c r="Y88" s="13">
        <v>-6.6466586242828498</v>
      </c>
      <c r="Z88" s="13">
        <v>-6.52166258319523</v>
      </c>
      <c r="AA88" s="13">
        <v>-6.2686811586993203</v>
      </c>
    </row>
    <row r="89" spans="1:27" x14ac:dyDescent="0.25">
      <c r="A89" s="10" t="s">
        <v>678</v>
      </c>
      <c r="B89" s="10" t="s">
        <v>679</v>
      </c>
      <c r="C89" s="13">
        <v>24.899971724478501</v>
      </c>
      <c r="D89" s="13">
        <v>24.535710362142201</v>
      </c>
      <c r="E89" s="13">
        <v>26.7425704993246</v>
      </c>
      <c r="F89" s="13">
        <v>28.831000791628401</v>
      </c>
      <c r="G89" s="13">
        <v>30.907103055978201</v>
      </c>
      <c r="H89" s="13">
        <v>18.586288964036399</v>
      </c>
      <c r="I89" s="13">
        <v>19.521133773129002</v>
      </c>
      <c r="J89" s="13">
        <v>11.924735674884699</v>
      </c>
      <c r="K89" s="13">
        <v>12.765994894445599</v>
      </c>
      <c r="L89" s="13">
        <v>13.455768163590299</v>
      </c>
      <c r="M89" s="13">
        <v>14.140257631740401</v>
      </c>
      <c r="N89" s="13">
        <v>15.690579798221499</v>
      </c>
      <c r="O89" s="13">
        <v>17.410394978388599</v>
      </c>
      <c r="P89" s="13">
        <v>10.5079162541159</v>
      </c>
      <c r="Q89" s="13">
        <v>10.9558021495099</v>
      </c>
      <c r="R89" s="13">
        <v>11.2084521847215</v>
      </c>
      <c r="S89" s="13">
        <v>11.516205649328301</v>
      </c>
      <c r="T89" s="13">
        <v>12.034426538236801</v>
      </c>
      <c r="U89" s="13">
        <v>11.9217761441252</v>
      </c>
      <c r="V89" s="13">
        <v>11.6627662805993</v>
      </c>
      <c r="W89" s="13">
        <v>11.1502418662767</v>
      </c>
      <c r="X89" s="13">
        <v>10.742483093184299</v>
      </c>
      <c r="Y89" s="13">
        <v>6.5641553528046899</v>
      </c>
      <c r="Z89" s="13">
        <v>6.5263690073955498</v>
      </c>
      <c r="AA89" s="13">
        <v>6.1465972937541</v>
      </c>
    </row>
    <row r="90" spans="1:27" x14ac:dyDescent="0.25">
      <c r="A90" s="10" t="s">
        <v>680</v>
      </c>
      <c r="B90" s="10" t="s">
        <v>681</v>
      </c>
      <c r="C90" s="13">
        <v>2.7412488448068499</v>
      </c>
      <c r="D90" s="13">
        <v>2.7950025555523799</v>
      </c>
      <c r="E90" s="13">
        <v>2.86089176282493</v>
      </c>
      <c r="F90" s="13">
        <v>2.7714063262470798</v>
      </c>
      <c r="G90" s="13">
        <v>2.53131542002285</v>
      </c>
      <c r="H90" s="13">
        <v>3.0823406725966098</v>
      </c>
      <c r="I90" s="13">
        <v>2.3589235394439099</v>
      </c>
      <c r="J90" s="13">
        <v>2.53949075844326</v>
      </c>
      <c r="K90" s="13">
        <v>2.6135656797753999</v>
      </c>
      <c r="L90" s="13">
        <v>2.4239748122758402</v>
      </c>
      <c r="M90" s="13">
        <v>1.9059441618053601</v>
      </c>
      <c r="N90" s="13">
        <v>1.91878664502106</v>
      </c>
      <c r="O90" s="13">
        <v>1.78757297772501</v>
      </c>
      <c r="P90" s="13">
        <v>1.6533498353634699</v>
      </c>
      <c r="Q90" s="13">
        <v>1.3761659600988301</v>
      </c>
      <c r="R90" s="13">
        <v>1.25507845917962</v>
      </c>
      <c r="S90" s="13">
        <v>1.17462558626355</v>
      </c>
      <c r="T90" s="13">
        <v>1.22853682989041</v>
      </c>
      <c r="U90" s="13">
        <v>1.0623790292067601</v>
      </c>
      <c r="V90" s="13">
        <v>0.94941003032059601</v>
      </c>
      <c r="W90" s="13">
        <v>0.74218688855477499</v>
      </c>
      <c r="X90" s="13">
        <v>0.68571876054166103</v>
      </c>
      <c r="Y90" s="13">
        <v>0.59180986956495396</v>
      </c>
      <c r="Z90" s="13">
        <v>0.57803978270143397</v>
      </c>
      <c r="AA90" s="13">
        <v>0.46495743690888702</v>
      </c>
    </row>
    <row r="91" spans="1:27" x14ac:dyDescent="0.25">
      <c r="A91" s="10" t="s">
        <v>682</v>
      </c>
      <c r="B91" s="10" t="s">
        <v>683</v>
      </c>
      <c r="C91" s="13" t="s">
        <v>76</v>
      </c>
      <c r="D91" s="13" t="s">
        <v>76</v>
      </c>
      <c r="E91" s="13" t="s">
        <v>76</v>
      </c>
      <c r="F91" s="13" t="s">
        <v>76</v>
      </c>
      <c r="G91" s="13" t="s">
        <v>76</v>
      </c>
      <c r="H91" s="13" t="s">
        <v>76</v>
      </c>
      <c r="I91" s="13" t="s">
        <v>76</v>
      </c>
      <c r="J91" s="13" t="s">
        <v>76</v>
      </c>
      <c r="K91" s="13">
        <v>70.192766045053801</v>
      </c>
      <c r="L91" s="13">
        <v>28.4460760497278</v>
      </c>
      <c r="M91" s="13">
        <v>7.1566359099419303</v>
      </c>
      <c r="N91" s="13">
        <v>9.2729614321043297</v>
      </c>
      <c r="O91" s="13">
        <v>24.080297452025899</v>
      </c>
      <c r="P91" s="13">
        <v>0.29282714315319303</v>
      </c>
      <c r="Q91" s="13">
        <v>49.531942244545597</v>
      </c>
      <c r="R91" s="13">
        <v>36.1418715369201</v>
      </c>
      <c r="S91" s="13">
        <v>34.229236598744002</v>
      </c>
      <c r="T91" s="13">
        <v>35.984687146026197</v>
      </c>
      <c r="U91" s="13">
        <v>63.561215355338099</v>
      </c>
      <c r="V91" s="13">
        <v>53.868752090114597</v>
      </c>
      <c r="W91" s="13">
        <v>11.1254192325912</v>
      </c>
      <c r="X91" s="13">
        <v>19.577404301800701</v>
      </c>
      <c r="Y91" s="13">
        <v>8.65890296432271</v>
      </c>
      <c r="Z91" s="13">
        <v>14.630915666562201</v>
      </c>
      <c r="AA91" s="13">
        <v>7.4137524580953302</v>
      </c>
    </row>
    <row r="92" spans="1:27" x14ac:dyDescent="0.25">
      <c r="A92" s="10" t="s">
        <v>684</v>
      </c>
      <c r="B92" s="10" t="s">
        <v>685</v>
      </c>
      <c r="C92" s="13">
        <v>73</v>
      </c>
      <c r="D92" s="13" t="s">
        <v>76</v>
      </c>
      <c r="E92" s="13" t="s">
        <v>76</v>
      </c>
      <c r="F92" s="13" t="s">
        <v>76</v>
      </c>
      <c r="G92" s="13">
        <v>300</v>
      </c>
      <c r="H92" s="13" t="s">
        <v>76</v>
      </c>
      <c r="I92" s="13" t="s">
        <v>76</v>
      </c>
      <c r="J92" s="13" t="s">
        <v>76</v>
      </c>
      <c r="K92" s="13">
        <v>383</v>
      </c>
      <c r="L92" s="13" t="s">
        <v>76</v>
      </c>
      <c r="M92" s="13" t="s">
        <v>76</v>
      </c>
      <c r="N92" s="13" t="s">
        <v>76</v>
      </c>
      <c r="O92" s="13">
        <v>512</v>
      </c>
      <c r="P92" s="13" t="s">
        <v>76</v>
      </c>
      <c r="Q92" s="13" t="s">
        <v>76</v>
      </c>
      <c r="R92" s="13" t="s">
        <v>76</v>
      </c>
      <c r="S92" s="13">
        <v>561</v>
      </c>
      <c r="T92" s="13" t="s">
        <v>76</v>
      </c>
      <c r="U92" s="13" t="s">
        <v>76</v>
      </c>
      <c r="V92" s="13" t="s">
        <v>76</v>
      </c>
      <c r="W92" s="13" t="s">
        <v>76</v>
      </c>
      <c r="X92" s="13" t="s">
        <v>76</v>
      </c>
      <c r="Y92" s="13" t="s">
        <v>76</v>
      </c>
      <c r="Z92" s="13" t="s">
        <v>76</v>
      </c>
      <c r="AA92" s="13">
        <v>860</v>
      </c>
    </row>
    <row r="93" spans="1:27" x14ac:dyDescent="0.25">
      <c r="A93" s="7" t="s">
        <v>90</v>
      </c>
      <c r="B93" s="7"/>
      <c r="C93" s="7" t="s">
        <v>5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21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913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10" t="s">
        <v>914</v>
      </c>
      <c r="B6" s="10" t="s">
        <v>819</v>
      </c>
      <c r="C6" s="13">
        <f>_xll.BDH("ITCI US Equity","ARDR_FV_ASSETS_REC_LEVEL_1","FQ4 2018","FQ4 2018","Currency=USD","Period=FQ","BEST_FPERIOD_OVERRIDE=FQ","FILING_STATUS=MR","SCALING_FORMAT=MLN","Sort=A","Dates=H","DateFormat=P","Fill=—","Direction=H","UseDPDF=Y")</f>
        <v>39.591000000000001</v>
      </c>
      <c r="D6" s="13">
        <f>_xll.BDH("ITCI US Equity","ARDR_FV_ASSETS_REC_LEVEL_1","FQ1 2019","FQ1 2019","Currency=USD","Period=FQ","BEST_FPERIOD_OVERRIDE=FQ","FILING_STATUS=MR","SCALING_FORMAT=MLN","Sort=A","Dates=H","DateFormat=P","Fill=—","Direction=H","UseDPDF=Y")</f>
        <v>39.311999999999998</v>
      </c>
      <c r="E6" s="13">
        <f>_xll.BDH("ITCI US Equity","ARDR_FV_ASSETS_REC_LEVEL_1","FQ2 2019","FQ2 2019","Currency=USD","Period=FQ","BEST_FPERIOD_OVERRIDE=FQ","FILING_STATUS=MR","SCALING_FORMAT=MLN","Sort=A","Dates=H","DateFormat=P","Fill=—","Direction=H","UseDPDF=Y")</f>
        <v>54.146000000000001</v>
      </c>
      <c r="F6" s="13">
        <f>_xll.BDH("ITCI US Equity","ARDR_FV_ASSETS_REC_LEVEL_1","FQ3 2019","FQ3 2019","Currency=USD","Period=FQ","BEST_FPERIOD_OVERRIDE=FQ","FILING_STATUS=MR","SCALING_FORMAT=MLN","Sort=A","Dates=H","DateFormat=P","Fill=—","Direction=H","UseDPDF=Y")</f>
        <v>55.354999999999997</v>
      </c>
      <c r="G6" s="13">
        <f>_xll.BDH("ITCI US Equity","ARDR_FV_ASSETS_REC_LEVEL_1","FQ4 2019","FQ4 2019","Currency=USD","Period=FQ","BEST_FPERIOD_OVERRIDE=FQ","FILING_STATUS=MR","SCALING_FORMAT=MLN","Sort=A","Dates=H","DateFormat=P","Fill=—","Direction=H","UseDPDF=Y")</f>
        <v>49.881999999999998</v>
      </c>
      <c r="H6" s="13">
        <f>_xll.BDH("ITCI US Equity","ARDR_FV_ASSETS_REC_LEVEL_1","FQ1 2020","FQ1 2020","Currency=USD","Period=FQ","BEST_FPERIOD_OVERRIDE=FQ","FILING_STATUS=MR","SCALING_FORMAT=MLN","Sort=A","Dates=H","DateFormat=P","Fill=—","Direction=H","UseDPDF=Y")</f>
        <v>86.366</v>
      </c>
      <c r="I6" s="13">
        <f>_xll.BDH("ITCI US Equity","ARDR_FV_ASSETS_REC_LEVEL_1","FQ2 2020","FQ2 2020","Currency=USD","Period=FQ","BEST_FPERIOD_OVERRIDE=FQ","FILING_STATUS=MR","SCALING_FORMAT=MLN","Sort=A","Dates=H","DateFormat=P","Fill=—","Direction=H","UseDPDF=Y")</f>
        <v>100.85599999999999</v>
      </c>
      <c r="J6" s="13">
        <f>_xll.BDH("ITCI US Equity","ARDR_FV_ASSETS_REC_LEVEL_1","FQ3 2020","FQ3 2020","Currency=USD","Period=FQ","BEST_FPERIOD_OVERRIDE=FQ","FILING_STATUS=MR","SCALING_FORMAT=MLN","Sort=A","Dates=H","DateFormat=P","Fill=—","Direction=H","UseDPDF=Y")</f>
        <v>224.239</v>
      </c>
      <c r="K6" s="13">
        <f>_xll.BDH("ITCI US Equity","ARDR_FV_ASSETS_REC_LEVEL_1","FQ4 2020","FQ4 2020","Currency=USD","Period=FQ","BEST_FPERIOD_OVERRIDE=FQ","FILING_STATUS=MR","SCALING_FORMAT=MLN","Sort=A","Dates=H","DateFormat=P","Fill=—","Direction=H","UseDPDF=Y")</f>
        <v>27.917000000000002</v>
      </c>
      <c r="L6" s="13">
        <f>_xll.BDH("ITCI US Equity","ARDR_FV_ASSETS_REC_LEVEL_1","FQ1 2021","FQ1 2021","Currency=USD","Period=FQ","BEST_FPERIOD_OVERRIDE=FQ","FILING_STATUS=MR","SCALING_FORMAT=MLN","Sort=A","Dates=H","DateFormat=P","Fill=—","Direction=H","UseDPDF=Y")</f>
        <v>83.602000000000004</v>
      </c>
      <c r="M6" s="13">
        <f>_xll.BDH("ITCI US Equity","ARDR_FV_ASSETS_REC_LEVEL_1","FQ2 2021","FQ2 2021","Currency=USD","Period=FQ","BEST_FPERIOD_OVERRIDE=FQ","FILING_STATUS=MR","SCALING_FORMAT=MLN","Sort=A","Dates=H","DateFormat=P","Fill=—","Direction=H","UseDPDF=Y")</f>
        <v>97.146000000000001</v>
      </c>
      <c r="N6" s="13">
        <f>_xll.BDH("ITCI US Equity","ARDR_FV_ASSETS_REC_LEVEL_1","FQ3 2021","FQ3 2021","Currency=USD","Period=FQ","BEST_FPERIOD_OVERRIDE=FQ","FILING_STATUS=MR","SCALING_FORMAT=MLN","Sort=A","Dates=H","DateFormat=P","Fill=—","Direction=H","UseDPDF=Y")</f>
        <v>88.25</v>
      </c>
      <c r="O6" s="13">
        <f>_xll.BDH("ITCI US Equity","ARDR_FV_ASSETS_REC_LEVEL_1","FQ4 2021","FQ4 2021","Currency=USD","Period=FQ","BEST_FPERIOD_OVERRIDE=FQ","FILING_STATUS=MR","SCALING_FORMAT=MLN","Sort=A","Dates=H","DateFormat=P","Fill=—","Direction=H","UseDPDF=Y")</f>
        <v>56.539000000000001</v>
      </c>
      <c r="P6" s="13">
        <f>_xll.BDH("ITCI US Equity","ARDR_FV_ASSETS_REC_LEVEL_1","FQ1 2022","FQ1 2022","Currency=USD","Period=FQ","BEST_FPERIOD_OVERRIDE=FQ","FILING_STATUS=MR","SCALING_FORMAT=MLN","Sort=A","Dates=H","DateFormat=P","Fill=—","Direction=H","UseDPDF=Y")</f>
        <v>65.866</v>
      </c>
      <c r="Q6" s="13">
        <f>_xll.BDH("ITCI US Equity","ARDR_FV_ASSETS_REC_LEVEL_1","FQ2 2022","FQ2 2022","Currency=USD","Period=FQ","BEST_FPERIOD_OVERRIDE=FQ","FILING_STATUS=MR","SCALING_FORMAT=MLN","Sort=A","Dates=H","DateFormat=P","Fill=—","Direction=H","UseDPDF=Y")</f>
        <v>55.774999999999999</v>
      </c>
      <c r="R6" s="13">
        <f>_xll.BDH("ITCI US Equity","ARDR_FV_ASSETS_REC_LEVEL_1","FQ3 2022","FQ3 2022","Currency=USD","Period=FQ","BEST_FPERIOD_OVERRIDE=FQ","FILING_STATUS=MR","SCALING_FORMAT=MLN","Sort=A","Dates=H","DateFormat=P","Fill=—","Direction=H","UseDPDF=Y")</f>
        <v>47.122</v>
      </c>
      <c r="S6" s="13">
        <f>_xll.BDH("ITCI US Equity","ARDR_FV_ASSETS_REC_LEVEL_1","FQ4 2022","FQ4 2022","Currency=USD","Period=FQ","BEST_FPERIOD_OVERRIDE=FQ","FILING_STATUS=MR","SCALING_FORMAT=MLN","Sort=A","Dates=H","DateFormat=P","Fill=—","Direction=H","UseDPDF=Y")</f>
        <v>12.202999999999999</v>
      </c>
      <c r="T6" s="13">
        <f>_xll.BDH("ITCI US Equity","ARDR_FV_ASSETS_REC_LEVEL_1","FQ1 2023","FQ1 2023","Currency=USD","Period=FQ","BEST_FPERIOD_OVERRIDE=FQ","FILING_STATUS=MR","SCALING_FORMAT=MLN","Sort=A","Dates=H","DateFormat=P","Fill=—","Direction=H","UseDPDF=Y")</f>
        <v>30.917000000000002</v>
      </c>
      <c r="U6" s="13">
        <f>_xll.BDH("ITCI US Equity","ARDR_FV_ASSETS_REC_LEVEL_1","FQ2 2023","FQ2 2023","Currency=USD","Period=FQ","BEST_FPERIOD_OVERRIDE=FQ","FILING_STATUS=MR","SCALING_FORMAT=MLN","Sort=A","Dates=H","DateFormat=P","Fill=—","Direction=H","UseDPDF=Y")</f>
        <v>12.202999999999999</v>
      </c>
      <c r="V6" s="13">
        <f>_xll.BDH("ITCI US Equity","ARDR_FV_ASSETS_REC_LEVEL_1","FQ3 2023","FQ3 2023","Currency=USD","Period=FQ","BEST_FPERIOD_OVERRIDE=FQ","FILING_STATUS=MR","SCALING_FORMAT=MLN","Sort=A","Dates=H","DateFormat=P","Fill=—","Direction=H","UseDPDF=Y")</f>
        <v>4.42</v>
      </c>
      <c r="W6" s="13">
        <f>_xll.BDH("ITCI US Equity","ARDR_FV_ASSETS_REC_LEVEL_1","FQ4 2023","FQ4 2023","Currency=USD","Period=FQ","BEST_FPERIOD_OVERRIDE=FQ","FILING_STATUS=MR","SCALING_FORMAT=MLN","Sort=A","Dates=H","DateFormat=P","Fill=—","Direction=H","UseDPDF=Y")</f>
        <v>10.698</v>
      </c>
      <c r="X6" s="13">
        <f>_xll.BDH("ITCI US Equity","ARDR_FV_ASSETS_REC_LEVEL_1","FQ1 2024","FQ1 2024","Currency=USD","Period=FQ","BEST_FPERIOD_OVERRIDE=FQ","FILING_STATUS=MR","SCALING_FORMAT=MLN","Sort=A","Dates=H","DateFormat=P","Fill=—","Direction=H","UseDPDF=Y")</f>
        <v>31.207999999999998</v>
      </c>
      <c r="Y6" s="13">
        <f>_xll.BDH("ITCI US Equity","ARDR_FV_ASSETS_REC_LEVEL_1","FQ2 2024","FQ2 2024","Currency=USD","Period=FQ","BEST_FPERIOD_OVERRIDE=FQ","FILING_STATUS=MR","SCALING_FORMAT=MLN","Sort=A","Dates=H","DateFormat=P","Fill=—","Direction=H","UseDPDF=Y")</f>
        <v>81.94</v>
      </c>
      <c r="Z6" s="13">
        <f>_xll.BDH("ITCI US Equity","ARDR_FV_ASSETS_REC_LEVEL_1","FQ3 2024","FQ3 2024","Currency=USD","Period=FQ","BEST_FPERIOD_OVERRIDE=FQ","FILING_STATUS=MR","SCALING_FORMAT=MLN","Sort=A","Dates=H","DateFormat=P","Fill=—","Direction=H","UseDPDF=Y")</f>
        <v>225.09899999999999</v>
      </c>
      <c r="AA6" s="13">
        <f>_xll.BDH("ITCI US Equity","ARDR_FV_ASSETS_REC_LEVEL_1","FQ4 2024","FQ4 2024","Currency=USD","Period=FQ","BEST_FPERIOD_OVERRIDE=FQ","FILING_STATUS=MR","SCALING_FORMAT=MLN","Sort=A","Dates=H","DateFormat=P","Fill=—","Direction=H","UseDPDF=Y")</f>
        <v>193.52199999999999</v>
      </c>
    </row>
    <row r="7" spans="1:27" x14ac:dyDescent="0.25">
      <c r="A7" s="10" t="s">
        <v>915</v>
      </c>
      <c r="B7" s="10" t="s">
        <v>821</v>
      </c>
      <c r="C7" s="13">
        <f>_xll.BDH("ITCI US Equity","ARDR_FV_ASSETS_REC_LEVEL_2","FQ4 2018","FQ4 2018","Currency=USD","Period=FQ","BEST_FPERIOD_OVERRIDE=FQ","FILING_STATUS=MR","SCALING_FORMAT=MLN","Sort=A","Dates=H","DateFormat=P","Fill=—","Direction=H","UseDPDF=Y")</f>
        <v>300.08300000000003</v>
      </c>
      <c r="D7" s="13">
        <f>_xll.BDH("ITCI US Equity","ARDR_FV_ASSETS_REC_LEVEL_2","FQ1 2019","FQ1 2019","Currency=USD","Period=FQ","BEST_FPERIOD_OVERRIDE=FQ","FILING_STATUS=MR","SCALING_FORMAT=MLN","Sort=A","Dates=H","DateFormat=P","Fill=—","Direction=H","UseDPDF=Y")</f>
        <v>272.73099999999999</v>
      </c>
      <c r="E7" s="13">
        <f>_xll.BDH("ITCI US Equity","ARDR_FV_ASSETS_REC_LEVEL_2","FQ2 2019","FQ2 2019","Currency=USD","Period=FQ","BEST_FPERIOD_OVERRIDE=FQ","FILING_STATUS=MR","SCALING_FORMAT=MLN","Sort=A","Dates=H","DateFormat=P","Fill=—","Direction=H","UseDPDF=Y")</f>
        <v>225.03700000000001</v>
      </c>
      <c r="F7" s="13">
        <f>_xll.BDH("ITCI US Equity","ARDR_FV_ASSETS_REC_LEVEL_2","FQ3 2019","FQ3 2019","Currency=USD","Period=FQ","BEST_FPERIOD_OVERRIDE=FQ","FILING_STATUS=MR","SCALING_FORMAT=MLN","Sort=A","Dates=H","DateFormat=P","Fill=—","Direction=H","UseDPDF=Y")</f>
        <v>192.27099999999999</v>
      </c>
      <c r="G7" s="13">
        <f>_xll.BDH("ITCI US Equity","ARDR_FV_ASSETS_REC_LEVEL_2","FQ4 2019","FQ4 2019","Currency=USD","Period=FQ","BEST_FPERIOD_OVERRIDE=FQ","FILING_STATUS=MR","SCALING_FORMAT=MLN","Sort=A","Dates=H","DateFormat=P","Fill=—","Direction=H","UseDPDF=Y")</f>
        <v>166.99199999999999</v>
      </c>
      <c r="H7" s="13">
        <f>_xll.BDH("ITCI US Equity","ARDR_FV_ASSETS_REC_LEVEL_2","FQ1 2020","FQ1 2020","Currency=USD","Period=FQ","BEST_FPERIOD_OVERRIDE=FQ","FILING_STATUS=MR","SCALING_FORMAT=MLN","Sort=A","Dates=H","DateFormat=P","Fill=—","Direction=H","UseDPDF=Y")</f>
        <v>359.60899999999998</v>
      </c>
      <c r="I7" s="13">
        <f>_xll.BDH("ITCI US Equity","ARDR_FV_ASSETS_REC_LEVEL_2","FQ2 2020","FQ2 2020","Currency=USD","Period=FQ","BEST_FPERIOD_OVERRIDE=FQ","FILING_STATUS=MR","SCALING_FORMAT=MLN","Sort=A","Dates=H","DateFormat=P","Fill=—","Direction=H","UseDPDF=Y")</f>
        <v>292.47300000000001</v>
      </c>
      <c r="J7" s="13">
        <f>_xll.BDH("ITCI US Equity","ARDR_FV_ASSETS_REC_LEVEL_2","FQ3 2020","FQ3 2020","Currency=USD","Period=FQ","BEST_FPERIOD_OVERRIDE=FQ","FILING_STATUS=MR","SCALING_FORMAT=MLN","Sort=A","Dates=H","DateFormat=P","Fill=—","Direction=H","UseDPDF=Y")</f>
        <v>420.959</v>
      </c>
      <c r="K7" s="13">
        <f>_xll.BDH("ITCI US Equity","ARDR_FV_ASSETS_REC_LEVEL_2","FQ4 2020","FQ4 2020","Currency=USD","Period=FQ","BEST_FPERIOD_OVERRIDE=FQ","FILING_STATUS=MR","SCALING_FORMAT=MLN","Sort=A","Dates=H","DateFormat=P","Fill=—","Direction=H","UseDPDF=Y")</f>
        <v>597.40200000000004</v>
      </c>
      <c r="L7" s="13">
        <f>_xll.BDH("ITCI US Equity","ARDR_FV_ASSETS_REC_LEVEL_2","FQ1 2021","FQ1 2021","Currency=USD","Period=FQ","BEST_FPERIOD_OVERRIDE=FQ","FILING_STATUS=MR","SCALING_FORMAT=MLN","Sort=A","Dates=H","DateFormat=P","Fill=—","Direction=H","UseDPDF=Y")</f>
        <v>481.98500000000001</v>
      </c>
      <c r="M7" s="13">
        <f>_xll.BDH("ITCI US Equity","ARDR_FV_ASSETS_REC_LEVEL_2","FQ2 2021","FQ2 2021","Currency=USD","Period=FQ","BEST_FPERIOD_OVERRIDE=FQ","FILING_STATUS=MR","SCALING_FORMAT=MLN","Sort=A","Dates=H","DateFormat=P","Fill=—","Direction=H","UseDPDF=Y")</f>
        <v>433.72699999999998</v>
      </c>
      <c r="N7" s="13">
        <f>_xll.BDH("ITCI US Equity","ARDR_FV_ASSETS_REC_LEVEL_2","FQ3 2021","FQ3 2021","Currency=USD","Period=FQ","BEST_FPERIOD_OVERRIDE=FQ","FILING_STATUS=MR","SCALING_FORMAT=MLN","Sort=A","Dates=H","DateFormat=P","Fill=—","Direction=H","UseDPDF=Y")</f>
        <v>378.15699999999998</v>
      </c>
      <c r="O7" s="13">
        <f>_xll.BDH("ITCI US Equity","ARDR_FV_ASSETS_REC_LEVEL_2","FQ4 2021","FQ4 2021","Currency=USD","Period=FQ","BEST_FPERIOD_OVERRIDE=FQ","FILING_STATUS=MR","SCALING_FORMAT=MLN","Sort=A","Dates=H","DateFormat=P","Fill=—","Direction=H","UseDPDF=Y")</f>
        <v>319.96800000000002</v>
      </c>
      <c r="P7" s="13">
        <f>_xll.BDH("ITCI US Equity","ARDR_FV_ASSETS_REC_LEVEL_2","FQ1 2022","FQ1 2022","Currency=USD","Period=FQ","BEST_FPERIOD_OVERRIDE=FQ","FILING_STATUS=MR","SCALING_FORMAT=MLN","Sort=A","Dates=H","DateFormat=P","Fill=—","Direction=H","UseDPDF=Y")</f>
        <v>697.54399999999998</v>
      </c>
      <c r="Q7" s="13">
        <f>_xll.BDH("ITCI US Equity","ARDR_FV_ASSETS_REC_LEVEL_2","FQ2 2022","FQ2 2022","Currency=USD","Period=FQ","BEST_FPERIOD_OVERRIDE=FQ","FILING_STATUS=MR","SCALING_FORMAT=MLN","Sort=A","Dates=H","DateFormat=P","Fill=—","Direction=H","UseDPDF=Y")</f>
        <v>601.59299999999996</v>
      </c>
      <c r="R7" s="13">
        <f>_xll.BDH("ITCI US Equity","ARDR_FV_ASSETS_REC_LEVEL_2","FQ3 2022","FQ3 2022","Currency=USD","Period=FQ","BEST_FPERIOD_OVERRIDE=FQ","FILING_STATUS=MR","SCALING_FORMAT=MLN","Sort=A","Dates=H","DateFormat=P","Fill=—","Direction=H","UseDPDF=Y")</f>
        <v>529.35500000000002</v>
      </c>
      <c r="S7" s="13">
        <f>_xll.BDH("ITCI US Equity","ARDR_FV_ASSETS_REC_LEVEL_2","FQ4 2022","FQ4 2022","Currency=USD","Period=FQ","BEST_FPERIOD_OVERRIDE=FQ","FILING_STATUS=MR","SCALING_FORMAT=MLN","Sort=A","Dates=H","DateFormat=P","Fill=—","Direction=H","UseDPDF=Y")</f>
        <v>486.22899999999998</v>
      </c>
      <c r="T7" s="13">
        <f>_xll.BDH("ITCI US Equity","ARDR_FV_ASSETS_REC_LEVEL_2","FQ1 2023","FQ1 2023","Currency=USD","Period=FQ","BEST_FPERIOD_OVERRIDE=FQ","FILING_STATUS=MR","SCALING_FORMAT=MLN","Sort=A","Dates=H","DateFormat=P","Fill=—","Direction=H","UseDPDF=Y")</f>
        <v>462.98099999999999</v>
      </c>
      <c r="U7" s="13">
        <f>_xll.BDH("ITCI US Equity","ARDR_FV_ASSETS_REC_LEVEL_2","FQ2 2023","FQ2 2023","Currency=USD","Period=FQ","BEST_FPERIOD_OVERRIDE=FQ","FILING_STATUS=MR","SCALING_FORMAT=MLN","Sort=A","Dates=H","DateFormat=P","Fill=—","Direction=H","UseDPDF=Y")</f>
        <v>482.14299999999997</v>
      </c>
      <c r="V7" s="13">
        <f>_xll.BDH("ITCI US Equity","ARDR_FV_ASSETS_REC_LEVEL_2","FQ3 2023","FQ3 2023","Currency=USD","Period=FQ","BEST_FPERIOD_OVERRIDE=FQ","FILING_STATUS=MR","SCALING_FORMAT=MLN","Sort=A","Dates=H","DateFormat=P","Fill=—","Direction=H","UseDPDF=Y")</f>
        <v>413.61900000000003</v>
      </c>
      <c r="W7" s="13">
        <f>_xll.BDH("ITCI US Equity","ARDR_FV_ASSETS_REC_LEVEL_2","FQ4 2023","FQ4 2023","Currency=USD","Period=FQ","BEST_FPERIOD_OVERRIDE=FQ","FILING_STATUS=MR","SCALING_FORMAT=MLN","Sort=A","Dates=H","DateFormat=P","Fill=—","Direction=H","UseDPDF=Y")</f>
        <v>412.67399999999998</v>
      </c>
      <c r="X7" s="13">
        <f>_xll.BDH("ITCI US Equity","ARDR_FV_ASSETS_REC_LEVEL_2","FQ1 2024","FQ1 2024","Currency=USD","Period=FQ","BEST_FPERIOD_OVERRIDE=FQ","FILING_STATUS=MR","SCALING_FORMAT=MLN","Sort=A","Dates=H","DateFormat=P","Fill=—","Direction=H","UseDPDF=Y")</f>
        <v>395.80399999999997</v>
      </c>
      <c r="Y7" s="13">
        <f>_xll.BDH("ITCI US Equity","ARDR_FV_ASSETS_REC_LEVEL_2","FQ2 2024","FQ2 2024","Currency=USD","Period=FQ","BEST_FPERIOD_OVERRIDE=FQ","FILING_STATUS=MR","SCALING_FORMAT=MLN","Sort=A","Dates=H","DateFormat=P","Fill=—","Direction=H","UseDPDF=Y")</f>
        <v>349.601</v>
      </c>
      <c r="Z7" s="13">
        <f>_xll.BDH("ITCI US Equity","ARDR_FV_ASSETS_REC_LEVEL_2","FQ3 2024","FQ3 2024","Currency=USD","Period=FQ","BEST_FPERIOD_OVERRIDE=FQ","FILING_STATUS=MR","SCALING_FORMAT=MLN","Sort=A","Dates=H","DateFormat=P","Fill=—","Direction=H","UseDPDF=Y")</f>
        <v>565.54600000000005</v>
      </c>
      <c r="AA7" s="13">
        <f>_xll.BDH("ITCI US Equity","ARDR_FV_ASSETS_REC_LEVEL_2","FQ4 2024","FQ4 2024","Currency=USD","Period=FQ","BEST_FPERIOD_OVERRIDE=FQ","FILING_STATUS=MR","SCALING_FORMAT=MLN","Sort=A","Dates=H","DateFormat=P","Fill=—","Direction=H","UseDPDF=Y")</f>
        <v>694.11800000000005</v>
      </c>
    </row>
    <row r="8" spans="1:27" x14ac:dyDescent="0.25">
      <c r="A8" s="10" t="s">
        <v>916</v>
      </c>
      <c r="B8" s="10" t="s">
        <v>823</v>
      </c>
      <c r="C8" s="13">
        <f>_xll.BDH("ITCI US Equity","ARDR_FV_ASSETS_REC_LEVEL_3","FQ4 2018","FQ4 2018","Currency=USD","Period=FQ","BEST_FPERIOD_OVERRIDE=FQ","FILING_STATUS=MR","SCALING_FORMAT=MLN","Sort=A","Dates=H","DateFormat=P","Fill=—","Direction=H","UseDPDF=Y")</f>
        <v>0</v>
      </c>
      <c r="D8" s="13">
        <f>_xll.BDH("ITCI US Equity","ARDR_FV_ASSETS_REC_LEVEL_3","FQ1 2019","FQ1 2019","Currency=USD","Period=FQ","BEST_FPERIOD_OVERRIDE=FQ","FILING_STATUS=MR","SCALING_FORMAT=MLN","Sort=A","Dates=H","DateFormat=P","Fill=—","Direction=H","UseDPDF=Y")</f>
        <v>0</v>
      </c>
      <c r="E8" s="13">
        <f>_xll.BDH("ITCI US Equity","ARDR_FV_ASSETS_REC_LEVEL_3","FQ2 2019","FQ2 2019","Currency=USD","Period=FQ","BEST_FPERIOD_OVERRIDE=FQ","FILING_STATUS=MR","SCALING_FORMAT=MLN","Sort=A","Dates=H","DateFormat=P","Fill=—","Direction=H","UseDPDF=Y")</f>
        <v>0</v>
      </c>
      <c r="F8" s="13">
        <f>_xll.BDH("ITCI US Equity","ARDR_FV_ASSETS_REC_LEVEL_3","FQ3 2019","FQ3 2019","Currency=USD","Period=FQ","BEST_FPERIOD_OVERRIDE=FQ","FILING_STATUS=MR","SCALING_FORMAT=MLN","Sort=A","Dates=H","DateFormat=P","Fill=—","Direction=H","UseDPDF=Y")</f>
        <v>0</v>
      </c>
      <c r="G8" s="13">
        <f>_xll.BDH("ITCI US Equity","ARDR_FV_ASSETS_REC_LEVEL_3","FQ4 2019","FQ4 2019","Currency=USD","Period=FQ","BEST_FPERIOD_OVERRIDE=FQ","FILING_STATUS=MR","SCALING_FORMAT=MLN","Sort=A","Dates=H","DateFormat=P","Fill=—","Direction=H","UseDPDF=Y")</f>
        <v>0</v>
      </c>
      <c r="H8" s="13">
        <f>_xll.BDH("ITCI US Equity","ARDR_FV_ASSETS_REC_LEVEL_3","FQ1 2020","FQ1 2020","Currency=USD","Period=FQ","BEST_FPERIOD_OVERRIDE=FQ","FILING_STATUS=MR","SCALING_FORMAT=MLN","Sort=A","Dates=H","DateFormat=P","Fill=—","Direction=H","UseDPDF=Y")</f>
        <v>0</v>
      </c>
      <c r="I8" s="13">
        <f>_xll.BDH("ITCI US Equity","ARDR_FV_ASSETS_REC_LEVEL_3","FQ2 2020","FQ2 2020","Currency=USD","Period=FQ","BEST_FPERIOD_OVERRIDE=FQ","FILING_STATUS=MR","SCALING_FORMAT=MLN","Sort=A","Dates=H","DateFormat=P","Fill=—","Direction=H","UseDPDF=Y")</f>
        <v>0</v>
      </c>
      <c r="J8" s="13" t="str">
        <f>_xll.BDH("ITCI US Equity","ARDR_FV_ASSETS_REC_LEVEL_3","FQ3 2020","FQ3 2020","Currency=USD","Period=FQ","BEST_FPERIOD_OVERRIDE=FQ","FILING_STATUS=MR","SCALING_FORMAT=MLN","Sort=A","Dates=H","DateFormat=P","Fill=—","Direction=H","UseDPDF=Y")</f>
        <v>—</v>
      </c>
      <c r="K8" s="13">
        <f>_xll.BDH("ITCI US Equity","ARDR_FV_ASSETS_REC_LEVEL_3","FQ4 2020","FQ4 2020","Currency=USD","Period=FQ","BEST_FPERIOD_OVERRIDE=FQ","FILING_STATUS=MR","SCALING_FORMAT=MLN","Sort=A","Dates=H","DateFormat=P","Fill=—","Direction=H","UseDPDF=Y")</f>
        <v>0</v>
      </c>
      <c r="L8" s="13">
        <f>_xll.BDH("ITCI US Equity","ARDR_FV_ASSETS_REC_LEVEL_3","FQ1 2021","FQ1 2021","Currency=USD","Period=FQ","BEST_FPERIOD_OVERRIDE=FQ","FILING_STATUS=MR","SCALING_FORMAT=MLN","Sort=A","Dates=H","DateFormat=P","Fill=—","Direction=H","UseDPDF=Y")</f>
        <v>0</v>
      </c>
      <c r="M8" s="13">
        <f>_xll.BDH("ITCI US Equity","ARDR_FV_ASSETS_REC_LEVEL_3","FQ2 2021","FQ2 2021","Currency=USD","Period=FQ","BEST_FPERIOD_OVERRIDE=FQ","FILING_STATUS=MR","SCALING_FORMAT=MLN","Sort=A","Dates=H","DateFormat=P","Fill=—","Direction=H","UseDPDF=Y")</f>
        <v>0</v>
      </c>
      <c r="N8" s="13">
        <f>_xll.BDH("ITCI US Equity","ARDR_FV_ASSETS_REC_LEVEL_3","FQ3 2021","FQ3 2021","Currency=USD","Period=FQ","BEST_FPERIOD_OVERRIDE=FQ","FILING_STATUS=MR","SCALING_FORMAT=MLN","Sort=A","Dates=H","DateFormat=P","Fill=—","Direction=H","UseDPDF=Y")</f>
        <v>0</v>
      </c>
      <c r="O8" s="13">
        <f>_xll.BDH("ITCI US Equity","ARDR_FV_ASSETS_REC_LEVEL_3","FQ4 2021","FQ4 2021","Currency=USD","Period=FQ","BEST_FPERIOD_OVERRIDE=FQ","FILING_STATUS=MR","SCALING_FORMAT=MLN","Sort=A","Dates=H","DateFormat=P","Fill=—","Direction=H","UseDPDF=Y")</f>
        <v>0</v>
      </c>
      <c r="P8" s="13">
        <f>_xll.BDH("ITCI US Equity","ARDR_FV_ASSETS_REC_LEVEL_3","FQ1 2022","FQ1 2022","Currency=USD","Period=FQ","BEST_FPERIOD_OVERRIDE=FQ","FILING_STATUS=MR","SCALING_FORMAT=MLN","Sort=A","Dates=H","DateFormat=P","Fill=—","Direction=H","UseDPDF=Y")</f>
        <v>0</v>
      </c>
      <c r="Q8" s="13">
        <f>_xll.BDH("ITCI US Equity","ARDR_FV_ASSETS_REC_LEVEL_3","FQ2 2022","FQ2 2022","Currency=USD","Period=FQ","BEST_FPERIOD_OVERRIDE=FQ","FILING_STATUS=MR","SCALING_FORMAT=MLN","Sort=A","Dates=H","DateFormat=P","Fill=—","Direction=H","UseDPDF=Y")</f>
        <v>0</v>
      </c>
      <c r="R8" s="13">
        <f>_xll.BDH("ITCI US Equity","ARDR_FV_ASSETS_REC_LEVEL_3","FQ3 2022","FQ3 2022","Currency=USD","Period=FQ","BEST_FPERIOD_OVERRIDE=FQ","FILING_STATUS=MR","SCALING_FORMAT=MLN","Sort=A","Dates=H","DateFormat=P","Fill=—","Direction=H","UseDPDF=Y")</f>
        <v>0</v>
      </c>
      <c r="S8" s="13">
        <f>_xll.BDH("ITCI US Equity","ARDR_FV_ASSETS_REC_LEVEL_3","FQ4 2022","FQ4 2022","Currency=USD","Period=FQ","BEST_FPERIOD_OVERRIDE=FQ","FILING_STATUS=MR","SCALING_FORMAT=MLN","Sort=A","Dates=H","DateFormat=P","Fill=—","Direction=H","UseDPDF=Y")</f>
        <v>0</v>
      </c>
      <c r="T8" s="13">
        <f>_xll.BDH("ITCI US Equity","ARDR_FV_ASSETS_REC_LEVEL_3","FQ1 2023","FQ1 2023","Currency=USD","Period=FQ","BEST_FPERIOD_OVERRIDE=FQ","FILING_STATUS=MR","SCALING_FORMAT=MLN","Sort=A","Dates=H","DateFormat=P","Fill=—","Direction=H","UseDPDF=Y")</f>
        <v>0</v>
      </c>
      <c r="U8" s="13">
        <f>_xll.BDH("ITCI US Equity","ARDR_FV_ASSETS_REC_LEVEL_3","FQ2 2023","FQ2 2023","Currency=USD","Period=FQ","BEST_FPERIOD_OVERRIDE=FQ","FILING_STATUS=MR","SCALING_FORMAT=MLN","Sort=A","Dates=H","DateFormat=P","Fill=—","Direction=H","UseDPDF=Y")</f>
        <v>0</v>
      </c>
      <c r="V8" s="13">
        <f>_xll.BDH("ITCI US Equity","ARDR_FV_ASSETS_REC_LEVEL_3","FQ3 2023","FQ3 2023","Currency=USD","Period=FQ","BEST_FPERIOD_OVERRIDE=FQ","FILING_STATUS=MR","SCALING_FORMAT=MLN","Sort=A","Dates=H","DateFormat=P","Fill=—","Direction=H","UseDPDF=Y")</f>
        <v>0</v>
      </c>
      <c r="W8" s="13">
        <f>_xll.BDH("ITCI US Equity","ARDR_FV_ASSETS_REC_LEVEL_3","FQ4 2023","FQ4 2023","Currency=USD","Period=FQ","BEST_FPERIOD_OVERRIDE=FQ","FILING_STATUS=MR","SCALING_FORMAT=MLN","Sort=A","Dates=H","DateFormat=P","Fill=—","Direction=H","UseDPDF=Y")</f>
        <v>0</v>
      </c>
      <c r="X8" s="13">
        <f>_xll.BDH("ITCI US Equity","ARDR_FV_ASSETS_REC_LEVEL_3","FQ1 2024","FQ1 2024","Currency=USD","Period=FQ","BEST_FPERIOD_OVERRIDE=FQ","FILING_STATUS=MR","SCALING_FORMAT=MLN","Sort=A","Dates=H","DateFormat=P","Fill=—","Direction=H","UseDPDF=Y")</f>
        <v>0</v>
      </c>
      <c r="Y8" s="13">
        <f>_xll.BDH("ITCI US Equity","ARDR_FV_ASSETS_REC_LEVEL_3","FQ2 2024","FQ2 2024","Currency=USD","Period=FQ","BEST_FPERIOD_OVERRIDE=FQ","FILING_STATUS=MR","SCALING_FORMAT=MLN","Sort=A","Dates=H","DateFormat=P","Fill=—","Direction=H","UseDPDF=Y")</f>
        <v>0</v>
      </c>
      <c r="Z8" s="13">
        <f>_xll.BDH("ITCI US Equity","ARDR_FV_ASSETS_REC_LEVEL_3","FQ3 2024","FQ3 2024","Currency=USD","Period=FQ","BEST_FPERIOD_OVERRIDE=FQ","FILING_STATUS=MR","SCALING_FORMAT=MLN","Sort=A","Dates=H","DateFormat=P","Fill=—","Direction=H","UseDPDF=Y")</f>
        <v>0</v>
      </c>
      <c r="AA8" s="13">
        <f>_xll.BDH("ITCI US Equity","ARDR_FV_ASSETS_REC_LEVEL_3","FQ4 2024","FQ4 2024","Currency=USD","Period=FQ","BEST_FPERIOD_OVERRIDE=FQ","FILING_STATUS=MR","SCALING_FORMAT=MLN","Sort=A","Dates=H","DateFormat=P","Fill=—","Direction=H","UseDPDF=Y")</f>
        <v>0</v>
      </c>
    </row>
    <row r="9" spans="1:27" x14ac:dyDescent="0.25">
      <c r="A9" s="6" t="s">
        <v>917</v>
      </c>
      <c r="B9" s="6" t="s">
        <v>825</v>
      </c>
      <c r="C9" s="19">
        <f>_xll.BDH("ITCI US Equity","ARDR_FV_ASSETS_REC_TOTAL","FQ4 2018","FQ4 2018","Currency=USD","Period=FQ","BEST_FPERIOD_OVERRIDE=FQ","FILING_STATUS=MR","SCALING_FORMAT=MLN","Sort=A","Dates=H","DateFormat=P","Fill=—","Direction=H","UseDPDF=Y")</f>
        <v>339.67399999999998</v>
      </c>
      <c r="D9" s="19">
        <f>_xll.BDH("ITCI US Equity","ARDR_FV_ASSETS_REC_TOTAL","FQ1 2019","FQ1 2019","Currency=USD","Period=FQ","BEST_FPERIOD_OVERRIDE=FQ","FILING_STATUS=MR","SCALING_FORMAT=MLN","Sort=A","Dates=H","DateFormat=P","Fill=—","Direction=H","UseDPDF=Y")</f>
        <v>312.04300000000001</v>
      </c>
      <c r="E9" s="19">
        <f>_xll.BDH("ITCI US Equity","ARDR_FV_ASSETS_REC_TOTAL","FQ2 2019","FQ2 2019","Currency=USD","Period=FQ","BEST_FPERIOD_OVERRIDE=FQ","FILING_STATUS=MR","SCALING_FORMAT=MLN","Sort=A","Dates=H","DateFormat=P","Fill=—","Direction=H","UseDPDF=Y")</f>
        <v>279.18299999999999</v>
      </c>
      <c r="F9" s="19">
        <f>_xll.BDH("ITCI US Equity","ARDR_FV_ASSETS_REC_TOTAL","FQ3 2019","FQ3 2019","Currency=USD","Period=FQ","BEST_FPERIOD_OVERRIDE=FQ","FILING_STATUS=MR","SCALING_FORMAT=MLN","Sort=A","Dates=H","DateFormat=P","Fill=—","Direction=H","UseDPDF=Y")</f>
        <v>247.626</v>
      </c>
      <c r="G9" s="19">
        <f>_xll.BDH("ITCI US Equity","ARDR_FV_ASSETS_REC_TOTAL","FQ4 2019","FQ4 2019","Currency=USD","Period=FQ","BEST_FPERIOD_OVERRIDE=FQ","FILING_STATUS=MR","SCALING_FORMAT=MLN","Sort=A","Dates=H","DateFormat=P","Fill=—","Direction=H","UseDPDF=Y")</f>
        <v>216.874</v>
      </c>
      <c r="H9" s="19">
        <f>_xll.BDH("ITCI US Equity","ARDR_FV_ASSETS_REC_TOTAL","FQ1 2020","FQ1 2020","Currency=USD","Period=FQ","BEST_FPERIOD_OVERRIDE=FQ","FILING_STATUS=MR","SCALING_FORMAT=MLN","Sort=A","Dates=H","DateFormat=P","Fill=—","Direction=H","UseDPDF=Y")</f>
        <v>445.97500000000002</v>
      </c>
      <c r="I9" s="19">
        <f>_xll.BDH("ITCI US Equity","ARDR_FV_ASSETS_REC_TOTAL","FQ2 2020","FQ2 2020","Currency=USD","Period=FQ","BEST_FPERIOD_OVERRIDE=FQ","FILING_STATUS=MR","SCALING_FORMAT=MLN","Sort=A","Dates=H","DateFormat=P","Fill=—","Direction=H","UseDPDF=Y")</f>
        <v>393.32900000000001</v>
      </c>
      <c r="J9" s="19">
        <f>_xll.BDH("ITCI US Equity","ARDR_FV_ASSETS_REC_TOTAL","FQ3 2020","FQ3 2020","Currency=USD","Period=FQ","BEST_FPERIOD_OVERRIDE=FQ","FILING_STATUS=MR","SCALING_FORMAT=MLN","Sort=A","Dates=H","DateFormat=P","Fill=—","Direction=H","UseDPDF=Y")</f>
        <v>645.19799999999998</v>
      </c>
      <c r="K9" s="19">
        <f>_xll.BDH("ITCI US Equity","ARDR_FV_ASSETS_REC_TOTAL","FQ4 2020","FQ4 2020","Currency=USD","Period=FQ","BEST_FPERIOD_OVERRIDE=FQ","FILING_STATUS=MR","SCALING_FORMAT=MLN","Sort=A","Dates=H","DateFormat=P","Fill=—","Direction=H","UseDPDF=Y")</f>
        <v>625.31899999999996</v>
      </c>
      <c r="L9" s="19">
        <f>_xll.BDH("ITCI US Equity","ARDR_FV_ASSETS_REC_TOTAL","FQ1 2021","FQ1 2021","Currency=USD","Period=FQ","BEST_FPERIOD_OVERRIDE=FQ","FILING_STATUS=MR","SCALING_FORMAT=MLN","Sort=A","Dates=H","DateFormat=P","Fill=—","Direction=H","UseDPDF=Y")</f>
        <v>565.58699999999999</v>
      </c>
      <c r="M9" s="19">
        <f>_xll.BDH("ITCI US Equity","ARDR_FV_ASSETS_REC_TOTAL","FQ2 2021","FQ2 2021","Currency=USD","Period=FQ","BEST_FPERIOD_OVERRIDE=FQ","FILING_STATUS=MR","SCALING_FORMAT=MLN","Sort=A","Dates=H","DateFormat=P","Fill=—","Direction=H","UseDPDF=Y")</f>
        <v>530.87300000000005</v>
      </c>
      <c r="N9" s="19">
        <f>_xll.BDH("ITCI US Equity","ARDR_FV_ASSETS_REC_TOTAL","FQ3 2021","FQ3 2021","Currency=USD","Period=FQ","BEST_FPERIOD_OVERRIDE=FQ","FILING_STATUS=MR","SCALING_FORMAT=MLN","Sort=A","Dates=H","DateFormat=P","Fill=—","Direction=H","UseDPDF=Y")</f>
        <v>466.40699999999998</v>
      </c>
      <c r="O9" s="19">
        <f>_xll.BDH("ITCI US Equity","ARDR_FV_ASSETS_REC_TOTAL","FQ4 2021","FQ4 2021","Currency=USD","Period=FQ","BEST_FPERIOD_OVERRIDE=FQ","FILING_STATUS=MR","SCALING_FORMAT=MLN","Sort=A","Dates=H","DateFormat=P","Fill=—","Direction=H","UseDPDF=Y")</f>
        <v>376.50700000000001</v>
      </c>
      <c r="P9" s="19">
        <f>_xll.BDH("ITCI US Equity","ARDR_FV_ASSETS_REC_TOTAL","FQ1 2022","FQ1 2022","Currency=USD","Period=FQ","BEST_FPERIOD_OVERRIDE=FQ","FILING_STATUS=MR","SCALING_FORMAT=MLN","Sort=A","Dates=H","DateFormat=P","Fill=—","Direction=H","UseDPDF=Y")</f>
        <v>376.50700000000001</v>
      </c>
      <c r="Q9" s="19">
        <f>_xll.BDH("ITCI US Equity","ARDR_FV_ASSETS_REC_TOTAL","FQ2 2022","FQ2 2022","Currency=USD","Period=FQ","BEST_FPERIOD_OVERRIDE=FQ","FILING_STATUS=MR","SCALING_FORMAT=MLN","Sort=A","Dates=H","DateFormat=P","Fill=—","Direction=H","UseDPDF=Y")</f>
        <v>657.36800000000005</v>
      </c>
      <c r="R9" s="19">
        <f>_xll.BDH("ITCI US Equity","ARDR_FV_ASSETS_REC_TOTAL","FQ3 2022","FQ3 2022","Currency=USD","Period=FQ","BEST_FPERIOD_OVERRIDE=FQ","FILING_STATUS=MR","SCALING_FORMAT=MLN","Sort=A","Dates=H","DateFormat=P","Fill=—","Direction=H","UseDPDF=Y")</f>
        <v>576.47699999999998</v>
      </c>
      <c r="S9" s="19">
        <f>_xll.BDH("ITCI US Equity","ARDR_FV_ASSETS_REC_TOTAL","FQ4 2022","FQ4 2022","Currency=USD","Period=FQ","BEST_FPERIOD_OVERRIDE=FQ","FILING_STATUS=MR","SCALING_FORMAT=MLN","Sort=A","Dates=H","DateFormat=P","Fill=—","Direction=H","UseDPDF=Y")</f>
        <v>498.43200000000002</v>
      </c>
      <c r="T9" s="19">
        <f>_xll.BDH("ITCI US Equity","ARDR_FV_ASSETS_REC_TOTAL","FQ1 2023","FQ1 2023","Currency=USD","Period=FQ","BEST_FPERIOD_OVERRIDE=FQ","FILING_STATUS=MR","SCALING_FORMAT=MLN","Sort=A","Dates=H","DateFormat=P","Fill=—","Direction=H","UseDPDF=Y")</f>
        <v>493.89800000000002</v>
      </c>
      <c r="U9" s="19">
        <f>_xll.BDH("ITCI US Equity","ARDR_FV_ASSETS_REC_TOTAL","FQ2 2023","FQ2 2023","Currency=USD","Period=FQ","BEST_FPERIOD_OVERRIDE=FQ","FILING_STATUS=MR","SCALING_FORMAT=MLN","Sort=A","Dates=H","DateFormat=P","Fill=—","Direction=H","UseDPDF=Y")</f>
        <v>494.346</v>
      </c>
      <c r="V9" s="19">
        <f>_xll.BDH("ITCI US Equity","ARDR_FV_ASSETS_REC_TOTAL","FQ3 2023","FQ3 2023","Currency=USD","Period=FQ","BEST_FPERIOD_OVERRIDE=FQ","FILING_STATUS=MR","SCALING_FORMAT=MLN","Sort=A","Dates=H","DateFormat=P","Fill=—","Direction=H","UseDPDF=Y")</f>
        <v>418.03899999999999</v>
      </c>
      <c r="W9" s="19">
        <f>_xll.BDH("ITCI US Equity","ARDR_FV_ASSETS_REC_TOTAL","FQ4 2023","FQ4 2023","Currency=USD","Period=FQ","BEST_FPERIOD_OVERRIDE=FQ","FILING_STATUS=MR","SCALING_FORMAT=MLN","Sort=A","Dates=H","DateFormat=P","Fill=—","Direction=H","UseDPDF=Y")</f>
        <v>423.37200000000001</v>
      </c>
      <c r="X9" s="19">
        <f>_xll.BDH("ITCI US Equity","ARDR_FV_ASSETS_REC_TOTAL","FQ1 2024","FQ1 2024","Currency=USD","Period=FQ","BEST_FPERIOD_OVERRIDE=FQ","FILING_STATUS=MR","SCALING_FORMAT=MLN","Sort=A","Dates=H","DateFormat=P","Fill=—","Direction=H","UseDPDF=Y")</f>
        <v>427.012</v>
      </c>
      <c r="Y9" s="19">
        <f>_xll.BDH("ITCI US Equity","ARDR_FV_ASSETS_REC_TOTAL","FQ2 2024","FQ2 2024","Currency=USD","Period=FQ","BEST_FPERIOD_OVERRIDE=FQ","FILING_STATUS=MR","SCALING_FORMAT=MLN","Sort=A","Dates=H","DateFormat=P","Fill=—","Direction=H","UseDPDF=Y")</f>
        <v>431.541</v>
      </c>
      <c r="Z9" s="19">
        <f>_xll.BDH("ITCI US Equity","ARDR_FV_ASSETS_REC_TOTAL","FQ3 2024","FQ3 2024","Currency=USD","Period=FQ","BEST_FPERIOD_OVERRIDE=FQ","FILING_STATUS=MR","SCALING_FORMAT=MLN","Sort=A","Dates=H","DateFormat=P","Fill=—","Direction=H","UseDPDF=Y")</f>
        <v>790.64499999999998</v>
      </c>
      <c r="AA9" s="19">
        <f>_xll.BDH("ITCI US Equity","ARDR_FV_ASSETS_REC_TOTAL","FQ4 2024","FQ4 2024","Currency=USD","Period=FQ","BEST_FPERIOD_OVERRIDE=FQ","FILING_STATUS=MR","SCALING_FORMAT=MLN","Sort=A","Dates=H","DateFormat=P","Fill=—","Direction=H","UseDPDF=Y")</f>
        <v>887.64</v>
      </c>
    </row>
    <row r="10" spans="1:27" x14ac:dyDescent="0.25">
      <c r="A10" s="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x14ac:dyDescent="0.25">
      <c r="A11" s="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x14ac:dyDescent="0.25">
      <c r="A12" s="10" t="s">
        <v>918</v>
      </c>
      <c r="B12" s="10" t="s">
        <v>919</v>
      </c>
      <c r="C12" s="14">
        <f>_xll.BDH("ITCI US Equity","LEVEL_1_ASSETS_TO_TOTAL_EQUITY","FQ4 2018","FQ4 2018","Currency=USD","Period=FQ","BEST_FPERIOD_OVERRIDE=FQ","FILING_STATUS=MR","Sort=A","Dates=H","DateFormat=P","Fill=—","Direction=H","UseDPDF=Y")</f>
        <v>12.4612</v>
      </c>
      <c r="D12" s="14">
        <f>_xll.BDH("ITCI US Equity","LEVEL_1_ASSETS_TO_TOTAL_EQUITY","FQ1 2019","FQ1 2019","Currency=USD","Period=FQ","BEST_FPERIOD_OVERRIDE=FQ","FILING_STATUS=MR","Sort=A","Dates=H","DateFormat=P","Fill=—","Direction=H","UseDPDF=Y")</f>
        <v>13.620900000000001</v>
      </c>
      <c r="E12" s="14">
        <f>_xll.BDH("ITCI US Equity","LEVEL_1_ASSETS_TO_TOTAL_EQUITY","FQ2 2019","FQ2 2019","Currency=USD","Period=FQ","BEST_FPERIOD_OVERRIDE=FQ","FILING_STATUS=MR","Sort=A","Dates=H","DateFormat=P","Fill=—","Direction=H","UseDPDF=Y")</f>
        <v>21.087499999999999</v>
      </c>
      <c r="F12" s="14">
        <f>_xll.BDH("ITCI US Equity","LEVEL_1_ASSETS_TO_TOTAL_EQUITY","FQ3 2019","FQ3 2019","Currency=USD","Period=FQ","BEST_FPERIOD_OVERRIDE=FQ","FILING_STATUS=MR","Sort=A","Dates=H","DateFormat=P","Fill=—","Direction=H","UseDPDF=Y")</f>
        <v>24.398299999999999</v>
      </c>
      <c r="G12" s="14">
        <f>_xll.BDH("ITCI US Equity","LEVEL_1_ASSETS_TO_TOTAL_EQUITY","FQ4 2019","FQ4 2019","Currency=USD","Period=FQ","BEST_FPERIOD_OVERRIDE=FQ","FILING_STATUS=MR","Sort=A","Dates=H","DateFormat=P","Fill=—","Direction=H","UseDPDF=Y")</f>
        <v>25.579599999999999</v>
      </c>
      <c r="H12" s="14">
        <f>_xll.BDH("ITCI US Equity","LEVEL_1_ASSETS_TO_TOTAL_EQUITY","FQ1 2020","FQ1 2020","Currency=USD","Period=FQ","BEST_FPERIOD_OVERRIDE=FQ","FILING_STATUS=MR","Sort=A","Dates=H","DateFormat=P","Fill=—","Direction=H","UseDPDF=Y")</f>
        <v>20.0642</v>
      </c>
      <c r="I12" s="14">
        <f>_xll.BDH("ITCI US Equity","LEVEL_1_ASSETS_TO_TOTAL_EQUITY","FQ2 2020","FQ2 2020","Currency=USD","Period=FQ","BEST_FPERIOD_OVERRIDE=FQ","FILING_STATUS=MR","Sort=A","Dates=H","DateFormat=P","Fill=—","Direction=H","UseDPDF=Y")</f>
        <v>26.573899999999998</v>
      </c>
      <c r="J12" s="14">
        <f>_xll.BDH("ITCI US Equity","LEVEL_1_ASSETS_TO_TOTAL_EQUITY","FQ3 2020","FQ3 2020","Currency=USD","Period=FQ","BEST_FPERIOD_OVERRIDE=FQ","FILING_STATUS=MR","Sort=A","Dates=H","DateFormat=P","Fill=—","Direction=H","UseDPDF=Y")</f>
        <v>31.6099</v>
      </c>
      <c r="K12" s="14">
        <f>_xll.BDH("ITCI US Equity","LEVEL_1_ASSETS_TO_TOTAL_EQUITY","FQ4 2020","FQ4 2020","Currency=USD","Period=FQ","BEST_FPERIOD_OVERRIDE=FQ","FILING_STATUS=MR","Sort=A","Dates=H","DateFormat=P","Fill=—","Direction=H","UseDPDF=Y")</f>
        <v>4.2500999999999998</v>
      </c>
      <c r="L12" s="14">
        <f>_xll.BDH("ITCI US Equity","LEVEL_1_ASSETS_TO_TOTAL_EQUITY","FQ1 2021","FQ1 2021","Currency=USD","Period=FQ","BEST_FPERIOD_OVERRIDE=FQ","FILING_STATUS=MR","Sort=A","Dates=H","DateFormat=P","Fill=—","Direction=H","UseDPDF=Y")</f>
        <v>13.6571</v>
      </c>
      <c r="M12" s="14">
        <f>_xll.BDH("ITCI US Equity","LEVEL_1_ASSETS_TO_TOTAL_EQUITY","FQ2 2021","FQ2 2021","Currency=USD","Period=FQ","BEST_FPERIOD_OVERRIDE=FQ","FILING_STATUS=MR","Sort=A","Dates=H","DateFormat=P","Fill=—","Direction=H","UseDPDF=Y")</f>
        <v>17.548500000000001</v>
      </c>
      <c r="N12" s="14">
        <f>_xll.BDH("ITCI US Equity","LEVEL_1_ASSETS_TO_TOTAL_EQUITY","FQ3 2021","FQ3 2021","Currency=USD","Period=FQ","BEST_FPERIOD_OVERRIDE=FQ","FILING_STATUS=MR","Sort=A","Dates=H","DateFormat=P","Fill=—","Direction=H","UseDPDF=Y")</f>
        <v>18.130199999999999</v>
      </c>
      <c r="O12" s="14">
        <f>_xll.BDH("ITCI US Equity","LEVEL_1_ASSETS_TO_TOTAL_EQUITY","FQ4 2021","FQ4 2021","Currency=USD","Period=FQ","BEST_FPERIOD_OVERRIDE=FQ","FILING_STATUS=MR","Sort=A","Dates=H","DateFormat=P","Fill=—","Direction=H","UseDPDF=Y")</f>
        <v>13.5296</v>
      </c>
      <c r="P12" s="14">
        <f>_xll.BDH("ITCI US Equity","LEVEL_1_ASSETS_TO_TOTAL_EQUITY","FQ1 2022","FQ1 2022","Currency=USD","Period=FQ","BEST_FPERIOD_OVERRIDE=FQ","FILING_STATUS=MR","Sort=A","Dates=H","DateFormat=P","Fill=—","Direction=H","UseDPDF=Y")</f>
        <v>8.3085000000000004</v>
      </c>
      <c r="Q12" s="14">
        <f>_xll.BDH("ITCI US Equity","LEVEL_1_ASSETS_TO_TOTAL_EQUITY","FQ2 2022","FQ2 2022","Currency=USD","Period=FQ","BEST_FPERIOD_OVERRIDE=FQ","FILING_STATUS=MR","Sort=A","Dates=H","DateFormat=P","Fill=—","Direction=H","UseDPDF=Y")</f>
        <v>7.7229999999999999</v>
      </c>
      <c r="R12" s="14">
        <f>_xll.BDH("ITCI US Equity","LEVEL_1_ASSETS_TO_TOTAL_EQUITY","FQ3 2022","FQ3 2022","Currency=USD","Period=FQ","BEST_FPERIOD_OVERRIDE=FQ","FILING_STATUS=MR","Sort=A","Dates=H","DateFormat=P","Fill=—","Direction=H","UseDPDF=Y")</f>
        <v>6.8749000000000002</v>
      </c>
      <c r="S12" s="14">
        <f>_xll.BDH("ITCI US Equity","LEVEL_1_ASSETS_TO_TOTAL_EQUITY","FQ4 2022","FQ4 2022","Currency=USD","Period=FQ","BEST_FPERIOD_OVERRIDE=FQ","FILING_STATUS=MR","Sort=A","Dates=H","DateFormat=P","Fill=—","Direction=H","UseDPDF=Y")</f>
        <v>1.86</v>
      </c>
      <c r="T12" s="14">
        <f>_xll.BDH("ITCI US Equity","LEVEL_1_ASSETS_TO_TOTAL_EQUITY","FQ1 2023","FQ1 2023","Currency=USD","Period=FQ","BEST_FPERIOD_OVERRIDE=FQ","FILING_STATUS=MR","Sort=A","Dates=H","DateFormat=P","Fill=—","Direction=H","UseDPDF=Y")</f>
        <v>4.9260999999999999</v>
      </c>
      <c r="U12" s="14">
        <f>_xll.BDH("ITCI US Equity","LEVEL_1_ASSETS_TO_TOTAL_EQUITY","FQ2 2023","FQ2 2023","Currency=USD","Period=FQ","BEST_FPERIOD_OVERRIDE=FQ","FILING_STATUS=MR","Sort=A","Dates=H","DateFormat=P","Fill=—","Direction=H","UseDPDF=Y")</f>
        <v>2.0101</v>
      </c>
      <c r="V12" s="14">
        <f>_xll.BDH("ITCI US Equity","LEVEL_1_ASSETS_TO_TOTAL_EQUITY","FQ3 2023","FQ3 2023","Currency=USD","Period=FQ","BEST_FPERIOD_OVERRIDE=FQ","FILING_STATUS=MR","Sort=A","Dates=H","DateFormat=P","Fill=—","Direction=H","UseDPDF=Y")</f>
        <v>0.73580000000000001</v>
      </c>
      <c r="W12" s="14">
        <f>_xll.BDH("ITCI US Equity","LEVEL_1_ASSETS_TO_TOTAL_EQUITY","FQ4 2023","FQ4 2023","Currency=USD","Period=FQ","BEST_FPERIOD_OVERRIDE=FQ","FILING_STATUS=MR","Sort=A","Dates=H","DateFormat=P","Fill=—","Direction=H","UseDPDF=Y")</f>
        <v>1.8089</v>
      </c>
      <c r="X12" s="14">
        <f>_xll.BDH("ITCI US Equity","LEVEL_1_ASSETS_TO_TOTAL_EQUITY","FQ1 2024","FQ1 2024","Currency=USD","Period=FQ","BEST_FPERIOD_OVERRIDE=FQ","FILING_STATUS=MR","Sort=A","Dates=H","DateFormat=P","Fill=—","Direction=H","UseDPDF=Y")</f>
        <v>5.2057000000000002</v>
      </c>
      <c r="Y12" s="14">
        <f>_xll.BDH("ITCI US Equity","LEVEL_1_ASSETS_TO_TOTAL_EQUITY","FQ2 2024","FQ2 2024","Currency=USD","Period=FQ","BEST_FPERIOD_OVERRIDE=FQ","FILING_STATUS=MR","Sort=A","Dates=H","DateFormat=P","Fill=—","Direction=H","UseDPDF=Y")</f>
        <v>7.1588000000000003</v>
      </c>
      <c r="Z12" s="14">
        <f>_xll.BDH("ITCI US Equity","LEVEL_1_ASSETS_TO_TOTAL_EQUITY","FQ3 2024","FQ3 2024","Currency=USD","Period=FQ","BEST_FPERIOD_OVERRIDE=FQ","FILING_STATUS=MR","Sort=A","Dates=H","DateFormat=P","Fill=—","Direction=H","UseDPDF=Y")</f>
        <v>19.662299999999998</v>
      </c>
      <c r="AA12" s="14">
        <f>_xll.BDH("ITCI US Equity","LEVEL_1_ASSETS_TO_TOTAL_EQUITY","FQ4 2024","FQ4 2024","Currency=USD","Period=FQ","BEST_FPERIOD_OVERRIDE=FQ","FILING_STATUS=MR","Sort=A","Dates=H","DateFormat=P","Fill=—","Direction=H","UseDPDF=Y")</f>
        <v>16.8506</v>
      </c>
    </row>
    <row r="13" spans="1:27" x14ac:dyDescent="0.25">
      <c r="A13" s="10" t="s">
        <v>920</v>
      </c>
      <c r="B13" s="10" t="s">
        <v>921</v>
      </c>
      <c r="C13" s="14">
        <f>_xll.BDH("ITCI US Equity","LEVEL_2_ASSETS_TO_TOTAL_EQUITY","FQ4 2018","FQ4 2018","Currency=USD","Period=FQ","BEST_FPERIOD_OVERRIDE=FQ","FILING_STATUS=MR","Sort=A","Dates=H","DateFormat=P","Fill=—","Direction=H","UseDPDF=Y")</f>
        <v>94.450400000000002</v>
      </c>
      <c r="D13" s="14">
        <f>_xll.BDH("ITCI US Equity","LEVEL_2_ASSETS_TO_TOTAL_EQUITY","FQ1 2019","FQ1 2019","Currency=USD","Period=FQ","BEST_FPERIOD_OVERRIDE=FQ","FILING_STATUS=MR","Sort=A","Dates=H","DateFormat=P","Fill=—","Direction=H","UseDPDF=Y")</f>
        <v>94.496700000000004</v>
      </c>
      <c r="E13" s="14">
        <f>_xll.BDH("ITCI US Equity","LEVEL_2_ASSETS_TO_TOTAL_EQUITY","FQ2 2019","FQ2 2019","Currency=USD","Period=FQ","BEST_FPERIOD_OVERRIDE=FQ","FILING_STATUS=MR","Sort=A","Dates=H","DateFormat=P","Fill=—","Direction=H","UseDPDF=Y")</f>
        <v>87.641999999999996</v>
      </c>
      <c r="F13" s="14">
        <f>_xll.BDH("ITCI US Equity","LEVEL_2_ASSETS_TO_TOTAL_EQUITY","FQ3 2019","FQ3 2019","Currency=USD","Period=FQ","BEST_FPERIOD_OVERRIDE=FQ","FILING_STATUS=MR","Sort=A","Dates=H","DateFormat=P","Fill=—","Direction=H","UseDPDF=Y")</f>
        <v>84.745599999999996</v>
      </c>
      <c r="G13" s="14">
        <f>_xll.BDH("ITCI US Equity","LEVEL_2_ASSETS_TO_TOTAL_EQUITY","FQ4 2019","FQ4 2019","Currency=USD","Period=FQ","BEST_FPERIOD_OVERRIDE=FQ","FILING_STATUS=MR","Sort=A","Dates=H","DateFormat=P","Fill=—","Direction=H","UseDPDF=Y")</f>
        <v>85.633700000000005</v>
      </c>
      <c r="H13" s="14">
        <f>_xll.BDH("ITCI US Equity","LEVEL_2_ASSETS_TO_TOTAL_EQUITY","FQ1 2020","FQ1 2020","Currency=USD","Period=FQ","BEST_FPERIOD_OVERRIDE=FQ","FILING_STATUS=MR","Sort=A","Dates=H","DateFormat=P","Fill=—","Direction=H","UseDPDF=Y")</f>
        <v>83.542900000000003</v>
      </c>
      <c r="I13" s="14">
        <f>_xll.BDH("ITCI US Equity","LEVEL_2_ASSETS_TO_TOTAL_EQUITY","FQ2 2020","FQ2 2020","Currency=USD","Period=FQ","BEST_FPERIOD_OVERRIDE=FQ","FILING_STATUS=MR","Sort=A","Dates=H","DateFormat=P","Fill=—","Direction=H","UseDPDF=Y")</f>
        <v>77.061899999999994</v>
      </c>
      <c r="J13" s="14">
        <f>_xll.BDH("ITCI US Equity","LEVEL_2_ASSETS_TO_TOTAL_EQUITY","FQ3 2020","FQ3 2020","Currency=USD","Period=FQ","BEST_FPERIOD_OVERRIDE=FQ","FILING_STATUS=MR","Sort=A","Dates=H","DateFormat=P","Fill=—","Direction=H","UseDPDF=Y")</f>
        <v>59.340499999999999</v>
      </c>
      <c r="K13" s="14">
        <f>_xll.BDH("ITCI US Equity","LEVEL_2_ASSETS_TO_TOTAL_EQUITY","FQ4 2020","FQ4 2020","Currency=USD","Period=FQ","BEST_FPERIOD_OVERRIDE=FQ","FILING_STATUS=MR","Sort=A","Dates=H","DateFormat=P","Fill=—","Direction=H","UseDPDF=Y")</f>
        <v>90.948099999999997</v>
      </c>
      <c r="L13" s="14">
        <f>_xll.BDH("ITCI US Equity","LEVEL_2_ASSETS_TO_TOTAL_EQUITY","FQ1 2021","FQ1 2021","Currency=USD","Period=FQ","BEST_FPERIOD_OVERRIDE=FQ","FILING_STATUS=MR","Sort=A","Dates=H","DateFormat=P","Fill=—","Direction=H","UseDPDF=Y")</f>
        <v>78.736500000000007</v>
      </c>
      <c r="M13" s="14">
        <f>_xll.BDH("ITCI US Equity","LEVEL_2_ASSETS_TO_TOTAL_EQUITY","FQ2 2021","FQ2 2021","Currency=USD","Period=FQ","BEST_FPERIOD_OVERRIDE=FQ","FILING_STATUS=MR","Sort=A","Dates=H","DateFormat=P","Fill=—","Direction=H","UseDPDF=Y")</f>
        <v>78.348600000000005</v>
      </c>
      <c r="N13" s="14">
        <f>_xll.BDH("ITCI US Equity","LEVEL_2_ASSETS_TO_TOTAL_EQUITY","FQ3 2021","FQ3 2021","Currency=USD","Period=FQ","BEST_FPERIOD_OVERRIDE=FQ","FILING_STATUS=MR","Sort=A","Dates=H","DateFormat=P","Fill=—","Direction=H","UseDPDF=Y")</f>
        <v>77.6892</v>
      </c>
      <c r="O13" s="14">
        <f>_xll.BDH("ITCI US Equity","LEVEL_2_ASSETS_TO_TOTAL_EQUITY","FQ4 2021","FQ4 2021","Currency=USD","Period=FQ","BEST_FPERIOD_OVERRIDE=FQ","FILING_STATUS=MR","Sort=A","Dates=H","DateFormat=P","Fill=—","Direction=H","UseDPDF=Y")</f>
        <v>76.567400000000006</v>
      </c>
      <c r="P13" s="14">
        <f>_xll.BDH("ITCI US Equity","LEVEL_2_ASSETS_TO_TOTAL_EQUITY","FQ1 2022","FQ1 2022","Currency=USD","Period=FQ","BEST_FPERIOD_OVERRIDE=FQ","FILING_STATUS=MR","Sort=A","Dates=H","DateFormat=P","Fill=—","Direction=H","UseDPDF=Y")</f>
        <v>87.990399999999994</v>
      </c>
      <c r="Q13" s="14">
        <f>_xll.BDH("ITCI US Equity","LEVEL_2_ASSETS_TO_TOTAL_EQUITY","FQ2 2022","FQ2 2022","Currency=USD","Period=FQ","BEST_FPERIOD_OVERRIDE=FQ","FILING_STATUS=MR","Sort=A","Dates=H","DateFormat=P","Fill=—","Direction=H","UseDPDF=Y")</f>
        <v>83.300399999999996</v>
      </c>
      <c r="R13" s="14">
        <f>_xll.BDH("ITCI US Equity","LEVEL_2_ASSETS_TO_TOTAL_EQUITY","FQ3 2022","FQ3 2022","Currency=USD","Period=FQ","BEST_FPERIOD_OVERRIDE=FQ","FILING_STATUS=MR","Sort=A","Dates=H","DateFormat=P","Fill=—","Direction=H","UseDPDF=Y")</f>
        <v>77.230500000000006</v>
      </c>
      <c r="S13" s="14">
        <f>_xll.BDH("ITCI US Equity","LEVEL_2_ASSETS_TO_TOTAL_EQUITY","FQ4 2022","FQ4 2022","Currency=USD","Period=FQ","BEST_FPERIOD_OVERRIDE=FQ","FILING_STATUS=MR","Sort=A","Dates=H","DateFormat=P","Fill=—","Direction=H","UseDPDF=Y")</f>
        <v>74.112399999999994</v>
      </c>
      <c r="T13" s="14">
        <f>_xll.BDH("ITCI US Equity","LEVEL_2_ASSETS_TO_TOTAL_EQUITY","FQ1 2023","FQ1 2023","Currency=USD","Period=FQ","BEST_FPERIOD_OVERRIDE=FQ","FILING_STATUS=MR","Sort=A","Dates=H","DateFormat=P","Fill=—","Direction=H","UseDPDF=Y")</f>
        <v>73.768900000000002</v>
      </c>
      <c r="U13" s="14">
        <f>_xll.BDH("ITCI US Equity","LEVEL_2_ASSETS_TO_TOTAL_EQUITY","FQ2 2023","FQ2 2023","Currency=USD","Period=FQ","BEST_FPERIOD_OVERRIDE=FQ","FILING_STATUS=MR","Sort=A","Dates=H","DateFormat=P","Fill=—","Direction=H","UseDPDF=Y")</f>
        <v>79.418700000000001</v>
      </c>
      <c r="V13" s="14">
        <f>_xll.BDH("ITCI US Equity","LEVEL_2_ASSETS_TO_TOTAL_EQUITY","FQ3 2023","FQ3 2023","Currency=USD","Period=FQ","BEST_FPERIOD_OVERRIDE=FQ","FILING_STATUS=MR","Sort=A","Dates=H","DateFormat=P","Fill=—","Direction=H","UseDPDF=Y")</f>
        <v>68.8583</v>
      </c>
      <c r="W13" s="14">
        <f>_xll.BDH("ITCI US Equity","LEVEL_2_ASSETS_TO_TOTAL_EQUITY","FQ4 2023","FQ4 2023","Currency=USD","Period=FQ","BEST_FPERIOD_OVERRIDE=FQ","FILING_STATUS=MR","Sort=A","Dates=H","DateFormat=P","Fill=—","Direction=H","UseDPDF=Y")</f>
        <v>69.776300000000006</v>
      </c>
      <c r="X13" s="14">
        <f>_xll.BDH("ITCI US Equity","LEVEL_2_ASSETS_TO_TOTAL_EQUITY","FQ1 2024","FQ1 2024","Currency=USD","Period=FQ","BEST_FPERIOD_OVERRIDE=FQ","FILING_STATUS=MR","Sort=A","Dates=H","DateFormat=P","Fill=—","Direction=H","UseDPDF=Y")</f>
        <v>66.022599999999997</v>
      </c>
      <c r="Y13" s="14">
        <f>_xll.BDH("ITCI US Equity","LEVEL_2_ASSETS_TO_TOTAL_EQUITY","FQ2 2024","FQ2 2024","Currency=USD","Period=FQ","BEST_FPERIOD_OVERRIDE=FQ","FILING_STATUS=MR","Sort=A","Dates=H","DateFormat=P","Fill=—","Direction=H","UseDPDF=Y")</f>
        <v>30.543199999999999</v>
      </c>
      <c r="Z13" s="14">
        <f>_xll.BDH("ITCI US Equity","LEVEL_2_ASSETS_TO_TOTAL_EQUITY","FQ3 2024","FQ3 2024","Currency=USD","Period=FQ","BEST_FPERIOD_OVERRIDE=FQ","FILING_STATUS=MR","Sort=A","Dates=H","DateFormat=P","Fill=—","Direction=H","UseDPDF=Y")</f>
        <v>49.400199999999998</v>
      </c>
      <c r="AA13" s="14">
        <f>_xll.BDH("ITCI US Equity","LEVEL_2_ASSETS_TO_TOTAL_EQUITY","FQ4 2024","FQ4 2024","Currency=USD","Period=FQ","BEST_FPERIOD_OVERRIDE=FQ","FILING_STATUS=MR","Sort=A","Dates=H","DateFormat=P","Fill=—","Direction=H","UseDPDF=Y")</f>
        <v>60.439</v>
      </c>
    </row>
    <row r="14" spans="1:27" x14ac:dyDescent="0.25">
      <c r="A14" s="10" t="s">
        <v>922</v>
      </c>
      <c r="B14" s="10" t="s">
        <v>923</v>
      </c>
      <c r="C14" s="14">
        <f>_xll.BDH("ITCI US Equity","LEVEL_3_ASSETS_TO_TOTAL_EQUITY","FQ4 2018","FQ4 2018","Currency=USD","Period=FQ","BEST_FPERIOD_OVERRIDE=FQ","FILING_STATUS=MR","Sort=A","Dates=H","DateFormat=P","Fill=—","Direction=H","UseDPDF=Y")</f>
        <v>0</v>
      </c>
      <c r="D14" s="14">
        <f>_xll.BDH("ITCI US Equity","LEVEL_3_ASSETS_TO_TOTAL_EQUITY","FQ1 2019","FQ1 2019","Currency=USD","Period=FQ","BEST_FPERIOD_OVERRIDE=FQ","FILING_STATUS=MR","Sort=A","Dates=H","DateFormat=P","Fill=—","Direction=H","UseDPDF=Y")</f>
        <v>0</v>
      </c>
      <c r="E14" s="14">
        <f>_xll.BDH("ITCI US Equity","LEVEL_3_ASSETS_TO_TOTAL_EQUITY","FQ2 2019","FQ2 2019","Currency=USD","Period=FQ","BEST_FPERIOD_OVERRIDE=FQ","FILING_STATUS=MR","Sort=A","Dates=H","DateFormat=P","Fill=—","Direction=H","UseDPDF=Y")</f>
        <v>0</v>
      </c>
      <c r="F14" s="14">
        <f>_xll.BDH("ITCI US Equity","LEVEL_3_ASSETS_TO_TOTAL_EQUITY","FQ3 2019","FQ3 2019","Currency=USD","Period=FQ","BEST_FPERIOD_OVERRIDE=FQ","FILING_STATUS=MR","Sort=A","Dates=H","DateFormat=P","Fill=—","Direction=H","UseDPDF=Y")</f>
        <v>0</v>
      </c>
      <c r="G14" s="14">
        <f>_xll.BDH("ITCI US Equity","LEVEL_3_ASSETS_TO_TOTAL_EQUITY","FQ4 2019","FQ4 2019","Currency=USD","Period=FQ","BEST_FPERIOD_OVERRIDE=FQ","FILING_STATUS=MR","Sort=A","Dates=H","DateFormat=P","Fill=—","Direction=H","UseDPDF=Y")</f>
        <v>0</v>
      </c>
      <c r="H14" s="14">
        <f>_xll.BDH("ITCI US Equity","LEVEL_3_ASSETS_TO_TOTAL_EQUITY","FQ1 2020","FQ1 2020","Currency=USD","Period=FQ","BEST_FPERIOD_OVERRIDE=FQ","FILING_STATUS=MR","Sort=A","Dates=H","DateFormat=P","Fill=—","Direction=H","UseDPDF=Y")</f>
        <v>0</v>
      </c>
      <c r="I14" s="14">
        <f>_xll.BDH("ITCI US Equity","LEVEL_3_ASSETS_TO_TOTAL_EQUITY","FQ2 2020","FQ2 2020","Currency=USD","Period=FQ","BEST_FPERIOD_OVERRIDE=FQ","FILING_STATUS=MR","Sort=A","Dates=H","DateFormat=P","Fill=—","Direction=H","UseDPDF=Y")</f>
        <v>0</v>
      </c>
      <c r="J14" s="14">
        <f>_xll.BDH("ITCI US Equity","LEVEL_3_ASSETS_TO_TOTAL_EQUITY","FQ3 2020","FQ3 2020","Currency=USD","Period=FQ","BEST_FPERIOD_OVERRIDE=FQ","FILING_STATUS=MR","Sort=A","Dates=H","DateFormat=P","Fill=—","Direction=H","UseDPDF=Y")</f>
        <v>0</v>
      </c>
      <c r="K14" s="14">
        <f>_xll.BDH("ITCI US Equity","LEVEL_3_ASSETS_TO_TOTAL_EQUITY","FQ4 2020","FQ4 2020","Currency=USD","Period=FQ","BEST_FPERIOD_OVERRIDE=FQ","FILING_STATUS=MR","Sort=A","Dates=H","DateFormat=P","Fill=—","Direction=H","UseDPDF=Y")</f>
        <v>0</v>
      </c>
      <c r="L14" s="14">
        <f>_xll.BDH("ITCI US Equity","LEVEL_3_ASSETS_TO_TOTAL_EQUITY","FQ1 2021","FQ1 2021","Currency=USD","Period=FQ","BEST_FPERIOD_OVERRIDE=FQ","FILING_STATUS=MR","Sort=A","Dates=H","DateFormat=P","Fill=—","Direction=H","UseDPDF=Y")</f>
        <v>0</v>
      </c>
      <c r="M14" s="14">
        <f>_xll.BDH("ITCI US Equity","LEVEL_3_ASSETS_TO_TOTAL_EQUITY","FQ2 2021","FQ2 2021","Currency=USD","Period=FQ","BEST_FPERIOD_OVERRIDE=FQ","FILING_STATUS=MR","Sort=A","Dates=H","DateFormat=P","Fill=—","Direction=H","UseDPDF=Y")</f>
        <v>0</v>
      </c>
      <c r="N14" s="14">
        <f>_xll.BDH("ITCI US Equity","LEVEL_3_ASSETS_TO_TOTAL_EQUITY","FQ3 2021","FQ3 2021","Currency=USD","Period=FQ","BEST_FPERIOD_OVERRIDE=FQ","FILING_STATUS=MR","Sort=A","Dates=H","DateFormat=P","Fill=—","Direction=H","UseDPDF=Y")</f>
        <v>0</v>
      </c>
      <c r="O14" s="14">
        <f>_xll.BDH("ITCI US Equity","LEVEL_3_ASSETS_TO_TOTAL_EQUITY","FQ4 2021","FQ4 2021","Currency=USD","Period=FQ","BEST_FPERIOD_OVERRIDE=FQ","FILING_STATUS=MR","Sort=A","Dates=H","DateFormat=P","Fill=—","Direction=H","UseDPDF=Y")</f>
        <v>0</v>
      </c>
      <c r="P14" s="14">
        <f>_xll.BDH("ITCI US Equity","LEVEL_3_ASSETS_TO_TOTAL_EQUITY","FQ1 2022","FQ1 2022","Currency=USD","Period=FQ","BEST_FPERIOD_OVERRIDE=FQ","FILING_STATUS=MR","Sort=A","Dates=H","DateFormat=P","Fill=—","Direction=H","UseDPDF=Y")</f>
        <v>0</v>
      </c>
      <c r="Q14" s="14">
        <f>_xll.BDH("ITCI US Equity","LEVEL_3_ASSETS_TO_TOTAL_EQUITY","FQ2 2022","FQ2 2022","Currency=USD","Period=FQ","BEST_FPERIOD_OVERRIDE=FQ","FILING_STATUS=MR","Sort=A","Dates=H","DateFormat=P","Fill=—","Direction=H","UseDPDF=Y")</f>
        <v>0</v>
      </c>
      <c r="R14" s="14">
        <f>_xll.BDH("ITCI US Equity","LEVEL_3_ASSETS_TO_TOTAL_EQUITY","FQ3 2022","FQ3 2022","Currency=USD","Period=FQ","BEST_FPERIOD_OVERRIDE=FQ","FILING_STATUS=MR","Sort=A","Dates=H","DateFormat=P","Fill=—","Direction=H","UseDPDF=Y")</f>
        <v>0</v>
      </c>
      <c r="S14" s="14">
        <f>_xll.BDH("ITCI US Equity","LEVEL_3_ASSETS_TO_TOTAL_EQUITY","FQ4 2022","FQ4 2022","Currency=USD","Period=FQ","BEST_FPERIOD_OVERRIDE=FQ","FILING_STATUS=MR","Sort=A","Dates=H","DateFormat=P","Fill=—","Direction=H","UseDPDF=Y")</f>
        <v>0</v>
      </c>
      <c r="T14" s="14">
        <f>_xll.BDH("ITCI US Equity","LEVEL_3_ASSETS_TO_TOTAL_EQUITY","FQ1 2023","FQ1 2023","Currency=USD","Period=FQ","BEST_FPERIOD_OVERRIDE=FQ","FILING_STATUS=MR","Sort=A","Dates=H","DateFormat=P","Fill=—","Direction=H","UseDPDF=Y")</f>
        <v>0</v>
      </c>
      <c r="U14" s="14">
        <f>_xll.BDH("ITCI US Equity","LEVEL_3_ASSETS_TO_TOTAL_EQUITY","FQ2 2023","FQ2 2023","Currency=USD","Period=FQ","BEST_FPERIOD_OVERRIDE=FQ","FILING_STATUS=MR","Sort=A","Dates=H","DateFormat=P","Fill=—","Direction=H","UseDPDF=Y")</f>
        <v>0</v>
      </c>
      <c r="V14" s="14">
        <f>_xll.BDH("ITCI US Equity","LEVEL_3_ASSETS_TO_TOTAL_EQUITY","FQ3 2023","FQ3 2023","Currency=USD","Period=FQ","BEST_FPERIOD_OVERRIDE=FQ","FILING_STATUS=MR","Sort=A","Dates=H","DateFormat=P","Fill=—","Direction=H","UseDPDF=Y")</f>
        <v>0</v>
      </c>
      <c r="W14" s="14">
        <f>_xll.BDH("ITCI US Equity","LEVEL_3_ASSETS_TO_TOTAL_EQUITY","FQ4 2023","FQ4 2023","Currency=USD","Period=FQ","BEST_FPERIOD_OVERRIDE=FQ","FILING_STATUS=MR","Sort=A","Dates=H","DateFormat=P","Fill=—","Direction=H","UseDPDF=Y")</f>
        <v>0</v>
      </c>
      <c r="X14" s="14">
        <f>_xll.BDH("ITCI US Equity","LEVEL_3_ASSETS_TO_TOTAL_EQUITY","FQ1 2024","FQ1 2024","Currency=USD","Period=FQ","BEST_FPERIOD_OVERRIDE=FQ","FILING_STATUS=MR","Sort=A","Dates=H","DateFormat=P","Fill=—","Direction=H","UseDPDF=Y")</f>
        <v>0</v>
      </c>
      <c r="Y14" s="14">
        <f>_xll.BDH("ITCI US Equity","LEVEL_3_ASSETS_TO_TOTAL_EQUITY","FQ2 2024","FQ2 2024","Currency=USD","Period=FQ","BEST_FPERIOD_OVERRIDE=FQ","FILING_STATUS=MR","Sort=A","Dates=H","DateFormat=P","Fill=—","Direction=H","UseDPDF=Y")</f>
        <v>0</v>
      </c>
      <c r="Z14" s="14">
        <f>_xll.BDH("ITCI US Equity","LEVEL_3_ASSETS_TO_TOTAL_EQUITY","FQ3 2024","FQ3 2024","Currency=USD","Period=FQ","BEST_FPERIOD_OVERRIDE=FQ","FILING_STATUS=MR","Sort=A","Dates=H","DateFormat=P","Fill=—","Direction=H","UseDPDF=Y")</f>
        <v>0</v>
      </c>
      <c r="AA14" s="14">
        <f>_xll.BDH("ITCI US Equity","LEVEL_3_ASSETS_TO_TOTAL_EQUITY","FQ4 2024","FQ4 2024","Currency=USD","Period=FQ","BEST_FPERIOD_OVERRIDE=FQ","FILING_STATUS=MR","Sort=A","Dates=H","DateFormat=P","Fill=—","Direction=H","UseDPDF=Y")</f>
        <v>0</v>
      </c>
    </row>
    <row r="15" spans="1:27" x14ac:dyDescent="0.25">
      <c r="A15" s="6" t="s">
        <v>924</v>
      </c>
      <c r="B15" s="6" t="s">
        <v>925</v>
      </c>
      <c r="C15" s="20">
        <f>_xll.BDH("ITCI US Equity","TOT_FAIR_VAL_ASSETS_TO_TOT_EQTY","FQ4 2018","FQ4 2018","Currency=USD","Period=FQ","BEST_FPERIOD_OVERRIDE=FQ","FILING_STATUS=MR","Sort=A","Dates=H","DateFormat=P","Fill=—","Direction=H","UseDPDF=Y")</f>
        <v>106.91160000000001</v>
      </c>
      <c r="D15" s="20">
        <f>_xll.BDH("ITCI US Equity","TOT_FAIR_VAL_ASSETS_TO_TOT_EQTY","FQ1 2019","FQ1 2019","Currency=USD","Period=FQ","BEST_FPERIOD_OVERRIDE=FQ","FILING_STATUS=MR","Sort=A","Dates=H","DateFormat=P","Fill=—","Direction=H","UseDPDF=Y")</f>
        <v>108.1176</v>
      </c>
      <c r="E15" s="20">
        <f>_xll.BDH("ITCI US Equity","TOT_FAIR_VAL_ASSETS_TO_TOT_EQTY","FQ2 2019","FQ2 2019","Currency=USD","Period=FQ","BEST_FPERIOD_OVERRIDE=FQ","FILING_STATUS=MR","Sort=A","Dates=H","DateFormat=P","Fill=—","Direction=H","UseDPDF=Y")</f>
        <v>108.7295</v>
      </c>
      <c r="F15" s="20">
        <f>_xll.BDH("ITCI US Equity","TOT_FAIR_VAL_ASSETS_TO_TOT_EQTY","FQ3 2019","FQ3 2019","Currency=USD","Period=FQ","BEST_FPERIOD_OVERRIDE=FQ","FILING_STATUS=MR","Sort=A","Dates=H","DateFormat=P","Fill=—","Direction=H","UseDPDF=Y")</f>
        <v>109.1439</v>
      </c>
      <c r="G15" s="20">
        <f>_xll.BDH("ITCI US Equity","TOT_FAIR_VAL_ASSETS_TO_TOT_EQTY","FQ4 2019","FQ4 2019","Currency=USD","Period=FQ","BEST_FPERIOD_OVERRIDE=FQ","FILING_STATUS=MR","Sort=A","Dates=H","DateFormat=P","Fill=—","Direction=H","UseDPDF=Y")</f>
        <v>111.2133</v>
      </c>
      <c r="H15" s="20">
        <f>_xll.BDH("ITCI US Equity","TOT_FAIR_VAL_ASSETS_TO_TOT_EQTY","FQ1 2020","FQ1 2020","Currency=USD","Period=FQ","BEST_FPERIOD_OVERRIDE=FQ","FILING_STATUS=MR","Sort=A","Dates=H","DateFormat=P","Fill=—","Direction=H","UseDPDF=Y")</f>
        <v>103.6071</v>
      </c>
      <c r="I15" s="20">
        <f>_xll.BDH("ITCI US Equity","TOT_FAIR_VAL_ASSETS_TO_TOT_EQTY","FQ2 2020","FQ2 2020","Currency=USD","Period=FQ","BEST_FPERIOD_OVERRIDE=FQ","FILING_STATUS=MR","Sort=A","Dates=H","DateFormat=P","Fill=—","Direction=H","UseDPDF=Y")</f>
        <v>103.6358</v>
      </c>
      <c r="J15" s="20">
        <f>_xll.BDH("ITCI US Equity","TOT_FAIR_VAL_ASSETS_TO_TOT_EQTY","FQ3 2020","FQ3 2020","Currency=USD","Period=FQ","BEST_FPERIOD_OVERRIDE=FQ","FILING_STATUS=MR","Sort=A","Dates=H","DateFormat=P","Fill=—","Direction=H","UseDPDF=Y")</f>
        <v>90.950400000000002</v>
      </c>
      <c r="K15" s="20">
        <f>_xll.BDH("ITCI US Equity","TOT_FAIR_VAL_ASSETS_TO_TOT_EQTY","FQ4 2020","FQ4 2020","Currency=USD","Period=FQ","BEST_FPERIOD_OVERRIDE=FQ","FILING_STATUS=MR","Sort=A","Dates=H","DateFormat=P","Fill=—","Direction=H","UseDPDF=Y")</f>
        <v>95.1982</v>
      </c>
      <c r="L15" s="20">
        <f>_xll.BDH("ITCI US Equity","TOT_FAIR_VAL_ASSETS_TO_TOT_EQTY","FQ1 2021","FQ1 2021","Currency=USD","Period=FQ","BEST_FPERIOD_OVERRIDE=FQ","FILING_STATUS=MR","Sort=A","Dates=H","DateFormat=P","Fill=—","Direction=H","UseDPDF=Y")</f>
        <v>92.393600000000006</v>
      </c>
      <c r="M15" s="20">
        <f>_xll.BDH("ITCI US Equity","TOT_FAIR_VAL_ASSETS_TO_TOT_EQTY","FQ2 2021","FQ2 2021","Currency=USD","Period=FQ","BEST_FPERIOD_OVERRIDE=FQ","FILING_STATUS=MR","Sort=A","Dates=H","DateFormat=P","Fill=—","Direction=H","UseDPDF=Y")</f>
        <v>95.897099999999995</v>
      </c>
      <c r="N15" s="20">
        <f>_xll.BDH("ITCI US Equity","TOT_FAIR_VAL_ASSETS_TO_TOT_EQTY","FQ3 2021","FQ3 2021","Currency=USD","Period=FQ","BEST_FPERIOD_OVERRIDE=FQ","FILING_STATUS=MR","Sort=A","Dates=H","DateFormat=P","Fill=—","Direction=H","UseDPDF=Y")</f>
        <v>95.819400000000002</v>
      </c>
      <c r="O15" s="20">
        <f>_xll.BDH("ITCI US Equity","TOT_FAIR_VAL_ASSETS_TO_TOT_EQTY","FQ4 2021","FQ4 2021","Currency=USD","Period=FQ","BEST_FPERIOD_OVERRIDE=FQ","FILING_STATUS=MR","Sort=A","Dates=H","DateFormat=P","Fill=—","Direction=H","UseDPDF=Y")</f>
        <v>90.096999999999994</v>
      </c>
      <c r="P15" s="20">
        <f>_xll.BDH("ITCI US Equity","TOT_FAIR_VAL_ASSETS_TO_TOT_EQTY","FQ1 2022","FQ1 2022","Currency=USD","Period=FQ","BEST_FPERIOD_OVERRIDE=FQ","FILING_STATUS=MR","Sort=A","Dates=H","DateFormat=P","Fill=—","Direction=H","UseDPDF=Y")</f>
        <v>47.4938</v>
      </c>
      <c r="Q15" s="20">
        <f>_xll.BDH("ITCI US Equity","TOT_FAIR_VAL_ASSETS_TO_TOT_EQTY","FQ2 2022","FQ2 2022","Currency=USD","Period=FQ","BEST_FPERIOD_OVERRIDE=FQ","FILING_STATUS=MR","Sort=A","Dates=H","DateFormat=P","Fill=—","Direction=H","UseDPDF=Y")</f>
        <v>91.023399999999995</v>
      </c>
      <c r="R15" s="20">
        <f>_xll.BDH("ITCI US Equity","TOT_FAIR_VAL_ASSETS_TO_TOT_EQTY","FQ3 2022","FQ3 2022","Currency=USD","Period=FQ","BEST_FPERIOD_OVERRIDE=FQ","FILING_STATUS=MR","Sort=A","Dates=H","DateFormat=P","Fill=—","Direction=H","UseDPDF=Y")</f>
        <v>84.105400000000003</v>
      </c>
      <c r="S15" s="20">
        <f>_xll.BDH("ITCI US Equity","TOT_FAIR_VAL_ASSETS_TO_TOT_EQTY","FQ4 2022","FQ4 2022","Currency=USD","Period=FQ","BEST_FPERIOD_OVERRIDE=FQ","FILING_STATUS=MR","Sort=A","Dates=H","DateFormat=P","Fill=—","Direction=H","UseDPDF=Y")</f>
        <v>75.972399999999993</v>
      </c>
      <c r="T15" s="20">
        <f>_xll.BDH("ITCI US Equity","TOT_FAIR_VAL_ASSETS_TO_TOT_EQTY","FQ1 2023","FQ1 2023","Currency=USD","Period=FQ","BEST_FPERIOD_OVERRIDE=FQ","FILING_STATUS=MR","Sort=A","Dates=H","DateFormat=P","Fill=—","Direction=H","UseDPDF=Y")</f>
        <v>78.694999999999993</v>
      </c>
      <c r="U15" s="20">
        <f>_xll.BDH("ITCI US Equity","TOT_FAIR_VAL_ASSETS_TO_TOT_EQTY","FQ2 2023","FQ2 2023","Currency=USD","Period=FQ","BEST_FPERIOD_OVERRIDE=FQ","FILING_STATUS=MR","Sort=A","Dates=H","DateFormat=P","Fill=—","Direction=H","UseDPDF=Y")</f>
        <v>81.428799999999995</v>
      </c>
      <c r="V15" s="20">
        <f>_xll.BDH("ITCI US Equity","TOT_FAIR_VAL_ASSETS_TO_TOT_EQTY","FQ3 2023","FQ3 2023","Currency=USD","Period=FQ","BEST_FPERIOD_OVERRIDE=FQ","FILING_STATUS=MR","Sort=A","Dates=H","DateFormat=P","Fill=—","Direction=H","UseDPDF=Y")</f>
        <v>69.594200000000001</v>
      </c>
      <c r="W15" s="20">
        <f>_xll.BDH("ITCI US Equity","TOT_FAIR_VAL_ASSETS_TO_TOT_EQTY","FQ4 2023","FQ4 2023","Currency=USD","Period=FQ","BEST_FPERIOD_OVERRIDE=FQ","FILING_STATUS=MR","Sort=A","Dates=H","DateFormat=P","Fill=—","Direction=H","UseDPDF=Y")</f>
        <v>71.5852</v>
      </c>
      <c r="X15" s="20">
        <f>_xll.BDH("ITCI US Equity","TOT_FAIR_VAL_ASSETS_TO_TOT_EQTY","FQ1 2024","FQ1 2024","Currency=USD","Period=FQ","BEST_FPERIOD_OVERRIDE=FQ","FILING_STATUS=MR","Sort=A","Dates=H","DateFormat=P","Fill=—","Direction=H","UseDPDF=Y")</f>
        <v>71.228300000000004</v>
      </c>
      <c r="Y15" s="20">
        <f>_xll.BDH("ITCI US Equity","TOT_FAIR_VAL_ASSETS_TO_TOT_EQTY","FQ2 2024","FQ2 2024","Currency=USD","Period=FQ","BEST_FPERIOD_OVERRIDE=FQ","FILING_STATUS=MR","Sort=A","Dates=H","DateFormat=P","Fill=—","Direction=H","UseDPDF=Y")</f>
        <v>37.701900000000002</v>
      </c>
      <c r="Z15" s="20">
        <f>_xll.BDH("ITCI US Equity","TOT_FAIR_VAL_ASSETS_TO_TOT_EQTY","FQ3 2024","FQ3 2024","Currency=USD","Period=FQ","BEST_FPERIOD_OVERRIDE=FQ","FILING_STATUS=MR","Sort=A","Dates=H","DateFormat=P","Fill=—","Direction=H","UseDPDF=Y")</f>
        <v>69.0625</v>
      </c>
      <c r="AA15" s="20">
        <f>_xll.BDH("ITCI US Equity","TOT_FAIR_VAL_ASSETS_TO_TOT_EQTY","FQ4 2024","FQ4 2024","Currency=USD","Period=FQ","BEST_FPERIOD_OVERRIDE=FQ","FILING_STATUS=MR","Sort=A","Dates=H","DateFormat=P","Fill=—","Direction=H","UseDPDF=Y")</f>
        <v>77.289599999999993</v>
      </c>
    </row>
    <row r="16" spans="1:27" x14ac:dyDescent="0.25">
      <c r="A16" s="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x14ac:dyDescent="0.25">
      <c r="A17" s="10" t="s">
        <v>926</v>
      </c>
      <c r="B17" s="10" t="s">
        <v>927</v>
      </c>
      <c r="C17" s="14">
        <f>_xll.BDH("ITCI US Equity","LEVEL_1_ASSETS_TO_TOTAL_ASSETS","FQ4 2018","FQ4 2018","Currency=USD","Period=FQ","BEST_FPERIOD_OVERRIDE=FQ","FILING_STATUS=MR","Sort=A","Dates=H","DateFormat=P","Fill=—","Direction=H","UseDPDF=Y")</f>
        <v>11.083500000000001</v>
      </c>
      <c r="D17" s="14">
        <f>_xll.BDH("ITCI US Equity","LEVEL_1_ASSETS_TO_TOTAL_ASSETS","FQ1 2019","FQ1 2019","Currency=USD","Period=FQ","BEST_FPERIOD_OVERRIDE=FQ","FILING_STATUS=MR","Sort=A","Dates=H","DateFormat=P","Fill=—","Direction=H","UseDPDF=Y")</f>
        <v>11.4621</v>
      </c>
      <c r="E17" s="14">
        <f>_xll.BDH("ITCI US Equity","LEVEL_1_ASSETS_TO_TOTAL_ASSETS","FQ2 2019","FQ2 2019","Currency=USD","Period=FQ","BEST_FPERIOD_OVERRIDE=FQ","FILING_STATUS=MR","Sort=A","Dates=H","DateFormat=P","Fill=—","Direction=H","UseDPDF=Y")</f>
        <v>17.4742</v>
      </c>
      <c r="F17" s="14">
        <f>_xll.BDH("ITCI US Equity","LEVEL_1_ASSETS_TO_TOTAL_ASSETS","FQ3 2019","FQ3 2019","Currency=USD","Period=FQ","BEST_FPERIOD_OVERRIDE=FQ","FILING_STATUS=MR","Sort=A","Dates=H","DateFormat=P","Fill=—","Direction=H","UseDPDF=Y")</f>
        <v>19.732800000000001</v>
      </c>
      <c r="G17" s="14">
        <f>_xll.BDH("ITCI US Equity","LEVEL_1_ASSETS_TO_TOTAL_ASSETS","FQ4 2019","FQ4 2019","Currency=USD","Period=FQ","BEST_FPERIOD_OVERRIDE=FQ","FILING_STATUS=MR","Sort=A","Dates=H","DateFormat=P","Fill=—","Direction=H","UseDPDF=Y")</f>
        <v>19.858599999999999</v>
      </c>
      <c r="H17" s="14">
        <f>_xll.BDH("ITCI US Equity","LEVEL_1_ASSETS_TO_TOTAL_ASSETS","FQ1 2020","FQ1 2020","Currency=USD","Period=FQ","BEST_FPERIOD_OVERRIDE=FQ","FILING_STATUS=MR","Sort=A","Dates=H","DateFormat=P","Fill=—","Direction=H","UseDPDF=Y")</f>
        <v>17.9465</v>
      </c>
      <c r="I17" s="14">
        <f>_xll.BDH("ITCI US Equity","LEVEL_1_ASSETS_TO_TOTAL_ASSETS","FQ2 2020","FQ2 2020","Currency=USD","Period=FQ","BEST_FPERIOD_OVERRIDE=FQ","FILING_STATUS=MR","Sort=A","Dates=H","DateFormat=P","Fill=—","Direction=H","UseDPDF=Y")</f>
        <v>22.8734</v>
      </c>
      <c r="J17" s="14">
        <f>_xll.BDH("ITCI US Equity","LEVEL_1_ASSETS_TO_TOTAL_ASSETS","FQ3 2020","FQ3 2020","Currency=USD","Period=FQ","BEST_FPERIOD_OVERRIDE=FQ","FILING_STATUS=MR","Sort=A","Dates=H","DateFormat=P","Fill=—","Direction=H","UseDPDF=Y")</f>
        <v>29.0731</v>
      </c>
      <c r="K17" s="14">
        <f>_xll.BDH("ITCI US Equity","LEVEL_1_ASSETS_TO_TOTAL_ASSETS","FQ4 2020","FQ4 2020","Currency=USD","Period=FQ","BEST_FPERIOD_OVERRIDE=FQ","FILING_STATUS=MR","Sort=A","Dates=H","DateFormat=P","Fill=—","Direction=H","UseDPDF=Y")</f>
        <v>3.8919000000000001</v>
      </c>
      <c r="L17" s="14">
        <f>_xll.BDH("ITCI US Equity","LEVEL_1_ASSETS_TO_TOTAL_ASSETS","FQ1 2021","FQ1 2021","Currency=USD","Period=FQ","BEST_FPERIOD_OVERRIDE=FQ","FILING_STATUS=MR","Sort=A","Dates=H","DateFormat=P","Fill=—","Direction=H","UseDPDF=Y")</f>
        <v>12.3949</v>
      </c>
      <c r="M17" s="14">
        <f>_xll.BDH("ITCI US Equity","LEVEL_1_ASSETS_TO_TOTAL_ASSETS","FQ2 2021","FQ2 2021","Currency=USD","Period=FQ","BEST_FPERIOD_OVERRIDE=FQ","FILING_STATUS=MR","Sort=A","Dates=H","DateFormat=P","Fill=—","Direction=H","UseDPDF=Y")</f>
        <v>15.5261</v>
      </c>
      <c r="N17" s="14">
        <f>_xll.BDH("ITCI US Equity","LEVEL_1_ASSETS_TO_TOTAL_ASSETS","FQ3 2021","FQ3 2021","Currency=USD","Period=FQ","BEST_FPERIOD_OVERRIDE=FQ","FILING_STATUS=MR","Sort=A","Dates=H","DateFormat=P","Fill=—","Direction=H","UseDPDF=Y")</f>
        <v>15.8445</v>
      </c>
      <c r="O17" s="14">
        <f>_xll.BDH("ITCI US Equity","LEVEL_1_ASSETS_TO_TOTAL_ASSETS","FQ4 2021","FQ4 2021","Currency=USD","Period=FQ","BEST_FPERIOD_OVERRIDE=FQ","FILING_STATUS=MR","Sort=A","Dates=H","DateFormat=P","Fill=—","Direction=H","UseDPDF=Y")</f>
        <v>11.5404</v>
      </c>
      <c r="P17" s="14">
        <f>_xll.BDH("ITCI US Equity","LEVEL_1_ASSETS_TO_TOTAL_ASSETS","FQ1 2022","FQ1 2022","Currency=USD","Period=FQ","BEST_FPERIOD_OVERRIDE=FQ","FILING_STATUS=MR","Sort=A","Dates=H","DateFormat=P","Fill=—","Direction=H","UseDPDF=Y")</f>
        <v>7.5831999999999997</v>
      </c>
      <c r="Q17" s="14">
        <f>_xll.BDH("ITCI US Equity","LEVEL_1_ASSETS_TO_TOTAL_ASSETS","FQ2 2022","FQ2 2022","Currency=USD","Period=FQ","BEST_FPERIOD_OVERRIDE=FQ","FILING_STATUS=MR","Sort=A","Dates=H","DateFormat=P","Fill=—","Direction=H","UseDPDF=Y")</f>
        <v>6.8696000000000002</v>
      </c>
      <c r="R17" s="14">
        <f>_xll.BDH("ITCI US Equity","LEVEL_1_ASSETS_TO_TOTAL_ASSETS","FQ3 2022","FQ3 2022","Currency=USD","Period=FQ","BEST_FPERIOD_OVERRIDE=FQ","FILING_STATUS=MR","Sort=A","Dates=H","DateFormat=P","Fill=—","Direction=H","UseDPDF=Y")</f>
        <v>6.0258000000000003</v>
      </c>
      <c r="S17" s="14">
        <f>_xll.BDH("ITCI US Equity","LEVEL_1_ASSETS_TO_TOTAL_ASSETS","FQ4 2022","FQ4 2022","Currency=USD","Period=FQ","BEST_FPERIOD_OVERRIDE=FQ","FILING_STATUS=MR","Sort=A","Dates=H","DateFormat=P","Fill=—","Direction=H","UseDPDF=Y")</f>
        <v>1.6168</v>
      </c>
      <c r="T17" s="14">
        <f>_xll.BDH("ITCI US Equity","LEVEL_1_ASSETS_TO_TOTAL_ASSETS","FQ1 2023","FQ1 2023","Currency=USD","Period=FQ","BEST_FPERIOD_OVERRIDE=FQ","FILING_STATUS=MR","Sort=A","Dates=H","DateFormat=P","Fill=—","Direction=H","UseDPDF=Y")</f>
        <v>4.2812000000000001</v>
      </c>
      <c r="U17" s="14">
        <f>_xll.BDH("ITCI US Equity","LEVEL_1_ASSETS_TO_TOTAL_ASSETS","FQ2 2023","FQ2 2023","Currency=USD","Period=FQ","BEST_FPERIOD_OVERRIDE=FQ","FILING_STATUS=MR","Sort=A","Dates=H","DateFormat=P","Fill=—","Direction=H","UseDPDF=Y")</f>
        <v>1.7101</v>
      </c>
      <c r="V17" s="14">
        <f>_xll.BDH("ITCI US Equity","LEVEL_1_ASSETS_TO_TOTAL_ASSETS","FQ3 2023","FQ3 2023","Currency=USD","Period=FQ","BEST_FPERIOD_OVERRIDE=FQ","FILING_STATUS=MR","Sort=A","Dates=H","DateFormat=P","Fill=—","Direction=H","UseDPDF=Y")</f>
        <v>0.6159</v>
      </c>
      <c r="W17" s="14">
        <f>_xll.BDH("ITCI US Equity","LEVEL_1_ASSETS_TO_TOTAL_ASSETS","FQ4 2023","FQ4 2023","Currency=USD","Period=FQ","BEST_FPERIOD_OVERRIDE=FQ","FILING_STATUS=MR","Sort=A","Dates=H","DateFormat=P","Fill=—","Direction=H","UseDPDF=Y")</f>
        <v>1.4689000000000001</v>
      </c>
      <c r="X17" s="14">
        <f>_xll.BDH("ITCI US Equity","LEVEL_1_ASSETS_TO_TOTAL_ASSETS","FQ1 2024","FQ1 2024","Currency=USD","Period=FQ","BEST_FPERIOD_OVERRIDE=FQ","FILING_STATUS=MR","Sort=A","Dates=H","DateFormat=P","Fill=—","Direction=H","UseDPDF=Y")</f>
        <v>4.1776</v>
      </c>
      <c r="Y17" s="14">
        <f>_xll.BDH("ITCI US Equity","LEVEL_1_ASSETS_TO_TOTAL_ASSETS","FQ2 2024","FQ2 2024","Currency=USD","Period=FQ","BEST_FPERIOD_OVERRIDE=FQ","FILING_STATUS=MR","Sort=A","Dates=H","DateFormat=P","Fill=—","Direction=H","UseDPDF=Y")</f>
        <v>6.2051999999999996</v>
      </c>
      <c r="Z17" s="14">
        <f>_xll.BDH("ITCI US Equity","LEVEL_1_ASSETS_TO_TOTAL_ASSETS","FQ3 2024","FQ3 2024","Currency=USD","Period=FQ","BEST_FPERIOD_OVERRIDE=FQ","FILING_STATUS=MR","Sort=A","Dates=H","DateFormat=P","Fill=—","Direction=H","UseDPDF=Y")</f>
        <v>16.995699999999999</v>
      </c>
      <c r="AA17" s="14">
        <f>_xll.BDH("ITCI US Equity","LEVEL_1_ASSETS_TO_TOTAL_ASSETS","FQ4 2024","FQ4 2024","Currency=USD","Period=FQ","BEST_FPERIOD_OVERRIDE=FQ","FILING_STATUS=MR","Sort=A","Dates=H","DateFormat=P","Fill=—","Direction=H","UseDPDF=Y")</f>
        <v>14.1576</v>
      </c>
    </row>
    <row r="18" spans="1:27" x14ac:dyDescent="0.25">
      <c r="A18" s="10" t="s">
        <v>928</v>
      </c>
      <c r="B18" s="10" t="s">
        <v>929</v>
      </c>
      <c r="C18" s="14">
        <f>_xll.BDH("ITCI US Equity","LEVEL_2_ASSETS_TO_TOTAL_ASSETS","FQ4 2018","FQ4 2018","Currency=USD","Period=FQ","BEST_FPERIOD_OVERRIDE=FQ","FILING_STATUS=MR","Sort=A","Dates=H","DateFormat=P","Fill=—","Direction=H","UseDPDF=Y")</f>
        <v>84.008300000000006</v>
      </c>
      <c r="D18" s="14">
        <f>_xll.BDH("ITCI US Equity","LEVEL_2_ASSETS_TO_TOTAL_ASSETS","FQ1 2019","FQ1 2019","Currency=USD","Period=FQ","BEST_FPERIOD_OVERRIDE=FQ","FILING_STATUS=MR","Sort=A","Dates=H","DateFormat=P","Fill=—","Direction=H","UseDPDF=Y")</f>
        <v>79.5197</v>
      </c>
      <c r="E18" s="14">
        <f>_xll.BDH("ITCI US Equity","LEVEL_2_ASSETS_TO_TOTAL_ASSETS","FQ2 2019","FQ2 2019","Currency=USD","Period=FQ","BEST_FPERIOD_OVERRIDE=FQ","FILING_STATUS=MR","Sort=A","Dates=H","DateFormat=P","Fill=—","Direction=H","UseDPDF=Y")</f>
        <v>72.624799999999993</v>
      </c>
      <c r="F18" s="14">
        <f>_xll.BDH("ITCI US Equity","LEVEL_2_ASSETS_TO_TOTAL_ASSETS","FQ3 2019","FQ3 2019","Currency=USD","Period=FQ","BEST_FPERIOD_OVERRIDE=FQ","FILING_STATUS=MR","Sort=A","Dates=H","DateFormat=P","Fill=—","Direction=H","UseDPDF=Y")</f>
        <v>68.540199999999999</v>
      </c>
      <c r="G18" s="14">
        <f>_xll.BDH("ITCI US Equity","LEVEL_2_ASSETS_TO_TOTAL_ASSETS","FQ4 2019","FQ4 2019","Currency=USD","Period=FQ","BEST_FPERIOD_OVERRIDE=FQ","FILING_STATUS=MR","Sort=A","Dates=H","DateFormat=P","Fill=—","Direction=H","UseDPDF=Y")</f>
        <v>66.481300000000005</v>
      </c>
      <c r="H18" s="14">
        <f>_xll.BDH("ITCI US Equity","LEVEL_2_ASSETS_TO_TOTAL_ASSETS","FQ1 2020","FQ1 2020","Currency=USD","Period=FQ","BEST_FPERIOD_OVERRIDE=FQ","FILING_STATUS=MR","Sort=A","Dates=H","DateFormat=P","Fill=—","Direction=H","UseDPDF=Y")</f>
        <v>74.725099999999998</v>
      </c>
      <c r="I18" s="14">
        <f>_xll.BDH("ITCI US Equity","LEVEL_2_ASSETS_TO_TOTAL_ASSETS","FQ2 2020","FQ2 2020","Currency=USD","Period=FQ","BEST_FPERIOD_OVERRIDE=FQ","FILING_STATUS=MR","Sort=A","Dates=H","DateFormat=P","Fill=—","Direction=H","UseDPDF=Y")</f>
        <v>66.330799999999996</v>
      </c>
      <c r="J18" s="14">
        <f>_xll.BDH("ITCI US Equity","LEVEL_2_ASSETS_TO_TOTAL_ASSETS","FQ3 2020","FQ3 2020","Currency=USD","Period=FQ","BEST_FPERIOD_OVERRIDE=FQ","FILING_STATUS=MR","Sort=A","Dates=H","DateFormat=P","Fill=—","Direction=H","UseDPDF=Y")</f>
        <v>54.578299999999999</v>
      </c>
      <c r="K18" s="14">
        <f>_xll.BDH("ITCI US Equity","LEVEL_2_ASSETS_TO_TOTAL_ASSETS","FQ4 2020","FQ4 2020","Currency=USD","Period=FQ","BEST_FPERIOD_OVERRIDE=FQ","FILING_STATUS=MR","Sort=A","Dates=H","DateFormat=P","Fill=—","Direction=H","UseDPDF=Y")</f>
        <v>83.283199999999994</v>
      </c>
      <c r="L18" s="14">
        <f>_xll.BDH("ITCI US Equity","LEVEL_2_ASSETS_TO_TOTAL_ASSETS","FQ1 2021","FQ1 2021","Currency=USD","Period=FQ","BEST_FPERIOD_OVERRIDE=FQ","FILING_STATUS=MR","Sort=A","Dates=H","DateFormat=P","Fill=—","Direction=H","UseDPDF=Y")</f>
        <v>71.459299999999999</v>
      </c>
      <c r="M18" s="14">
        <f>_xll.BDH("ITCI US Equity","LEVEL_2_ASSETS_TO_TOTAL_ASSETS","FQ2 2021","FQ2 2021","Currency=USD","Period=FQ","BEST_FPERIOD_OVERRIDE=FQ","FILING_STATUS=MR","Sort=A","Dates=H","DateFormat=P","Fill=—","Direction=H","UseDPDF=Y")</f>
        <v>69.319100000000006</v>
      </c>
      <c r="N18" s="14">
        <f>_xll.BDH("ITCI US Equity","LEVEL_2_ASSETS_TO_TOTAL_ASSETS","FQ3 2021","FQ3 2021","Currency=USD","Period=FQ","BEST_FPERIOD_OVERRIDE=FQ","FILING_STATUS=MR","Sort=A","Dates=H","DateFormat=P","Fill=—","Direction=H","UseDPDF=Y")</f>
        <v>67.8947</v>
      </c>
      <c r="O18" s="14">
        <f>_xll.BDH("ITCI US Equity","LEVEL_2_ASSETS_TO_TOTAL_ASSETS","FQ4 2021","FQ4 2021","Currency=USD","Period=FQ","BEST_FPERIOD_OVERRIDE=FQ","FILING_STATUS=MR","Sort=A","Dates=H","DateFormat=P","Fill=—","Direction=H","UseDPDF=Y")</f>
        <v>65.31</v>
      </c>
      <c r="P18" s="14">
        <f>_xll.BDH("ITCI US Equity","LEVEL_2_ASSETS_TO_TOTAL_ASSETS","FQ1 2022","FQ1 2022","Currency=USD","Period=FQ","BEST_FPERIOD_OVERRIDE=FQ","FILING_STATUS=MR","Sort=A","Dates=H","DateFormat=P","Fill=—","Direction=H","UseDPDF=Y")</f>
        <v>80.308499999999995</v>
      </c>
      <c r="Q18" s="14">
        <f>_xll.BDH("ITCI US Equity","LEVEL_2_ASSETS_TO_TOTAL_ASSETS","FQ2 2022","FQ2 2022","Currency=USD","Period=FQ","BEST_FPERIOD_OVERRIDE=FQ","FILING_STATUS=MR","Sort=A","Dates=H","DateFormat=P","Fill=—","Direction=H","UseDPDF=Y")</f>
        <v>74.096400000000003</v>
      </c>
      <c r="R18" s="14">
        <f>_xll.BDH("ITCI US Equity","LEVEL_2_ASSETS_TO_TOTAL_ASSETS","FQ3 2022","FQ3 2022","Currency=USD","Period=FQ","BEST_FPERIOD_OVERRIDE=FQ","FILING_STATUS=MR","Sort=A","Dates=H","DateFormat=P","Fill=—","Direction=H","UseDPDF=Y")</f>
        <v>67.692499999999995</v>
      </c>
      <c r="S18" s="14">
        <f>_xll.BDH("ITCI US Equity","LEVEL_2_ASSETS_TO_TOTAL_ASSETS","FQ4 2022","FQ4 2022","Currency=USD","Period=FQ","BEST_FPERIOD_OVERRIDE=FQ","FILING_STATUS=MR","Sort=A","Dates=H","DateFormat=P","Fill=—","Direction=H","UseDPDF=Y")</f>
        <v>64.42</v>
      </c>
      <c r="T18" s="14">
        <f>_xll.BDH("ITCI US Equity","LEVEL_2_ASSETS_TO_TOTAL_ASSETS","FQ1 2023","FQ1 2023","Currency=USD","Period=FQ","BEST_FPERIOD_OVERRIDE=FQ","FILING_STATUS=MR","Sort=A","Dates=H","DateFormat=P","Fill=—","Direction=H","UseDPDF=Y")</f>
        <v>64.110799999999998</v>
      </c>
      <c r="U18" s="14">
        <f>_xll.BDH("ITCI US Equity","LEVEL_2_ASSETS_TO_TOTAL_ASSETS","FQ2 2023","FQ2 2023","Currency=USD","Period=FQ","BEST_FPERIOD_OVERRIDE=FQ","FILING_STATUS=MR","Sort=A","Dates=H","DateFormat=P","Fill=—","Direction=H","UseDPDF=Y")</f>
        <v>67.564700000000002</v>
      </c>
      <c r="V18" s="14">
        <f>_xll.BDH("ITCI US Equity","LEVEL_2_ASSETS_TO_TOTAL_ASSETS","FQ3 2023","FQ3 2023","Currency=USD","Period=FQ","BEST_FPERIOD_OVERRIDE=FQ","FILING_STATUS=MR","Sort=A","Dates=H","DateFormat=P","Fill=—","Direction=H","UseDPDF=Y")</f>
        <v>57.634099999999997</v>
      </c>
      <c r="W18" s="14">
        <f>_xll.BDH("ITCI US Equity","LEVEL_2_ASSETS_TO_TOTAL_ASSETS","FQ4 2023","FQ4 2023","Currency=USD","Period=FQ","BEST_FPERIOD_OVERRIDE=FQ","FILING_STATUS=MR","Sort=A","Dates=H","DateFormat=P","Fill=—","Direction=H","UseDPDF=Y")</f>
        <v>56.662999999999997</v>
      </c>
      <c r="X18" s="14">
        <f>_xll.BDH("ITCI US Equity","LEVEL_2_ASSETS_TO_TOTAL_ASSETS","FQ1 2024","FQ1 2024","Currency=USD","Period=FQ","BEST_FPERIOD_OVERRIDE=FQ","FILING_STATUS=MR","Sort=A","Dates=H","DateFormat=P","Fill=—","Direction=H","UseDPDF=Y")</f>
        <v>52.9833</v>
      </c>
      <c r="Y18" s="14">
        <f>_xll.BDH("ITCI US Equity","LEVEL_2_ASSETS_TO_TOTAL_ASSETS","FQ2 2024","FQ2 2024","Currency=USD","Period=FQ","BEST_FPERIOD_OVERRIDE=FQ","FILING_STATUS=MR","Sort=A","Dates=H","DateFormat=P","Fill=—","Direction=H","UseDPDF=Y")</f>
        <v>26.474799999999998</v>
      </c>
      <c r="Z18" s="14">
        <f>_xll.BDH("ITCI US Equity","LEVEL_2_ASSETS_TO_TOTAL_ASSETS","FQ3 2024","FQ3 2024","Currency=USD","Period=FQ","BEST_FPERIOD_OVERRIDE=FQ","FILING_STATUS=MR","Sort=A","Dates=H","DateFormat=P","Fill=—","Direction=H","UseDPDF=Y")</f>
        <v>42.700600000000001</v>
      </c>
      <c r="AA18" s="14">
        <f>_xll.BDH("ITCI US Equity","LEVEL_2_ASSETS_TO_TOTAL_ASSETS","FQ4 2024","FQ4 2024","Currency=USD","Period=FQ","BEST_FPERIOD_OVERRIDE=FQ","FILING_STATUS=MR","Sort=A","Dates=H","DateFormat=P","Fill=—","Direction=H","UseDPDF=Y")</f>
        <v>50.78</v>
      </c>
    </row>
    <row r="19" spans="1:27" x14ac:dyDescent="0.25">
      <c r="A19" s="10" t="s">
        <v>930</v>
      </c>
      <c r="B19" s="10" t="s">
        <v>931</v>
      </c>
      <c r="C19" s="14">
        <f>_xll.BDH("ITCI US Equity","LEVEL_3_ASSETS_TO_TOTAL_ASSETS","FQ4 2018","FQ4 2018","Currency=USD","Period=FQ","BEST_FPERIOD_OVERRIDE=FQ","FILING_STATUS=MR","Sort=A","Dates=H","DateFormat=P","Fill=—","Direction=H","UseDPDF=Y")</f>
        <v>0</v>
      </c>
      <c r="D19" s="14">
        <f>_xll.BDH("ITCI US Equity","LEVEL_3_ASSETS_TO_TOTAL_ASSETS","FQ1 2019","FQ1 2019","Currency=USD","Period=FQ","BEST_FPERIOD_OVERRIDE=FQ","FILING_STATUS=MR","Sort=A","Dates=H","DateFormat=P","Fill=—","Direction=H","UseDPDF=Y")</f>
        <v>0</v>
      </c>
      <c r="E19" s="14">
        <f>_xll.BDH("ITCI US Equity","LEVEL_3_ASSETS_TO_TOTAL_ASSETS","FQ2 2019","FQ2 2019","Currency=USD","Period=FQ","BEST_FPERIOD_OVERRIDE=FQ","FILING_STATUS=MR","Sort=A","Dates=H","DateFormat=P","Fill=—","Direction=H","UseDPDF=Y")</f>
        <v>0</v>
      </c>
      <c r="F19" s="14">
        <f>_xll.BDH("ITCI US Equity","LEVEL_3_ASSETS_TO_TOTAL_ASSETS","FQ3 2019","FQ3 2019","Currency=USD","Period=FQ","BEST_FPERIOD_OVERRIDE=FQ","FILING_STATUS=MR","Sort=A","Dates=H","DateFormat=P","Fill=—","Direction=H","UseDPDF=Y")</f>
        <v>0</v>
      </c>
      <c r="G19" s="14">
        <f>_xll.BDH("ITCI US Equity","LEVEL_3_ASSETS_TO_TOTAL_ASSETS","FQ4 2019","FQ4 2019","Currency=USD","Period=FQ","BEST_FPERIOD_OVERRIDE=FQ","FILING_STATUS=MR","Sort=A","Dates=H","DateFormat=P","Fill=—","Direction=H","UseDPDF=Y")</f>
        <v>0</v>
      </c>
      <c r="H19" s="14">
        <f>_xll.BDH("ITCI US Equity","LEVEL_3_ASSETS_TO_TOTAL_ASSETS","FQ1 2020","FQ1 2020","Currency=USD","Period=FQ","BEST_FPERIOD_OVERRIDE=FQ","FILING_STATUS=MR","Sort=A","Dates=H","DateFormat=P","Fill=—","Direction=H","UseDPDF=Y")</f>
        <v>0</v>
      </c>
      <c r="I19" s="14">
        <f>_xll.BDH("ITCI US Equity","LEVEL_3_ASSETS_TO_TOTAL_ASSETS","FQ2 2020","FQ2 2020","Currency=USD","Period=FQ","BEST_FPERIOD_OVERRIDE=FQ","FILING_STATUS=MR","Sort=A","Dates=H","DateFormat=P","Fill=—","Direction=H","UseDPDF=Y")</f>
        <v>0</v>
      </c>
      <c r="J19" s="14">
        <f>_xll.BDH("ITCI US Equity","LEVEL_3_ASSETS_TO_TOTAL_ASSETS","FQ3 2020","FQ3 2020","Currency=USD","Period=FQ","BEST_FPERIOD_OVERRIDE=FQ","FILING_STATUS=MR","Sort=A","Dates=H","DateFormat=P","Fill=—","Direction=H","UseDPDF=Y")</f>
        <v>0</v>
      </c>
      <c r="K19" s="14">
        <f>_xll.BDH("ITCI US Equity","LEVEL_3_ASSETS_TO_TOTAL_ASSETS","FQ4 2020","FQ4 2020","Currency=USD","Period=FQ","BEST_FPERIOD_OVERRIDE=FQ","FILING_STATUS=MR","Sort=A","Dates=H","DateFormat=P","Fill=—","Direction=H","UseDPDF=Y")</f>
        <v>0</v>
      </c>
      <c r="L19" s="14">
        <f>_xll.BDH("ITCI US Equity","LEVEL_3_ASSETS_TO_TOTAL_ASSETS","FQ1 2021","FQ1 2021","Currency=USD","Period=FQ","BEST_FPERIOD_OVERRIDE=FQ","FILING_STATUS=MR","Sort=A","Dates=H","DateFormat=P","Fill=—","Direction=H","UseDPDF=Y")</f>
        <v>0</v>
      </c>
      <c r="M19" s="14">
        <f>_xll.BDH("ITCI US Equity","LEVEL_3_ASSETS_TO_TOTAL_ASSETS","FQ2 2021","FQ2 2021","Currency=USD","Period=FQ","BEST_FPERIOD_OVERRIDE=FQ","FILING_STATUS=MR","Sort=A","Dates=H","DateFormat=P","Fill=—","Direction=H","UseDPDF=Y")</f>
        <v>0</v>
      </c>
      <c r="N19" s="14">
        <f>_xll.BDH("ITCI US Equity","LEVEL_3_ASSETS_TO_TOTAL_ASSETS","FQ3 2021","FQ3 2021","Currency=USD","Period=FQ","BEST_FPERIOD_OVERRIDE=FQ","FILING_STATUS=MR","Sort=A","Dates=H","DateFormat=P","Fill=—","Direction=H","UseDPDF=Y")</f>
        <v>0</v>
      </c>
      <c r="O19" s="14">
        <f>_xll.BDH("ITCI US Equity","LEVEL_3_ASSETS_TO_TOTAL_ASSETS","FQ4 2021","FQ4 2021","Currency=USD","Period=FQ","BEST_FPERIOD_OVERRIDE=FQ","FILING_STATUS=MR","Sort=A","Dates=H","DateFormat=P","Fill=—","Direction=H","UseDPDF=Y")</f>
        <v>0</v>
      </c>
      <c r="P19" s="14">
        <f>_xll.BDH("ITCI US Equity","LEVEL_3_ASSETS_TO_TOTAL_ASSETS","FQ1 2022","FQ1 2022","Currency=USD","Period=FQ","BEST_FPERIOD_OVERRIDE=FQ","FILING_STATUS=MR","Sort=A","Dates=H","DateFormat=P","Fill=—","Direction=H","UseDPDF=Y")</f>
        <v>0</v>
      </c>
      <c r="Q19" s="14">
        <f>_xll.BDH("ITCI US Equity","LEVEL_3_ASSETS_TO_TOTAL_ASSETS","FQ2 2022","FQ2 2022","Currency=USD","Period=FQ","BEST_FPERIOD_OVERRIDE=FQ","FILING_STATUS=MR","Sort=A","Dates=H","DateFormat=P","Fill=—","Direction=H","UseDPDF=Y")</f>
        <v>0</v>
      </c>
      <c r="R19" s="14">
        <f>_xll.BDH("ITCI US Equity","LEVEL_3_ASSETS_TO_TOTAL_ASSETS","FQ3 2022","FQ3 2022","Currency=USD","Period=FQ","BEST_FPERIOD_OVERRIDE=FQ","FILING_STATUS=MR","Sort=A","Dates=H","DateFormat=P","Fill=—","Direction=H","UseDPDF=Y")</f>
        <v>0</v>
      </c>
      <c r="S19" s="14">
        <f>_xll.BDH("ITCI US Equity","LEVEL_3_ASSETS_TO_TOTAL_ASSETS","FQ4 2022","FQ4 2022","Currency=USD","Period=FQ","BEST_FPERIOD_OVERRIDE=FQ","FILING_STATUS=MR","Sort=A","Dates=H","DateFormat=P","Fill=—","Direction=H","UseDPDF=Y")</f>
        <v>0</v>
      </c>
      <c r="T19" s="14">
        <f>_xll.BDH("ITCI US Equity","LEVEL_3_ASSETS_TO_TOTAL_ASSETS","FQ1 2023","FQ1 2023","Currency=USD","Period=FQ","BEST_FPERIOD_OVERRIDE=FQ","FILING_STATUS=MR","Sort=A","Dates=H","DateFormat=P","Fill=—","Direction=H","UseDPDF=Y")</f>
        <v>0</v>
      </c>
      <c r="U19" s="14">
        <f>_xll.BDH("ITCI US Equity","LEVEL_3_ASSETS_TO_TOTAL_ASSETS","FQ2 2023","FQ2 2023","Currency=USD","Period=FQ","BEST_FPERIOD_OVERRIDE=FQ","FILING_STATUS=MR","Sort=A","Dates=H","DateFormat=P","Fill=—","Direction=H","UseDPDF=Y")</f>
        <v>0</v>
      </c>
      <c r="V19" s="14">
        <f>_xll.BDH("ITCI US Equity","LEVEL_3_ASSETS_TO_TOTAL_ASSETS","FQ3 2023","FQ3 2023","Currency=USD","Period=FQ","BEST_FPERIOD_OVERRIDE=FQ","FILING_STATUS=MR","Sort=A","Dates=H","DateFormat=P","Fill=—","Direction=H","UseDPDF=Y")</f>
        <v>0</v>
      </c>
      <c r="W19" s="14">
        <f>_xll.BDH("ITCI US Equity","LEVEL_3_ASSETS_TO_TOTAL_ASSETS","FQ4 2023","FQ4 2023","Currency=USD","Period=FQ","BEST_FPERIOD_OVERRIDE=FQ","FILING_STATUS=MR","Sort=A","Dates=H","DateFormat=P","Fill=—","Direction=H","UseDPDF=Y")</f>
        <v>0</v>
      </c>
      <c r="X19" s="14">
        <f>_xll.BDH("ITCI US Equity","LEVEL_3_ASSETS_TO_TOTAL_ASSETS","FQ1 2024","FQ1 2024","Currency=USD","Period=FQ","BEST_FPERIOD_OVERRIDE=FQ","FILING_STATUS=MR","Sort=A","Dates=H","DateFormat=P","Fill=—","Direction=H","UseDPDF=Y")</f>
        <v>0</v>
      </c>
      <c r="Y19" s="14">
        <f>_xll.BDH("ITCI US Equity","LEVEL_3_ASSETS_TO_TOTAL_ASSETS","FQ2 2024","FQ2 2024","Currency=USD","Period=FQ","BEST_FPERIOD_OVERRIDE=FQ","FILING_STATUS=MR","Sort=A","Dates=H","DateFormat=P","Fill=—","Direction=H","UseDPDF=Y")</f>
        <v>0</v>
      </c>
      <c r="Z19" s="14">
        <f>_xll.BDH("ITCI US Equity","LEVEL_3_ASSETS_TO_TOTAL_ASSETS","FQ3 2024","FQ3 2024","Currency=USD","Period=FQ","BEST_FPERIOD_OVERRIDE=FQ","FILING_STATUS=MR","Sort=A","Dates=H","DateFormat=P","Fill=—","Direction=H","UseDPDF=Y")</f>
        <v>0</v>
      </c>
      <c r="AA19" s="14">
        <f>_xll.BDH("ITCI US Equity","LEVEL_3_ASSETS_TO_TOTAL_ASSETS","FQ4 2024","FQ4 2024","Currency=USD","Period=FQ","BEST_FPERIOD_OVERRIDE=FQ","FILING_STATUS=MR","Sort=A","Dates=H","DateFormat=P","Fill=—","Direction=H","UseDPDF=Y")</f>
        <v>0</v>
      </c>
    </row>
    <row r="20" spans="1:27" x14ac:dyDescent="0.25">
      <c r="A20" s="6" t="s">
        <v>932</v>
      </c>
      <c r="B20" s="6" t="s">
        <v>933</v>
      </c>
      <c r="C20" s="20">
        <f>_xll.BDH("ITCI US Equity","TOT_FAIR_VAL_ASSET_TO_TOT_ASSETS","FQ4 2018","FQ4 2018","Currency=USD","Period=FQ","BEST_FPERIOD_OVERRIDE=FQ","FILING_STATUS=MR","Sort=A","Dates=H","DateFormat=P","Fill=—","Direction=H","UseDPDF=Y")</f>
        <v>95.091800000000006</v>
      </c>
      <c r="D20" s="20">
        <f>_xll.BDH("ITCI US Equity","TOT_FAIR_VAL_ASSET_TO_TOT_ASSETS","FQ1 2019","FQ1 2019","Currency=USD","Period=FQ","BEST_FPERIOD_OVERRIDE=FQ","FILING_STATUS=MR","Sort=A","Dates=H","DateFormat=P","Fill=—","Direction=H","UseDPDF=Y")</f>
        <v>90.981800000000007</v>
      </c>
      <c r="E20" s="20">
        <f>_xll.BDH("ITCI US Equity","TOT_FAIR_VAL_ASSET_TO_TOT_ASSETS","FQ2 2019","FQ2 2019","Currency=USD","Period=FQ","BEST_FPERIOD_OVERRIDE=FQ","FILING_STATUS=MR","Sort=A","Dates=H","DateFormat=P","Fill=—","Direction=H","UseDPDF=Y")</f>
        <v>90.099000000000004</v>
      </c>
      <c r="F20" s="20">
        <f>_xll.BDH("ITCI US Equity","TOT_FAIR_VAL_ASSET_TO_TOT_ASSETS","FQ3 2019","FQ3 2019","Currency=USD","Period=FQ","BEST_FPERIOD_OVERRIDE=FQ","FILING_STATUS=MR","Sort=A","Dates=H","DateFormat=P","Fill=—","Direction=H","UseDPDF=Y")</f>
        <v>88.272999999999996</v>
      </c>
      <c r="G20" s="20">
        <f>_xll.BDH("ITCI US Equity","TOT_FAIR_VAL_ASSET_TO_TOT_ASSETS","FQ4 2019","FQ4 2019","Currency=USD","Period=FQ","BEST_FPERIOD_OVERRIDE=FQ","FILING_STATUS=MR","Sort=A","Dates=H","DateFormat=P","Fill=—","Direction=H","UseDPDF=Y")</f>
        <v>86.339799999999997</v>
      </c>
      <c r="H20" s="20">
        <f>_xll.BDH("ITCI US Equity","TOT_FAIR_VAL_ASSET_TO_TOT_ASSETS","FQ1 2020","FQ1 2020","Currency=USD","Period=FQ","BEST_FPERIOD_OVERRIDE=FQ","FILING_STATUS=MR","Sort=A","Dates=H","DateFormat=P","Fill=—","Direction=H","UseDPDF=Y")</f>
        <v>92.671499999999995</v>
      </c>
      <c r="I20" s="20">
        <f>_xll.BDH("ITCI US Equity","TOT_FAIR_VAL_ASSET_TO_TOT_ASSETS","FQ2 2020","FQ2 2020","Currency=USD","Period=FQ","BEST_FPERIOD_OVERRIDE=FQ","FILING_STATUS=MR","Sort=A","Dates=H","DateFormat=P","Fill=—","Direction=H","UseDPDF=Y")</f>
        <v>89.2042</v>
      </c>
      <c r="J20" s="20">
        <f>_xll.BDH("ITCI US Equity","TOT_FAIR_VAL_ASSET_TO_TOT_ASSETS","FQ3 2020","FQ3 2020","Currency=USD","Period=FQ","BEST_FPERIOD_OVERRIDE=FQ","FILING_STATUS=MR","Sort=A","Dates=H","DateFormat=P","Fill=—","Direction=H","UseDPDF=Y")</f>
        <v>83.651399999999995</v>
      </c>
      <c r="K20" s="20">
        <f>_xll.BDH("ITCI US Equity","TOT_FAIR_VAL_ASSET_TO_TOT_ASSETS","FQ4 2020","FQ4 2020","Currency=USD","Period=FQ","BEST_FPERIOD_OVERRIDE=FQ","FILING_STATUS=MR","Sort=A","Dates=H","DateFormat=P","Fill=—","Direction=H","UseDPDF=Y")</f>
        <v>87.1751</v>
      </c>
      <c r="L20" s="20">
        <f>_xll.BDH("ITCI US Equity","TOT_FAIR_VAL_ASSET_TO_TOT_ASSETS","FQ1 2021","FQ1 2021","Currency=USD","Period=FQ","BEST_FPERIOD_OVERRIDE=FQ","FILING_STATUS=MR","Sort=A","Dates=H","DateFormat=P","Fill=—","Direction=H","UseDPDF=Y")</f>
        <v>83.854200000000006</v>
      </c>
      <c r="M20" s="20">
        <f>_xll.BDH("ITCI US Equity","TOT_FAIR_VAL_ASSET_TO_TOT_ASSETS","FQ2 2021","FQ2 2021","Currency=USD","Period=FQ","BEST_FPERIOD_OVERRIDE=FQ","FILING_STATUS=MR","Sort=A","Dates=H","DateFormat=P","Fill=—","Direction=H","UseDPDF=Y")</f>
        <v>84.845100000000002</v>
      </c>
      <c r="N20" s="20">
        <f>_xll.BDH("ITCI US Equity","TOT_FAIR_VAL_ASSET_TO_TOT_ASSETS","FQ3 2021","FQ3 2021","Currency=USD","Period=FQ","BEST_FPERIOD_OVERRIDE=FQ","FILING_STATUS=MR","Sort=A","Dates=H","DateFormat=P","Fill=—","Direction=H","UseDPDF=Y")</f>
        <v>83.739199999999997</v>
      </c>
      <c r="O20" s="20">
        <f>_xll.BDH("ITCI US Equity","TOT_FAIR_VAL_ASSET_TO_TOT_ASSETS","FQ4 2021","FQ4 2021","Currency=USD","Period=FQ","BEST_FPERIOD_OVERRIDE=FQ","FILING_STATUS=MR","Sort=A","Dates=H","DateFormat=P","Fill=—","Direction=H","UseDPDF=Y")</f>
        <v>76.850399999999993</v>
      </c>
      <c r="P20" s="20">
        <f>_xll.BDH("ITCI US Equity","TOT_FAIR_VAL_ASSET_TO_TOT_ASSETS","FQ1 2022","FQ1 2022","Currency=USD","Period=FQ","BEST_FPERIOD_OVERRIDE=FQ","FILING_STATUS=MR","Sort=A","Dates=H","DateFormat=P","Fill=—","Direction=H","UseDPDF=Y")</f>
        <v>43.3474</v>
      </c>
      <c r="Q20" s="20">
        <f>_xll.BDH("ITCI US Equity","TOT_FAIR_VAL_ASSET_TO_TOT_ASSETS","FQ2 2022","FQ2 2022","Currency=USD","Period=FQ","BEST_FPERIOD_OVERRIDE=FQ","FILING_STATUS=MR","Sort=A","Dates=H","DateFormat=P","Fill=—","Direction=H","UseDPDF=Y")</f>
        <v>80.965999999999994</v>
      </c>
      <c r="R20" s="20">
        <f>_xll.BDH("ITCI US Equity","TOT_FAIR_VAL_ASSET_TO_TOT_ASSETS","FQ3 2022","FQ3 2022","Currency=USD","Period=FQ","BEST_FPERIOD_OVERRIDE=FQ","FILING_STATUS=MR","Sort=A","Dates=H","DateFormat=P","Fill=—","Direction=H","UseDPDF=Y")</f>
        <v>73.718400000000003</v>
      </c>
      <c r="S20" s="20">
        <f>_xll.BDH("ITCI US Equity","TOT_FAIR_VAL_ASSET_TO_TOT_ASSETS","FQ4 2022","FQ4 2022","Currency=USD","Period=FQ","BEST_FPERIOD_OVERRIDE=FQ","FILING_STATUS=MR","Sort=A","Dates=H","DateFormat=P","Fill=—","Direction=H","UseDPDF=Y")</f>
        <v>66.036699999999996</v>
      </c>
      <c r="T20" s="20">
        <f>_xll.BDH("ITCI US Equity","TOT_FAIR_VAL_ASSET_TO_TOT_ASSETS","FQ1 2023","FQ1 2023","Currency=USD","Period=FQ","BEST_FPERIOD_OVERRIDE=FQ","FILING_STATUS=MR","Sort=A","Dates=H","DateFormat=P","Fill=—","Direction=H","UseDPDF=Y")</f>
        <v>68.391999999999996</v>
      </c>
      <c r="U20" s="20">
        <f>_xll.BDH("ITCI US Equity","TOT_FAIR_VAL_ASSET_TO_TOT_ASSETS","FQ2 2023","FQ2 2023","Currency=USD","Period=FQ","BEST_FPERIOD_OVERRIDE=FQ","FILING_STATUS=MR","Sort=A","Dates=H","DateFormat=P","Fill=—","Direction=H","UseDPDF=Y")</f>
        <v>69.274699999999996</v>
      </c>
      <c r="V20" s="20">
        <f>_xll.BDH("ITCI US Equity","TOT_FAIR_VAL_ASSET_TO_TOT_ASSETS","FQ3 2023","FQ3 2023","Currency=USD","Period=FQ","BEST_FPERIOD_OVERRIDE=FQ","FILING_STATUS=MR","Sort=A","Dates=H","DateFormat=P","Fill=—","Direction=H","UseDPDF=Y")</f>
        <v>58.25</v>
      </c>
      <c r="W20" s="20">
        <f>_xll.BDH("ITCI US Equity","TOT_FAIR_VAL_ASSET_TO_TOT_ASSETS","FQ4 2023","FQ4 2023","Currency=USD","Period=FQ","BEST_FPERIOD_OVERRIDE=FQ","FILING_STATUS=MR","Sort=A","Dates=H","DateFormat=P","Fill=—","Direction=H","UseDPDF=Y")</f>
        <v>58.131900000000002</v>
      </c>
      <c r="X20" s="20">
        <f>_xll.BDH("ITCI US Equity","TOT_FAIR_VAL_ASSET_TO_TOT_ASSETS","FQ1 2024","FQ1 2024","Currency=USD","Period=FQ","BEST_FPERIOD_OVERRIDE=FQ","FILING_STATUS=MR","Sort=A","Dates=H","DateFormat=P","Fill=—","Direction=H","UseDPDF=Y")</f>
        <v>57.160800000000002</v>
      </c>
      <c r="Y20" s="20">
        <f>_xll.BDH("ITCI US Equity","TOT_FAIR_VAL_ASSET_TO_TOT_ASSETS","FQ2 2024","FQ2 2024","Currency=USD","Period=FQ","BEST_FPERIOD_OVERRIDE=FQ","FILING_STATUS=MR","Sort=A","Dates=H","DateFormat=P","Fill=—","Direction=H","UseDPDF=Y")</f>
        <v>32.68</v>
      </c>
      <c r="Z20" s="20">
        <f>_xll.BDH("ITCI US Equity","TOT_FAIR_VAL_ASSET_TO_TOT_ASSETS","FQ3 2024","FQ3 2024","Currency=USD","Period=FQ","BEST_FPERIOD_OVERRIDE=FQ","FILING_STATUS=MR","Sort=A","Dates=H","DateFormat=P","Fill=—","Direction=H","UseDPDF=Y")</f>
        <v>59.696300000000001</v>
      </c>
      <c r="AA20" s="20">
        <f>_xll.BDH("ITCI US Equity","TOT_FAIR_VAL_ASSET_TO_TOT_ASSETS","FQ4 2024","FQ4 2024","Currency=USD","Period=FQ","BEST_FPERIOD_OVERRIDE=FQ","FILING_STATUS=MR","Sort=A","Dates=H","DateFormat=P","Fill=—","Direction=H","UseDPDF=Y")</f>
        <v>64.937600000000003</v>
      </c>
    </row>
    <row r="21" spans="1:27" x14ac:dyDescent="0.25">
      <c r="A21" s="7" t="s">
        <v>90</v>
      </c>
      <c r="B21" s="7"/>
      <c r="C21" s="7" t="s">
        <v>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91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10" t="s">
        <v>97</v>
      </c>
      <c r="B6" s="10" t="s">
        <v>70</v>
      </c>
      <c r="C6" s="13">
        <f>_xll.BDH("ITCI US Equity","SALES_REV_TURN","FQ4 2018","FQ4 2018","Currency=USD","Period=FQ","BEST_FPERIOD_OVERRIDE=FQ","FILING_STATUS=MR","SCALING_FORMAT=MLN","FA_ADJUSTED=GAAP","Sort=A","Dates=H","DateFormat=P","Fill=—","Direction=H","UseDPDF=Y")</f>
        <v>0</v>
      </c>
      <c r="D6" s="13">
        <f>_xll.BDH("ITCI US Equity","SALES_REV_TURN","FQ1 2019","FQ1 2019","Currency=USD","Period=FQ","BEST_FPERIOD_OVERRIDE=FQ","FILING_STATUS=MR","SCALING_FORMAT=MLN","FA_ADJUSTED=GAAP","Sort=A","Dates=H","DateFormat=P","Fill=—","Direction=H","UseDPDF=Y")</f>
        <v>0</v>
      </c>
      <c r="E6" s="13">
        <f>_xll.BDH("ITCI US Equity","SALES_REV_TURN","FQ2 2019","FQ2 2019","Currency=USD","Period=FQ","BEST_FPERIOD_OVERRIDE=FQ","FILING_STATUS=MR","SCALING_FORMAT=MLN","FA_ADJUSTED=GAAP","Sort=A","Dates=H","DateFormat=P","Fill=—","Direction=H","UseDPDF=Y")</f>
        <v>0</v>
      </c>
      <c r="F6" s="13">
        <f>_xll.BDH("ITCI US Equity","SALES_REV_TURN","FQ3 2019","FQ3 2019","Currency=USD","Period=FQ","BEST_FPERIOD_OVERRIDE=FQ","FILING_STATUS=MR","SCALING_FORMAT=MLN","FA_ADJUSTED=GAAP","Sort=A","Dates=H","DateFormat=P","Fill=—","Direction=H","UseDPDF=Y")</f>
        <v>0</v>
      </c>
      <c r="G6" s="13">
        <f>_xll.BDH("ITCI US Equity","SALES_REV_TURN","FQ4 2019","FQ4 2019","Currency=USD","Period=FQ","BEST_FPERIOD_OVERRIDE=FQ","FILING_STATUS=MR","SCALING_FORMAT=MLN","FA_ADJUSTED=GAAP","Sort=A","Dates=H","DateFormat=P","Fill=—","Direction=H","UseDPDF=Y")</f>
        <v>6.0600000000000001E-2</v>
      </c>
      <c r="H6" s="13">
        <f>_xll.BDH("ITCI US Equity","SALES_REV_TURN","FQ1 2020","FQ1 2020","Currency=USD","Period=FQ","BEST_FPERIOD_OVERRIDE=FQ","FILING_STATUS=MR","SCALING_FORMAT=MLN","FA_ADJUSTED=GAAP","Sort=A","Dates=H","DateFormat=P","Fill=—","Direction=H","UseDPDF=Y")</f>
        <v>1.0834999999999999</v>
      </c>
      <c r="I6" s="13">
        <f>_xll.BDH("ITCI US Equity","SALES_REV_TURN","FQ2 2020","FQ2 2020","Currency=USD","Period=FQ","BEST_FPERIOD_OVERRIDE=FQ","FILING_STATUS=MR","SCALING_FORMAT=MLN","FA_ADJUSTED=GAAP","Sort=A","Dates=H","DateFormat=P","Fill=—","Direction=H","UseDPDF=Y")</f>
        <v>1.9066000000000001</v>
      </c>
      <c r="J6" s="13">
        <f>_xll.BDH("ITCI US Equity","SALES_REV_TURN","FQ3 2020","FQ3 2020","Currency=USD","Period=FQ","BEST_FPERIOD_OVERRIDE=FQ","FILING_STATUS=MR","SCALING_FORMAT=MLN","FA_ADJUSTED=GAAP","Sort=A","Dates=H","DateFormat=P","Fill=—","Direction=H","UseDPDF=Y")</f>
        <v>7.3685999999999998</v>
      </c>
      <c r="K6" s="13">
        <f>_xll.BDH("ITCI US Equity","SALES_REV_TURN","FQ4 2020","FQ4 2020","Currency=USD","Period=FQ","BEST_FPERIOD_OVERRIDE=FQ","FILING_STATUS=MR","SCALING_FORMAT=MLN","FA_ADJUSTED=GAAP","Sort=A","Dates=H","DateFormat=P","Fill=—","Direction=H","UseDPDF=Y")</f>
        <v>12.4543</v>
      </c>
      <c r="L6" s="13">
        <f>_xll.BDH("ITCI US Equity","SALES_REV_TURN","FQ1 2021","FQ1 2021","Currency=USD","Period=FQ","BEST_FPERIOD_OVERRIDE=FQ","FILING_STATUS=MR","SCALING_FORMAT=MLN","FA_ADJUSTED=GAAP","Sort=A","Dates=H","DateFormat=P","Fill=—","Direction=H","UseDPDF=Y")</f>
        <v>15.878299999999999</v>
      </c>
      <c r="M6" s="13">
        <f>_xll.BDH("ITCI US Equity","SALES_REV_TURN","FQ2 2021","FQ2 2021","Currency=USD","Period=FQ","BEST_FPERIOD_OVERRIDE=FQ","FILING_STATUS=MR","SCALING_FORMAT=MLN","FA_ADJUSTED=GAAP","Sort=A","Dates=H","DateFormat=P","Fill=—","Direction=H","UseDPDF=Y")</f>
        <v>20.046600000000002</v>
      </c>
      <c r="N6" s="13">
        <f>_xll.BDH("ITCI US Equity","SALES_REV_TURN","FQ3 2021","FQ3 2021","Currency=USD","Period=FQ","BEST_FPERIOD_OVERRIDE=FQ","FILING_STATUS=MR","SCALING_FORMAT=MLN","FA_ADJUSTED=GAAP","Sort=A","Dates=H","DateFormat=P","Fill=—","Direction=H","UseDPDF=Y")</f>
        <v>22.2072</v>
      </c>
      <c r="O6" s="13">
        <f>_xll.BDH("ITCI US Equity","SALES_REV_TURN","FQ4 2021","FQ4 2021","Currency=USD","Period=FQ","BEST_FPERIOD_OVERRIDE=FQ","FILING_STATUS=MR","SCALING_FORMAT=MLN","FA_ADJUSTED=GAAP","Sort=A","Dates=H","DateFormat=P","Fill=—","Direction=H","UseDPDF=Y")</f>
        <v>25.6709</v>
      </c>
      <c r="P6" s="13">
        <f>_xll.BDH("ITCI US Equity","SALES_REV_TURN","FQ1 2022","FQ1 2022","Currency=USD","Period=FQ","BEST_FPERIOD_OVERRIDE=FQ","FILING_STATUS=MR","SCALING_FORMAT=MLN","FA_ADJUSTED=GAAP","Sort=A","Dates=H","DateFormat=P","Fill=—","Direction=H","UseDPDF=Y")</f>
        <v>34.996000000000002</v>
      </c>
      <c r="Q6" s="13">
        <f>_xll.BDH("ITCI US Equity","SALES_REV_TURN","FQ2 2022","FQ2 2022","Currency=USD","Period=FQ","BEST_FPERIOD_OVERRIDE=FQ","FILING_STATUS=MR","SCALING_FORMAT=MLN","FA_ADJUSTED=GAAP","Sort=A","Dates=H","DateFormat=P","Fill=—","Direction=H","UseDPDF=Y")</f>
        <v>55.579000000000001</v>
      </c>
      <c r="R6" s="13">
        <f>_xll.BDH("ITCI US Equity","SALES_REV_TURN","FQ3 2022","FQ3 2022","Currency=USD","Period=FQ","BEST_FPERIOD_OVERRIDE=FQ","FILING_STATUS=MR","SCALING_FORMAT=MLN","FA_ADJUSTED=GAAP","Sort=A","Dates=H","DateFormat=P","Fill=—","Direction=H","UseDPDF=Y")</f>
        <v>71.87</v>
      </c>
      <c r="S6" s="13">
        <f>_xll.BDH("ITCI US Equity","SALES_REV_TURN","FQ4 2022","FQ4 2022","Currency=USD","Period=FQ","BEST_FPERIOD_OVERRIDE=FQ","FILING_STATUS=MR","SCALING_FORMAT=MLN","FA_ADJUSTED=GAAP","Sort=A","Dates=H","DateFormat=P","Fill=—","Direction=H","UseDPDF=Y")</f>
        <v>87.869</v>
      </c>
      <c r="T6" s="13">
        <f>_xll.BDH("ITCI US Equity","SALES_REV_TURN","FQ1 2023","FQ1 2023","Currency=USD","Period=FQ","BEST_FPERIOD_OVERRIDE=FQ","FILING_STATUS=MR","SCALING_FORMAT=MLN","FA_ADJUSTED=GAAP","Sort=A","Dates=H","DateFormat=P","Fill=—","Direction=H","UseDPDF=Y")</f>
        <v>95.305999999999997</v>
      </c>
      <c r="U6" s="13">
        <f>_xll.BDH("ITCI US Equity","SALES_REV_TURN","FQ2 2023","FQ2 2023","Currency=USD","Period=FQ","BEST_FPERIOD_OVERRIDE=FQ","FILING_STATUS=MR","SCALING_FORMAT=MLN","FA_ADJUSTED=GAAP","Sort=A","Dates=H","DateFormat=P","Fill=—","Direction=H","UseDPDF=Y")</f>
        <v>110.792</v>
      </c>
      <c r="V6" s="13">
        <f>_xll.BDH("ITCI US Equity","SALES_REV_TURN","FQ3 2023","FQ3 2023","Currency=USD","Period=FQ","BEST_FPERIOD_OVERRIDE=FQ","FILING_STATUS=MR","SCALING_FORMAT=MLN","FA_ADJUSTED=GAAP","Sort=A","Dates=H","DateFormat=P","Fill=—","Direction=H","UseDPDF=Y")</f>
        <v>126.173</v>
      </c>
      <c r="W6" s="13">
        <f>_xll.BDH("ITCI US Equity","SALES_REV_TURN","FQ4 2023","FQ4 2023","Currency=USD","Period=FQ","BEST_FPERIOD_OVERRIDE=FQ","FILING_STATUS=MR","SCALING_FORMAT=MLN","FA_ADJUSTED=GAAP","Sort=A","Dates=H","DateFormat=P","Fill=—","Direction=H","UseDPDF=Y")</f>
        <v>132.09899999999999</v>
      </c>
      <c r="X6" s="13">
        <f>_xll.BDH("ITCI US Equity","SALES_REV_TURN","FQ1 2024","FQ1 2024","Currency=USD","Period=FQ","BEST_FPERIOD_OVERRIDE=FQ","FILING_STATUS=MR","SCALING_FORMAT=MLN","FA_ADJUSTED=GAAP","Sort=A","Dates=H","DateFormat=P","Fill=—","Direction=H","UseDPDF=Y")</f>
        <v>144.86600000000001</v>
      </c>
      <c r="Y6" s="13">
        <f>_xll.BDH("ITCI US Equity","SALES_REV_TURN","FQ2 2024","FQ2 2024","Currency=USD","Period=FQ","BEST_FPERIOD_OVERRIDE=FQ","FILING_STATUS=MR","SCALING_FORMAT=MLN","FA_ADJUSTED=GAAP","Sort=A","Dates=H","DateFormat=P","Fill=—","Direction=H","UseDPDF=Y")</f>
        <v>161.38800000000001</v>
      </c>
      <c r="Z6" s="13">
        <f>_xll.BDH("ITCI US Equity","SALES_REV_TURN","FQ3 2024","FQ3 2024","Currency=USD","Period=FQ","BEST_FPERIOD_OVERRIDE=FQ","FILING_STATUS=MR","SCALING_FORMAT=MLN","FA_ADJUSTED=GAAP","Sort=A","Dates=H","DateFormat=P","Fill=—","Direction=H","UseDPDF=Y")</f>
        <v>175.375</v>
      </c>
      <c r="AA6" s="13">
        <f>_xll.BDH("ITCI US Equity","SALES_REV_TURN","FQ4 2024","FQ4 2024","Currency=USD","Period=FQ","BEST_FPERIOD_OVERRIDE=FQ","FILING_STATUS=MR","SCALING_FORMAT=MLN","FA_ADJUSTED=GAAP","Sort=A","Dates=H","DateFormat=P","Fill=—","Direction=H","UseDPDF=Y")</f>
        <v>199.22300000000001</v>
      </c>
    </row>
    <row r="7" spans="1:27" x14ac:dyDescent="0.25">
      <c r="A7" s="10" t="s">
        <v>98</v>
      </c>
      <c r="B7" s="10" t="s">
        <v>99</v>
      </c>
      <c r="C7" s="13">
        <f>_xll.BDH("ITCI US Equity","IS_OPER_INC","FQ4 2018","FQ4 2018","Currency=USD","Period=FQ","BEST_FPERIOD_OVERRIDE=FQ","FILING_STATUS=MR","SCALING_FORMAT=MLN","FA_ADJUSTED=GAAP","Sort=A","Dates=H","DateFormat=P","Fill=—","Direction=H","UseDPDF=Y")</f>
        <v>-42.622900000000001</v>
      </c>
      <c r="D7" s="13">
        <f>_xll.BDH("ITCI US Equity","IS_OPER_INC","FQ1 2019","FQ1 2019","Currency=USD","Period=FQ","BEST_FPERIOD_OVERRIDE=FQ","FILING_STATUS=MR","SCALING_FORMAT=MLN","FA_ADJUSTED=GAAP","Sort=A","Dates=H","DateFormat=P","Fill=—","Direction=H","UseDPDF=Y")</f>
        <v>-36.695799999999998</v>
      </c>
      <c r="E7" s="13">
        <f>_xll.BDH("ITCI US Equity","IS_OPER_INC","FQ2 2019","FQ2 2019","Currency=USD","Period=FQ","BEST_FPERIOD_OVERRIDE=FQ","FILING_STATUS=MR","SCALING_FORMAT=MLN","FA_ADJUSTED=GAAP","Sort=A","Dates=H","DateFormat=P","Fill=—","Direction=H","UseDPDF=Y")</f>
        <v>-39.171100000000003</v>
      </c>
      <c r="F7" s="13">
        <f>_xll.BDH("ITCI US Equity","IS_OPER_INC","FQ3 2019","FQ3 2019","Currency=USD","Period=FQ","BEST_FPERIOD_OVERRIDE=FQ","FILING_STATUS=MR","SCALING_FORMAT=MLN","FA_ADJUSTED=GAAP","Sort=A","Dates=H","DateFormat=P","Fill=—","Direction=H","UseDPDF=Y")</f>
        <v>-36.376199999999997</v>
      </c>
      <c r="G7" s="13">
        <f>_xll.BDH("ITCI US Equity","IS_OPER_INC","FQ4 2019","FQ4 2019","Currency=USD","Period=FQ","BEST_FPERIOD_OVERRIDE=FQ","FILING_STATUS=MR","SCALING_FORMAT=MLN","FA_ADJUSTED=GAAP","Sort=A","Dates=H","DateFormat=P","Fill=—","Direction=H","UseDPDF=Y")</f>
        <v>-41.768700000000003</v>
      </c>
      <c r="H7" s="13">
        <f>_xll.BDH("ITCI US Equity","IS_OPER_INC","FQ1 2020","FQ1 2020","Currency=USD","Period=FQ","BEST_FPERIOD_OVERRIDE=FQ","FILING_STATUS=MR","SCALING_FORMAT=MLN","FA_ADJUSTED=GAAP","Sort=A","Dates=H","DateFormat=P","Fill=—","Direction=H","UseDPDF=Y")</f>
        <v>-49.085500000000003</v>
      </c>
      <c r="I7" s="13">
        <f>_xll.BDH("ITCI US Equity","IS_OPER_INC","FQ2 2020","FQ2 2020","Currency=USD","Period=FQ","BEST_FPERIOD_OVERRIDE=FQ","FILING_STATUS=MR","SCALING_FORMAT=MLN","FA_ADJUSTED=GAAP","Sort=A","Dates=H","DateFormat=P","Fill=—","Direction=H","UseDPDF=Y")</f>
        <v>-64.872299999999996</v>
      </c>
      <c r="J7" s="13">
        <f>_xll.BDH("ITCI US Equity","IS_OPER_INC","FQ3 2020","FQ3 2020","Currency=USD","Period=FQ","BEST_FPERIOD_OVERRIDE=FQ","FILING_STATUS=MR","SCALING_FORMAT=MLN","FA_ADJUSTED=GAAP","Sort=A","Dates=H","DateFormat=P","Fill=—","Direction=H","UseDPDF=Y")</f>
        <v>-55.936500000000002</v>
      </c>
      <c r="K7" s="13">
        <f>_xll.BDH("ITCI US Equity","IS_OPER_INC","FQ4 2020","FQ4 2020","Currency=USD","Period=FQ","BEST_FPERIOD_OVERRIDE=FQ","FILING_STATUS=MR","SCALING_FORMAT=MLN","FA_ADJUSTED=GAAP","Sort=A","Dates=H","DateFormat=P","Fill=—","Direction=H","UseDPDF=Y")</f>
        <v>-61.333300000000001</v>
      </c>
      <c r="L7" s="13">
        <f>_xll.BDH("ITCI US Equity","IS_OPER_INC","FQ1 2021","FQ1 2021","Currency=USD","Period=FQ","BEST_FPERIOD_OVERRIDE=FQ","FILING_STATUS=MR","SCALING_FORMAT=MLN","FA_ADJUSTED=GAAP","Sort=A","Dates=H","DateFormat=P","Fill=—","Direction=H","UseDPDF=Y")</f>
        <v>-53.218699999999998</v>
      </c>
      <c r="M7" s="13">
        <f>_xll.BDH("ITCI US Equity","IS_OPER_INC","FQ2 2021","FQ2 2021","Currency=USD","Period=FQ","BEST_FPERIOD_OVERRIDE=FQ","FILING_STATUS=MR","SCALING_FORMAT=MLN","FA_ADJUSTED=GAAP","Sort=A","Dates=H","DateFormat=P","Fill=—","Direction=H","UseDPDF=Y")</f>
        <v>-69.141099999999994</v>
      </c>
      <c r="N7" s="13">
        <f>_xll.BDH("ITCI US Equity","IS_OPER_INC","FQ3 2021","FQ3 2021","Currency=USD","Period=FQ","BEST_FPERIOD_OVERRIDE=FQ","FILING_STATUS=MR","SCALING_FORMAT=MLN","FA_ADJUSTED=GAAP","Sort=A","Dates=H","DateFormat=P","Fill=—","Direction=H","UseDPDF=Y")</f>
        <v>-77.323800000000006</v>
      </c>
      <c r="O7" s="13">
        <f>_xll.BDH("ITCI US Equity","IS_OPER_INC","FQ4 2021","FQ4 2021","Currency=USD","Period=FQ","BEST_FPERIOD_OVERRIDE=FQ","FILING_STATUS=MR","SCALING_FORMAT=MLN","FA_ADJUSTED=GAAP","Sort=A","Dates=H","DateFormat=P","Fill=—","Direction=H","UseDPDF=Y")</f>
        <v>-86.004599999999996</v>
      </c>
      <c r="P7" s="13">
        <f>_xll.BDH("ITCI US Equity","IS_OPER_INC","FQ1 2022","FQ1 2022","Currency=USD","Period=FQ","BEST_FPERIOD_OVERRIDE=FQ","FILING_STATUS=MR","SCALING_FORMAT=MLN","FA_ADJUSTED=GAAP","Sort=A","Dates=H","DateFormat=P","Fill=—","Direction=H","UseDPDF=Y")</f>
        <v>-72.662000000000006</v>
      </c>
      <c r="Q7" s="13">
        <f>_xll.BDH("ITCI US Equity","IS_OPER_INC","FQ2 2022","FQ2 2022","Currency=USD","Period=FQ","BEST_FPERIOD_OVERRIDE=FQ","FILING_STATUS=MR","SCALING_FORMAT=MLN","FA_ADJUSTED=GAAP","Sort=A","Dates=H","DateFormat=P","Fill=—","Direction=H","UseDPDF=Y")</f>
        <v>-87.923000000000002</v>
      </c>
      <c r="R7" s="13">
        <f>_xll.BDH("ITCI US Equity","IS_OPER_INC","FQ3 2022","FQ3 2022","Currency=USD","Period=FQ","BEST_FPERIOD_OVERRIDE=FQ","FILING_STATUS=MR","SCALING_FORMAT=MLN","FA_ADJUSTED=GAAP","Sort=A","Dates=H","DateFormat=P","Fill=—","Direction=H","UseDPDF=Y")</f>
        <v>-55.628999999999998</v>
      </c>
      <c r="S7" s="13">
        <f>_xll.BDH("ITCI US Equity","IS_OPER_INC","FQ4 2022","FQ4 2022","Currency=USD","Period=FQ","BEST_FPERIOD_OVERRIDE=FQ","FILING_STATUS=MR","SCALING_FORMAT=MLN","FA_ADJUSTED=GAAP","Sort=A","Dates=H","DateFormat=P","Fill=—","Direction=H","UseDPDF=Y")</f>
        <v>-47.411999999999999</v>
      </c>
      <c r="T7" s="13">
        <f>_xll.BDH("ITCI US Equity","IS_OPER_INC","FQ1 2023","FQ1 2023","Currency=USD","Period=FQ","BEST_FPERIOD_OVERRIDE=FQ","FILING_STATUS=MR","SCALING_FORMAT=MLN","FA_ADJUSTED=GAAP","Sort=A","Dates=H","DateFormat=P","Fill=—","Direction=H","UseDPDF=Y")</f>
        <v>-48.392000000000003</v>
      </c>
      <c r="U7" s="13">
        <f>_xll.BDH("ITCI US Equity","IS_OPER_INC","FQ2 2023","FQ2 2023","Currency=USD","Period=FQ","BEST_FPERIOD_OVERRIDE=FQ","FILING_STATUS=MR","SCALING_FORMAT=MLN","FA_ADJUSTED=GAAP","Sort=A","Dates=H","DateFormat=P","Fill=—","Direction=H","UseDPDF=Y")</f>
        <v>-47.179000000000002</v>
      </c>
      <c r="V7" s="13">
        <f>_xll.BDH("ITCI US Equity","IS_OPER_INC","FQ3 2023","FQ3 2023","Currency=USD","Period=FQ","BEST_FPERIOD_OVERRIDE=FQ","FILING_STATUS=MR","SCALING_FORMAT=MLN","FA_ADJUSTED=GAAP","Sort=A","Dates=H","DateFormat=P","Fill=—","Direction=H","UseDPDF=Y")</f>
        <v>-29.713000000000001</v>
      </c>
      <c r="W7" s="13">
        <f>_xll.BDH("ITCI US Equity","IS_OPER_INC","FQ4 2023","FQ4 2023","Currency=USD","Period=FQ","BEST_FPERIOD_OVERRIDE=FQ","FILING_STATUS=MR","SCALING_FORMAT=MLN","FA_ADJUSTED=GAAP","Sort=A","Dates=H","DateFormat=P","Fill=—","Direction=H","UseDPDF=Y")</f>
        <v>-34.097000000000001</v>
      </c>
      <c r="X7" s="13">
        <f>_xll.BDH("ITCI US Equity","IS_OPER_INC","FQ1 2024","FQ1 2024","Currency=USD","Period=FQ","BEST_FPERIOD_OVERRIDE=FQ","FILING_STATUS=MR","SCALING_FORMAT=MLN","FA_ADJUSTED=GAAP","Sort=A","Dates=H","DateFormat=P","Fill=—","Direction=H","UseDPDF=Y")</f>
        <v>-20.952000000000002</v>
      </c>
      <c r="Y7" s="13">
        <f>_xll.BDH("ITCI US Equity","IS_OPER_INC","FQ2 2024","FQ2 2024","Currency=USD","Period=FQ","BEST_FPERIOD_OVERRIDE=FQ","FILING_STATUS=MR","SCALING_FORMAT=MLN","FA_ADJUSTED=GAAP","Sort=A","Dates=H","DateFormat=P","Fill=—","Direction=H","UseDPDF=Y")</f>
        <v>-27.722999999999999</v>
      </c>
      <c r="Z7" s="13">
        <f>_xll.BDH("ITCI US Equity","IS_OPER_INC","FQ3 2024","FQ3 2024","Currency=USD","Period=FQ","BEST_FPERIOD_OVERRIDE=FQ","FILING_STATUS=MR","SCALING_FORMAT=MLN","FA_ADJUSTED=GAAP","Sort=A","Dates=H","DateFormat=P","Fill=—","Direction=H","UseDPDF=Y")</f>
        <v>-38.848999999999997</v>
      </c>
      <c r="AA7" s="13">
        <f>_xll.BDH("ITCI US Equity","IS_OPER_INC","FQ4 2024","FQ4 2024","Currency=USD","Period=FQ","BEST_FPERIOD_OVERRIDE=FQ","FILING_STATUS=MR","SCALING_FORMAT=MLN","FA_ADJUSTED=GAAP","Sort=A","Dates=H","DateFormat=P","Fill=—","Direction=H","UseDPDF=Y")</f>
        <v>-29.196999999999999</v>
      </c>
    </row>
    <row r="8" spans="1:27" x14ac:dyDescent="0.25">
      <c r="A8" s="10" t="s">
        <v>100</v>
      </c>
      <c r="B8" s="10" t="s">
        <v>80</v>
      </c>
      <c r="C8" s="13">
        <f>_xll.BDH("ITCI US Equity","EARN_FOR_COMMON","FQ4 2018","FQ4 2018","Currency=USD","Period=FQ","BEST_FPERIOD_OVERRIDE=FQ","FILING_STATUS=MR","SCALING_FORMAT=MLN","FA_ADJUSTED=GAAP","Sort=A","Dates=H","DateFormat=P","Fill=—","Direction=H","UseDPDF=Y")</f>
        <v>-40.747999999999998</v>
      </c>
      <c r="D8" s="13">
        <f>_xll.BDH("ITCI US Equity","EARN_FOR_COMMON","FQ1 2019","FQ1 2019","Currency=USD","Period=FQ","BEST_FPERIOD_OVERRIDE=FQ","FILING_STATUS=MR","SCALING_FORMAT=MLN","FA_ADJUSTED=GAAP","Sort=A","Dates=H","DateFormat=P","Fill=—","Direction=H","UseDPDF=Y")</f>
        <v>-34.835799999999999</v>
      </c>
      <c r="E8" s="13">
        <f>_xll.BDH("ITCI US Equity","EARN_FOR_COMMON","FQ2 2019","FQ2 2019","Currency=USD","Period=FQ","BEST_FPERIOD_OVERRIDE=FQ","FILING_STATUS=MR","SCALING_FORMAT=MLN","FA_ADJUSTED=GAAP","Sort=A","Dates=H","DateFormat=P","Fill=—","Direction=H","UseDPDF=Y")</f>
        <v>-37.441200000000002</v>
      </c>
      <c r="F8" s="13">
        <f>_xll.BDH("ITCI US Equity","EARN_FOR_COMMON","FQ3 2019","FQ3 2019","Currency=USD","Period=FQ","BEST_FPERIOD_OVERRIDE=FQ","FILING_STATUS=MR","SCALING_FORMAT=MLN","FA_ADJUSTED=GAAP","Sort=A","Dates=H","DateFormat=P","Fill=—","Direction=H","UseDPDF=Y")</f>
        <v>-34.862400000000001</v>
      </c>
      <c r="G8" s="13">
        <f>_xll.BDH("ITCI US Equity","EARN_FOR_COMMON","FQ4 2019","FQ4 2019","Currency=USD","Period=FQ","BEST_FPERIOD_OVERRIDE=FQ","FILING_STATUS=MR","SCALING_FORMAT=MLN","FA_ADJUSTED=GAAP","Sort=A","Dates=H","DateFormat=P","Fill=—","Direction=H","UseDPDF=Y")</f>
        <v>-40.582900000000002</v>
      </c>
      <c r="H8" s="13">
        <f>_xll.BDH("ITCI US Equity","EARN_FOR_COMMON","FQ1 2020","FQ1 2020","Currency=USD","Period=FQ","BEST_FPERIOD_OVERRIDE=FQ","FILING_STATUS=MR","SCALING_FORMAT=MLN","FA_ADJUSTED=GAAP","Sort=A","Dates=H","DateFormat=P","Fill=—","Direction=H","UseDPDF=Y")</f>
        <v>-47.410600000000002</v>
      </c>
      <c r="I8" s="13">
        <f>_xll.BDH("ITCI US Equity","EARN_FOR_COMMON","FQ2 2020","FQ2 2020","Currency=USD","Period=FQ","BEST_FPERIOD_OVERRIDE=FQ","FILING_STATUS=MR","SCALING_FORMAT=MLN","FA_ADJUSTED=GAAP","Sort=A","Dates=H","DateFormat=P","Fill=—","Direction=H","UseDPDF=Y")</f>
        <v>-63.712299999999999</v>
      </c>
      <c r="J8" s="13">
        <f>_xll.BDH("ITCI US Equity","EARN_FOR_COMMON","FQ3 2020","FQ3 2020","Currency=USD","Period=FQ","BEST_FPERIOD_OVERRIDE=FQ","FILING_STATUS=MR","SCALING_FORMAT=MLN","FA_ADJUSTED=GAAP","Sort=A","Dates=H","DateFormat=P","Fill=—","Direction=H","UseDPDF=Y")</f>
        <v>-55.183599999999998</v>
      </c>
      <c r="K8" s="13">
        <f>_xll.BDH("ITCI US Equity","EARN_FOR_COMMON","FQ4 2020","FQ4 2020","Currency=USD","Period=FQ","BEST_FPERIOD_OVERRIDE=FQ","FILING_STATUS=MR","SCALING_FORMAT=MLN","FA_ADJUSTED=GAAP","Sort=A","Dates=H","DateFormat=P","Fill=—","Direction=H","UseDPDF=Y")</f>
        <v>-60.699199999999998</v>
      </c>
      <c r="L8" s="13">
        <f>_xll.BDH("ITCI US Equity","EARN_FOR_COMMON","FQ1 2021","FQ1 2021","Currency=USD","Period=FQ","BEST_FPERIOD_OVERRIDE=FQ","FILING_STATUS=MR","SCALING_FORMAT=MLN","FA_ADJUSTED=GAAP","Sort=A","Dates=H","DateFormat=P","Fill=—","Direction=H","UseDPDF=Y")</f>
        <v>-52.739899999999999</v>
      </c>
      <c r="M8" s="13">
        <f>_xll.BDH("ITCI US Equity","EARN_FOR_COMMON","FQ2 2021","FQ2 2021","Currency=USD","Period=FQ","BEST_FPERIOD_OVERRIDE=FQ","FILING_STATUS=MR","SCALING_FORMAT=MLN","FA_ADJUSTED=GAAP","Sort=A","Dates=H","DateFormat=P","Fill=—","Direction=H","UseDPDF=Y")</f>
        <v>-68.743799999999993</v>
      </c>
      <c r="N8" s="13">
        <f>_xll.BDH("ITCI US Equity","EARN_FOR_COMMON","FQ3 2021","FQ3 2021","Currency=USD","Period=FQ","BEST_FPERIOD_OVERRIDE=FQ","FILING_STATUS=MR","SCALING_FORMAT=MLN","FA_ADJUSTED=GAAP","Sort=A","Dates=H","DateFormat=P","Fill=—","Direction=H","UseDPDF=Y")</f>
        <v>-76.908000000000001</v>
      </c>
      <c r="O8" s="13">
        <f>_xll.BDH("ITCI US Equity","EARN_FOR_COMMON","FQ4 2021","FQ4 2021","Currency=USD","Period=FQ","BEST_FPERIOD_OVERRIDE=FQ","FILING_STATUS=MR","SCALING_FORMAT=MLN","FA_ADJUSTED=GAAP","Sort=A","Dates=H","DateFormat=P","Fill=—","Direction=H","UseDPDF=Y")</f>
        <v>-85.733900000000006</v>
      </c>
      <c r="P8" s="13">
        <f>_xll.BDH("ITCI US Equity","EARN_FOR_COMMON","FQ1 2022","FQ1 2022","Currency=USD","Period=FQ","BEST_FPERIOD_OVERRIDE=FQ","FILING_STATUS=MR","SCALING_FORMAT=MLN","FA_ADJUSTED=GAAP","Sort=A","Dates=H","DateFormat=P","Fill=—","Direction=H","UseDPDF=Y")</f>
        <v>-72.119</v>
      </c>
      <c r="Q8" s="13">
        <f>_xll.BDH("ITCI US Equity","EARN_FOR_COMMON","FQ2 2022","FQ2 2022","Currency=USD","Period=FQ","BEST_FPERIOD_OVERRIDE=FQ","FILING_STATUS=MR","SCALING_FORMAT=MLN","FA_ADJUSTED=GAAP","Sort=A","Dates=H","DateFormat=P","Fill=—","Direction=H","UseDPDF=Y")</f>
        <v>-86.602999999999994</v>
      </c>
      <c r="R8" s="13">
        <f>_xll.BDH("ITCI US Equity","EARN_FOR_COMMON","FQ3 2022","FQ3 2022","Currency=USD","Period=FQ","BEST_FPERIOD_OVERRIDE=FQ","FILING_STATUS=MR","SCALING_FORMAT=MLN","FA_ADJUSTED=GAAP","Sort=A","Dates=H","DateFormat=P","Fill=—","Direction=H","UseDPDF=Y")</f>
        <v>-53.508000000000003</v>
      </c>
      <c r="S8" s="13">
        <f>_xll.BDH("ITCI US Equity","EARN_FOR_COMMON","FQ4 2022","FQ4 2022","Currency=USD","Period=FQ","BEST_FPERIOD_OVERRIDE=FQ","FILING_STATUS=MR","SCALING_FORMAT=MLN","FA_ADJUSTED=GAAP","Sort=A","Dates=H","DateFormat=P","Fill=—","Direction=H","UseDPDF=Y")</f>
        <v>-44.026000000000003</v>
      </c>
      <c r="T8" s="13">
        <f>_xll.BDH("ITCI US Equity","EARN_FOR_COMMON","FQ1 2023","FQ1 2023","Currency=USD","Period=FQ","BEST_FPERIOD_OVERRIDE=FQ","FILING_STATUS=MR","SCALING_FORMAT=MLN","FA_ADJUSTED=GAAP","Sort=A","Dates=H","DateFormat=P","Fill=—","Direction=H","UseDPDF=Y")</f>
        <v>-44.052999999999997</v>
      </c>
      <c r="U8" s="13">
        <f>_xll.BDH("ITCI US Equity","EARN_FOR_COMMON","FQ2 2023","FQ2 2023","Currency=USD","Period=FQ","BEST_FPERIOD_OVERRIDE=FQ","FILING_STATUS=MR","SCALING_FORMAT=MLN","FA_ADJUSTED=GAAP","Sort=A","Dates=H","DateFormat=P","Fill=—","Direction=H","UseDPDF=Y")</f>
        <v>-42.783999999999999</v>
      </c>
      <c r="V8" s="13">
        <f>_xll.BDH("ITCI US Equity","EARN_FOR_COMMON","FQ3 2023","FQ3 2023","Currency=USD","Period=FQ","BEST_FPERIOD_OVERRIDE=FQ","FILING_STATUS=MR","SCALING_FORMAT=MLN","FA_ADJUSTED=GAAP","Sort=A","Dates=H","DateFormat=P","Fill=—","Direction=H","UseDPDF=Y")</f>
        <v>-24.257999999999999</v>
      </c>
      <c r="W8" s="13">
        <f>_xll.BDH("ITCI US Equity","EARN_FOR_COMMON","FQ4 2023","FQ4 2023","Currency=USD","Period=FQ","BEST_FPERIOD_OVERRIDE=FQ","FILING_STATUS=MR","SCALING_FORMAT=MLN","FA_ADJUSTED=GAAP","Sort=A","Dates=H","DateFormat=P","Fill=—","Direction=H","UseDPDF=Y")</f>
        <v>-28.579000000000001</v>
      </c>
      <c r="X8" s="13">
        <f>_xll.BDH("ITCI US Equity","EARN_FOR_COMMON","FQ1 2024","FQ1 2024","Currency=USD","Period=FQ","BEST_FPERIOD_OVERRIDE=FQ","FILING_STATUS=MR","SCALING_FORMAT=MLN","FA_ADJUSTED=GAAP","Sort=A","Dates=H","DateFormat=P","Fill=—","Direction=H","UseDPDF=Y")</f>
        <v>-15.247</v>
      </c>
      <c r="Y8" s="13">
        <f>_xll.BDH("ITCI US Equity","EARN_FOR_COMMON","FQ2 2024","FQ2 2024","Currency=USD","Period=FQ","BEST_FPERIOD_OVERRIDE=FQ","FILING_STATUS=MR","SCALING_FORMAT=MLN","FA_ADJUSTED=GAAP","Sort=A","Dates=H","DateFormat=P","Fill=—","Direction=H","UseDPDF=Y")</f>
        <v>-16.22</v>
      </c>
      <c r="Z8" s="13">
        <f>_xll.BDH("ITCI US Equity","EARN_FOR_COMMON","FQ3 2024","FQ3 2024","Currency=USD","Period=FQ","BEST_FPERIOD_OVERRIDE=FQ","FILING_STATUS=MR","SCALING_FORMAT=MLN","FA_ADJUSTED=GAAP","Sort=A","Dates=H","DateFormat=P","Fill=—","Direction=H","UseDPDF=Y")</f>
        <v>-26.324000000000002</v>
      </c>
      <c r="AA8" s="13">
        <f>_xll.BDH("ITCI US Equity","EARN_FOR_COMMON","FQ4 2024","FQ4 2024","Currency=USD","Period=FQ","BEST_FPERIOD_OVERRIDE=FQ","FILING_STATUS=MR","SCALING_FORMAT=MLN","FA_ADJUSTED=GAAP","Sort=A","Dates=H","DateFormat=P","Fill=—","Direction=H","UseDPDF=Y")</f>
        <v>-16.885000000000002</v>
      </c>
    </row>
    <row r="9" spans="1:27" x14ac:dyDescent="0.25">
      <c r="A9" s="10" t="s">
        <v>101</v>
      </c>
      <c r="B9" s="10" t="s">
        <v>102</v>
      </c>
      <c r="C9" s="14">
        <f>_xll.BDH("ITCI US Equity","IS_EPS","FQ4 2018","FQ4 2018","Currency=USD","Period=FQ","BEST_FPERIOD_OVERRIDE=FQ","FILING_STATUS=MR","FA_ADJUSTED=GAAP","Sort=A","Dates=H","DateFormat=P","Fill=—","Direction=H","UseDPDF=Y")</f>
        <v>-0.75</v>
      </c>
      <c r="D9" s="14">
        <f>_xll.BDH("ITCI US Equity","IS_EPS","FQ1 2019","FQ1 2019","Currency=USD","Period=FQ","BEST_FPERIOD_OVERRIDE=FQ","FILING_STATUS=MR","FA_ADJUSTED=GAAP","Sort=A","Dates=H","DateFormat=P","Fill=—","Direction=H","UseDPDF=Y")</f>
        <v>-0.63</v>
      </c>
      <c r="E9" s="14">
        <f>_xll.BDH("ITCI US Equity","IS_EPS","FQ2 2019","FQ2 2019","Currency=USD","Period=FQ","BEST_FPERIOD_OVERRIDE=FQ","FILING_STATUS=MR","FA_ADJUSTED=GAAP","Sort=A","Dates=H","DateFormat=P","Fill=—","Direction=H","UseDPDF=Y")</f>
        <v>-0.68</v>
      </c>
      <c r="F9" s="14">
        <f>_xll.BDH("ITCI US Equity","IS_EPS","FQ3 2019","FQ3 2019","Currency=USD","Period=FQ","BEST_FPERIOD_OVERRIDE=FQ","FILING_STATUS=MR","FA_ADJUSTED=GAAP","Sort=A","Dates=H","DateFormat=P","Fill=—","Direction=H","UseDPDF=Y")</f>
        <v>-0.63</v>
      </c>
      <c r="G9" s="14">
        <f>_xll.BDH("ITCI US Equity","IS_EPS","FQ4 2019","FQ4 2019","Currency=USD","Period=FQ","BEST_FPERIOD_OVERRIDE=FQ","FILING_STATUS=MR","FA_ADJUSTED=GAAP","Sort=A","Dates=H","DateFormat=P","Fill=—","Direction=H","UseDPDF=Y")</f>
        <v>-0.74</v>
      </c>
      <c r="H9" s="14">
        <f>_xll.BDH("ITCI US Equity","IS_EPS","FQ1 2020","FQ1 2020","Currency=USD","Period=FQ","BEST_FPERIOD_OVERRIDE=FQ","FILING_STATUS=MR","FA_ADJUSTED=GAAP","Sort=A","Dates=H","DateFormat=P","Fill=—","Direction=H","UseDPDF=Y")</f>
        <v>-0.73</v>
      </c>
      <c r="I9" s="14">
        <f>_xll.BDH("ITCI US Equity","IS_EPS","FQ2 2020","FQ2 2020","Currency=USD","Period=FQ","BEST_FPERIOD_OVERRIDE=FQ","FILING_STATUS=MR","FA_ADJUSTED=GAAP","Sort=A","Dates=H","DateFormat=P","Fill=—","Direction=H","UseDPDF=Y")</f>
        <v>-0.96</v>
      </c>
      <c r="J9" s="14">
        <f>_xll.BDH("ITCI US Equity","IS_EPS","FQ3 2020","FQ3 2020","Currency=USD","Period=FQ","BEST_FPERIOD_OVERRIDE=FQ","FILING_STATUS=MR","FA_ADJUSTED=GAAP","Sort=A","Dates=H","DateFormat=P","Fill=—","Direction=H","UseDPDF=Y")</f>
        <v>-0.79</v>
      </c>
      <c r="K9" s="14">
        <f>_xll.BDH("ITCI US Equity","IS_EPS","FQ4 2020","FQ4 2020","Currency=USD","Period=FQ","BEST_FPERIOD_OVERRIDE=FQ","FILING_STATUS=MR","FA_ADJUSTED=GAAP","Sort=A","Dates=H","DateFormat=P","Fill=—","Direction=H","UseDPDF=Y")</f>
        <v>-0.76</v>
      </c>
      <c r="L9" s="14">
        <f>_xll.BDH("ITCI US Equity","IS_EPS","FQ1 2021","FQ1 2021","Currency=USD","Period=FQ","BEST_FPERIOD_OVERRIDE=FQ","FILING_STATUS=MR","FA_ADJUSTED=GAAP","Sort=A","Dates=H","DateFormat=P","Fill=—","Direction=H","UseDPDF=Y")</f>
        <v>-0.65</v>
      </c>
      <c r="M9" s="14">
        <f>_xll.BDH("ITCI US Equity","IS_EPS","FQ2 2021","FQ2 2021","Currency=USD","Period=FQ","BEST_FPERIOD_OVERRIDE=FQ","FILING_STATUS=MR","FA_ADJUSTED=GAAP","Sort=A","Dates=H","DateFormat=P","Fill=—","Direction=H","UseDPDF=Y")</f>
        <v>-0.85</v>
      </c>
      <c r="N9" s="14">
        <f>_xll.BDH("ITCI US Equity","IS_EPS","FQ3 2021","FQ3 2021","Currency=USD","Period=FQ","BEST_FPERIOD_OVERRIDE=FQ","FILING_STATUS=MR","FA_ADJUSTED=GAAP","Sort=A","Dates=H","DateFormat=P","Fill=—","Direction=H","UseDPDF=Y")</f>
        <v>-0.95</v>
      </c>
      <c r="O9" s="14">
        <f>_xll.BDH("ITCI US Equity","IS_EPS","FQ4 2021","FQ4 2021","Currency=USD","Period=FQ","BEST_FPERIOD_OVERRIDE=FQ","FILING_STATUS=MR","FA_ADJUSTED=GAAP","Sort=A","Dates=H","DateFormat=P","Fill=—","Direction=H","UseDPDF=Y")</f>
        <v>-1.05</v>
      </c>
      <c r="P9" s="14">
        <f>_xll.BDH("ITCI US Equity","IS_EPS","FQ1 2022","FQ1 2022","Currency=USD","Period=FQ","BEST_FPERIOD_OVERRIDE=FQ","FILING_STATUS=MR","FA_ADJUSTED=GAAP","Sort=A","Dates=H","DateFormat=P","Fill=—","Direction=H","UseDPDF=Y")</f>
        <v>-0.78</v>
      </c>
      <c r="Q9" s="14">
        <f>_xll.BDH("ITCI US Equity","IS_EPS","FQ2 2022","FQ2 2022","Currency=USD","Period=FQ","BEST_FPERIOD_OVERRIDE=FQ","FILING_STATUS=MR","FA_ADJUSTED=GAAP","Sort=A","Dates=H","DateFormat=P","Fill=—","Direction=H","UseDPDF=Y")</f>
        <v>-0.92</v>
      </c>
      <c r="R9" s="14">
        <f>_xll.BDH("ITCI US Equity","IS_EPS","FQ3 2022","FQ3 2022","Currency=USD","Period=FQ","BEST_FPERIOD_OVERRIDE=FQ","FILING_STATUS=MR","FA_ADJUSTED=GAAP","Sort=A","Dates=H","DateFormat=P","Fill=—","Direction=H","UseDPDF=Y")</f>
        <v>-0.56999999999999995</v>
      </c>
      <c r="S9" s="14">
        <f>_xll.BDH("ITCI US Equity","IS_EPS","FQ4 2022","FQ4 2022","Currency=USD","Period=FQ","BEST_FPERIOD_OVERRIDE=FQ","FILING_STATUS=MR","FA_ADJUSTED=GAAP","Sort=A","Dates=H","DateFormat=P","Fill=—","Direction=H","UseDPDF=Y")</f>
        <v>-0.45</v>
      </c>
      <c r="T9" s="14">
        <f>_xll.BDH("ITCI US Equity","IS_EPS","FQ1 2023","FQ1 2023","Currency=USD","Period=FQ","BEST_FPERIOD_OVERRIDE=FQ","FILING_STATUS=MR","FA_ADJUSTED=GAAP","Sort=A","Dates=H","DateFormat=P","Fill=—","Direction=H","UseDPDF=Y")</f>
        <v>-0.46</v>
      </c>
      <c r="U9" s="14">
        <f>_xll.BDH("ITCI US Equity","IS_EPS","FQ2 2023","FQ2 2023","Currency=USD","Period=FQ","BEST_FPERIOD_OVERRIDE=FQ","FILING_STATUS=MR","FA_ADJUSTED=GAAP","Sort=A","Dates=H","DateFormat=P","Fill=—","Direction=H","UseDPDF=Y")</f>
        <v>-0.45</v>
      </c>
      <c r="V9" s="14">
        <f>_xll.BDH("ITCI US Equity","IS_EPS","FQ3 2023","FQ3 2023","Currency=USD","Period=FQ","BEST_FPERIOD_OVERRIDE=FQ","FILING_STATUS=MR","FA_ADJUSTED=GAAP","Sort=A","Dates=H","DateFormat=P","Fill=—","Direction=H","UseDPDF=Y")</f>
        <v>-0.25</v>
      </c>
      <c r="W9" s="14">
        <f>_xll.BDH("ITCI US Equity","IS_EPS","FQ4 2023","FQ4 2023","Currency=USD","Period=FQ","BEST_FPERIOD_OVERRIDE=FQ","FILING_STATUS=MR","FA_ADJUSTED=GAAP","Sort=A","Dates=H","DateFormat=P","Fill=—","Direction=H","UseDPDF=Y")</f>
        <v>-0.3</v>
      </c>
      <c r="X9" s="14">
        <f>_xll.BDH("ITCI US Equity","IS_EPS","FQ1 2024","FQ1 2024","Currency=USD","Period=FQ","BEST_FPERIOD_OVERRIDE=FQ","FILING_STATUS=MR","FA_ADJUSTED=GAAP","Sort=A","Dates=H","DateFormat=P","Fill=—","Direction=H","UseDPDF=Y")</f>
        <v>-0.16</v>
      </c>
      <c r="Y9" s="14">
        <f>_xll.BDH("ITCI US Equity","IS_EPS","FQ2 2024","FQ2 2024","Currency=USD","Period=FQ","BEST_FPERIOD_OVERRIDE=FQ","FILING_STATUS=MR","FA_ADJUSTED=GAAP","Sort=A","Dates=H","DateFormat=P","Fill=—","Direction=H","UseDPDF=Y")</f>
        <v>-0.16</v>
      </c>
      <c r="Z9" s="14">
        <f>_xll.BDH("ITCI US Equity","IS_EPS","FQ3 2024","FQ3 2024","Currency=USD","Period=FQ","BEST_FPERIOD_OVERRIDE=FQ","FILING_STATUS=MR","FA_ADJUSTED=GAAP","Sort=A","Dates=H","DateFormat=P","Fill=—","Direction=H","UseDPDF=Y")</f>
        <v>-0.25</v>
      </c>
      <c r="AA9" s="14">
        <f>_xll.BDH("ITCI US Equity","IS_EPS","FQ4 2024","FQ4 2024","Currency=USD","Period=FQ","BEST_FPERIOD_OVERRIDE=FQ","FILING_STATUS=MR","FA_ADJUSTED=GAAP","Sort=A","Dates=H","DateFormat=P","Fill=—","Direction=H","UseDPDF=Y")</f>
        <v>-0.16</v>
      </c>
    </row>
    <row r="10" spans="1:27" x14ac:dyDescent="0.25">
      <c r="A10" s="10" t="s">
        <v>103</v>
      </c>
      <c r="B10" s="10" t="s">
        <v>104</v>
      </c>
      <c r="C10" s="14">
        <f>_xll.BDH("ITCI US Equity","IS_DILUTED_EPS","FQ4 2018","FQ4 2018","Currency=USD","Period=FQ","BEST_FPERIOD_OVERRIDE=FQ","FILING_STATUS=MR","FA_ADJUSTED=GAAP","Sort=A","Dates=H","DateFormat=P","Fill=—","Direction=H","UseDPDF=Y")</f>
        <v>-0.75</v>
      </c>
      <c r="D10" s="14">
        <f>_xll.BDH("ITCI US Equity","IS_DILUTED_EPS","FQ1 2019","FQ1 2019","Currency=USD","Period=FQ","BEST_FPERIOD_OVERRIDE=FQ","FILING_STATUS=MR","FA_ADJUSTED=GAAP","Sort=A","Dates=H","DateFormat=P","Fill=—","Direction=H","UseDPDF=Y")</f>
        <v>-0.63</v>
      </c>
      <c r="E10" s="14">
        <f>_xll.BDH("ITCI US Equity","IS_DILUTED_EPS","FQ2 2019","FQ2 2019","Currency=USD","Period=FQ","BEST_FPERIOD_OVERRIDE=FQ","FILING_STATUS=MR","FA_ADJUSTED=GAAP","Sort=A","Dates=H","DateFormat=P","Fill=—","Direction=H","UseDPDF=Y")</f>
        <v>-0.68</v>
      </c>
      <c r="F10" s="14">
        <f>_xll.BDH("ITCI US Equity","IS_DILUTED_EPS","FQ3 2019","FQ3 2019","Currency=USD","Period=FQ","BEST_FPERIOD_OVERRIDE=FQ","FILING_STATUS=MR","FA_ADJUSTED=GAAP","Sort=A","Dates=H","DateFormat=P","Fill=—","Direction=H","UseDPDF=Y")</f>
        <v>-0.63</v>
      </c>
      <c r="G10" s="14">
        <f>_xll.BDH("ITCI US Equity","IS_DILUTED_EPS","FQ4 2019","FQ4 2019","Currency=USD","Period=FQ","BEST_FPERIOD_OVERRIDE=FQ","FILING_STATUS=MR","FA_ADJUSTED=GAAP","Sort=A","Dates=H","DateFormat=P","Fill=—","Direction=H","UseDPDF=Y")</f>
        <v>-0.74</v>
      </c>
      <c r="H10" s="14">
        <f>_xll.BDH("ITCI US Equity","IS_DILUTED_EPS","FQ1 2020","FQ1 2020","Currency=USD","Period=FQ","BEST_FPERIOD_OVERRIDE=FQ","FILING_STATUS=MR","FA_ADJUSTED=GAAP","Sort=A","Dates=H","DateFormat=P","Fill=—","Direction=H","UseDPDF=Y")</f>
        <v>-0.73</v>
      </c>
      <c r="I10" s="14">
        <f>_xll.BDH("ITCI US Equity","IS_DILUTED_EPS","FQ2 2020","FQ2 2020","Currency=USD","Period=FQ","BEST_FPERIOD_OVERRIDE=FQ","FILING_STATUS=MR","FA_ADJUSTED=GAAP","Sort=A","Dates=H","DateFormat=P","Fill=—","Direction=H","UseDPDF=Y")</f>
        <v>-0.96</v>
      </c>
      <c r="J10" s="14">
        <f>_xll.BDH("ITCI US Equity","IS_DILUTED_EPS","FQ3 2020","FQ3 2020","Currency=USD","Period=FQ","BEST_FPERIOD_OVERRIDE=FQ","FILING_STATUS=MR","FA_ADJUSTED=GAAP","Sort=A","Dates=H","DateFormat=P","Fill=—","Direction=H","UseDPDF=Y")</f>
        <v>-0.79</v>
      </c>
      <c r="K10" s="14">
        <f>_xll.BDH("ITCI US Equity","IS_DILUTED_EPS","FQ4 2020","FQ4 2020","Currency=USD","Period=FQ","BEST_FPERIOD_OVERRIDE=FQ","FILING_STATUS=MR","FA_ADJUSTED=GAAP","Sort=A","Dates=H","DateFormat=P","Fill=—","Direction=H","UseDPDF=Y")</f>
        <v>-0.76</v>
      </c>
      <c r="L10" s="14">
        <f>_xll.BDH("ITCI US Equity","IS_DILUTED_EPS","FQ1 2021","FQ1 2021","Currency=USD","Period=FQ","BEST_FPERIOD_OVERRIDE=FQ","FILING_STATUS=MR","FA_ADJUSTED=GAAP","Sort=A","Dates=H","DateFormat=P","Fill=—","Direction=H","UseDPDF=Y")</f>
        <v>-0.65</v>
      </c>
      <c r="M10" s="14">
        <f>_xll.BDH("ITCI US Equity","IS_DILUTED_EPS","FQ2 2021","FQ2 2021","Currency=USD","Period=FQ","BEST_FPERIOD_OVERRIDE=FQ","FILING_STATUS=MR","FA_ADJUSTED=GAAP","Sort=A","Dates=H","DateFormat=P","Fill=—","Direction=H","UseDPDF=Y")</f>
        <v>-0.85</v>
      </c>
      <c r="N10" s="14">
        <f>_xll.BDH("ITCI US Equity","IS_DILUTED_EPS","FQ3 2021","FQ3 2021","Currency=USD","Period=FQ","BEST_FPERIOD_OVERRIDE=FQ","FILING_STATUS=MR","FA_ADJUSTED=GAAP","Sort=A","Dates=H","DateFormat=P","Fill=—","Direction=H","UseDPDF=Y")</f>
        <v>-0.95</v>
      </c>
      <c r="O10" s="14">
        <f>_xll.BDH("ITCI US Equity","IS_DILUTED_EPS","FQ4 2021","FQ4 2021","Currency=USD","Period=FQ","BEST_FPERIOD_OVERRIDE=FQ","FILING_STATUS=MR","FA_ADJUSTED=GAAP","Sort=A","Dates=H","DateFormat=P","Fill=—","Direction=H","UseDPDF=Y")</f>
        <v>-1.05</v>
      </c>
      <c r="P10" s="14">
        <f>_xll.BDH("ITCI US Equity","IS_DILUTED_EPS","FQ1 2022","FQ1 2022","Currency=USD","Period=FQ","BEST_FPERIOD_OVERRIDE=FQ","FILING_STATUS=MR","FA_ADJUSTED=GAAP","Sort=A","Dates=H","DateFormat=P","Fill=—","Direction=H","UseDPDF=Y")</f>
        <v>-0.78</v>
      </c>
      <c r="Q10" s="14">
        <f>_xll.BDH("ITCI US Equity","IS_DILUTED_EPS","FQ2 2022","FQ2 2022","Currency=USD","Period=FQ","BEST_FPERIOD_OVERRIDE=FQ","FILING_STATUS=MR","FA_ADJUSTED=GAAP","Sort=A","Dates=H","DateFormat=P","Fill=—","Direction=H","UseDPDF=Y")</f>
        <v>-0.92</v>
      </c>
      <c r="R10" s="14">
        <f>_xll.BDH("ITCI US Equity","IS_DILUTED_EPS","FQ3 2022","FQ3 2022","Currency=USD","Period=FQ","BEST_FPERIOD_OVERRIDE=FQ","FILING_STATUS=MR","FA_ADJUSTED=GAAP","Sort=A","Dates=H","DateFormat=P","Fill=—","Direction=H","UseDPDF=Y")</f>
        <v>-0.56999999999999995</v>
      </c>
      <c r="S10" s="14">
        <f>_xll.BDH("ITCI US Equity","IS_DILUTED_EPS","FQ4 2022","FQ4 2022","Currency=USD","Period=FQ","BEST_FPERIOD_OVERRIDE=FQ","FILING_STATUS=MR","FA_ADJUSTED=GAAP","Sort=A","Dates=H","DateFormat=P","Fill=—","Direction=H","UseDPDF=Y")</f>
        <v>-0.45</v>
      </c>
      <c r="T10" s="14">
        <f>_xll.BDH("ITCI US Equity","IS_DILUTED_EPS","FQ1 2023","FQ1 2023","Currency=USD","Period=FQ","BEST_FPERIOD_OVERRIDE=FQ","FILING_STATUS=MR","FA_ADJUSTED=GAAP","Sort=A","Dates=H","DateFormat=P","Fill=—","Direction=H","UseDPDF=Y")</f>
        <v>-0.46</v>
      </c>
      <c r="U10" s="14">
        <f>_xll.BDH("ITCI US Equity","IS_DILUTED_EPS","FQ2 2023","FQ2 2023","Currency=USD","Period=FQ","BEST_FPERIOD_OVERRIDE=FQ","FILING_STATUS=MR","FA_ADJUSTED=GAAP","Sort=A","Dates=H","DateFormat=P","Fill=—","Direction=H","UseDPDF=Y")</f>
        <v>-0.45</v>
      </c>
      <c r="V10" s="14">
        <f>_xll.BDH("ITCI US Equity","IS_DILUTED_EPS","FQ3 2023","FQ3 2023","Currency=USD","Period=FQ","BEST_FPERIOD_OVERRIDE=FQ","FILING_STATUS=MR","FA_ADJUSTED=GAAP","Sort=A","Dates=H","DateFormat=P","Fill=—","Direction=H","UseDPDF=Y")</f>
        <v>-0.25</v>
      </c>
      <c r="W10" s="14">
        <f>_xll.BDH("ITCI US Equity","IS_DILUTED_EPS","FQ4 2023","FQ4 2023","Currency=USD","Period=FQ","BEST_FPERIOD_OVERRIDE=FQ","FILING_STATUS=MR","FA_ADJUSTED=GAAP","Sort=A","Dates=H","DateFormat=P","Fill=—","Direction=H","UseDPDF=Y")</f>
        <v>-0.3</v>
      </c>
      <c r="X10" s="14">
        <f>_xll.BDH("ITCI US Equity","IS_DILUTED_EPS","FQ1 2024","FQ1 2024","Currency=USD","Period=FQ","BEST_FPERIOD_OVERRIDE=FQ","FILING_STATUS=MR","FA_ADJUSTED=GAAP","Sort=A","Dates=H","DateFormat=P","Fill=—","Direction=H","UseDPDF=Y")</f>
        <v>-0.16</v>
      </c>
      <c r="Y10" s="14">
        <f>_xll.BDH("ITCI US Equity","IS_DILUTED_EPS","FQ2 2024","FQ2 2024","Currency=USD","Period=FQ","BEST_FPERIOD_OVERRIDE=FQ","FILING_STATUS=MR","FA_ADJUSTED=GAAP","Sort=A","Dates=H","DateFormat=P","Fill=—","Direction=H","UseDPDF=Y")</f>
        <v>-0.16</v>
      </c>
      <c r="Z10" s="14">
        <f>_xll.BDH("ITCI US Equity","IS_DILUTED_EPS","FQ3 2024","FQ3 2024","Currency=USD","Period=FQ","BEST_FPERIOD_OVERRIDE=FQ","FILING_STATUS=MR","FA_ADJUSTED=GAAP","Sort=A","Dates=H","DateFormat=P","Fill=—","Direction=H","UseDPDF=Y")</f>
        <v>-0.25</v>
      </c>
      <c r="AA10" s="14">
        <f>_xll.BDH("ITCI US Equity","IS_DILUTED_EPS","FQ4 2024","FQ4 2024","Currency=USD","Period=FQ","BEST_FPERIOD_OVERRIDE=FQ","FILING_STATUS=MR","FA_ADJUSTED=GAAP","Sort=A","Dates=H","DateFormat=P","Fill=—","Direction=H","UseDPDF=Y")</f>
        <v>-0.16</v>
      </c>
    </row>
    <row r="11" spans="1:27" x14ac:dyDescent="0.25">
      <c r="A11" s="10" t="s">
        <v>105</v>
      </c>
      <c r="B11" s="10" t="s">
        <v>106</v>
      </c>
      <c r="C11" s="13">
        <f>_xll.BDH("ITCI US Equity","IS_AVG_NUM_SH_FOR_EPS","FQ4 2018","FQ4 2018","Currency=USD","Period=FQ","BEST_FPERIOD_OVERRIDE=FQ","FILING_STATUS=MR","Sort=A","Dates=H","DateFormat=P","Fill=—","Direction=H","UseDPDF=Y")</f>
        <v>54.750599999999999</v>
      </c>
      <c r="D11" s="13">
        <f>_xll.BDH("ITCI US Equity","IS_AVG_NUM_SH_FOR_EPS","FQ1 2019","FQ1 2019","Currency=USD","Period=FQ","BEST_FPERIOD_OVERRIDE=FQ","FILING_STATUS=MR","Sort=A","Dates=H","DateFormat=P","Fill=—","Direction=H","UseDPDF=Y")</f>
        <v>55.113199999999999</v>
      </c>
      <c r="E11" s="13">
        <f>_xll.BDH("ITCI US Equity","IS_AVG_NUM_SH_FOR_EPS","FQ2 2019","FQ2 2019","Currency=USD","Period=FQ","BEST_FPERIOD_OVERRIDE=FQ","FILING_STATUS=MR","Sort=A","Dates=H","DateFormat=P","Fill=—","Direction=H","UseDPDF=Y")</f>
        <v>55.145899999999997</v>
      </c>
      <c r="F11" s="13">
        <f>_xll.BDH("ITCI US Equity","IS_AVG_NUM_SH_FOR_EPS","FQ3 2019","FQ3 2019","Currency=USD","Period=FQ","BEST_FPERIOD_OVERRIDE=FQ","FILING_STATUS=MR","Sort=A","Dates=H","DateFormat=P","Fill=—","Direction=H","UseDPDF=Y")</f>
        <v>55.2074</v>
      </c>
      <c r="G11" s="13">
        <f>_xll.BDH("ITCI US Equity","IS_AVG_NUM_SH_FOR_EPS","FQ4 2019","FQ4 2019","Currency=USD","Period=FQ","BEST_FPERIOD_OVERRIDE=FQ","FILING_STATUS=MR","Sort=A","Dates=H","DateFormat=P","Fill=—","Direction=H","UseDPDF=Y")</f>
        <v>55.276299999999999</v>
      </c>
      <c r="H11" s="13">
        <f>_xll.BDH("ITCI US Equity","IS_AVG_NUM_SH_FOR_EPS","FQ1 2020","FQ1 2020","Currency=USD","Period=FQ","BEST_FPERIOD_OVERRIDE=FQ","FILING_STATUS=MR","Sort=A","Dates=H","DateFormat=P","Fill=—","Direction=H","UseDPDF=Y")</f>
        <v>65.106099999999998</v>
      </c>
      <c r="I11" s="13">
        <f>_xll.BDH("ITCI US Equity","IS_AVG_NUM_SH_FOR_EPS","FQ2 2020","FQ2 2020","Currency=USD","Period=FQ","BEST_FPERIOD_OVERRIDE=FQ","FILING_STATUS=MR","Sort=A","Dates=H","DateFormat=P","Fill=—","Direction=H","UseDPDF=Y")</f>
        <v>66.429400000000001</v>
      </c>
      <c r="J11" s="13">
        <f>_xll.BDH("ITCI US Equity","IS_AVG_NUM_SH_FOR_EPS","FQ3 2020","FQ3 2020","Currency=USD","Period=FQ","BEST_FPERIOD_OVERRIDE=FQ","FILING_STATUS=MR","Sort=A","Dates=H","DateFormat=P","Fill=—","Direction=H","UseDPDF=Y")</f>
        <v>69.53</v>
      </c>
      <c r="K11" s="13">
        <f>_xll.BDH("ITCI US Equity","IS_AVG_NUM_SH_FOR_EPS","FQ4 2020","FQ4 2020","Currency=USD","Period=FQ","BEST_FPERIOD_OVERRIDE=FQ","FILING_STATUS=MR","Sort=A","Dates=H","DateFormat=P","Fill=—","Direction=H","UseDPDF=Y")</f>
        <v>80.293800000000005</v>
      </c>
      <c r="L11" s="13">
        <f>_xll.BDH("ITCI US Equity","IS_AVG_NUM_SH_FOR_EPS","FQ1 2021","FQ1 2021","Currency=USD","Period=FQ","BEST_FPERIOD_OVERRIDE=FQ","FILING_STATUS=MR","Sort=A","Dates=H","DateFormat=P","Fill=—","Direction=H","UseDPDF=Y")</f>
        <v>80.9465</v>
      </c>
      <c r="M11" s="13">
        <f>_xll.BDH("ITCI US Equity","IS_AVG_NUM_SH_FOR_EPS","FQ2 2021","FQ2 2021","Currency=USD","Period=FQ","BEST_FPERIOD_OVERRIDE=FQ","FILING_STATUS=MR","Sort=A","Dates=H","DateFormat=P","Fill=—","Direction=H","UseDPDF=Y")</f>
        <v>81.229799999999997</v>
      </c>
      <c r="N11" s="13">
        <f>_xll.BDH("ITCI US Equity","IS_AVG_NUM_SH_FOR_EPS","FQ3 2021","FQ3 2021","Currency=USD","Period=FQ","BEST_FPERIOD_OVERRIDE=FQ","FILING_STATUS=MR","Sort=A","Dates=H","DateFormat=P","Fill=—","Direction=H","UseDPDF=Y")</f>
        <v>81.354699999999994</v>
      </c>
      <c r="O11" s="13">
        <f>_xll.BDH("ITCI US Equity","IS_AVG_NUM_SH_FOR_EPS","FQ4 2021","FQ4 2021","Currency=USD","Period=FQ","BEST_FPERIOD_OVERRIDE=FQ","FILING_STATUS=MR","Sort=A","Dates=H","DateFormat=P","Fill=—","Direction=H","UseDPDF=Y")</f>
        <v>81.475700000000003</v>
      </c>
      <c r="P11" s="13">
        <f>_xll.BDH("ITCI US Equity","IS_AVG_NUM_SH_FOR_EPS","FQ1 2022","FQ1 2022","Currency=USD","Period=FQ","BEST_FPERIOD_OVERRIDE=FQ","FILING_STATUS=MR","Sort=A","Dates=H","DateFormat=P","Fill=—","Direction=H","UseDPDF=Y")</f>
        <v>92.604299999999995</v>
      </c>
      <c r="Q11" s="13">
        <f>_xll.BDH("ITCI US Equity","IS_AVG_NUM_SH_FOR_EPS","FQ2 2022","FQ2 2022","Currency=USD","Period=FQ","BEST_FPERIOD_OVERRIDE=FQ","FILING_STATUS=MR","Sort=A","Dates=H","DateFormat=P","Fill=—","Direction=H","UseDPDF=Y")</f>
        <v>94.2851</v>
      </c>
      <c r="R11" s="13">
        <f>_xll.BDH("ITCI US Equity","IS_AVG_NUM_SH_FOR_EPS","FQ3 2022","FQ3 2022","Currency=USD","Period=FQ","BEST_FPERIOD_OVERRIDE=FQ","FILING_STATUS=MR","Sort=A","Dates=H","DateFormat=P","Fill=—","Direction=H","UseDPDF=Y")</f>
        <v>94.516800000000003</v>
      </c>
      <c r="S11" s="13">
        <f>_xll.BDH("ITCI US Equity","IS_AVG_NUM_SH_FOR_EPS","FQ4 2022","FQ4 2022","Currency=USD","Period=FQ","BEST_FPERIOD_OVERRIDE=FQ","FILING_STATUS=MR","Sort=A","Dates=H","DateFormat=P","Fill=—","Direction=H","UseDPDF=Y")</f>
        <v>94.751599999999996</v>
      </c>
      <c r="T11" s="13">
        <f>_xll.BDH("ITCI US Equity","IS_AVG_NUM_SH_FOR_EPS","FQ1 2023","FQ1 2023","Currency=USD","Period=FQ","BEST_FPERIOD_OVERRIDE=FQ","FILING_STATUS=MR","Sort=A","Dates=H","DateFormat=P","Fill=—","Direction=H","UseDPDF=Y")</f>
        <v>95.134699999999995</v>
      </c>
      <c r="U11" s="13">
        <f>_xll.BDH("ITCI US Equity","IS_AVG_NUM_SH_FOR_EPS","FQ2 2023","FQ2 2023","Currency=USD","Period=FQ","BEST_FPERIOD_OVERRIDE=FQ","FILING_STATUS=MR","Sort=A","Dates=H","DateFormat=P","Fill=—","Direction=H","UseDPDF=Y")</f>
        <v>95.948099999999997</v>
      </c>
      <c r="V11" s="13">
        <f>_xll.BDH("ITCI US Equity","IS_AVG_NUM_SH_FOR_EPS","FQ3 2023","FQ3 2023","Currency=USD","Period=FQ","BEST_FPERIOD_OVERRIDE=FQ","FILING_STATUS=MR","Sort=A","Dates=H","DateFormat=P","Fill=—","Direction=H","UseDPDF=Y")</f>
        <v>96.143100000000004</v>
      </c>
      <c r="W11" s="13">
        <f>_xll.BDH("ITCI US Equity","IS_AVG_NUM_SH_FOR_EPS","FQ4 2023","FQ4 2023","Currency=USD","Period=FQ","BEST_FPERIOD_OVERRIDE=FQ","FILING_STATUS=MR","Sort=A","Dates=H","DateFormat=P","Fill=—","Direction=H","UseDPDF=Y")</f>
        <v>96.285600000000002</v>
      </c>
      <c r="X11" s="13">
        <f>_xll.BDH("ITCI US Equity","IS_AVG_NUM_SH_FOR_EPS","FQ1 2024","FQ1 2024","Currency=USD","Period=FQ","BEST_FPERIOD_OVERRIDE=FQ","FILING_STATUS=MR","Sort=A","Dates=H","DateFormat=P","Fill=—","Direction=H","UseDPDF=Y")</f>
        <v>96.875299999999996</v>
      </c>
      <c r="Y11" s="13">
        <f>_xll.BDH("ITCI US Equity","IS_AVG_NUM_SH_FOR_EPS","FQ2 2024","FQ2 2024","Currency=USD","Period=FQ","BEST_FPERIOD_OVERRIDE=FQ","FILING_STATUS=MR","Sort=A","Dates=H","DateFormat=P","Fill=—","Direction=H","UseDPDF=Y")</f>
        <v>103.723</v>
      </c>
      <c r="Z11" s="13">
        <f>_xll.BDH("ITCI US Equity","IS_AVG_NUM_SH_FOR_EPS","FQ3 2024","FQ3 2024","Currency=USD","Period=FQ","BEST_FPERIOD_OVERRIDE=FQ","FILING_STATUS=MR","Sort=A","Dates=H","DateFormat=P","Fill=—","Direction=H","UseDPDF=Y")</f>
        <v>105.7684</v>
      </c>
      <c r="AA11" s="13">
        <f>_xll.BDH("ITCI US Equity","IS_AVG_NUM_SH_FOR_EPS","FQ4 2024","FQ4 2024","Currency=USD","Period=FQ","BEST_FPERIOD_OVERRIDE=FQ","FILING_STATUS=MR","Sort=A","Dates=H","DateFormat=P","Fill=—","Direction=H","UseDPDF=Y")</f>
        <v>106.0958</v>
      </c>
    </row>
    <row r="12" spans="1:27" x14ac:dyDescent="0.25">
      <c r="A12" s="10" t="s">
        <v>107</v>
      </c>
      <c r="B12" s="10" t="s">
        <v>108</v>
      </c>
      <c r="C12" s="13">
        <f>_xll.BDH("ITCI US Equity","IS_SH_FOR_DILUTED_EPS","FQ4 2018","FQ4 2018","Currency=USD","Period=FQ","BEST_FPERIOD_OVERRIDE=FQ","FILING_STATUS=MR","Sort=A","Dates=H","DateFormat=P","Fill=—","Direction=H","UseDPDF=Y")</f>
        <v>54.750599999999999</v>
      </c>
      <c r="D12" s="13">
        <f>_xll.BDH("ITCI US Equity","IS_SH_FOR_DILUTED_EPS","FQ1 2019","FQ1 2019","Currency=USD","Period=FQ","BEST_FPERIOD_OVERRIDE=FQ","FILING_STATUS=MR","Sort=A","Dates=H","DateFormat=P","Fill=—","Direction=H","UseDPDF=Y")</f>
        <v>55.113199999999999</v>
      </c>
      <c r="E12" s="13">
        <f>_xll.BDH("ITCI US Equity","IS_SH_FOR_DILUTED_EPS","FQ2 2019","FQ2 2019","Currency=USD","Period=FQ","BEST_FPERIOD_OVERRIDE=FQ","FILING_STATUS=MR","Sort=A","Dates=H","DateFormat=P","Fill=—","Direction=H","UseDPDF=Y")</f>
        <v>55.145899999999997</v>
      </c>
      <c r="F12" s="13">
        <f>_xll.BDH("ITCI US Equity","IS_SH_FOR_DILUTED_EPS","FQ3 2019","FQ3 2019","Currency=USD","Period=FQ","BEST_FPERIOD_OVERRIDE=FQ","FILING_STATUS=MR","Sort=A","Dates=H","DateFormat=P","Fill=—","Direction=H","UseDPDF=Y")</f>
        <v>55.2074</v>
      </c>
      <c r="G12" s="13">
        <f>_xll.BDH("ITCI US Equity","IS_SH_FOR_DILUTED_EPS","FQ4 2019","FQ4 2019","Currency=USD","Period=FQ","BEST_FPERIOD_OVERRIDE=FQ","FILING_STATUS=MR","Sort=A","Dates=H","DateFormat=P","Fill=—","Direction=H","UseDPDF=Y")</f>
        <v>55.276299999999999</v>
      </c>
      <c r="H12" s="13">
        <f>_xll.BDH("ITCI US Equity","IS_SH_FOR_DILUTED_EPS","FQ1 2020","FQ1 2020","Currency=USD","Period=FQ","BEST_FPERIOD_OVERRIDE=FQ","FILING_STATUS=MR","Sort=A","Dates=H","DateFormat=P","Fill=—","Direction=H","UseDPDF=Y")</f>
        <v>65.106099999999998</v>
      </c>
      <c r="I12" s="13">
        <f>_xll.BDH("ITCI US Equity","IS_SH_FOR_DILUTED_EPS","FQ2 2020","FQ2 2020","Currency=USD","Period=FQ","BEST_FPERIOD_OVERRIDE=FQ","FILING_STATUS=MR","Sort=A","Dates=H","DateFormat=P","Fill=—","Direction=H","UseDPDF=Y")</f>
        <v>66.429400000000001</v>
      </c>
      <c r="J12" s="13">
        <f>_xll.BDH("ITCI US Equity","IS_SH_FOR_DILUTED_EPS","FQ3 2020","FQ3 2020","Currency=USD","Period=FQ","BEST_FPERIOD_OVERRIDE=FQ","FILING_STATUS=MR","Sort=A","Dates=H","DateFormat=P","Fill=—","Direction=H","UseDPDF=Y")</f>
        <v>69.53</v>
      </c>
      <c r="K12" s="13">
        <f>_xll.BDH("ITCI US Equity","IS_SH_FOR_DILUTED_EPS","FQ4 2020","FQ4 2020","Currency=USD","Period=FQ","BEST_FPERIOD_OVERRIDE=FQ","FILING_STATUS=MR","Sort=A","Dates=H","DateFormat=P","Fill=—","Direction=H","UseDPDF=Y")</f>
        <v>80.293800000000005</v>
      </c>
      <c r="L12" s="13">
        <f>_xll.BDH("ITCI US Equity","IS_SH_FOR_DILUTED_EPS","FQ1 2021","FQ1 2021","Currency=USD","Period=FQ","BEST_FPERIOD_OVERRIDE=FQ","FILING_STATUS=MR","Sort=A","Dates=H","DateFormat=P","Fill=—","Direction=H","UseDPDF=Y")</f>
        <v>80.9465</v>
      </c>
      <c r="M12" s="13">
        <f>_xll.BDH("ITCI US Equity","IS_SH_FOR_DILUTED_EPS","FQ2 2021","FQ2 2021","Currency=USD","Period=FQ","BEST_FPERIOD_OVERRIDE=FQ","FILING_STATUS=MR","Sort=A","Dates=H","DateFormat=P","Fill=—","Direction=H","UseDPDF=Y")</f>
        <v>81.229799999999997</v>
      </c>
      <c r="N12" s="13">
        <f>_xll.BDH("ITCI US Equity","IS_SH_FOR_DILUTED_EPS","FQ3 2021","FQ3 2021","Currency=USD","Period=FQ","BEST_FPERIOD_OVERRIDE=FQ","FILING_STATUS=MR","Sort=A","Dates=H","DateFormat=P","Fill=—","Direction=H","UseDPDF=Y")</f>
        <v>81.354699999999994</v>
      </c>
      <c r="O12" s="13">
        <f>_xll.BDH("ITCI US Equity","IS_SH_FOR_DILUTED_EPS","FQ4 2021","FQ4 2021","Currency=USD","Period=FQ","BEST_FPERIOD_OVERRIDE=FQ","FILING_STATUS=MR","Sort=A","Dates=H","DateFormat=P","Fill=—","Direction=H","UseDPDF=Y")</f>
        <v>81.475700000000003</v>
      </c>
      <c r="P12" s="13">
        <f>_xll.BDH("ITCI US Equity","IS_SH_FOR_DILUTED_EPS","FQ1 2022","FQ1 2022","Currency=USD","Period=FQ","BEST_FPERIOD_OVERRIDE=FQ","FILING_STATUS=MR","Sort=A","Dates=H","DateFormat=P","Fill=—","Direction=H","UseDPDF=Y")</f>
        <v>92.604299999999995</v>
      </c>
      <c r="Q12" s="13">
        <f>_xll.BDH("ITCI US Equity","IS_SH_FOR_DILUTED_EPS","FQ2 2022","FQ2 2022","Currency=USD","Period=FQ","BEST_FPERIOD_OVERRIDE=FQ","FILING_STATUS=MR","Sort=A","Dates=H","DateFormat=P","Fill=—","Direction=H","UseDPDF=Y")</f>
        <v>94.2851</v>
      </c>
      <c r="R12" s="13">
        <f>_xll.BDH("ITCI US Equity","IS_SH_FOR_DILUTED_EPS","FQ3 2022","FQ3 2022","Currency=USD","Period=FQ","BEST_FPERIOD_OVERRIDE=FQ","FILING_STATUS=MR","Sort=A","Dates=H","DateFormat=P","Fill=—","Direction=H","UseDPDF=Y")</f>
        <v>94.516800000000003</v>
      </c>
      <c r="S12" s="13">
        <f>_xll.BDH("ITCI US Equity","IS_SH_FOR_DILUTED_EPS","FQ4 2022","FQ4 2022","Currency=USD","Period=FQ","BEST_FPERIOD_OVERRIDE=FQ","FILING_STATUS=MR","Sort=A","Dates=H","DateFormat=P","Fill=—","Direction=H","UseDPDF=Y")</f>
        <v>94.751599999999996</v>
      </c>
      <c r="T12" s="13">
        <f>_xll.BDH("ITCI US Equity","IS_SH_FOR_DILUTED_EPS","FQ1 2023","FQ1 2023","Currency=USD","Period=FQ","BEST_FPERIOD_OVERRIDE=FQ","FILING_STATUS=MR","Sort=A","Dates=H","DateFormat=P","Fill=—","Direction=H","UseDPDF=Y")</f>
        <v>95.134699999999995</v>
      </c>
      <c r="U12" s="13">
        <f>_xll.BDH("ITCI US Equity","IS_SH_FOR_DILUTED_EPS","FQ2 2023","FQ2 2023","Currency=USD","Period=FQ","BEST_FPERIOD_OVERRIDE=FQ","FILING_STATUS=MR","Sort=A","Dates=H","DateFormat=P","Fill=—","Direction=H","UseDPDF=Y")</f>
        <v>95.948099999999997</v>
      </c>
      <c r="V12" s="13">
        <f>_xll.BDH("ITCI US Equity","IS_SH_FOR_DILUTED_EPS","FQ3 2023","FQ3 2023","Currency=USD","Period=FQ","BEST_FPERIOD_OVERRIDE=FQ","FILING_STATUS=MR","Sort=A","Dates=H","DateFormat=P","Fill=—","Direction=H","UseDPDF=Y")</f>
        <v>96.143100000000004</v>
      </c>
      <c r="W12" s="13">
        <f>_xll.BDH("ITCI US Equity","IS_SH_FOR_DILUTED_EPS","FQ4 2023","FQ4 2023","Currency=USD","Period=FQ","BEST_FPERIOD_OVERRIDE=FQ","FILING_STATUS=MR","Sort=A","Dates=H","DateFormat=P","Fill=—","Direction=H","UseDPDF=Y")</f>
        <v>96.285600000000002</v>
      </c>
      <c r="X12" s="13">
        <f>_xll.BDH("ITCI US Equity","IS_SH_FOR_DILUTED_EPS","FQ1 2024","FQ1 2024","Currency=USD","Period=FQ","BEST_FPERIOD_OVERRIDE=FQ","FILING_STATUS=MR","Sort=A","Dates=H","DateFormat=P","Fill=—","Direction=H","UseDPDF=Y")</f>
        <v>96.875299999999996</v>
      </c>
      <c r="Y12" s="13">
        <f>_xll.BDH("ITCI US Equity","IS_SH_FOR_DILUTED_EPS","FQ2 2024","FQ2 2024","Currency=USD","Period=FQ","BEST_FPERIOD_OVERRIDE=FQ","FILING_STATUS=MR","Sort=A","Dates=H","DateFormat=P","Fill=—","Direction=H","UseDPDF=Y")</f>
        <v>103.723</v>
      </c>
      <c r="Z12" s="13">
        <f>_xll.BDH("ITCI US Equity","IS_SH_FOR_DILUTED_EPS","FQ3 2024","FQ3 2024","Currency=USD","Period=FQ","BEST_FPERIOD_OVERRIDE=FQ","FILING_STATUS=MR","Sort=A","Dates=H","DateFormat=P","Fill=—","Direction=H","UseDPDF=Y")</f>
        <v>105.7684</v>
      </c>
      <c r="AA12" s="13">
        <f>_xll.BDH("ITCI US Equity","IS_SH_FOR_DILUTED_EPS","FQ4 2024","FQ4 2024","Currency=USD","Period=FQ","BEST_FPERIOD_OVERRIDE=FQ","FILING_STATUS=MR","Sort=A","Dates=H","DateFormat=P","Fill=—","Direction=H","UseDPDF=Y")</f>
        <v>106.0958</v>
      </c>
    </row>
    <row r="13" spans="1:27" x14ac:dyDescent="0.25">
      <c r="A13" s="10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5">
      <c r="A14" s="10" t="s">
        <v>109</v>
      </c>
      <c r="B14" s="10" t="s">
        <v>62</v>
      </c>
      <c r="C14" s="13">
        <f>_xll.BDH("ITCI US Equity","CASH_AND_MARKETABLE_SECURITIES","FQ4 2018","FQ4 2018","Currency=USD","Period=FQ","BEST_FPERIOD_OVERRIDE=FQ","FILING_STATUS=MR","SCALING_FORMAT=MLN","Sort=A","Dates=H","DateFormat=P","Fill=—","Direction=H","UseDPDF=Y")</f>
        <v>347.53050000000002</v>
      </c>
      <c r="D14" s="13">
        <f>_xll.BDH("ITCI US Equity","CASH_AND_MARKETABLE_SECURITIES","FQ1 2019","FQ1 2019","Currency=USD","Period=FQ","BEST_FPERIOD_OVERRIDE=FQ","FILING_STATUS=MR","SCALING_FORMAT=MLN","Sort=A","Dates=H","DateFormat=P","Fill=—","Direction=H","UseDPDF=Y")</f>
        <v>312.82240000000002</v>
      </c>
      <c r="E14" s="13">
        <f>_xll.BDH("ITCI US Equity","CASH_AND_MARKETABLE_SECURITIES","FQ2 2019","FQ2 2019","Currency=USD","Period=FQ","BEST_FPERIOD_OVERRIDE=FQ","FILING_STATUS=MR","SCALING_FORMAT=MLN","Sort=A","Dates=H","DateFormat=P","Fill=—","Direction=H","UseDPDF=Y")</f>
        <v>285.30020000000002</v>
      </c>
      <c r="F14" s="13">
        <f>_xll.BDH("ITCI US Equity","CASH_AND_MARKETABLE_SECURITIES","FQ3 2019","FQ3 2019","Currency=USD","Period=FQ","BEST_FPERIOD_OVERRIDE=FQ","FILING_STATUS=MR","SCALING_FORMAT=MLN","Sort=A","Dates=H","DateFormat=P","Fill=—","Direction=H","UseDPDF=Y")</f>
        <v>255.43360000000001</v>
      </c>
      <c r="G14" s="13">
        <f>_xll.BDH("ITCI US Equity","CASH_AND_MARKETABLE_SECURITIES","FQ4 2019","FQ4 2019","Currency=USD","Period=FQ","BEST_FPERIOD_OVERRIDE=FQ","FILING_STATUS=MR","SCALING_FORMAT=MLN","Sort=A","Dates=H","DateFormat=P","Fill=—","Direction=H","UseDPDF=Y")</f>
        <v>224.0102</v>
      </c>
      <c r="H14" s="13">
        <f>_xll.BDH("ITCI US Equity","CASH_AND_MARKETABLE_SECURITIES","FQ1 2020","FQ1 2020","Currency=USD","Period=FQ","BEST_FPERIOD_OVERRIDE=FQ","FILING_STATUS=MR","SCALING_FORMAT=MLN","Sort=A","Dates=H","DateFormat=P","Fill=—","Direction=H","UseDPDF=Y")</f>
        <v>448.95400000000001</v>
      </c>
      <c r="I14" s="13">
        <f>_xll.BDH("ITCI US Equity","CASH_AND_MARKETABLE_SECURITIES","FQ2 2020","FQ2 2020","Currency=USD","Period=FQ","BEST_FPERIOD_OVERRIDE=FQ","FILING_STATUS=MR","SCALING_FORMAT=MLN","Sort=A","Dates=H","DateFormat=P","Fill=—","Direction=H","UseDPDF=Y")</f>
        <v>407.75889999999998</v>
      </c>
      <c r="J14" s="13">
        <f>_xll.BDH("ITCI US Equity","CASH_AND_MARKETABLE_SECURITIES","FQ3 2020","FQ3 2020","Currency=USD","Period=FQ","BEST_FPERIOD_OVERRIDE=FQ","FILING_STATUS=MR","SCALING_FORMAT=MLN","Sort=A","Dates=H","DateFormat=P","Fill=—","Direction=H","UseDPDF=Y")</f>
        <v>721.94749999999999</v>
      </c>
      <c r="K14" s="13">
        <f>_xll.BDH("ITCI US Equity","CASH_AND_MARKETABLE_SECURITIES","FQ4 2020","FQ4 2020","Currency=USD","Period=FQ","BEST_FPERIOD_OVERRIDE=FQ","FILING_STATUS=MR","SCALING_FORMAT=MLN","Sort=A","Dates=H","DateFormat=P","Fill=—","Direction=H","UseDPDF=Y")</f>
        <v>657.44809999999995</v>
      </c>
      <c r="L14" s="13">
        <f>_xll.BDH("ITCI US Equity","CASH_AND_MARKETABLE_SECURITIES","FQ1 2021","FQ1 2021","Currency=USD","Period=FQ","BEST_FPERIOD_OVERRIDE=FQ","FILING_STATUS=MR","SCALING_FORMAT=MLN","Sort=A","Dates=H","DateFormat=P","Fill=—","Direction=H","UseDPDF=Y")</f>
        <v>611.96469999999999</v>
      </c>
      <c r="M14" s="13">
        <f>_xll.BDH("ITCI US Equity","CASH_AND_MARKETABLE_SECURITIES","FQ2 2021","FQ2 2021","Currency=USD","Period=FQ","BEST_FPERIOD_OVERRIDE=FQ","FILING_STATUS=MR","SCALING_FORMAT=MLN","Sort=A","Dates=H","DateFormat=P","Fill=—","Direction=H","UseDPDF=Y")</f>
        <v>554.75739999999996</v>
      </c>
      <c r="N14" s="13">
        <f>_xll.BDH("ITCI US Equity","CASH_AND_MARKETABLE_SECURITIES","FQ3 2021","FQ3 2021","Currency=USD","Period=FQ","BEST_FPERIOD_OVERRIDE=FQ","FILING_STATUS=MR","SCALING_FORMAT=MLN","Sort=A","Dates=H","DateFormat=P","Fill=—","Direction=H","UseDPDF=Y")</f>
        <v>477.28390000000002</v>
      </c>
      <c r="O14" s="13">
        <f>_xll.BDH("ITCI US Equity","CASH_AND_MARKETABLE_SECURITIES","FQ4 2021","FQ4 2021","Currency=USD","Period=FQ","BEST_FPERIOD_OVERRIDE=FQ","FILING_STATUS=MR","SCALING_FORMAT=MLN","Sort=A","Dates=H","DateFormat=P","Fill=—","Direction=H","UseDPDF=Y")</f>
        <v>412.33330000000001</v>
      </c>
      <c r="P14" s="13">
        <f>_xll.BDH("ITCI US Equity","CASH_AND_MARKETABLE_SECURITIES","FQ1 2022","FQ1 2022","Currency=USD","Period=FQ","BEST_FPERIOD_OVERRIDE=FQ","FILING_STATUS=MR","SCALING_FORMAT=MLN","Sort=A","Dates=H","DateFormat=P","Fill=—","Direction=H","UseDPDF=Y")</f>
        <v>771.84799999999996</v>
      </c>
      <c r="Q14" s="13">
        <f>_xll.BDH("ITCI US Equity","CASH_AND_MARKETABLE_SECURITIES","FQ2 2022","FQ2 2022","Currency=USD","Period=FQ","BEST_FPERIOD_OVERRIDE=FQ","FILING_STATUS=MR","SCALING_FORMAT=MLN","Sort=A","Dates=H","DateFormat=P","Fill=—","Direction=H","UseDPDF=Y")</f>
        <v>677.82899999999995</v>
      </c>
      <c r="R14" s="13">
        <f>_xll.BDH("ITCI US Equity","CASH_AND_MARKETABLE_SECURITIES","FQ3 2022","FQ3 2022","Currency=USD","Period=FQ","BEST_FPERIOD_OVERRIDE=FQ","FILING_STATUS=MR","SCALING_FORMAT=MLN","Sort=A","Dates=H","DateFormat=P","Fill=—","Direction=H","UseDPDF=Y")</f>
        <v>628.74099999999999</v>
      </c>
      <c r="S14" s="13">
        <f>_xll.BDH("ITCI US Equity","CASH_AND_MARKETABLE_SECURITIES","FQ4 2022","FQ4 2022","Currency=USD","Period=FQ","BEST_FPERIOD_OVERRIDE=FQ","FILING_STATUS=MR","SCALING_FORMAT=MLN","Sort=A","Dates=H","DateFormat=P","Fill=—","Direction=H","UseDPDF=Y")</f>
        <v>591.90499999999997</v>
      </c>
      <c r="T14" s="13">
        <f>_xll.BDH("ITCI US Equity","CASH_AND_MARKETABLE_SECURITIES","FQ1 2023","FQ1 2023","Currency=USD","Period=FQ","BEST_FPERIOD_OVERRIDE=FQ","FILING_STATUS=MR","SCALING_FORMAT=MLN","Sort=A","Dates=H","DateFormat=P","Fill=—","Direction=H","UseDPDF=Y")</f>
        <v>538.70799999999997</v>
      </c>
      <c r="U14" s="13">
        <f>_xll.BDH("ITCI US Equity","CASH_AND_MARKETABLE_SECURITIES","FQ2 2023","FQ2 2023","Currency=USD","Period=FQ","BEST_FPERIOD_OVERRIDE=FQ","FILING_STATUS=MR","SCALING_FORMAT=MLN","Sort=A","Dates=H","DateFormat=P","Fill=—","Direction=H","UseDPDF=Y")</f>
        <v>512.85400000000004</v>
      </c>
      <c r="V14" s="13">
        <f>_xll.BDH("ITCI US Equity","CASH_AND_MARKETABLE_SECURITIES","FQ3 2023","FQ3 2023","Currency=USD","Period=FQ","BEST_FPERIOD_OVERRIDE=FQ","FILING_STATUS=MR","SCALING_FORMAT=MLN","Sort=A","Dates=H","DateFormat=P","Fill=—","Direction=H","UseDPDF=Y")</f>
        <v>493.02100000000002</v>
      </c>
      <c r="W14" s="13">
        <f>_xll.BDH("ITCI US Equity","CASH_AND_MARKETABLE_SECURITIES","FQ4 2023","FQ4 2023","Currency=USD","Period=FQ","BEST_FPERIOD_OVERRIDE=FQ","FILING_STATUS=MR","SCALING_FORMAT=MLN","Sort=A","Dates=H","DateFormat=P","Fill=—","Direction=H","UseDPDF=Y")</f>
        <v>497.94099999999997</v>
      </c>
      <c r="X14" s="13">
        <f>_xll.BDH("ITCI US Equity","CASH_AND_MARKETABLE_SECURITIES","FQ1 2024","FQ1 2024","Currency=USD","Period=FQ","BEST_FPERIOD_OVERRIDE=FQ","FILING_STATUS=MR","SCALING_FORMAT=MLN","Sort=A","Dates=H","DateFormat=P","Fill=—","Direction=H","UseDPDF=Y")</f>
        <v>475.62299999999999</v>
      </c>
      <c r="Y14" s="13">
        <f>_xll.BDH("ITCI US Equity","CASH_AND_MARKETABLE_SECURITIES","FQ2 2024","FQ2 2024","Currency=USD","Period=FQ","BEST_FPERIOD_OVERRIDE=FQ","FILING_STATUS=MR","SCALING_FORMAT=MLN","Sort=A","Dates=H","DateFormat=P","Fill=—","Direction=H","UseDPDF=Y")</f>
        <v>1022.907</v>
      </c>
      <c r="Z14" s="13">
        <f>_xll.BDH("ITCI US Equity","CASH_AND_MARKETABLE_SECURITIES","FQ3 2024","FQ3 2024","Currency=USD","Period=FQ","BEST_FPERIOD_OVERRIDE=FQ","FILING_STATUS=MR","SCALING_FORMAT=MLN","Sort=A","Dates=H","DateFormat=P","Fill=—","Direction=H","UseDPDF=Y")</f>
        <v>1006.562</v>
      </c>
      <c r="AA14" s="13">
        <f>_xll.BDH("ITCI US Equity","CASH_AND_MARKETABLE_SECURITIES","FQ4 2024","FQ4 2024","Currency=USD","Period=FQ","BEST_FPERIOD_OVERRIDE=FQ","FILING_STATUS=MR","SCALING_FORMAT=MLN","Sort=A","Dates=H","DateFormat=P","Fill=—","Direction=H","UseDPDF=Y")</f>
        <v>1001.066</v>
      </c>
    </row>
    <row r="15" spans="1:27" x14ac:dyDescent="0.25">
      <c r="A15" s="10" t="s">
        <v>110</v>
      </c>
      <c r="B15" s="10" t="s">
        <v>111</v>
      </c>
      <c r="C15" s="13">
        <f>_xll.BDH("ITCI US Equity","BS_CUR_ASSET_REPORT","FQ4 2018","FQ4 2018","Currency=USD","Period=FQ","BEST_FPERIOD_OVERRIDE=FQ","FILING_STATUS=MR","SCALING_FORMAT=MLN","Sort=A","Dates=H","DateFormat=P","Fill=—","Direction=H","UseDPDF=Y")</f>
        <v>355.43869999999998</v>
      </c>
      <c r="D15" s="13">
        <f>_xll.BDH("ITCI US Equity","BS_CUR_ASSET_REPORT","FQ1 2019","FQ1 2019","Currency=USD","Period=FQ","BEST_FPERIOD_OVERRIDE=FQ","FILING_STATUS=MR","SCALING_FORMAT=MLN","Sort=A","Dates=H","DateFormat=P","Fill=—","Direction=H","UseDPDF=Y")</f>
        <v>321.12759999999997</v>
      </c>
      <c r="E15" s="13">
        <f>_xll.BDH("ITCI US Equity","BS_CUR_ASSET_REPORT","FQ2 2019","FQ2 2019","Currency=USD","Period=FQ","BEST_FPERIOD_OVERRIDE=FQ","FILING_STATUS=MR","SCALING_FORMAT=MLN","Sort=A","Dates=H","DateFormat=P","Fill=—","Direction=H","UseDPDF=Y")</f>
        <v>288.34190000000001</v>
      </c>
      <c r="F15" s="13">
        <f>_xll.BDH("ITCI US Equity","BS_CUR_ASSET_REPORT","FQ3 2019","FQ3 2019","Currency=USD","Period=FQ","BEST_FPERIOD_OVERRIDE=FQ","FILING_STATUS=MR","SCALING_FORMAT=MLN","Sort=A","Dates=H","DateFormat=P","Fill=—","Direction=H","UseDPDF=Y")</f>
        <v>259.45690000000002</v>
      </c>
      <c r="G15" s="13">
        <f>_xll.BDH("ITCI US Equity","BS_CUR_ASSET_REPORT","FQ4 2019","FQ4 2019","Currency=USD","Period=FQ","BEST_FPERIOD_OVERRIDE=FQ","FILING_STATUS=MR","SCALING_FORMAT=MLN","Sort=A","Dates=H","DateFormat=P","Fill=—","Direction=H","UseDPDF=Y")</f>
        <v>230.32400000000001</v>
      </c>
      <c r="H15" s="13">
        <f>_xll.BDH("ITCI US Equity","BS_CUR_ASSET_REPORT","FQ1 2020","FQ1 2020","Currency=USD","Period=FQ","BEST_FPERIOD_OVERRIDE=FQ","FILING_STATUS=MR","SCALING_FORMAT=MLN","Sort=A","Dates=H","DateFormat=P","Fill=—","Direction=H","UseDPDF=Y")</f>
        <v>460.97250000000003</v>
      </c>
      <c r="I15" s="13">
        <f>_xll.BDH("ITCI US Equity","BS_CUR_ASSET_REPORT","FQ2 2020","FQ2 2020","Currency=USD","Period=FQ","BEST_FPERIOD_OVERRIDE=FQ","FILING_STATUS=MR","SCALING_FORMAT=MLN","Sort=A","Dates=H","DateFormat=P","Fill=—","Direction=H","UseDPDF=Y")</f>
        <v>418.57339999999999</v>
      </c>
      <c r="J15" s="13">
        <f>_xll.BDH("ITCI US Equity","BS_CUR_ASSET_REPORT","FQ3 2020","FQ3 2020","Currency=USD","Period=FQ","BEST_FPERIOD_OVERRIDE=FQ","FILING_STATUS=MR","SCALING_FORMAT=MLN","Sort=A","Dates=H","DateFormat=P","Fill=—","Direction=H","UseDPDF=Y")</f>
        <v>744.86599999999999</v>
      </c>
      <c r="K15" s="13">
        <f>_xll.BDH("ITCI US Equity","BS_CUR_ASSET_REPORT","FQ4 2020","FQ4 2020","Currency=USD","Period=FQ","BEST_FPERIOD_OVERRIDE=FQ","FILING_STATUS=MR","SCALING_FORMAT=MLN","Sort=A","Dates=H","DateFormat=P","Fill=—","Direction=H","UseDPDF=Y")</f>
        <v>690.90449999999998</v>
      </c>
      <c r="L15" s="13">
        <f>_xll.BDH("ITCI US Equity","BS_CUR_ASSET_REPORT","FQ1 2021","FQ1 2021","Currency=USD","Period=FQ","BEST_FPERIOD_OVERRIDE=FQ","FILING_STATUS=MR","SCALING_FORMAT=MLN","Sort=A","Dates=H","DateFormat=P","Fill=—","Direction=H","UseDPDF=Y")</f>
        <v>649.10040000000004</v>
      </c>
      <c r="M15" s="13">
        <f>_xll.BDH("ITCI US Equity","BS_CUR_ASSET_REPORT","FQ2 2021","FQ2 2021","Currency=USD","Period=FQ","BEST_FPERIOD_OVERRIDE=FQ","FILING_STATUS=MR","SCALING_FORMAT=MLN","Sort=A","Dates=H","DateFormat=P","Fill=—","Direction=H","UseDPDF=Y")</f>
        <v>601.30319999999995</v>
      </c>
      <c r="N15" s="13">
        <f>_xll.BDH("ITCI US Equity","BS_CUR_ASSET_REPORT","FQ3 2021","FQ3 2021","Currency=USD","Period=FQ","BEST_FPERIOD_OVERRIDE=FQ","FILING_STATUS=MR","SCALING_FORMAT=MLN","Sort=A","Dates=H","DateFormat=P","Fill=—","Direction=H","UseDPDF=Y")</f>
        <v>533.24270000000001</v>
      </c>
      <c r="O15" s="13">
        <f>_xll.BDH("ITCI US Equity","BS_CUR_ASSET_REPORT","FQ4 2021","FQ4 2021","Currency=USD","Period=FQ","BEST_FPERIOD_OVERRIDE=FQ","FILING_STATUS=MR","SCALING_FORMAT=MLN","Sort=A","Dates=H","DateFormat=P","Fill=—","Direction=H","UseDPDF=Y")</f>
        <v>467.2808</v>
      </c>
      <c r="P15" s="13">
        <f>_xll.BDH("ITCI US Equity","BS_CUR_ASSET_REPORT","FQ1 2022","FQ1 2022","Currency=USD","Period=FQ","BEST_FPERIOD_OVERRIDE=FQ","FILING_STATUS=MR","SCALING_FORMAT=MLN","Sort=A","Dates=H","DateFormat=P","Fill=—","Direction=H","UseDPDF=Y")</f>
        <v>848.34199999999998</v>
      </c>
      <c r="Q15" s="13">
        <f>_xll.BDH("ITCI US Equity","BS_CUR_ASSET_REPORT","FQ2 2022","FQ2 2022","Currency=USD","Period=FQ","BEST_FPERIOD_OVERRIDE=FQ","FILING_STATUS=MR","SCALING_FORMAT=MLN","Sort=A","Dates=H","DateFormat=P","Fill=—","Direction=H","UseDPDF=Y")</f>
        <v>789.20600000000002</v>
      </c>
      <c r="R15" s="13">
        <f>_xll.BDH("ITCI US Equity","BS_CUR_ASSET_REPORT","FQ3 2022","FQ3 2022","Currency=USD","Period=FQ","BEST_FPERIOD_OVERRIDE=FQ","FILING_STATUS=MR","SCALING_FORMAT=MLN","Sort=A","Dates=H","DateFormat=P","Fill=—","Direction=H","UseDPDF=Y")</f>
        <v>759.75599999999997</v>
      </c>
      <c r="S15" s="13">
        <f>_xll.BDH("ITCI US Equity","BS_CUR_ASSET_REPORT","FQ4 2022","FQ4 2022","Currency=USD","Period=FQ","BEST_FPERIOD_OVERRIDE=FQ","FILING_STATUS=MR","SCALING_FORMAT=MLN","Sort=A","Dates=H","DateFormat=P","Fill=—","Direction=H","UseDPDF=Y")</f>
        <v>737.95699999999999</v>
      </c>
      <c r="T15" s="13">
        <f>_xll.BDH("ITCI US Equity","BS_CUR_ASSET_REPORT","FQ1 2023","FQ1 2023","Currency=USD","Period=FQ","BEST_FPERIOD_OVERRIDE=FQ","FILING_STATUS=MR","SCALING_FORMAT=MLN","Sort=A","Dates=H","DateFormat=P","Fill=—","Direction=H","UseDPDF=Y")</f>
        <v>706.09400000000005</v>
      </c>
      <c r="U15" s="13">
        <f>_xll.BDH("ITCI US Equity","BS_CUR_ASSET_REPORT","FQ2 2023","FQ2 2023","Currency=USD","Period=FQ","BEST_FPERIOD_OVERRIDE=FQ","FILING_STATUS=MR","SCALING_FORMAT=MLN","Sort=A","Dates=H","DateFormat=P","Fill=—","Direction=H","UseDPDF=Y")</f>
        <v>698.07299999999998</v>
      </c>
      <c r="V15" s="13">
        <f>_xll.BDH("ITCI US Equity","BS_CUR_ASSET_REPORT","FQ3 2023","FQ3 2023","Currency=USD","Period=FQ","BEST_FPERIOD_OVERRIDE=FQ","FILING_STATUS=MR","SCALING_FORMAT=MLN","Sort=A","Dates=H","DateFormat=P","Fill=—","Direction=H","UseDPDF=Y")</f>
        <v>702.42499999999995</v>
      </c>
      <c r="W15" s="13">
        <f>_xll.BDH("ITCI US Equity","BS_CUR_ASSET_REPORT","FQ4 2023","FQ4 2023","Currency=USD","Period=FQ","BEST_FPERIOD_OVERRIDE=FQ","FILING_STATUS=MR","SCALING_FORMAT=MLN","Sort=A","Dates=H","DateFormat=P","Fill=—","Direction=H","UseDPDF=Y")</f>
        <v>667.79899999999998</v>
      </c>
      <c r="X15" s="13">
        <f>_xll.BDH("ITCI US Equity","BS_CUR_ASSET_REPORT","FQ1 2024","FQ1 2024","Currency=USD","Period=FQ","BEST_FPERIOD_OVERRIDE=FQ","FILING_STATUS=MR","SCALING_FORMAT=MLN","Sort=A","Dates=H","DateFormat=P","Fill=—","Direction=H","UseDPDF=Y")</f>
        <v>690.52700000000004</v>
      </c>
      <c r="Y15" s="13">
        <f>_xll.BDH("ITCI US Equity","BS_CUR_ASSET_REPORT","FQ2 2024","FQ2 2024","Currency=USD","Period=FQ","BEST_FPERIOD_OVERRIDE=FQ","FILING_STATUS=MR","SCALING_FORMAT=MLN","Sort=A","Dates=H","DateFormat=P","Fill=—","Direction=H","UseDPDF=Y")</f>
        <v>1264.251</v>
      </c>
      <c r="Z15" s="13">
        <f>_xll.BDH("ITCI US Equity","BS_CUR_ASSET_REPORT","FQ3 2024","FQ3 2024","Currency=USD","Period=FQ","BEST_FPERIOD_OVERRIDE=FQ","FILING_STATUS=MR","SCALING_FORMAT=MLN","Sort=A","Dates=H","DateFormat=P","Fill=—","Direction=H","UseDPDF=Y")</f>
        <v>1271.731</v>
      </c>
      <c r="AA15" s="13">
        <f>_xll.BDH("ITCI US Equity","BS_CUR_ASSET_REPORT","FQ4 2024","FQ4 2024","Currency=USD","Period=FQ","BEST_FPERIOD_OVERRIDE=FQ","FILING_STATUS=MR","SCALING_FORMAT=MLN","Sort=A","Dates=H","DateFormat=P","Fill=—","Direction=H","UseDPDF=Y")</f>
        <v>1307.364</v>
      </c>
    </row>
    <row r="16" spans="1:27" x14ac:dyDescent="0.25">
      <c r="A16" s="10" t="s">
        <v>112</v>
      </c>
      <c r="B16" s="10" t="s">
        <v>113</v>
      </c>
      <c r="C16" s="13">
        <f>_xll.BDH("ITCI US Equity","BS_TOT_ASSET","FQ4 2018","FQ4 2018","Currency=USD","Period=FQ","BEST_FPERIOD_OVERRIDE=FQ","FILING_STATUS=MR","SCALING_FORMAT=MLN","Sort=A","Dates=H","DateFormat=P","Fill=—","Direction=H","UseDPDF=Y")</f>
        <v>357.20650000000001</v>
      </c>
      <c r="D16" s="13">
        <f>_xll.BDH("ITCI US Equity","BS_TOT_ASSET","FQ1 2019","FQ1 2019","Currency=USD","Period=FQ","BEST_FPERIOD_OVERRIDE=FQ","FILING_STATUS=MR","SCALING_FORMAT=MLN","Sort=A","Dates=H","DateFormat=P","Fill=—","Direction=H","UseDPDF=Y")</f>
        <v>342.97280000000001</v>
      </c>
      <c r="E16" s="13">
        <f>_xll.BDH("ITCI US Equity","BS_TOT_ASSET","FQ2 2019","FQ2 2019","Currency=USD","Period=FQ","BEST_FPERIOD_OVERRIDE=FQ","FILING_STATUS=MR","SCALING_FORMAT=MLN","Sort=A","Dates=H","DateFormat=P","Fill=—","Direction=H","UseDPDF=Y")</f>
        <v>309.86259999999999</v>
      </c>
      <c r="F16" s="13">
        <f>_xll.BDH("ITCI US Equity","BS_TOT_ASSET","FQ3 2019","FQ3 2019","Currency=USD","Period=FQ","BEST_FPERIOD_OVERRIDE=FQ","FILING_STATUS=MR","SCALING_FORMAT=MLN","Sort=A","Dates=H","DateFormat=P","Fill=—","Direction=H","UseDPDF=Y")</f>
        <v>280.52300000000002</v>
      </c>
      <c r="G16" s="13">
        <f>_xll.BDH("ITCI US Equity","BS_TOT_ASSET","FQ4 2019","FQ4 2019","Currency=USD","Period=FQ","BEST_FPERIOD_OVERRIDE=FQ","FILING_STATUS=MR","SCALING_FORMAT=MLN","Sort=A","Dates=H","DateFormat=P","Fill=—","Direction=H","UseDPDF=Y")</f>
        <v>251.1865</v>
      </c>
      <c r="H16" s="13">
        <f>_xll.BDH("ITCI US Equity","BS_TOT_ASSET","FQ1 2020","FQ1 2020","Currency=USD","Period=FQ","BEST_FPERIOD_OVERRIDE=FQ","FILING_STATUS=MR","SCALING_FORMAT=MLN","Sort=A","Dates=H","DateFormat=P","Fill=—","Direction=H","UseDPDF=Y")</f>
        <v>481.24270000000001</v>
      </c>
      <c r="I16" s="13">
        <f>_xll.BDH("ITCI US Equity","BS_TOT_ASSET","FQ2 2020","FQ2 2020","Currency=USD","Period=FQ","BEST_FPERIOD_OVERRIDE=FQ","FILING_STATUS=MR","SCALING_FORMAT=MLN","Sort=A","Dates=H","DateFormat=P","Fill=—","Direction=H","UseDPDF=Y")</f>
        <v>440.93079999999998</v>
      </c>
      <c r="J16" s="13">
        <f>_xll.BDH("ITCI US Equity","BS_TOT_ASSET","FQ3 2020","FQ3 2020","Currency=USD","Period=FQ","BEST_FPERIOD_OVERRIDE=FQ","FILING_STATUS=MR","SCALING_FORMAT=MLN","Sort=A","Dates=H","DateFormat=P","Fill=—","Direction=H","UseDPDF=Y")</f>
        <v>771.29380000000003</v>
      </c>
      <c r="K16" s="13">
        <f>_xll.BDH("ITCI US Equity","BS_TOT_ASSET","FQ4 2020","FQ4 2020","Currency=USD","Period=FQ","BEST_FPERIOD_OVERRIDE=FQ","FILING_STATUS=MR","SCALING_FORMAT=MLN","Sort=A","Dates=H","DateFormat=P","Fill=—","Direction=H","UseDPDF=Y")</f>
        <v>717.31370000000004</v>
      </c>
      <c r="L16" s="13">
        <f>_xll.BDH("ITCI US Equity","BS_TOT_ASSET","FQ1 2021","FQ1 2021","Currency=USD","Period=FQ","BEST_FPERIOD_OVERRIDE=FQ","FILING_STATUS=MR","SCALING_FORMAT=MLN","Sort=A","Dates=H","DateFormat=P","Fill=—","Direction=H","UseDPDF=Y")</f>
        <v>674.48860000000002</v>
      </c>
      <c r="M16" s="13">
        <f>_xll.BDH("ITCI US Equity","BS_TOT_ASSET","FQ2 2021","FQ2 2021","Currency=USD","Period=FQ","BEST_FPERIOD_OVERRIDE=FQ","FILING_STATUS=MR","SCALING_FORMAT=MLN","Sort=A","Dates=H","DateFormat=P","Fill=—","Direction=H","UseDPDF=Y")</f>
        <v>625.69669999999996</v>
      </c>
      <c r="N16" s="13">
        <f>_xll.BDH("ITCI US Equity","BS_TOT_ASSET","FQ3 2021","FQ3 2021","Currency=USD","Period=FQ","BEST_FPERIOD_OVERRIDE=FQ","FILING_STATUS=MR","SCALING_FORMAT=MLN","Sort=A","Dates=H","DateFormat=P","Fill=—","Direction=H","UseDPDF=Y")</f>
        <v>556.97569999999996</v>
      </c>
      <c r="O16" s="13">
        <f>_xll.BDH("ITCI US Equity","BS_TOT_ASSET","FQ4 2021","FQ4 2021","Currency=USD","Period=FQ","BEST_FPERIOD_OVERRIDE=FQ","FILING_STATUS=MR","SCALING_FORMAT=MLN","Sort=A","Dates=H","DateFormat=P","Fill=—","Direction=H","UseDPDF=Y")</f>
        <v>489.9221</v>
      </c>
      <c r="P16" s="13">
        <f>_xll.BDH("ITCI US Equity","BS_TOT_ASSET","FQ1 2022","FQ1 2022","Currency=USD","Period=FQ","BEST_FPERIOD_OVERRIDE=FQ","FILING_STATUS=MR","SCALING_FORMAT=MLN","Sort=A","Dates=H","DateFormat=P","Fill=—","Direction=H","UseDPDF=Y")</f>
        <v>868.58</v>
      </c>
      <c r="Q16" s="13">
        <f>_xll.BDH("ITCI US Equity","BS_TOT_ASSET","FQ2 2022","FQ2 2022","Currency=USD","Period=FQ","BEST_FPERIOD_OVERRIDE=FQ","FILING_STATUS=MR","SCALING_FORMAT=MLN","Sort=A","Dates=H","DateFormat=P","Fill=—","Direction=H","UseDPDF=Y")</f>
        <v>811.90599999999995</v>
      </c>
      <c r="R16" s="13">
        <f>_xll.BDH("ITCI US Equity","BS_TOT_ASSET","FQ3 2022","FQ3 2022","Currency=USD","Period=FQ","BEST_FPERIOD_OVERRIDE=FQ","FILING_STATUS=MR","SCALING_FORMAT=MLN","Sort=A","Dates=H","DateFormat=P","Fill=—","Direction=H","UseDPDF=Y")</f>
        <v>781.99900000000002</v>
      </c>
      <c r="S16" s="13">
        <f>_xll.BDH("ITCI US Equity","BS_TOT_ASSET","FQ4 2022","FQ4 2022","Currency=USD","Period=FQ","BEST_FPERIOD_OVERRIDE=FQ","FILING_STATUS=MR","SCALING_FORMAT=MLN","Sort=A","Dates=H","DateFormat=P","Fill=—","Direction=H","UseDPDF=Y")</f>
        <v>754.78</v>
      </c>
      <c r="T16" s="13">
        <f>_xll.BDH("ITCI US Equity","BS_TOT_ASSET","FQ1 2023","FQ1 2023","Currency=USD","Period=FQ","BEST_FPERIOD_OVERRIDE=FQ","FILING_STATUS=MR","SCALING_FORMAT=MLN","Sort=A","Dates=H","DateFormat=P","Fill=—","Direction=H","UseDPDF=Y")</f>
        <v>722.15800000000002</v>
      </c>
      <c r="U16" s="13">
        <f>_xll.BDH("ITCI US Equity","BS_TOT_ASSET","FQ2 2023","FQ2 2023","Currency=USD","Period=FQ","BEST_FPERIOD_OVERRIDE=FQ","FILING_STATUS=MR","SCALING_FORMAT=MLN","Sort=A","Dates=H","DateFormat=P","Fill=—","Direction=H","UseDPDF=Y")</f>
        <v>713.60199999999998</v>
      </c>
      <c r="V16" s="13">
        <f>_xll.BDH("ITCI US Equity","BS_TOT_ASSET","FQ3 2023","FQ3 2023","Currency=USD","Period=FQ","BEST_FPERIOD_OVERRIDE=FQ","FILING_STATUS=MR","SCALING_FORMAT=MLN","Sort=A","Dates=H","DateFormat=P","Fill=—","Direction=H","UseDPDF=Y")</f>
        <v>717.66399999999999</v>
      </c>
      <c r="W16" s="13">
        <f>_xll.BDH("ITCI US Equity","BS_TOT_ASSET","FQ4 2023","FQ4 2023","Currency=USD","Period=FQ","BEST_FPERIOD_OVERRIDE=FQ","FILING_STATUS=MR","SCALING_FORMAT=MLN","Sort=A","Dates=H","DateFormat=P","Fill=—","Direction=H","UseDPDF=Y")</f>
        <v>728.29499999999996</v>
      </c>
      <c r="X16" s="13">
        <f>_xll.BDH("ITCI US Equity","BS_TOT_ASSET","FQ1 2024","FQ1 2024","Currency=USD","Period=FQ","BEST_FPERIOD_OVERRIDE=FQ","FILING_STATUS=MR","SCALING_FORMAT=MLN","Sort=A","Dates=H","DateFormat=P","Fill=—","Direction=H","UseDPDF=Y")</f>
        <v>747.03599999999994</v>
      </c>
      <c r="Y16" s="13">
        <f>_xll.BDH("ITCI US Equity","BS_TOT_ASSET","FQ2 2024","FQ2 2024","Currency=USD","Period=FQ","BEST_FPERIOD_OVERRIDE=FQ","FILING_STATUS=MR","SCALING_FORMAT=MLN","Sort=A","Dates=H","DateFormat=P","Fill=—","Direction=H","UseDPDF=Y")</f>
        <v>1320.5039999999999</v>
      </c>
      <c r="Z16" s="13">
        <f>_xll.BDH("ITCI US Equity","BS_TOT_ASSET","FQ3 2024","FQ3 2024","Currency=USD","Period=FQ","BEST_FPERIOD_OVERRIDE=FQ","FILING_STATUS=MR","SCALING_FORMAT=MLN","Sort=A","Dates=H","DateFormat=P","Fill=—","Direction=H","UseDPDF=Y")</f>
        <v>1324.4449999999999</v>
      </c>
      <c r="AA16" s="13">
        <f>_xll.BDH("ITCI US Equity","BS_TOT_ASSET","FQ4 2024","FQ4 2024","Currency=USD","Period=FQ","BEST_FPERIOD_OVERRIDE=FQ","FILING_STATUS=MR","SCALING_FORMAT=MLN","Sort=A","Dates=H","DateFormat=P","Fill=—","Direction=H","UseDPDF=Y")</f>
        <v>1366.912</v>
      </c>
    </row>
    <row r="17" spans="1:27" x14ac:dyDescent="0.25">
      <c r="A17" s="10" t="s">
        <v>114</v>
      </c>
      <c r="B17" s="10" t="s">
        <v>115</v>
      </c>
      <c r="C17" s="13">
        <f>_xll.BDH("ITCI US Equity","BS_CUR_LIAB","FQ4 2018","FQ4 2018","Currency=USD","Period=FQ","BEST_FPERIOD_OVERRIDE=FQ","FILING_STATUS=MR","SCALING_FORMAT=MLN","Sort=A","Dates=H","DateFormat=P","Fill=—","Direction=H","UseDPDF=Y")</f>
        <v>36.299199999999999</v>
      </c>
      <c r="D17" s="13">
        <f>_xll.BDH("ITCI US Equity","BS_CUR_LIAB","FQ1 2019","FQ1 2019","Currency=USD","Period=FQ","BEST_FPERIOD_OVERRIDE=FQ","FILING_STATUS=MR","SCALING_FORMAT=MLN","Sort=A","Dates=H","DateFormat=P","Fill=—","Direction=H","UseDPDF=Y")</f>
        <v>33.499299999999998</v>
      </c>
      <c r="E17" s="13">
        <f>_xll.BDH("ITCI US Equity","BS_CUR_LIAB","FQ2 2019","FQ2 2019","Currency=USD","Period=FQ","BEST_FPERIOD_OVERRIDE=FQ","FILING_STATUS=MR","SCALING_FORMAT=MLN","Sort=A","Dates=H","DateFormat=P","Fill=—","Direction=H","UseDPDF=Y")</f>
        <v>32.526499999999999</v>
      </c>
      <c r="F17" s="13">
        <f>_xll.BDH("ITCI US Equity","BS_CUR_LIAB","FQ3 2019","FQ3 2019","Currency=USD","Period=FQ","BEST_FPERIOD_OVERRIDE=FQ","FILING_STATUS=MR","SCALING_FORMAT=MLN","Sort=A","Dates=H","DateFormat=P","Fill=—","Direction=H","UseDPDF=Y")</f>
        <v>33.373100000000001</v>
      </c>
      <c r="G17" s="13">
        <f>_xll.BDH("ITCI US Equity","BS_CUR_LIAB","FQ4 2019","FQ4 2019","Currency=USD","Period=FQ","BEST_FPERIOD_OVERRIDE=FQ","FILING_STATUS=MR","SCALING_FORMAT=MLN","Sort=A","Dates=H","DateFormat=P","Fill=—","Direction=H","UseDPDF=Y")</f>
        <v>36.223999999999997</v>
      </c>
      <c r="H17" s="13">
        <f>_xll.BDH("ITCI US Equity","BS_CUR_LIAB","FQ1 2020","FQ1 2020","Currency=USD","Period=FQ","BEST_FPERIOD_OVERRIDE=FQ","FILING_STATUS=MR","SCALING_FORMAT=MLN","Sort=A","Dates=H","DateFormat=P","Fill=—","Direction=H","UseDPDF=Y")</f>
        <v>31.0764</v>
      </c>
      <c r="I17" s="13">
        <f>_xll.BDH("ITCI US Equity","BS_CUR_LIAB","FQ2 2020","FQ2 2020","Currency=USD","Period=FQ","BEST_FPERIOD_OVERRIDE=FQ","FILING_STATUS=MR","SCALING_FORMAT=MLN","Sort=A","Dates=H","DateFormat=P","Fill=—","Direction=H","UseDPDF=Y")</f>
        <v>40.242699999999999</v>
      </c>
      <c r="J17" s="13">
        <f>_xll.BDH("ITCI US Equity","BS_CUR_LIAB","FQ3 2020","FQ3 2020","Currency=USD","Period=FQ","BEST_FPERIOD_OVERRIDE=FQ","FILING_STATUS=MR","SCALING_FORMAT=MLN","Sort=A","Dates=H","DateFormat=P","Fill=—","Direction=H","UseDPDF=Y")</f>
        <v>38.028700000000001</v>
      </c>
      <c r="K17" s="13">
        <f>_xll.BDH("ITCI US Equity","BS_CUR_LIAB","FQ4 2020","FQ4 2020","Currency=USD","Period=FQ","BEST_FPERIOD_OVERRIDE=FQ","FILING_STATUS=MR","SCALING_FORMAT=MLN","Sort=A","Dates=H","DateFormat=P","Fill=—","Direction=H","UseDPDF=Y")</f>
        <v>36.853200000000001</v>
      </c>
      <c r="L17" s="13">
        <f>_xll.BDH("ITCI US Equity","BS_CUR_LIAB","FQ1 2021","FQ1 2021","Currency=USD","Period=FQ","BEST_FPERIOD_OVERRIDE=FQ","FILING_STATUS=MR","SCALING_FORMAT=MLN","Sort=A","Dates=H","DateFormat=P","Fill=—","Direction=H","UseDPDF=Y")</f>
        <v>39.701700000000002</v>
      </c>
      <c r="M17" s="13">
        <f>_xll.BDH("ITCI US Equity","BS_CUR_LIAB","FQ2 2021","FQ2 2021","Currency=USD","Period=FQ","BEST_FPERIOD_OVERRIDE=FQ","FILING_STATUS=MR","SCALING_FORMAT=MLN","Sort=A","Dates=H","DateFormat=P","Fill=—","Direction=H","UseDPDF=Y")</f>
        <v>50.421900000000001</v>
      </c>
      <c r="N17" s="13">
        <f>_xll.BDH("ITCI US Equity","BS_CUR_LIAB","FQ3 2021","FQ3 2021","Currency=USD","Period=FQ","BEST_FPERIOD_OVERRIDE=FQ","FILING_STATUS=MR","SCALING_FORMAT=MLN","Sort=A","Dates=H","DateFormat=P","Fill=—","Direction=H","UseDPDF=Y")</f>
        <v>49.895600000000002</v>
      </c>
      <c r="O17" s="13">
        <f>_xll.BDH("ITCI US Equity","BS_CUR_LIAB","FQ4 2021","FQ4 2021","Currency=USD","Period=FQ","BEST_FPERIOD_OVERRIDE=FQ","FILING_STATUS=MR","SCALING_FORMAT=MLN","Sort=A","Dates=H","DateFormat=P","Fill=—","Direction=H","UseDPDF=Y")</f>
        <v>53.356499999999997</v>
      </c>
      <c r="P17" s="13">
        <f>_xll.BDH("ITCI US Equity","BS_CUR_LIAB","FQ1 2022","FQ1 2022","Currency=USD","Period=FQ","BEST_FPERIOD_OVERRIDE=FQ","FILING_STATUS=MR","SCALING_FORMAT=MLN","Sort=A","Dates=H","DateFormat=P","Fill=—","Direction=H","UseDPDF=Y")</f>
        <v>59.073999999999998</v>
      </c>
      <c r="Q17" s="13">
        <f>_xll.BDH("ITCI US Equity","BS_CUR_LIAB","FQ2 2022","FQ2 2022","Currency=USD","Period=FQ","BEST_FPERIOD_OVERRIDE=FQ","FILING_STATUS=MR","SCALING_FORMAT=MLN","Sort=A","Dates=H","DateFormat=P","Fill=—","Direction=H","UseDPDF=Y")</f>
        <v>70.634</v>
      </c>
      <c r="R17" s="13">
        <f>_xll.BDH("ITCI US Equity","BS_CUR_LIAB","FQ3 2022","FQ3 2022","Currency=USD","Period=FQ","BEST_FPERIOD_OVERRIDE=FQ","FILING_STATUS=MR","SCALING_FORMAT=MLN","Sort=A","Dates=H","DateFormat=P","Fill=—","Direction=H","UseDPDF=Y")</f>
        <v>77.41</v>
      </c>
      <c r="S17" s="13">
        <f>_xll.BDH("ITCI US Equity","BS_CUR_LIAB","FQ4 2022","FQ4 2022","Currency=USD","Period=FQ","BEST_FPERIOD_OVERRIDE=FQ","FILING_STATUS=MR","SCALING_FORMAT=MLN","Sort=A","Dates=H","DateFormat=P","Fill=—","Direction=H","UseDPDF=Y")</f>
        <v>83.236000000000004</v>
      </c>
      <c r="T17" s="13">
        <f>_xll.BDH("ITCI US Equity","BS_CUR_LIAB","FQ1 2023","FQ1 2023","Currency=USD","Period=FQ","BEST_FPERIOD_OVERRIDE=FQ","FILING_STATUS=MR","SCALING_FORMAT=MLN","Sort=A","Dates=H","DateFormat=P","Fill=—","Direction=H","UseDPDF=Y")</f>
        <v>79.587000000000003</v>
      </c>
      <c r="U17" s="13">
        <f>_xll.BDH("ITCI US Equity","BS_CUR_LIAB","FQ2 2023","FQ2 2023","Currency=USD","Period=FQ","BEST_FPERIOD_OVERRIDE=FQ","FILING_STATUS=MR","SCALING_FORMAT=MLN","Sort=A","Dates=H","DateFormat=P","Fill=—","Direction=H","UseDPDF=Y")</f>
        <v>92.08</v>
      </c>
      <c r="V17" s="13">
        <f>_xll.BDH("ITCI US Equity","BS_CUR_LIAB","FQ3 2023","FQ3 2023","Currency=USD","Period=FQ","BEST_FPERIOD_OVERRIDE=FQ","FILING_STATUS=MR","SCALING_FORMAT=MLN","Sort=A","Dates=H","DateFormat=P","Fill=—","Direction=H","UseDPDF=Y")</f>
        <v>103.092</v>
      </c>
      <c r="W17" s="13">
        <f>_xll.BDH("ITCI US Equity","BS_CUR_LIAB","FQ4 2023","FQ4 2023","Currency=USD","Period=FQ","BEST_FPERIOD_OVERRIDE=FQ","FILING_STATUS=MR","SCALING_FORMAT=MLN","Sort=A","Dates=H","DateFormat=P","Fill=—","Direction=H","UseDPDF=Y")</f>
        <v>123.545</v>
      </c>
      <c r="X17" s="13">
        <f>_xll.BDH("ITCI US Equity","BS_CUR_LIAB","FQ1 2024","FQ1 2024","Currency=USD","Period=FQ","BEST_FPERIOD_OVERRIDE=FQ","FILING_STATUS=MR","SCALING_FORMAT=MLN","Sort=A","Dates=H","DateFormat=P","Fill=—","Direction=H","UseDPDF=Y")</f>
        <v>134.80099999999999</v>
      </c>
      <c r="Y17" s="13">
        <f>_xll.BDH("ITCI US Equity","BS_CUR_LIAB","FQ2 2024","FQ2 2024","Currency=USD","Period=FQ","BEST_FPERIOD_OVERRIDE=FQ","FILING_STATUS=MR","SCALING_FORMAT=MLN","Sort=A","Dates=H","DateFormat=P","Fill=—","Direction=H","UseDPDF=Y")</f>
        <v>161.77500000000001</v>
      </c>
      <c r="Z17" s="13">
        <f>_xll.BDH("ITCI US Equity","BS_CUR_LIAB","FQ3 2024","FQ3 2024","Currency=USD","Period=FQ","BEST_FPERIOD_OVERRIDE=FQ","FILING_STATUS=MR","SCALING_FORMAT=MLN","Sort=A","Dates=H","DateFormat=P","Fill=—","Direction=H","UseDPDF=Y")</f>
        <v>166.113</v>
      </c>
      <c r="AA17" s="13">
        <f>_xll.BDH("ITCI US Equity","BS_CUR_LIAB","FQ4 2024","FQ4 2024","Currency=USD","Period=FQ","BEST_FPERIOD_OVERRIDE=FQ","FILING_STATUS=MR","SCALING_FORMAT=MLN","Sort=A","Dates=H","DateFormat=P","Fill=—","Direction=H","UseDPDF=Y")</f>
        <v>205.70400000000001</v>
      </c>
    </row>
    <row r="18" spans="1:27" x14ac:dyDescent="0.25">
      <c r="A18" s="10" t="s">
        <v>116</v>
      </c>
      <c r="B18" s="10" t="s">
        <v>117</v>
      </c>
      <c r="C18" s="13">
        <f>_xll.BDH("ITCI US Equity","BS_TOT_LIAB2","FQ4 2018","FQ4 2018","Currency=USD","Period=FQ","BEST_FPERIOD_OVERRIDE=FQ","FILING_STATUS=MR","SCALING_FORMAT=MLN","Sort=A","Dates=H","DateFormat=P","Fill=—","Direction=H","UseDPDF=Y")</f>
        <v>39.491599999999998</v>
      </c>
      <c r="D18" s="13">
        <f>_xll.BDH("ITCI US Equity","BS_TOT_LIAB2","FQ1 2019","FQ1 2019","Currency=USD","Period=FQ","BEST_FPERIOD_OVERRIDE=FQ","FILING_STATUS=MR","SCALING_FORMAT=MLN","Sort=A","Dates=H","DateFormat=P","Fill=—","Direction=H","UseDPDF=Y")</f>
        <v>54.358400000000003</v>
      </c>
      <c r="E18" s="13">
        <f>_xll.BDH("ITCI US Equity","BS_TOT_LIAB2","FQ2 2019","FQ2 2019","Currency=USD","Period=FQ","BEST_FPERIOD_OVERRIDE=FQ","FILING_STATUS=MR","SCALING_FORMAT=MLN","Sort=A","Dates=H","DateFormat=P","Fill=—","Direction=H","UseDPDF=Y")</f>
        <v>53.094299999999997</v>
      </c>
      <c r="F18" s="13">
        <f>_xll.BDH("ITCI US Equity","BS_TOT_LIAB2","FQ3 2019","FQ3 2019","Currency=USD","Period=FQ","BEST_FPERIOD_OVERRIDE=FQ","FILING_STATUS=MR","SCALING_FORMAT=MLN","Sort=A","Dates=H","DateFormat=P","Fill=—","Direction=H","UseDPDF=Y")</f>
        <v>53.642699999999998</v>
      </c>
      <c r="G18" s="13">
        <f>_xll.BDH("ITCI US Equity","BS_TOT_LIAB2","FQ4 2019","FQ4 2019","Currency=USD","Period=FQ","BEST_FPERIOD_OVERRIDE=FQ","FILING_STATUS=MR","SCALING_FORMAT=MLN","Sort=A","Dates=H","DateFormat=P","Fill=—","Direction=H","UseDPDF=Y")</f>
        <v>56.179200000000002</v>
      </c>
      <c r="H18" s="13">
        <f>_xll.BDH("ITCI US Equity","BS_TOT_LIAB2","FQ1 2020","FQ1 2020","Currency=USD","Period=FQ","BEST_FPERIOD_OVERRIDE=FQ","FILING_STATUS=MR","SCALING_FORMAT=MLN","Sort=A","Dates=H","DateFormat=P","Fill=—","Direction=H","UseDPDF=Y")</f>
        <v>50.794400000000003</v>
      </c>
      <c r="I18" s="13">
        <f>_xll.BDH("ITCI US Equity","BS_TOT_LIAB2","FQ2 2020","FQ2 2020","Currency=USD","Period=FQ","BEST_FPERIOD_OVERRIDE=FQ","FILING_STATUS=MR","SCALING_FORMAT=MLN","Sort=A","Dates=H","DateFormat=P","Fill=—","Direction=H","UseDPDF=Y")</f>
        <v>61.401000000000003</v>
      </c>
      <c r="J18" s="13">
        <f>_xll.BDH("ITCI US Equity","BS_TOT_LIAB2","FQ3 2020","FQ3 2020","Currency=USD","Period=FQ","BEST_FPERIOD_OVERRIDE=FQ","FILING_STATUS=MR","SCALING_FORMAT=MLN","Sort=A","Dates=H","DateFormat=P","Fill=—","Direction=H","UseDPDF=Y")</f>
        <v>61.898299999999999</v>
      </c>
      <c r="K18" s="13">
        <f>_xll.BDH("ITCI US Equity","BS_TOT_LIAB2","FQ4 2020","FQ4 2020","Currency=USD","Period=FQ","BEST_FPERIOD_OVERRIDE=FQ","FILING_STATUS=MR","SCALING_FORMAT=MLN","Sort=A","Dates=H","DateFormat=P","Fill=—","Direction=H","UseDPDF=Y")</f>
        <v>60.453600000000002</v>
      </c>
      <c r="L18" s="13">
        <f>_xll.BDH("ITCI US Equity","BS_TOT_LIAB2","FQ1 2021","FQ1 2021","Currency=USD","Period=FQ","BEST_FPERIOD_OVERRIDE=FQ","FILING_STATUS=MR","SCALING_FORMAT=MLN","Sort=A","Dates=H","DateFormat=P","Fill=—","Direction=H","UseDPDF=Y")</f>
        <v>62.338799999999999</v>
      </c>
      <c r="M18" s="13">
        <f>_xll.BDH("ITCI US Equity","BS_TOT_LIAB2","FQ2 2021","FQ2 2021","Currency=USD","Period=FQ","BEST_FPERIOD_OVERRIDE=FQ","FILING_STATUS=MR","SCALING_FORMAT=MLN","Sort=A","Dates=H","DateFormat=P","Fill=—","Direction=H","UseDPDF=Y")</f>
        <v>72.110799999999998</v>
      </c>
      <c r="N18" s="13">
        <f>_xll.BDH("ITCI US Equity","BS_TOT_LIAB2","FQ3 2021","FQ3 2021","Currency=USD","Period=FQ","BEST_FPERIOD_OVERRIDE=FQ","FILING_STATUS=MR","SCALING_FORMAT=MLN","Sort=A","Dates=H","DateFormat=P","Fill=—","Direction=H","UseDPDF=Y")</f>
        <v>70.219499999999996</v>
      </c>
      <c r="O18" s="13">
        <f>_xll.BDH("ITCI US Equity","BS_TOT_LIAB2","FQ4 2021","FQ4 2021","Currency=USD","Period=FQ","BEST_FPERIOD_OVERRIDE=FQ","FILING_STATUS=MR","SCALING_FORMAT=MLN","Sort=A","Dates=H","DateFormat=P","Fill=—","Direction=H","UseDPDF=Y")</f>
        <v>72.031400000000005</v>
      </c>
      <c r="P18" s="13">
        <f>_xll.BDH("ITCI US Equity","BS_TOT_LIAB2","FQ1 2022","FQ1 2022","Currency=USD","Period=FQ","BEST_FPERIOD_OVERRIDE=FQ","FILING_STATUS=MR","SCALING_FORMAT=MLN","Sort=A","Dates=H","DateFormat=P","Fill=—","Direction=H","UseDPDF=Y")</f>
        <v>75.83</v>
      </c>
      <c r="Q18" s="13">
        <f>_xll.BDH("ITCI US Equity","BS_TOT_LIAB2","FQ2 2022","FQ2 2022","Currency=USD","Period=FQ","BEST_FPERIOD_OVERRIDE=FQ","FILING_STATUS=MR","SCALING_FORMAT=MLN","Sort=A","Dates=H","DateFormat=P","Fill=—","Direction=H","UseDPDF=Y")</f>
        <v>89.709000000000003</v>
      </c>
      <c r="R18" s="13">
        <f>_xll.BDH("ITCI US Equity","BS_TOT_LIAB2","FQ3 2022","FQ3 2022","Currency=USD","Period=FQ","BEST_FPERIOD_OVERRIDE=FQ","FILING_STATUS=MR","SCALING_FORMAT=MLN","Sort=A","Dates=H","DateFormat=P","Fill=—","Direction=H","UseDPDF=Y")</f>
        <v>96.576999999999998</v>
      </c>
      <c r="S18" s="13">
        <f>_xll.BDH("ITCI US Equity","BS_TOT_LIAB2","FQ4 2022","FQ4 2022","Currency=USD","Period=FQ","BEST_FPERIOD_OVERRIDE=FQ","FILING_STATUS=MR","SCALING_FORMAT=MLN","Sort=A","Dates=H","DateFormat=P","Fill=—","Direction=H","UseDPDF=Y")</f>
        <v>98.71</v>
      </c>
      <c r="T18" s="13">
        <f>_xll.BDH("ITCI US Equity","BS_TOT_LIAB2","FQ1 2023","FQ1 2023","Currency=USD","Period=FQ","BEST_FPERIOD_OVERRIDE=FQ","FILING_STATUS=MR","SCALING_FORMAT=MLN","Sort=A","Dates=H","DateFormat=P","Fill=—","Direction=H","UseDPDF=Y")</f>
        <v>94.548000000000002</v>
      </c>
      <c r="U18" s="13">
        <f>_xll.BDH("ITCI US Equity","BS_TOT_LIAB2","FQ2 2023","FQ2 2023","Currency=USD","Period=FQ","BEST_FPERIOD_OVERRIDE=FQ","FILING_STATUS=MR","SCALING_FORMAT=MLN","Sort=A","Dates=H","DateFormat=P","Fill=—","Direction=H","UseDPDF=Y")</f>
        <v>106.512</v>
      </c>
      <c r="V18" s="13">
        <f>_xll.BDH("ITCI US Equity","BS_TOT_LIAB2","FQ3 2023","FQ3 2023","Currency=USD","Period=FQ","BEST_FPERIOD_OVERRIDE=FQ","FILING_STATUS=MR","SCALING_FORMAT=MLN","Sort=A","Dates=H","DateFormat=P","Fill=—","Direction=H","UseDPDF=Y")</f>
        <v>116.983</v>
      </c>
      <c r="W18" s="13">
        <f>_xll.BDH("ITCI US Equity","BS_TOT_LIAB2","FQ4 2023","FQ4 2023","Currency=USD","Period=FQ","BEST_FPERIOD_OVERRIDE=FQ","FILING_STATUS=MR","SCALING_FORMAT=MLN","Sort=A","Dates=H","DateFormat=P","Fill=—","Direction=H","UseDPDF=Y")</f>
        <v>136.87100000000001</v>
      </c>
      <c r="X18" s="13">
        <f>_xll.BDH("ITCI US Equity","BS_TOT_LIAB2","FQ1 2024","FQ1 2024","Currency=USD","Period=FQ","BEST_FPERIOD_OVERRIDE=FQ","FILING_STATUS=MR","SCALING_FORMAT=MLN","Sort=A","Dates=H","DateFormat=P","Fill=—","Direction=H","UseDPDF=Y")</f>
        <v>147.53800000000001</v>
      </c>
      <c r="Y18" s="13">
        <f>_xll.BDH("ITCI US Equity","BS_TOT_LIAB2","FQ2 2024","FQ2 2024","Currency=USD","Period=FQ","BEST_FPERIOD_OVERRIDE=FQ","FILING_STATUS=MR","SCALING_FORMAT=MLN","Sort=A","Dates=H","DateFormat=P","Fill=—","Direction=H","UseDPDF=Y")</f>
        <v>175.892</v>
      </c>
      <c r="Z18" s="13">
        <f>_xll.BDH("ITCI US Equity","BS_TOT_LIAB2","FQ3 2024","FQ3 2024","Currency=USD","Period=FQ","BEST_FPERIOD_OVERRIDE=FQ","FILING_STATUS=MR","SCALING_FORMAT=MLN","Sort=A","Dates=H","DateFormat=P","Fill=—","Direction=H","UseDPDF=Y")</f>
        <v>179.619</v>
      </c>
      <c r="AA18" s="13">
        <f>_xll.BDH("ITCI US Equity","BS_TOT_LIAB2","FQ4 2024","FQ4 2024","Currency=USD","Period=FQ","BEST_FPERIOD_OVERRIDE=FQ","FILING_STATUS=MR","SCALING_FORMAT=MLN","Sort=A","Dates=H","DateFormat=P","Fill=—","Direction=H","UseDPDF=Y")</f>
        <v>218.452</v>
      </c>
    </row>
    <row r="19" spans="1:27" x14ac:dyDescent="0.25">
      <c r="A19" s="10" t="s">
        <v>118</v>
      </c>
      <c r="B19" s="10" t="s">
        <v>119</v>
      </c>
      <c r="C19" s="13">
        <f>_xll.BDH("ITCI US Equity","TOTAL_EQUITY","FQ4 2018","FQ4 2018","Currency=USD","Period=FQ","BEST_FPERIOD_OVERRIDE=FQ","FILING_STATUS=MR","SCALING_FORMAT=MLN","Sort=A","Dates=H","DateFormat=P","Fill=—","Direction=H","UseDPDF=Y")</f>
        <v>317.7149</v>
      </c>
      <c r="D19" s="13">
        <f>_xll.BDH("ITCI US Equity","TOTAL_EQUITY","FQ1 2019","FQ1 2019","Currency=USD","Period=FQ","BEST_FPERIOD_OVERRIDE=FQ","FILING_STATUS=MR","SCALING_FORMAT=MLN","Sort=A","Dates=H","DateFormat=P","Fill=—","Direction=H","UseDPDF=Y")</f>
        <v>288.61439999999999</v>
      </c>
      <c r="E19" s="13">
        <f>_xll.BDH("ITCI US Equity","TOTAL_EQUITY","FQ2 2019","FQ2 2019","Currency=USD","Period=FQ","BEST_FPERIOD_OVERRIDE=FQ","FILING_STATUS=MR","SCALING_FORMAT=MLN","Sort=A","Dates=H","DateFormat=P","Fill=—","Direction=H","UseDPDF=Y")</f>
        <v>256.76839999999999</v>
      </c>
      <c r="F19" s="13">
        <f>_xll.BDH("ITCI US Equity","TOTAL_EQUITY","FQ3 2019","FQ3 2019","Currency=USD","Period=FQ","BEST_FPERIOD_OVERRIDE=FQ","FILING_STATUS=MR","SCALING_FORMAT=MLN","Sort=A","Dates=H","DateFormat=P","Fill=—","Direction=H","UseDPDF=Y")</f>
        <v>226.88030000000001</v>
      </c>
      <c r="G19" s="13">
        <f>_xll.BDH("ITCI US Equity","TOTAL_EQUITY","FQ4 2019","FQ4 2019","Currency=USD","Period=FQ","BEST_FPERIOD_OVERRIDE=FQ","FILING_STATUS=MR","SCALING_FORMAT=MLN","Sort=A","Dates=H","DateFormat=P","Fill=—","Direction=H","UseDPDF=Y")</f>
        <v>195.00729999999999</v>
      </c>
      <c r="H19" s="13">
        <f>_xll.BDH("ITCI US Equity","TOTAL_EQUITY","FQ1 2020","FQ1 2020","Currency=USD","Period=FQ","BEST_FPERIOD_OVERRIDE=FQ","FILING_STATUS=MR","SCALING_FORMAT=MLN","Sort=A","Dates=H","DateFormat=P","Fill=—","Direction=H","UseDPDF=Y")</f>
        <v>430.44830000000002</v>
      </c>
      <c r="I19" s="13">
        <f>_xll.BDH("ITCI US Equity","TOTAL_EQUITY","FQ2 2020","FQ2 2020","Currency=USD","Period=FQ","BEST_FPERIOD_OVERRIDE=FQ","FILING_STATUS=MR","SCALING_FORMAT=MLN","Sort=A","Dates=H","DateFormat=P","Fill=—","Direction=H","UseDPDF=Y")</f>
        <v>379.5299</v>
      </c>
      <c r="J19" s="13">
        <f>_xll.BDH("ITCI US Equity","TOTAL_EQUITY","FQ3 2020","FQ3 2020","Currency=USD","Period=FQ","BEST_FPERIOD_OVERRIDE=FQ","FILING_STATUS=MR","SCALING_FORMAT=MLN","Sort=A","Dates=H","DateFormat=P","Fill=—","Direction=H","UseDPDF=Y")</f>
        <v>709.39549999999997</v>
      </c>
      <c r="K19" s="13">
        <f>_xll.BDH("ITCI US Equity","TOTAL_EQUITY","FQ4 2020","FQ4 2020","Currency=USD","Period=FQ","BEST_FPERIOD_OVERRIDE=FQ","FILING_STATUS=MR","SCALING_FORMAT=MLN","Sort=A","Dates=H","DateFormat=P","Fill=—","Direction=H","UseDPDF=Y")</f>
        <v>656.86009999999999</v>
      </c>
      <c r="L19" s="13">
        <f>_xll.BDH("ITCI US Equity","TOTAL_EQUITY","FQ1 2021","FQ1 2021","Currency=USD","Period=FQ","BEST_FPERIOD_OVERRIDE=FQ","FILING_STATUS=MR","SCALING_FORMAT=MLN","Sort=A","Dates=H","DateFormat=P","Fill=—","Direction=H","UseDPDF=Y")</f>
        <v>612.14980000000003</v>
      </c>
      <c r="M19" s="13">
        <f>_xll.BDH("ITCI US Equity","TOTAL_EQUITY","FQ2 2021","FQ2 2021","Currency=USD","Period=FQ","BEST_FPERIOD_OVERRIDE=FQ","FILING_STATUS=MR","SCALING_FORMAT=MLN","Sort=A","Dates=H","DateFormat=P","Fill=—","Direction=H","UseDPDF=Y")</f>
        <v>553.58590000000004</v>
      </c>
      <c r="N19" s="13">
        <f>_xll.BDH("ITCI US Equity","TOTAL_EQUITY","FQ3 2021","FQ3 2021","Currency=USD","Period=FQ","BEST_FPERIOD_OVERRIDE=FQ","FILING_STATUS=MR","SCALING_FORMAT=MLN","Sort=A","Dates=H","DateFormat=P","Fill=—","Direction=H","UseDPDF=Y")</f>
        <v>486.75630000000001</v>
      </c>
      <c r="O19" s="13">
        <f>_xll.BDH("ITCI US Equity","TOTAL_EQUITY","FQ4 2021","FQ4 2021","Currency=USD","Period=FQ","BEST_FPERIOD_OVERRIDE=FQ","FILING_STATUS=MR","SCALING_FORMAT=MLN","Sort=A","Dates=H","DateFormat=P","Fill=—","Direction=H","UseDPDF=Y")</f>
        <v>417.89069999999998</v>
      </c>
      <c r="P19" s="13">
        <f>_xll.BDH("ITCI US Equity","TOTAL_EQUITY","FQ1 2022","FQ1 2022","Currency=USD","Period=FQ","BEST_FPERIOD_OVERRIDE=FQ","FILING_STATUS=MR","SCALING_FORMAT=MLN","Sort=A","Dates=H","DateFormat=P","Fill=—","Direction=H","UseDPDF=Y")</f>
        <v>792.75</v>
      </c>
      <c r="Q19" s="13">
        <f>_xll.BDH("ITCI US Equity","TOTAL_EQUITY","FQ2 2022","FQ2 2022","Currency=USD","Period=FQ","BEST_FPERIOD_OVERRIDE=FQ","FILING_STATUS=MR","SCALING_FORMAT=MLN","Sort=A","Dates=H","DateFormat=P","Fill=—","Direction=H","UseDPDF=Y")</f>
        <v>722.197</v>
      </c>
      <c r="R19" s="13">
        <f>_xll.BDH("ITCI US Equity","TOTAL_EQUITY","FQ3 2022","FQ3 2022","Currency=USD","Period=FQ","BEST_FPERIOD_OVERRIDE=FQ","FILING_STATUS=MR","SCALING_FORMAT=MLN","Sort=A","Dates=H","DateFormat=P","Fill=—","Direction=H","UseDPDF=Y")</f>
        <v>685.42200000000003</v>
      </c>
      <c r="S19" s="13">
        <f>_xll.BDH("ITCI US Equity","TOTAL_EQUITY","FQ4 2022","FQ4 2022","Currency=USD","Period=FQ","BEST_FPERIOD_OVERRIDE=FQ","FILING_STATUS=MR","SCALING_FORMAT=MLN","Sort=A","Dates=H","DateFormat=P","Fill=—","Direction=H","UseDPDF=Y")</f>
        <v>656.07</v>
      </c>
      <c r="T19" s="13">
        <f>_xll.BDH("ITCI US Equity","TOTAL_EQUITY","FQ1 2023","FQ1 2023","Currency=USD","Period=FQ","BEST_FPERIOD_OVERRIDE=FQ","FILING_STATUS=MR","SCALING_FORMAT=MLN","Sort=A","Dates=H","DateFormat=P","Fill=—","Direction=H","UseDPDF=Y")</f>
        <v>627.61</v>
      </c>
      <c r="U19" s="13">
        <f>_xll.BDH("ITCI US Equity","TOTAL_EQUITY","FQ2 2023","FQ2 2023","Currency=USD","Period=FQ","BEST_FPERIOD_OVERRIDE=FQ","FILING_STATUS=MR","SCALING_FORMAT=MLN","Sort=A","Dates=H","DateFormat=P","Fill=—","Direction=H","UseDPDF=Y")</f>
        <v>607.09</v>
      </c>
      <c r="V19" s="13">
        <f>_xll.BDH("ITCI US Equity","TOTAL_EQUITY","FQ3 2023","FQ3 2023","Currency=USD","Period=FQ","BEST_FPERIOD_OVERRIDE=FQ","FILING_STATUS=MR","SCALING_FORMAT=MLN","Sort=A","Dates=H","DateFormat=P","Fill=—","Direction=H","UseDPDF=Y")</f>
        <v>600.68100000000004</v>
      </c>
      <c r="W19" s="13">
        <f>_xll.BDH("ITCI US Equity","TOTAL_EQUITY","FQ4 2023","FQ4 2023","Currency=USD","Period=FQ","BEST_FPERIOD_OVERRIDE=FQ","FILING_STATUS=MR","SCALING_FORMAT=MLN","Sort=A","Dates=H","DateFormat=P","Fill=—","Direction=H","UseDPDF=Y")</f>
        <v>591.42399999999998</v>
      </c>
      <c r="X19" s="13">
        <f>_xll.BDH("ITCI US Equity","TOTAL_EQUITY","FQ1 2024","FQ1 2024","Currency=USD","Period=FQ","BEST_FPERIOD_OVERRIDE=FQ","FILING_STATUS=MR","SCALING_FORMAT=MLN","Sort=A","Dates=H","DateFormat=P","Fill=—","Direction=H","UseDPDF=Y")</f>
        <v>599.49800000000005</v>
      </c>
      <c r="Y19" s="13">
        <f>_xll.BDH("ITCI US Equity","TOTAL_EQUITY","FQ2 2024","FQ2 2024","Currency=USD","Period=FQ","BEST_FPERIOD_OVERRIDE=FQ","FILING_STATUS=MR","SCALING_FORMAT=MLN","Sort=A","Dates=H","DateFormat=P","Fill=—","Direction=H","UseDPDF=Y")</f>
        <v>1144.6120000000001</v>
      </c>
      <c r="Z19" s="13">
        <f>_xll.BDH("ITCI US Equity","TOTAL_EQUITY","FQ3 2024","FQ3 2024","Currency=USD","Period=FQ","BEST_FPERIOD_OVERRIDE=FQ","FILING_STATUS=MR","SCALING_FORMAT=MLN","Sort=A","Dates=H","DateFormat=P","Fill=—","Direction=H","UseDPDF=Y")</f>
        <v>1144.826</v>
      </c>
      <c r="AA19" s="13">
        <f>_xll.BDH("ITCI US Equity","TOTAL_EQUITY","FQ4 2024","FQ4 2024","Currency=USD","Period=FQ","BEST_FPERIOD_OVERRIDE=FQ","FILING_STATUS=MR","SCALING_FORMAT=MLN","Sort=A","Dates=H","DateFormat=P","Fill=—","Direction=H","UseDPDF=Y")</f>
        <v>1148.46</v>
      </c>
    </row>
    <row r="20" spans="1:27" x14ac:dyDescent="0.25">
      <c r="A20" s="10" t="s">
        <v>120</v>
      </c>
      <c r="B20" s="10" t="s">
        <v>121</v>
      </c>
      <c r="C20" s="13">
        <f>_xll.BDH("ITCI US Equity","BS_SH_OUT","FQ4 2018","FQ4 2018","Currency=USD","Period=FQ","BEST_FPERIOD_OVERRIDE=FQ","FILING_STATUS=MR","Sort=A","Dates=H","DateFormat=P","Fill=—","Direction=H","UseDPDF=Y")</f>
        <v>54.895299999999999</v>
      </c>
      <c r="D20" s="13">
        <f>_xll.BDH("ITCI US Equity","BS_SH_OUT","FQ1 2019","FQ1 2019","Currency=USD","Period=FQ","BEST_FPERIOD_OVERRIDE=FQ","FILING_STATUS=MR","Sort=A","Dates=H","DateFormat=P","Fill=—","Direction=H","UseDPDF=Y")</f>
        <v>55.131100000000004</v>
      </c>
      <c r="E20" s="13">
        <f>_xll.BDH("ITCI US Equity","BS_SH_OUT","FQ2 2019","FQ2 2019","Currency=USD","Period=FQ","BEST_FPERIOD_OVERRIDE=FQ","FILING_STATUS=MR","Sort=A","Dates=H","DateFormat=P","Fill=—","Direction=H","UseDPDF=Y")</f>
        <v>55.186700000000002</v>
      </c>
      <c r="F20" s="13">
        <f>_xll.BDH("ITCI US Equity","BS_SH_OUT","FQ3 2019","FQ3 2019","Currency=USD","Period=FQ","BEST_FPERIOD_OVERRIDE=FQ","FILING_STATUS=MR","Sort=A","Dates=H","DateFormat=P","Fill=—","Direction=H","UseDPDF=Y")</f>
        <v>55.247599999999998</v>
      </c>
      <c r="G20" s="13">
        <f>_xll.BDH("ITCI US Equity","BS_SH_OUT","FQ4 2019","FQ4 2019","Currency=USD","Period=FQ","BEST_FPERIOD_OVERRIDE=FQ","FILING_STATUS=MR","Sort=A","Dates=H","DateFormat=P","Fill=—","Direction=H","UseDPDF=Y")</f>
        <v>55.5075</v>
      </c>
      <c r="H20" s="13">
        <f>_xll.BDH("ITCI US Equity","BS_SH_OUT","FQ1 2020","FQ1 2020","Currency=USD","Period=FQ","BEST_FPERIOD_OVERRIDE=FQ","FILING_STATUS=MR","Sort=A","Dates=H","DateFormat=P","Fill=—","Direction=H","UseDPDF=Y")</f>
        <v>66.200800000000001</v>
      </c>
      <c r="I20" s="13">
        <f>_xll.BDH("ITCI US Equity","BS_SH_OUT","FQ2 2020","FQ2 2020","Currency=USD","Period=FQ","BEST_FPERIOD_OVERRIDE=FQ","FILING_STATUS=MR","Sort=A","Dates=H","DateFormat=P","Fill=—","Direction=H","UseDPDF=Y")</f>
        <v>66.777699999999996</v>
      </c>
      <c r="J20" s="13">
        <f>_xll.BDH("ITCI US Equity","BS_SH_OUT","FQ3 2020","FQ3 2020","Currency=USD","Period=FQ","BEST_FPERIOD_OVERRIDE=FQ","FILING_STATUS=MR","Sort=A","Dates=H","DateFormat=P","Fill=—","Direction=H","UseDPDF=Y")</f>
        <v>80.142799999999994</v>
      </c>
      <c r="K20" s="13">
        <f>_xll.BDH("ITCI US Equity","BS_SH_OUT","FQ4 2020","FQ4 2020","Currency=USD","Period=FQ","BEST_FPERIOD_OVERRIDE=FQ","FILING_STATUS=MR","Sort=A","Dates=H","DateFormat=P","Fill=—","Direction=H","UseDPDF=Y")</f>
        <v>80.463099999999997</v>
      </c>
      <c r="L20" s="13">
        <f>_xll.BDH("ITCI US Equity","BS_SH_OUT","FQ1 2021","FQ1 2021","Currency=USD","Period=FQ","BEST_FPERIOD_OVERRIDE=FQ","FILING_STATUS=MR","Sort=A","Dates=H","DateFormat=P","Fill=—","Direction=H","UseDPDF=Y")</f>
        <v>81.133799999999994</v>
      </c>
      <c r="M20" s="13">
        <f>_xll.BDH("ITCI US Equity","BS_SH_OUT","FQ2 2021","FQ2 2021","Currency=USD","Period=FQ","BEST_FPERIOD_OVERRIDE=FQ","FILING_STATUS=MR","Sort=A","Dates=H","DateFormat=P","Fill=—","Direction=H","UseDPDF=Y")</f>
        <v>81.311899999999994</v>
      </c>
      <c r="N20" s="13">
        <f>_xll.BDH("ITCI US Equity","BS_SH_OUT","FQ3 2021","FQ3 2021","Currency=USD","Period=FQ","BEST_FPERIOD_OVERRIDE=FQ","FILING_STATUS=MR","Sort=A","Dates=H","DateFormat=P","Fill=—","Direction=H","UseDPDF=Y")</f>
        <v>81.377399999999994</v>
      </c>
      <c r="O20" s="13">
        <f>_xll.BDH("ITCI US Equity","BS_SH_OUT","FQ4 2021","FQ4 2021","Currency=USD","Period=FQ","BEST_FPERIOD_OVERRIDE=FQ","FILING_STATUS=MR","Sort=A","Dates=H","DateFormat=P","Fill=—","Direction=H","UseDPDF=Y")</f>
        <v>81.887</v>
      </c>
      <c r="P20" s="13">
        <f>_xll.BDH("ITCI US Equity","BS_SH_OUT","FQ1 2022","FQ1 2022","Currency=USD","Period=FQ","BEST_FPERIOD_OVERRIDE=FQ","FILING_STATUS=MR","Sort=A","Dates=H","DateFormat=P","Fill=—","Direction=H","UseDPDF=Y")</f>
        <v>94.020399999999995</v>
      </c>
      <c r="Q20" s="13">
        <f>_xll.BDH("ITCI US Equity","BS_SH_OUT","FQ2 2022","FQ2 2022","Currency=USD","Period=FQ","BEST_FPERIOD_OVERRIDE=FQ","FILING_STATUS=MR","Sort=A","Dates=H","DateFormat=P","Fill=—","Direction=H","UseDPDF=Y")</f>
        <v>94.367199999999997</v>
      </c>
      <c r="R20" s="13">
        <f>_xll.BDH("ITCI US Equity","BS_SH_OUT","FQ3 2022","FQ3 2022","Currency=USD","Period=FQ","BEST_FPERIOD_OVERRIDE=FQ","FILING_STATUS=MR","Sort=A","Dates=H","DateFormat=P","Fill=—","Direction=H","UseDPDF=Y")</f>
        <v>94.701700000000002</v>
      </c>
      <c r="S20" s="13">
        <f>_xll.BDH("ITCI US Equity","BS_SH_OUT","FQ4 2022","FQ4 2022","Currency=USD","Period=FQ","BEST_FPERIOD_OVERRIDE=FQ","FILING_STATUS=MR","Sort=A","Dates=H","DateFormat=P","Fill=—","Direction=H","UseDPDF=Y")</f>
        <v>94.829800000000006</v>
      </c>
      <c r="T20" s="13">
        <f>_xll.BDH("ITCI US Equity","BS_SH_OUT","FQ1 2023","FQ1 2023","Currency=USD","Period=FQ","BEST_FPERIOD_OVERRIDE=FQ","FILING_STATUS=MR","Sort=A","Dates=H","DateFormat=P","Fill=—","Direction=H","UseDPDF=Y")</f>
        <v>95.68</v>
      </c>
      <c r="U20" s="13">
        <f>_xll.BDH("ITCI US Equity","BS_SH_OUT","FQ2 2023","FQ2 2023","Currency=USD","Period=FQ","BEST_FPERIOD_OVERRIDE=FQ","FILING_STATUS=MR","Sort=A","Dates=H","DateFormat=P","Fill=—","Direction=H","UseDPDF=Y")</f>
        <v>96.083399999999997</v>
      </c>
      <c r="V20" s="13">
        <f>_xll.BDH("ITCI US Equity","BS_SH_OUT","FQ3 2023","FQ3 2023","Currency=USD","Period=FQ","BEST_FPERIOD_OVERRIDE=FQ","FILING_STATUS=MR","Sort=A","Dates=H","DateFormat=P","Fill=—","Direction=H","UseDPDF=Y")</f>
        <v>96.2256</v>
      </c>
      <c r="W20" s="13">
        <f>_xll.BDH("ITCI US Equity","BS_SH_OUT","FQ4 2023","FQ4 2023","Currency=USD","Period=FQ","BEST_FPERIOD_OVERRIDE=FQ","FILING_STATUS=MR","Sort=A","Dates=H","DateFormat=P","Fill=—","Direction=H","UseDPDF=Y")</f>
        <v>96.379800000000003</v>
      </c>
      <c r="X20" s="13">
        <f>_xll.BDH("ITCI US Equity","BS_SH_OUT","FQ1 2024","FQ1 2024","Currency=USD","Period=FQ","BEST_FPERIOD_OVERRIDE=FQ","FILING_STATUS=MR","Sort=A","Dates=H","DateFormat=P","Fill=—","Direction=H","UseDPDF=Y")</f>
        <v>97.477800000000002</v>
      </c>
      <c r="Y20" s="13">
        <f>_xll.BDH("ITCI US Equity","BS_SH_OUT","FQ2 2024","FQ2 2024","Currency=USD","Period=FQ","BEST_FPERIOD_OVERRIDE=FQ","FILING_STATUS=MR","Sort=A","Dates=H","DateFormat=P","Fill=—","Direction=H","UseDPDF=Y")</f>
        <v>105.6249</v>
      </c>
      <c r="Z20" s="13">
        <f>_xll.BDH("ITCI US Equity","BS_SH_OUT","FQ3 2024","FQ3 2024","Currency=USD","Period=FQ","BEST_FPERIOD_OVERRIDE=FQ","FILING_STATUS=MR","Sort=A","Dates=H","DateFormat=P","Fill=—","Direction=H","UseDPDF=Y")</f>
        <v>105.9988</v>
      </c>
      <c r="AA20" s="13">
        <f>_xll.BDH("ITCI US Equity","BS_SH_OUT","FQ4 2024","FQ4 2024","Currency=USD","Period=FQ","BEST_FPERIOD_OVERRIDE=FQ","FILING_STATUS=MR","Sort=A","Dates=H","DateFormat=P","Fill=—","Direction=H","UseDPDF=Y")</f>
        <v>106.24</v>
      </c>
    </row>
    <row r="21" spans="1:27" x14ac:dyDescent="0.25">
      <c r="A21" s="10" t="s">
        <v>122</v>
      </c>
      <c r="B21" s="10" t="s">
        <v>123</v>
      </c>
      <c r="C21" s="13">
        <f>_xll.BDH("ITCI US Equity","ARD_SHARE_OUT_FROM_FRONT_COVER","FQ4 2018","FQ4 2018","Currency=USD","Period=FQ","BEST_FPERIOD_OVERRIDE=FQ","FILING_STATUS=MR","Sort=A","Dates=H","DateFormat=P","Fill=—","Direction=H","UseDPDF=Y")</f>
        <v>55.116700000000002</v>
      </c>
      <c r="D21" s="13">
        <f>_xll.BDH("ITCI US Equity","ARD_SHARE_OUT_FROM_FRONT_COVER","FQ1 2019","FQ1 2019","Currency=USD","Period=FQ","BEST_FPERIOD_OVERRIDE=FQ","FILING_STATUS=MR","Sort=A","Dates=H","DateFormat=P","Fill=—","Direction=H","UseDPDF=Y")</f>
        <v>55.134599999999999</v>
      </c>
      <c r="E21" s="13">
        <f>_xll.BDH("ITCI US Equity","ARD_SHARE_OUT_FROM_FRONT_COVER","FQ2 2019","FQ2 2019","Currency=USD","Period=FQ","BEST_FPERIOD_OVERRIDE=FQ","FILING_STATUS=MR","Sort=A","Dates=H","DateFormat=P","Fill=—","Direction=H","UseDPDF=Y")</f>
        <v>55.173200000000001</v>
      </c>
      <c r="F21" s="13">
        <f>_xll.BDH("ITCI US Equity","ARD_SHARE_OUT_FROM_FRONT_COVER","FQ3 2019","FQ3 2019","Currency=USD","Period=FQ","BEST_FPERIOD_OVERRIDE=FQ","FILING_STATUS=MR","Sort=A","Dates=H","DateFormat=P","Fill=—","Direction=H","UseDPDF=Y")</f>
        <v>55.261000000000003</v>
      </c>
      <c r="G21" s="13">
        <f>_xll.BDH("ITCI US Equity","ARD_SHARE_OUT_FROM_FRONT_COVER","FQ4 2019","FQ4 2019","Currency=USD","Period=FQ","BEST_FPERIOD_OVERRIDE=FQ","FILING_STATUS=MR","Sort=A","Dates=H","DateFormat=P","Fill=—","Direction=H","UseDPDF=Y")</f>
        <v>66.133200000000002</v>
      </c>
      <c r="H21" s="13">
        <f>_xll.BDH("ITCI US Equity","ARD_SHARE_OUT_FROM_FRONT_COVER","FQ1 2020","FQ1 2020","Currency=USD","Period=FQ","BEST_FPERIOD_OVERRIDE=FQ","FILING_STATUS=MR","Sort=A","Dates=H","DateFormat=P","Fill=—","Direction=H","UseDPDF=Y")</f>
        <v>66.450500000000005</v>
      </c>
      <c r="I21" s="13">
        <f>_xll.BDH("ITCI US Equity","ARD_SHARE_OUT_FROM_FRONT_COVER","FQ2 2020","FQ2 2020","Currency=USD","Period=FQ","BEST_FPERIOD_OVERRIDE=FQ","FILING_STATUS=MR","Sort=A","Dates=H","DateFormat=P","Fill=—","Direction=H","UseDPDF=Y")</f>
        <v>67.306100000000001</v>
      </c>
      <c r="J21" s="13">
        <f>_xll.BDH("ITCI US Equity","ARD_SHARE_OUT_FROM_FRONT_COVER","FQ3 2020","FQ3 2020","Currency=USD","Period=FQ","BEST_FPERIOD_OVERRIDE=FQ","FILING_STATUS=MR","Sort=A","Dates=H","DateFormat=P","Fill=—","Direction=H","UseDPDF=Y")</f>
        <v>80.157600000000002</v>
      </c>
      <c r="K21" s="13">
        <f>_xll.BDH("ITCI US Equity","ARD_SHARE_OUT_FROM_FRONT_COVER","FQ4 2020","FQ4 2020","Currency=USD","Period=FQ","BEST_FPERIOD_OVERRIDE=FQ","FILING_STATUS=MR","Sort=A","Dates=H","DateFormat=P","Fill=—","Direction=H","UseDPDF=Y")</f>
        <v>80.917000000000002</v>
      </c>
      <c r="L21" s="13" t="str">
        <f>_xll.BDH("ITCI US Equity","ARD_SHARE_OUT_FROM_FRONT_COVER","FQ1 2021","FQ1 2021","Currency=USD","Period=FQ","BEST_FPERIOD_OVERRIDE=FQ","FILING_STATUS=MR","Sort=A","Dates=H","DateFormat=P","Fill=—","Direction=H","UseDPDF=Y")</f>
        <v>—</v>
      </c>
      <c r="M21" s="13">
        <f>_xll.BDH("ITCI US Equity","ARD_SHARE_OUT_FROM_FRONT_COVER","FQ2 2021","FQ2 2021","Currency=USD","Period=FQ","BEST_FPERIOD_OVERRIDE=FQ","FILING_STATUS=MR","Sort=A","Dates=H","DateFormat=P","Fill=—","Direction=H","UseDPDF=Y")</f>
        <v>81.3416</v>
      </c>
      <c r="N21" s="13">
        <f>_xll.BDH("ITCI US Equity","ARD_SHARE_OUT_FROM_FRONT_COVER","FQ3 2021","FQ3 2021","Currency=USD","Period=FQ","BEST_FPERIOD_OVERRIDE=FQ","FILING_STATUS=MR","Sort=A","Dates=H","DateFormat=P","Fill=—","Direction=H","UseDPDF=Y")</f>
        <v>81.463300000000004</v>
      </c>
      <c r="O21" s="13">
        <f>_xll.BDH("ITCI US Equity","ARD_SHARE_OUT_FROM_FRONT_COVER","FQ4 2021","FQ4 2021","Currency=USD","Period=FQ","BEST_FPERIOD_OVERRIDE=FQ","FILING_STATUS=MR","Sort=A","Dates=H","DateFormat=P","Fill=—","Direction=H","UseDPDF=Y")</f>
        <v>93.593699999999998</v>
      </c>
      <c r="P21" s="13" t="str">
        <f>_xll.BDH("ITCI US Equity","ARD_SHARE_OUT_FROM_FRONT_COVER","FQ1 2022","FQ1 2022","Currency=USD","Period=FQ","BEST_FPERIOD_OVERRIDE=FQ","FILING_STATUS=MR","Sort=A","Dates=H","DateFormat=P","Fill=—","Direction=H","UseDPDF=Y")</f>
        <v>—</v>
      </c>
      <c r="Q21" s="13">
        <f>_xll.BDH("ITCI US Equity","ARD_SHARE_OUT_FROM_FRONT_COVER","FQ2 2022","FQ2 2022","Currency=USD","Period=FQ","BEST_FPERIOD_OVERRIDE=FQ","FILING_STATUS=MR","Sort=A","Dates=H","DateFormat=P","Fill=—","Direction=H","UseDPDF=Y")</f>
        <v>94.401700000000005</v>
      </c>
      <c r="R21" s="13">
        <f>_xll.BDH("ITCI US Equity","ARD_SHARE_OUT_FROM_FRONT_COVER","FQ3 2022","FQ3 2022","Currency=USD","Period=FQ","BEST_FPERIOD_OVERRIDE=FQ","FILING_STATUS=MR","Sort=A","Dates=H","DateFormat=P","Fill=—","Direction=H","UseDPDF=Y")</f>
        <v>94.401700000000005</v>
      </c>
      <c r="S21" s="13">
        <f>_xll.BDH("ITCI US Equity","ARD_SHARE_OUT_FROM_FRONT_COVER","FQ4 2022","FQ4 2022","Currency=USD","Period=FQ","BEST_FPERIOD_OVERRIDE=FQ","FILING_STATUS=MR","Sort=A","Dates=H","DateFormat=P","Fill=—","Direction=H","UseDPDF=Y")</f>
        <v>95.28</v>
      </c>
      <c r="T21" s="13">
        <f>_xll.BDH("ITCI US Equity","ARD_SHARE_OUT_FROM_FRONT_COVER","FQ1 2023","FQ1 2023","Currency=USD","Period=FQ","BEST_FPERIOD_OVERRIDE=FQ","FILING_STATUS=MR","Sort=A","Dates=H","DateFormat=P","Fill=—","Direction=H","UseDPDF=Y")</f>
        <v>95.925600000000003</v>
      </c>
      <c r="U21" s="13">
        <f>_xll.BDH("ITCI US Equity","ARD_SHARE_OUT_FROM_FRONT_COVER","FQ2 2023","FQ2 2023","Currency=USD","Period=FQ","BEST_FPERIOD_OVERRIDE=FQ","FILING_STATUS=MR","Sort=A","Dates=H","DateFormat=P","Fill=—","Direction=H","UseDPDF=Y")</f>
        <v>96.0916</v>
      </c>
      <c r="V21" s="13">
        <f>_xll.BDH("ITCI US Equity","ARD_SHARE_OUT_FROM_FRONT_COVER","FQ3 2023","FQ3 2023","Currency=USD","Period=FQ","BEST_FPERIOD_OVERRIDE=FQ","FILING_STATUS=MR","Sort=A","Dates=H","DateFormat=P","Fill=—","Direction=H","UseDPDF=Y")</f>
        <v>96.238100000000003</v>
      </c>
      <c r="W21" s="13">
        <f>_xll.BDH("ITCI US Equity","ARD_SHARE_OUT_FROM_FRONT_COVER","FQ4 2023","FQ4 2023","Currency=USD","Period=FQ","BEST_FPERIOD_OVERRIDE=FQ","FILING_STATUS=MR","Sort=A","Dates=H","DateFormat=P","Fill=—","Direction=H","UseDPDF=Y")</f>
        <v>96.807199999999995</v>
      </c>
      <c r="X21" s="13">
        <f>_xll.BDH("ITCI US Equity","ARD_SHARE_OUT_FROM_FRONT_COVER","FQ1 2024","FQ1 2024","Currency=USD","Period=FQ","BEST_FPERIOD_OVERRIDE=FQ","FILING_STATUS=MR","Sort=A","Dates=H","DateFormat=P","Fill=—","Direction=H","UseDPDF=Y")</f>
        <v>105.5749</v>
      </c>
      <c r="Y21" s="13">
        <f>_xll.BDH("ITCI US Equity","ARD_SHARE_OUT_FROM_FRONT_COVER","FQ2 2024","FQ2 2024","Currency=USD","Period=FQ","BEST_FPERIOD_OVERRIDE=FQ","FILING_STATUS=MR","Sort=A","Dates=H","DateFormat=P","Fill=—","Direction=H","UseDPDF=Y")</f>
        <v>105.6669</v>
      </c>
      <c r="Z21" s="13">
        <f>_xll.BDH("ITCI US Equity","ARD_SHARE_OUT_FROM_FRONT_COVER","FQ3 2024","FQ3 2024","Currency=USD","Period=FQ","BEST_FPERIOD_OVERRIDE=FQ","FILING_STATUS=MR","Sort=A","Dates=H","DateFormat=P","Fill=—","Direction=H","UseDPDF=Y")</f>
        <v>106.0171</v>
      </c>
      <c r="AA21" s="13">
        <f>_xll.BDH("ITCI US Equity","ARD_SHARE_OUT_FROM_FRONT_COVER","FQ4 2024","FQ4 2024","Currency=USD","Period=FQ","BEST_FPERIOD_OVERRIDE=FQ","FILING_STATUS=MR","Sort=A","Dates=H","DateFormat=P","Fill=—","Direction=H","UseDPDF=Y")</f>
        <v>106.328</v>
      </c>
    </row>
    <row r="22" spans="1:27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5">
      <c r="A23" s="10" t="s">
        <v>124</v>
      </c>
      <c r="B23" s="10" t="s">
        <v>85</v>
      </c>
      <c r="C23" s="13">
        <f>_xll.BDH("ITCI US Equity","CF_CASH_FROM_OPER","FQ4 2018","FQ4 2018","Currency=USD","Period=FQ","BEST_FPERIOD_OVERRIDE=FQ","FILING_STATUS=MR","SCALING_FORMAT=MLN","Sort=A","Dates=H","DateFormat=P","Fill=—","Direction=H","UseDPDF=Y")</f>
        <v>-29.1615</v>
      </c>
      <c r="D23" s="13">
        <f>_xll.BDH("ITCI US Equity","CF_CASH_FROM_OPER","FQ1 2019","FQ1 2019","Currency=USD","Period=FQ","BEST_FPERIOD_OVERRIDE=FQ","FILING_STATUS=MR","SCALING_FORMAT=MLN","Sort=A","Dates=H","DateFormat=P","Fill=—","Direction=H","UseDPDF=Y")</f>
        <v>-35.629300000000001</v>
      </c>
      <c r="E23" s="13">
        <f>_xll.BDH("ITCI US Equity","CF_CASH_FROM_OPER","FQ2 2019","FQ2 2019","Currency=USD","Period=FQ","BEST_FPERIOD_OVERRIDE=FQ","FILING_STATUS=MR","SCALING_FORMAT=MLN","Sort=A","Dates=H","DateFormat=P","Fill=—","Direction=H","UseDPDF=Y")</f>
        <v>-27.308700000000002</v>
      </c>
      <c r="F23" s="13">
        <f>_xll.BDH("ITCI US Equity","CF_CASH_FROM_OPER","FQ3 2019","FQ3 2019","Currency=USD","Period=FQ","BEST_FPERIOD_OVERRIDE=FQ","FILING_STATUS=MR","SCALING_FORMAT=MLN","Sort=A","Dates=H","DateFormat=P","Fill=—","Direction=H","UseDPDF=Y")</f>
        <v>-29.9893</v>
      </c>
      <c r="G23" s="13">
        <f>_xll.BDH("ITCI US Equity","CF_CASH_FROM_OPER","FQ4 2019","FQ4 2019","Currency=USD","Period=FQ","BEST_FPERIOD_OVERRIDE=FQ","FILING_STATUS=MR","SCALING_FORMAT=MLN","Sort=A","Dates=H","DateFormat=P","Fill=—","Direction=H","UseDPDF=Y")</f>
        <v>-35.055900000000001</v>
      </c>
      <c r="H23" s="13">
        <f>_xll.BDH("ITCI US Equity","CF_CASH_FROM_OPER","FQ1 2020","FQ1 2020","Currency=USD","Period=FQ","BEST_FPERIOD_OVERRIDE=FQ","FILING_STATUS=MR","SCALING_FORMAT=MLN","Sort=A","Dates=H","DateFormat=P","Fill=—","Direction=H","UseDPDF=Y")</f>
        <v>-51.226199999999999</v>
      </c>
      <c r="I23" s="13">
        <f>_xll.BDH("ITCI US Equity","CF_CASH_FROM_OPER","FQ2 2020","FQ2 2020","Currency=USD","Period=FQ","BEST_FPERIOD_OVERRIDE=FQ","FILING_STATUS=MR","SCALING_FORMAT=MLN","Sort=A","Dates=H","DateFormat=P","Fill=—","Direction=H","UseDPDF=Y")</f>
        <v>-47.024799999999999</v>
      </c>
      <c r="J23" s="13">
        <f>_xll.BDH("ITCI US Equity","CF_CASH_FROM_OPER","FQ3 2020","FQ3 2020","Currency=USD","Period=FQ","BEST_FPERIOD_OVERRIDE=FQ","FILING_STATUS=MR","SCALING_FORMAT=MLN","Sort=A","Dates=H","DateFormat=P","Fill=—","Direction=H","UseDPDF=Y")</f>
        <v>-63.579099999999997</v>
      </c>
      <c r="K23" s="13">
        <f>_xll.BDH("ITCI US Equity","CF_CASH_FROM_OPER","FQ4 2020","FQ4 2020","Currency=USD","Period=FQ","BEST_FPERIOD_OVERRIDE=FQ","FILING_STATUS=MR","SCALING_FORMAT=MLN","Sort=A","Dates=H","DateFormat=P","Fill=—","Direction=H","UseDPDF=Y")</f>
        <v>-68.242699999999999</v>
      </c>
      <c r="L23" s="13">
        <f>_xll.BDH("ITCI US Equity","CF_CASH_FROM_OPER","FQ1 2021","FQ1 2021","Currency=USD","Period=FQ","BEST_FPERIOD_OVERRIDE=FQ","FILING_STATUS=MR","SCALING_FORMAT=MLN","Sort=A","Dates=H","DateFormat=P","Fill=—","Direction=H","UseDPDF=Y")</f>
        <v>-47.767000000000003</v>
      </c>
      <c r="M23" s="13">
        <f>_xll.BDH("ITCI US Equity","CF_CASH_FROM_OPER","FQ2 2021","FQ2 2021","Currency=USD","Period=FQ","BEST_FPERIOD_OVERRIDE=FQ","FILING_STATUS=MR","SCALING_FORMAT=MLN","Sort=A","Dates=H","DateFormat=P","Fill=—","Direction=H","UseDPDF=Y")</f>
        <v>-59.325200000000002</v>
      </c>
      <c r="N23" s="13">
        <f>_xll.BDH("ITCI US Equity","CF_CASH_FROM_OPER","FQ3 2021","FQ3 2021","Currency=USD","Period=FQ","BEST_FPERIOD_OVERRIDE=FQ","FILING_STATUS=MR","SCALING_FORMAT=MLN","Sort=A","Dates=H","DateFormat=P","Fill=—","Direction=H","UseDPDF=Y")</f>
        <v>-79.266800000000003</v>
      </c>
      <c r="O23" s="13">
        <f>_xll.BDH("ITCI US Equity","CF_CASH_FROM_OPER","FQ4 2021","FQ4 2021","Currency=USD","Period=FQ","BEST_FPERIOD_OVERRIDE=FQ","FILING_STATUS=MR","SCALING_FORMAT=MLN","Sort=A","Dates=H","DateFormat=P","Fill=—","Direction=H","UseDPDF=Y")</f>
        <v>-73.1845</v>
      </c>
      <c r="P23" s="13">
        <f>_xll.BDH("ITCI US Equity","CF_CASH_FROM_OPER","FQ1 2022","FQ1 2022","Currency=USD","Period=FQ","BEST_FPERIOD_OVERRIDE=FQ","FILING_STATUS=MR","SCALING_FORMAT=MLN","Sort=A","Dates=H","DateFormat=P","Fill=—","Direction=H","UseDPDF=Y")</f>
        <v>-82.849000000000004</v>
      </c>
      <c r="Q23" s="13">
        <f>_xll.BDH("ITCI US Equity","CF_CASH_FROM_OPER","FQ2 2022","FQ2 2022","Currency=USD","Period=FQ","BEST_FPERIOD_OVERRIDE=FQ","FILING_STATUS=MR","SCALING_FORMAT=MLN","Sort=A","Dates=H","DateFormat=P","Fill=—","Direction=H","UseDPDF=Y")</f>
        <v>-94.793000000000006</v>
      </c>
      <c r="R23" s="13">
        <f>_xll.BDH("ITCI US Equity","CF_CASH_FROM_OPER","FQ3 2022","FQ3 2022","Currency=USD","Period=FQ","BEST_FPERIOD_OVERRIDE=FQ","FILING_STATUS=MR","SCALING_FORMAT=MLN","Sort=A","Dates=H","DateFormat=P","Fill=—","Direction=H","UseDPDF=Y")</f>
        <v>-53.350999999999999</v>
      </c>
      <c r="S23" s="13">
        <f>_xll.BDH("ITCI US Equity","CF_CASH_FROM_OPER","FQ4 2022","FQ4 2022","Currency=USD","Period=FQ","BEST_FPERIOD_OVERRIDE=FQ","FILING_STATUS=MR","SCALING_FORMAT=MLN","Sort=A","Dates=H","DateFormat=P","Fill=—","Direction=H","UseDPDF=Y")</f>
        <v>-39.192999999999998</v>
      </c>
      <c r="T23" s="13">
        <f>_xll.BDH("ITCI US Equity","CF_CASH_FROM_OPER","FQ1 2023","FQ1 2023","Currency=USD","Period=FQ","BEST_FPERIOD_OVERRIDE=FQ","FILING_STATUS=MR","SCALING_FORMAT=MLN","Sort=A","Dates=H","DateFormat=P","Fill=—","Direction=H","UseDPDF=Y")</f>
        <v>-60.066000000000003</v>
      </c>
      <c r="U23" s="13">
        <f>_xll.BDH("ITCI US Equity","CF_CASH_FROM_OPER","FQ2 2023","FQ2 2023","Currency=USD","Period=FQ","BEST_FPERIOD_OVERRIDE=FQ","FILING_STATUS=MR","SCALING_FORMAT=MLN","Sort=A","Dates=H","DateFormat=P","Fill=—","Direction=H","UseDPDF=Y")</f>
        <v>-36.802</v>
      </c>
      <c r="V23" s="13">
        <f>_xll.BDH("ITCI US Equity","CF_CASH_FROM_OPER","FQ3 2023","FQ3 2023","Currency=USD","Period=FQ","BEST_FPERIOD_OVERRIDE=FQ","FILING_STATUS=MR","SCALING_FORMAT=MLN","Sort=A","Dates=H","DateFormat=P","Fill=—","Direction=H","UseDPDF=Y")</f>
        <v>-25.27</v>
      </c>
      <c r="W23" s="13">
        <f>_xll.BDH("ITCI US Equity","CF_CASH_FROM_OPER","FQ4 2023","FQ4 2023","Currency=USD","Period=FQ","BEST_FPERIOD_OVERRIDE=FQ","FILING_STATUS=MR","SCALING_FORMAT=MLN","Sort=A","Dates=H","DateFormat=P","Fill=—","Direction=H","UseDPDF=Y")</f>
        <v>-2.0609999999999999</v>
      </c>
      <c r="X23" s="13">
        <f>_xll.BDH("ITCI US Equity","CF_CASH_FROM_OPER","FQ1 2024","FQ1 2024","Currency=USD","Period=FQ","BEST_FPERIOD_OVERRIDE=FQ","FILING_STATUS=MR","SCALING_FORMAT=MLN","Sort=A","Dates=H","DateFormat=P","Fill=—","Direction=H","UseDPDF=Y")</f>
        <v>-34.116</v>
      </c>
      <c r="Y23" s="13">
        <f>_xll.BDH("ITCI US Equity","CF_CASH_FROM_OPER","FQ2 2024","FQ2 2024","Currency=USD","Period=FQ","BEST_FPERIOD_OVERRIDE=FQ","FILING_STATUS=MR","SCALING_FORMAT=MLN","Sort=A","Dates=H","DateFormat=P","Fill=—","Direction=H","UseDPDF=Y")</f>
        <v>0.54200000000000004</v>
      </c>
      <c r="Z23" s="13">
        <f>_xll.BDH("ITCI US Equity","CF_CASH_FROM_OPER","FQ3 2024","FQ3 2024","Currency=USD","Period=FQ","BEST_FPERIOD_OVERRIDE=FQ","FILING_STATUS=MR","SCALING_FORMAT=MLN","Sort=A","Dates=H","DateFormat=P","Fill=—","Direction=H","UseDPDF=Y")</f>
        <v>-26.524999999999999</v>
      </c>
      <c r="AA23" s="13">
        <f>_xll.BDH("ITCI US Equity","CF_CASH_FROM_OPER","FQ4 2024","FQ4 2024","Currency=USD","Period=FQ","BEST_FPERIOD_OVERRIDE=FQ","FILING_STATUS=MR","SCALING_FORMAT=MLN","Sort=A","Dates=H","DateFormat=P","Fill=—","Direction=H","UseDPDF=Y")</f>
        <v>-13.077999999999999</v>
      </c>
    </row>
    <row r="24" spans="1:27" x14ac:dyDescent="0.25">
      <c r="A24" s="10" t="s">
        <v>125</v>
      </c>
      <c r="B24" s="10" t="s">
        <v>126</v>
      </c>
      <c r="C24" s="13">
        <f>_xll.BDH("ITCI US Equity","CF_CASH_FROM_INV_ACT","FQ4 2018","FQ4 2018","Currency=USD","Period=FQ","BEST_FPERIOD_OVERRIDE=FQ","FILING_STATUS=MR","SCALING_FORMAT=MLN","Sort=A","Dates=H","DateFormat=P","Fill=—","Direction=H","UseDPDF=Y")</f>
        <v>14.1462</v>
      </c>
      <c r="D24" s="13">
        <f>_xll.BDH("ITCI US Equity","CF_CASH_FROM_INV_ACT","FQ1 2019","FQ1 2019","Currency=USD","Period=FQ","BEST_FPERIOD_OVERRIDE=FQ","FILING_STATUS=MR","SCALING_FORMAT=MLN","Sort=A","Dates=H","DateFormat=P","Fill=—","Direction=H","UseDPDF=Y")</f>
        <v>44.741700000000002</v>
      </c>
      <c r="E24" s="13">
        <f>_xll.BDH("ITCI US Equity","CF_CASH_FROM_INV_ACT","FQ2 2019","FQ2 2019","Currency=USD","Period=FQ","BEST_FPERIOD_OVERRIDE=FQ","FILING_STATUS=MR","SCALING_FORMAT=MLN","Sort=A","Dates=H","DateFormat=P","Fill=—","Direction=H","UseDPDF=Y")</f>
        <v>54.721800000000002</v>
      </c>
      <c r="F24" s="13">
        <f>_xll.BDH("ITCI US Equity","CF_CASH_FROM_INV_ACT","FQ3 2019","FQ3 2019","Currency=USD","Period=FQ","BEST_FPERIOD_OVERRIDE=FQ","FILING_STATUS=MR","SCALING_FORMAT=MLN","Sort=A","Dates=H","DateFormat=P","Fill=—","Direction=H","UseDPDF=Y")</f>
        <v>40.236499999999999</v>
      </c>
      <c r="G24" s="13">
        <f>_xll.BDH("ITCI US Equity","CF_CASH_FROM_INV_ACT","FQ4 2019","FQ4 2019","Currency=USD","Period=FQ","BEST_FPERIOD_OVERRIDE=FQ","FILING_STATUS=MR","SCALING_FORMAT=MLN","Sort=A","Dates=H","DateFormat=P","Fill=—","Direction=H","UseDPDF=Y")</f>
        <v>37.737000000000002</v>
      </c>
      <c r="H24" s="13">
        <f>_xll.BDH("ITCI US Equity","CF_CASH_FROM_INV_ACT","FQ1 2020","FQ1 2020","Currency=USD","Period=FQ","BEST_FPERIOD_OVERRIDE=FQ","FILING_STATUS=MR","SCALING_FORMAT=MLN","Sort=A","Dates=H","DateFormat=P","Fill=—","Direction=H","UseDPDF=Y")</f>
        <v>-152.98490000000001</v>
      </c>
      <c r="I24" s="13">
        <f>_xll.BDH("ITCI US Equity","CF_CASH_FROM_INV_ACT","FQ2 2020","FQ2 2020","Currency=USD","Period=FQ","BEST_FPERIOD_OVERRIDE=FQ","FILING_STATUS=MR","SCALING_FORMAT=MLN","Sort=A","Dates=H","DateFormat=P","Fill=—","Direction=H","UseDPDF=Y")</f>
        <v>-7.7576000000000001</v>
      </c>
      <c r="J24" s="13">
        <f>_xll.BDH("ITCI US Equity","CF_CASH_FROM_INV_ACT","FQ3 2020","FQ3 2020","Currency=USD","Period=FQ","BEST_FPERIOD_OVERRIDE=FQ","FILING_STATUS=MR","SCALING_FORMAT=MLN","Sort=A","Dates=H","DateFormat=P","Fill=—","Direction=H","UseDPDF=Y")</f>
        <v>-143.21680000000001</v>
      </c>
      <c r="K24" s="13">
        <f>_xll.BDH("ITCI US Equity","CF_CASH_FROM_INV_ACT","FQ4 2020","FQ4 2020","Currency=USD","Period=FQ","BEST_FPERIOD_OVERRIDE=FQ","FILING_STATUS=MR","SCALING_FORMAT=MLN","Sort=A","Dates=H","DateFormat=P","Fill=—","Direction=H","UseDPDF=Y")</f>
        <v>-176.3357</v>
      </c>
      <c r="L24" s="13">
        <f>_xll.BDH("ITCI US Equity","CF_CASH_FROM_INV_ACT","FQ1 2021","FQ1 2021","Currency=USD","Period=FQ","BEST_FPERIOD_OVERRIDE=FQ","FILING_STATUS=MR","SCALING_FORMAT=MLN","Sort=A","Dates=H","DateFormat=P","Fill=—","Direction=H","UseDPDF=Y")</f>
        <v>116.2692</v>
      </c>
      <c r="M24" s="13">
        <f>_xll.BDH("ITCI US Equity","CF_CASH_FROM_INV_ACT","FQ2 2021","FQ2 2021","Currency=USD","Period=FQ","BEST_FPERIOD_OVERRIDE=FQ","FILING_STATUS=MR","SCALING_FORMAT=MLN","Sort=A","Dates=H","DateFormat=P","Fill=—","Direction=H","UseDPDF=Y")</f>
        <v>48.793799999999997</v>
      </c>
      <c r="N24" s="13">
        <f>_xll.BDH("ITCI US Equity","CF_CASH_FROM_INV_ACT","FQ3 2021","FQ3 2021","Currency=USD","Period=FQ","BEST_FPERIOD_OVERRIDE=FQ","FILING_STATUS=MR","SCALING_FORMAT=MLN","Sort=A","Dates=H","DateFormat=P","Fill=—","Direction=H","UseDPDF=Y")</f>
        <v>63.771299999999997</v>
      </c>
      <c r="O24" s="13">
        <f>_xll.BDH("ITCI US Equity","CF_CASH_FROM_INV_ACT","FQ4 2021","FQ4 2021","Currency=USD","Period=FQ","BEST_FPERIOD_OVERRIDE=FQ","FILING_STATUS=MR","SCALING_FORMAT=MLN","Sort=A","Dates=H","DateFormat=P","Fill=—","Direction=H","UseDPDF=Y")</f>
        <v>51.509300000000003</v>
      </c>
      <c r="P24" s="13">
        <f>_xll.BDH("ITCI US Equity","CF_CASH_FROM_INV_ACT","FQ1 2022","FQ1 2022","Currency=USD","Period=FQ","BEST_FPERIOD_OVERRIDE=FQ","FILING_STATUS=MR","SCALING_FORMAT=MLN","Sort=A","Dates=H","DateFormat=P","Fill=—","Direction=H","UseDPDF=Y")</f>
        <v>-322.03500000000003</v>
      </c>
      <c r="Q24" s="13">
        <f>_xll.BDH("ITCI US Equity","CF_CASH_FROM_INV_ACT","FQ2 2022","FQ2 2022","Currency=USD","Period=FQ","BEST_FPERIOD_OVERRIDE=FQ","FILING_STATUS=MR","SCALING_FORMAT=MLN","Sort=A","Dates=H","DateFormat=P","Fill=—","Direction=H","UseDPDF=Y")</f>
        <v>37.228999999999999</v>
      </c>
      <c r="R24" s="13">
        <f>_xll.BDH("ITCI US Equity","CF_CASH_FROM_INV_ACT","FQ3 2022","FQ3 2022","Currency=USD","Period=FQ","BEST_FPERIOD_OVERRIDE=FQ","FILING_STATUS=MR","SCALING_FORMAT=MLN","Sort=A","Dates=H","DateFormat=P","Fill=—","Direction=H","UseDPDF=Y")</f>
        <v>106.17</v>
      </c>
      <c r="S24" s="13">
        <f>_xll.BDH("ITCI US Equity","CF_CASH_FROM_INV_ACT","FQ4 2022","FQ4 2022","Currency=USD","Period=FQ","BEST_FPERIOD_OVERRIDE=FQ","FILING_STATUS=MR","SCALING_FORMAT=MLN","Sort=A","Dates=H","DateFormat=P","Fill=—","Direction=H","UseDPDF=Y")</f>
        <v>50.262999999999998</v>
      </c>
      <c r="T24" s="13">
        <f>_xll.BDH("ITCI US Equity","CF_CASH_FROM_INV_ACT","FQ1 2023","FQ1 2023","Currency=USD","Period=FQ","BEST_FPERIOD_OVERRIDE=FQ","FILING_STATUS=MR","SCALING_FORMAT=MLN","Sort=A","Dates=H","DateFormat=P","Fill=—","Direction=H","UseDPDF=Y")</f>
        <v>-16.462</v>
      </c>
      <c r="U24" s="13">
        <f>_xll.BDH("ITCI US Equity","CF_CASH_FROM_INV_ACT","FQ2 2023","FQ2 2023","Currency=USD","Period=FQ","BEST_FPERIOD_OVERRIDE=FQ","FILING_STATUS=MR","SCALING_FORMAT=MLN","Sort=A","Dates=H","DateFormat=P","Fill=—","Direction=H","UseDPDF=Y")</f>
        <v>94.748000000000005</v>
      </c>
      <c r="V24" s="13">
        <f>_xll.BDH("ITCI US Equity","CF_CASH_FROM_INV_ACT","FQ3 2023","FQ3 2023","Currency=USD","Period=FQ","BEST_FPERIOD_OVERRIDE=FQ","FILING_STATUS=MR","SCALING_FORMAT=MLN","Sort=A","Dates=H","DateFormat=P","Fill=—","Direction=H","UseDPDF=Y")</f>
        <v>-20.167000000000002</v>
      </c>
      <c r="W24" s="13">
        <f>_xll.BDH("ITCI US Equity","CF_CASH_FROM_INV_ACT","FQ4 2023","FQ4 2023","Currency=USD","Period=FQ","BEST_FPERIOD_OVERRIDE=FQ","FILING_STATUS=MR","SCALING_FORMAT=MLN","Sort=A","Dates=H","DateFormat=P","Fill=—","Direction=H","UseDPDF=Y")</f>
        <v>47.421999999999997</v>
      </c>
      <c r="X24" s="13">
        <f>_xll.BDH("ITCI US Equity","CF_CASH_FROM_INV_ACT","FQ1 2024","FQ1 2024","Currency=USD","Period=FQ","BEST_FPERIOD_OVERRIDE=FQ","FILING_STATUS=MR","SCALING_FORMAT=MLN","Sort=A","Dates=H","DateFormat=P","Fill=—","Direction=H","UseDPDF=Y")</f>
        <v>16.178999999999998</v>
      </c>
      <c r="Y24" s="13">
        <f>_xll.BDH("ITCI US Equity","CF_CASH_FROM_INV_ACT","FQ2 2024","FQ2 2024","Currency=USD","Period=FQ","BEST_FPERIOD_OVERRIDE=FQ","FILING_STATUS=MR","SCALING_FORMAT=MLN","Sort=A","Dates=H","DateFormat=P","Fill=—","Direction=H","UseDPDF=Y")</f>
        <v>7.766</v>
      </c>
      <c r="Z24" s="13">
        <f>_xll.BDH("ITCI US Equity","CF_CASH_FROM_INV_ACT","FQ3 2024","FQ3 2024","Currency=USD","Period=FQ","BEST_FPERIOD_OVERRIDE=FQ","FILING_STATUS=MR","SCALING_FORMAT=MLN","Sort=A","Dates=H","DateFormat=P","Fill=—","Direction=H","UseDPDF=Y")</f>
        <v>-209.203</v>
      </c>
      <c r="AA24" s="13">
        <f>_xll.BDH("ITCI US Equity","CF_CASH_FROM_INV_ACT","FQ4 2024","FQ4 2024","Currency=USD","Period=FQ","BEST_FPERIOD_OVERRIDE=FQ","FILING_STATUS=MR","SCALING_FORMAT=MLN","Sort=A","Dates=H","DateFormat=P","Fill=—","Direction=H","UseDPDF=Y")</f>
        <v>-149.892</v>
      </c>
    </row>
    <row r="25" spans="1:27" x14ac:dyDescent="0.25">
      <c r="A25" s="10" t="s">
        <v>127</v>
      </c>
      <c r="B25" s="10" t="s">
        <v>128</v>
      </c>
      <c r="C25" s="13">
        <f>_xll.BDH("ITCI US Equity","CF_CASH_FROM_FNC_ACT","FQ4 2018","FQ4 2018","Currency=USD","Period=FQ","BEST_FPERIOD_OVERRIDE=FQ","FILING_STATUS=MR","SCALING_FORMAT=MLN","Sort=A","Dates=H","DateFormat=P","Fill=—","Direction=H","UseDPDF=Y")</f>
        <v>0.18590000000000001</v>
      </c>
      <c r="D25" s="13">
        <f>_xll.BDH("ITCI US Equity","CF_CASH_FROM_FNC_ACT","FQ1 2019","FQ1 2019","Currency=USD","Period=FQ","BEST_FPERIOD_OVERRIDE=FQ","FILING_STATUS=MR","SCALING_FORMAT=MLN","Sort=A","Dates=H","DateFormat=P","Fill=—","Direction=H","UseDPDF=Y")</f>
        <v>3.1199999999999999E-2</v>
      </c>
      <c r="E25" s="13">
        <f>_xll.BDH("ITCI US Equity","CF_CASH_FROM_FNC_ACT","FQ2 2019","FQ2 2019","Currency=USD","Period=FQ","BEST_FPERIOD_OVERRIDE=FQ","FILING_STATUS=MR","SCALING_FORMAT=MLN","Sort=A","Dates=H","DateFormat=P","Fill=—","Direction=H","UseDPDF=Y")</f>
        <v>0.25919999999999999</v>
      </c>
      <c r="F25" s="13">
        <f>_xll.BDH("ITCI US Equity","CF_CASH_FROM_FNC_ACT","FQ3 2019","FQ3 2019","Currency=USD","Period=FQ","BEST_FPERIOD_OVERRIDE=FQ","FILING_STATUS=MR","SCALING_FORMAT=MLN","Sort=A","Dates=H","DateFormat=P","Fill=—","Direction=H","UseDPDF=Y")</f>
        <v>0.15240000000000001</v>
      </c>
      <c r="G25" s="13">
        <f>_xll.BDH("ITCI US Equity","CF_CASH_FROM_FNC_ACT","FQ4 2019","FQ4 2019","Currency=USD","Period=FQ","BEST_FPERIOD_OVERRIDE=FQ","FILING_STATUS=MR","SCALING_FORMAT=MLN","Sort=A","Dates=H","DateFormat=P","Fill=—","Direction=H","UseDPDF=Y")</f>
        <v>2.7928000000000002</v>
      </c>
      <c r="H25" s="13">
        <f>_xll.BDH("ITCI US Equity","CF_CASH_FROM_FNC_ACT","FQ1 2020","FQ1 2020","Currency=USD","Period=FQ","BEST_FPERIOD_OVERRIDE=FQ","FILING_STATUS=MR","SCALING_FORMAT=MLN","Sort=A","Dates=H","DateFormat=P","Fill=—","Direction=H","UseDPDF=Y")</f>
        <v>277.56729999999999</v>
      </c>
      <c r="I25" s="13">
        <f>_xll.BDH("ITCI US Equity","CF_CASH_FROM_FNC_ACT","FQ2 2020","FQ2 2020","Currency=USD","Period=FQ","BEST_FPERIOD_OVERRIDE=FQ","FILING_STATUS=MR","SCALING_FORMAT=MLN","Sort=A","Dates=H","DateFormat=P","Fill=—","Direction=H","UseDPDF=Y")</f>
        <v>4.4798</v>
      </c>
      <c r="J25" s="13">
        <f>_xll.BDH("ITCI US Equity","CF_CASH_FROM_FNC_ACT","FQ3 2020","FQ3 2020","Currency=USD","Period=FQ","BEST_FPERIOD_OVERRIDE=FQ","FILING_STATUS=MR","SCALING_FORMAT=MLN","Sort=A","Dates=H","DateFormat=P","Fill=—","Direction=H","UseDPDF=Y")</f>
        <v>378.49439999999998</v>
      </c>
      <c r="K25" s="13">
        <f>_xll.BDH("ITCI US Equity","CF_CASH_FROM_FNC_ACT","FQ4 2020","FQ4 2020","Currency=USD","Period=FQ","BEST_FPERIOD_OVERRIDE=FQ","FILING_STATUS=MR","SCALING_FORMAT=MLN","Sort=A","Dates=H","DateFormat=P","Fill=—","Direction=H","UseDPDF=Y")</f>
        <v>3.6353</v>
      </c>
      <c r="L25" s="13">
        <f>_xll.BDH("ITCI US Equity","CF_CASH_FROM_FNC_ACT","FQ1 2021","FQ1 2021","Currency=USD","Period=FQ","BEST_FPERIOD_OVERRIDE=FQ","FILING_STATUS=MR","SCALING_FORMAT=MLN","Sort=A","Dates=H","DateFormat=P","Fill=—","Direction=H","UseDPDF=Y")</f>
        <v>1.4317</v>
      </c>
      <c r="M25" s="13">
        <f>_xll.BDH("ITCI US Equity","CF_CASH_FROM_FNC_ACT","FQ2 2021","FQ2 2021","Currency=USD","Period=FQ","BEST_FPERIOD_OVERRIDE=FQ","FILING_STATUS=MR","SCALING_FORMAT=MLN","Sort=A","Dates=H","DateFormat=P","Fill=—","Direction=H","UseDPDF=Y")</f>
        <v>1.5817000000000001</v>
      </c>
      <c r="N25" s="13">
        <f>_xll.BDH("ITCI US Equity","CF_CASH_FROM_FNC_ACT","FQ3 2021","FQ3 2021","Currency=USD","Period=FQ","BEST_FPERIOD_OVERRIDE=FQ","FILING_STATUS=MR","SCALING_FORMAT=MLN","Sort=A","Dates=H","DateFormat=P","Fill=—","Direction=H","UseDPDF=Y")</f>
        <v>0.59130000000000005</v>
      </c>
      <c r="O25" s="13">
        <f>_xll.BDH("ITCI US Equity","CF_CASH_FROM_FNC_ACT","FQ4 2021","FQ4 2021","Currency=USD","Period=FQ","BEST_FPERIOD_OVERRIDE=FQ","FILING_STATUS=MR","SCALING_FORMAT=MLN","Sort=A","Dates=H","DateFormat=P","Fill=—","Direction=H","UseDPDF=Y")</f>
        <v>7.9142999999999999</v>
      </c>
      <c r="P25" s="13">
        <f>_xll.BDH("ITCI US Equity","CF_CASH_FROM_FNC_ACT","FQ1 2022","FQ1 2022","Currency=USD","Period=FQ","BEST_FPERIOD_OVERRIDE=FQ","FILING_STATUS=MR","SCALING_FORMAT=MLN","Sort=A","Dates=H","DateFormat=P","Fill=—","Direction=H","UseDPDF=Y")</f>
        <v>441.81400000000002</v>
      </c>
      <c r="Q25" s="13">
        <f>_xll.BDH("ITCI US Equity","CF_CASH_FROM_FNC_ACT","FQ2 2022","FQ2 2022","Currency=USD","Period=FQ","BEST_FPERIOD_OVERRIDE=FQ","FILING_STATUS=MR","SCALING_FORMAT=MLN","Sort=A","Dates=H","DateFormat=P","Fill=—","Direction=H","UseDPDF=Y")</f>
        <v>5.5039999999999996</v>
      </c>
      <c r="R25" s="13">
        <f>_xll.BDH("ITCI US Equity","CF_CASH_FROM_FNC_ACT","FQ3 2022","FQ3 2022","Currency=USD","Period=FQ","BEST_FPERIOD_OVERRIDE=FQ","FILING_STATUS=MR","SCALING_FORMAT=MLN","Sort=A","Dates=H","DateFormat=P","Fill=—","Direction=H","UseDPDF=Y")</f>
        <v>5.6539999999999999</v>
      </c>
      <c r="S25" s="13">
        <f>_xll.BDH("ITCI US Equity","CF_CASH_FROM_FNC_ACT","FQ4 2022","FQ4 2022","Currency=USD","Period=FQ","BEST_FPERIOD_OVERRIDE=FQ","FILING_STATUS=MR","SCALING_FORMAT=MLN","Sort=A","Dates=H","DateFormat=P","Fill=—","Direction=H","UseDPDF=Y")</f>
        <v>2.1869999999999998</v>
      </c>
      <c r="T25" s="13">
        <f>_xll.BDH("ITCI US Equity","CF_CASH_FROM_FNC_ACT","FQ1 2023","FQ1 2023","Currency=USD","Period=FQ","BEST_FPERIOD_OVERRIDE=FQ","FILING_STATUS=MR","SCALING_FORMAT=MLN","Sort=A","Dates=H","DateFormat=P","Fill=—","Direction=H","UseDPDF=Y")</f>
        <v>3.64</v>
      </c>
      <c r="U25" s="13">
        <f>_xll.BDH("ITCI US Equity","CF_CASH_FROM_FNC_ACT","FQ2 2023","FQ2 2023","Currency=USD","Period=FQ","BEST_FPERIOD_OVERRIDE=FQ","FILING_STATUS=MR","SCALING_FORMAT=MLN","Sort=A","Dates=H","DateFormat=P","Fill=—","Direction=H","UseDPDF=Y")</f>
        <v>8.5850000000000009</v>
      </c>
      <c r="V25" s="13">
        <f>_xll.BDH("ITCI US Equity","CF_CASH_FROM_FNC_ACT","FQ3 2023","FQ3 2023","Currency=USD","Period=FQ","BEST_FPERIOD_OVERRIDE=FQ","FILING_STATUS=MR","SCALING_FORMAT=MLN","Sort=A","Dates=H","DateFormat=P","Fill=—","Direction=H","UseDPDF=Y")</f>
        <v>2.581</v>
      </c>
      <c r="W25" s="13">
        <f>_xll.BDH("ITCI US Equity","CF_CASH_FROM_FNC_ACT","FQ4 2023","FQ4 2023","Currency=USD","Period=FQ","BEST_FPERIOD_OVERRIDE=FQ","FILING_STATUS=MR","SCALING_FORMAT=MLN","Sort=A","Dates=H","DateFormat=P","Fill=—","Direction=H","UseDPDF=Y")</f>
        <v>3.004</v>
      </c>
      <c r="X25" s="13">
        <f>_xll.BDH("ITCI US Equity","CF_CASH_FROM_FNC_ACT","FQ1 2024","FQ1 2024","Currency=USD","Period=FQ","BEST_FPERIOD_OVERRIDE=FQ","FILING_STATUS=MR","SCALING_FORMAT=MLN","Sort=A","Dates=H","DateFormat=P","Fill=—","Direction=H","UseDPDF=Y")</f>
        <v>9.9890000000000008</v>
      </c>
      <c r="Y25" s="13">
        <f>_xll.BDH("ITCI US Equity","CF_CASH_FROM_FNC_ACT","FQ2 2024","FQ2 2024","Currency=USD","Period=FQ","BEST_FPERIOD_OVERRIDE=FQ","FILING_STATUS=MR","SCALING_FORMAT=MLN","Sort=A","Dates=H","DateFormat=P","Fill=—","Direction=H","UseDPDF=Y")</f>
        <v>545.17899999999997</v>
      </c>
      <c r="Z25" s="13">
        <f>_xll.BDH("ITCI US Equity","CF_CASH_FROM_FNC_ACT","FQ3 2024","FQ3 2024","Currency=USD","Period=FQ","BEST_FPERIOD_OVERRIDE=FQ","FILING_STATUS=MR","SCALING_FORMAT=MLN","Sort=A","Dates=H","DateFormat=P","Fill=—","Direction=H","UseDPDF=Y")</f>
        <v>6.734</v>
      </c>
      <c r="AA25" s="13">
        <f>_xll.BDH("ITCI US Equity","CF_CASH_FROM_FNC_ACT","FQ4 2024","FQ4 2024","Currency=USD","Period=FQ","BEST_FPERIOD_OVERRIDE=FQ","FILING_STATUS=MR","SCALING_FORMAT=MLN","Sort=A","Dates=H","DateFormat=P","Fill=—","Direction=H","UseDPDF=Y")</f>
        <v>5.6059999999999999</v>
      </c>
    </row>
    <row r="26" spans="1:27" x14ac:dyDescent="0.25">
      <c r="A26" s="7" t="s">
        <v>90</v>
      </c>
      <c r="B26" s="7"/>
      <c r="C26" s="7" t="s">
        <v>5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4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540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6" t="s">
        <v>934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935</v>
      </c>
      <c r="B7" s="10" t="s">
        <v>936</v>
      </c>
      <c r="C7" s="13">
        <f>_xll.BDH("ITCI US Equity","CF_NET_INC","FQ4 2018","FQ4 2018","Currency=USD","Period=FQ","BEST_FPERIOD_OVERRIDE=FQ","FILING_STATUS=MR","SCALING_FORMAT=MLN","Sort=A","Dates=H","DateFormat=P","Fill=—","Direction=H","UseDPDF=Y")</f>
        <v>-40.747999999999998</v>
      </c>
      <c r="D7" s="13">
        <f>_xll.BDH("ITCI US Equity","CF_NET_INC","FQ1 2019","FQ1 2019","Currency=USD","Period=FQ","BEST_FPERIOD_OVERRIDE=FQ","FILING_STATUS=MR","SCALING_FORMAT=MLN","Sort=A","Dates=H","DateFormat=P","Fill=—","Direction=H","UseDPDF=Y")</f>
        <v>-34.835799999999999</v>
      </c>
      <c r="E7" s="13">
        <f>_xll.BDH("ITCI US Equity","CF_NET_INC","FQ2 2019","FQ2 2019","Currency=USD","Period=FQ","BEST_FPERIOD_OVERRIDE=FQ","FILING_STATUS=MR","SCALING_FORMAT=MLN","Sort=A","Dates=H","DateFormat=P","Fill=—","Direction=H","UseDPDF=Y")</f>
        <v>-37.441200000000002</v>
      </c>
      <c r="F7" s="13">
        <f>_xll.BDH("ITCI US Equity","CF_NET_INC","FQ3 2019","FQ3 2019","Currency=USD","Period=FQ","BEST_FPERIOD_OVERRIDE=FQ","FILING_STATUS=MR","SCALING_FORMAT=MLN","Sort=A","Dates=H","DateFormat=P","Fill=—","Direction=H","UseDPDF=Y")</f>
        <v>-34.862400000000001</v>
      </c>
      <c r="G7" s="13">
        <f>_xll.BDH("ITCI US Equity","CF_NET_INC","FQ4 2019","FQ4 2019","Currency=USD","Period=FQ","BEST_FPERIOD_OVERRIDE=FQ","FILING_STATUS=MR","SCALING_FORMAT=MLN","Sort=A","Dates=H","DateFormat=P","Fill=—","Direction=H","UseDPDF=Y")</f>
        <v>-40.582900000000002</v>
      </c>
      <c r="H7" s="13">
        <f>_xll.BDH("ITCI US Equity","CF_NET_INC","FQ1 2020","FQ1 2020","Currency=USD","Period=FQ","BEST_FPERIOD_OVERRIDE=FQ","FILING_STATUS=MR","SCALING_FORMAT=MLN","Sort=A","Dates=H","DateFormat=P","Fill=—","Direction=H","UseDPDF=Y")</f>
        <v>-47.410600000000002</v>
      </c>
      <c r="I7" s="13">
        <f>_xll.BDH("ITCI US Equity","CF_NET_INC","FQ2 2020","FQ2 2020","Currency=USD","Period=FQ","BEST_FPERIOD_OVERRIDE=FQ","FILING_STATUS=MR","SCALING_FORMAT=MLN","Sort=A","Dates=H","DateFormat=P","Fill=—","Direction=H","UseDPDF=Y")</f>
        <v>-63.712299999999999</v>
      </c>
      <c r="J7" s="13">
        <f>_xll.BDH("ITCI US Equity","CF_NET_INC","FQ3 2020","FQ3 2020","Currency=USD","Period=FQ","BEST_FPERIOD_OVERRIDE=FQ","FILING_STATUS=MR","SCALING_FORMAT=MLN","Sort=A","Dates=H","DateFormat=P","Fill=—","Direction=H","UseDPDF=Y")</f>
        <v>-55.183599999999998</v>
      </c>
      <c r="K7" s="13">
        <f>_xll.BDH("ITCI US Equity","CF_NET_INC","FQ4 2020","FQ4 2020","Currency=USD","Period=FQ","BEST_FPERIOD_OVERRIDE=FQ","FILING_STATUS=MR","SCALING_FORMAT=MLN","Sort=A","Dates=H","DateFormat=P","Fill=—","Direction=H","UseDPDF=Y")</f>
        <v>-60.699199999999998</v>
      </c>
      <c r="L7" s="13">
        <f>_xll.BDH("ITCI US Equity","CF_NET_INC","FQ1 2021","FQ1 2021","Currency=USD","Period=FQ","BEST_FPERIOD_OVERRIDE=FQ","FILING_STATUS=MR","SCALING_FORMAT=MLN","Sort=A","Dates=H","DateFormat=P","Fill=—","Direction=H","UseDPDF=Y")</f>
        <v>-52.739899999999999</v>
      </c>
      <c r="M7" s="13">
        <f>_xll.BDH("ITCI US Equity","CF_NET_INC","FQ2 2021","FQ2 2021","Currency=USD","Period=FQ","BEST_FPERIOD_OVERRIDE=FQ","FILING_STATUS=MR","SCALING_FORMAT=MLN","Sort=A","Dates=H","DateFormat=P","Fill=—","Direction=H","UseDPDF=Y")</f>
        <v>-68.743799999999993</v>
      </c>
      <c r="N7" s="13">
        <f>_xll.BDH("ITCI US Equity","CF_NET_INC","FQ3 2021","FQ3 2021","Currency=USD","Period=FQ","BEST_FPERIOD_OVERRIDE=FQ","FILING_STATUS=MR","SCALING_FORMAT=MLN","Sort=A","Dates=H","DateFormat=P","Fill=—","Direction=H","UseDPDF=Y")</f>
        <v>-76.908000000000001</v>
      </c>
      <c r="O7" s="13">
        <f>_xll.BDH("ITCI US Equity","CF_NET_INC","FQ4 2021","FQ4 2021","Currency=USD","Period=FQ","BEST_FPERIOD_OVERRIDE=FQ","FILING_STATUS=MR","SCALING_FORMAT=MLN","Sort=A","Dates=H","DateFormat=P","Fill=—","Direction=H","UseDPDF=Y")</f>
        <v>-85.733900000000006</v>
      </c>
      <c r="P7" s="13">
        <f>_xll.BDH("ITCI US Equity","CF_NET_INC","FQ1 2022","FQ1 2022","Currency=USD","Period=FQ","BEST_FPERIOD_OVERRIDE=FQ","FILING_STATUS=MR","SCALING_FORMAT=MLN","Sort=A","Dates=H","DateFormat=P","Fill=—","Direction=H","UseDPDF=Y")</f>
        <v>-72.119</v>
      </c>
      <c r="Q7" s="13">
        <f>_xll.BDH("ITCI US Equity","CF_NET_INC","FQ2 2022","FQ2 2022","Currency=USD","Period=FQ","BEST_FPERIOD_OVERRIDE=FQ","FILING_STATUS=MR","SCALING_FORMAT=MLN","Sort=A","Dates=H","DateFormat=P","Fill=—","Direction=H","UseDPDF=Y")</f>
        <v>-86.602999999999994</v>
      </c>
      <c r="R7" s="13">
        <f>_xll.BDH("ITCI US Equity","CF_NET_INC","FQ3 2022","FQ3 2022","Currency=USD","Period=FQ","BEST_FPERIOD_OVERRIDE=FQ","FILING_STATUS=MR","SCALING_FORMAT=MLN","Sort=A","Dates=H","DateFormat=P","Fill=—","Direction=H","UseDPDF=Y")</f>
        <v>-53.508000000000003</v>
      </c>
      <c r="S7" s="13">
        <f>_xll.BDH("ITCI US Equity","CF_NET_INC","FQ4 2022","FQ4 2022","Currency=USD","Period=FQ","BEST_FPERIOD_OVERRIDE=FQ","FILING_STATUS=MR","SCALING_FORMAT=MLN","Sort=A","Dates=H","DateFormat=P","Fill=—","Direction=H","UseDPDF=Y")</f>
        <v>-44.026000000000003</v>
      </c>
      <c r="T7" s="13">
        <f>_xll.BDH("ITCI US Equity","CF_NET_INC","FQ1 2023","FQ1 2023","Currency=USD","Period=FQ","BEST_FPERIOD_OVERRIDE=FQ","FILING_STATUS=MR","SCALING_FORMAT=MLN","Sort=A","Dates=H","DateFormat=P","Fill=—","Direction=H","UseDPDF=Y")</f>
        <v>-44.052999999999997</v>
      </c>
      <c r="U7" s="13">
        <f>_xll.BDH("ITCI US Equity","CF_NET_INC","FQ2 2023","FQ2 2023","Currency=USD","Period=FQ","BEST_FPERIOD_OVERRIDE=FQ","FILING_STATUS=MR","SCALING_FORMAT=MLN","Sort=A","Dates=H","DateFormat=P","Fill=—","Direction=H","UseDPDF=Y")</f>
        <v>-42.783999999999999</v>
      </c>
      <c r="V7" s="13">
        <f>_xll.BDH("ITCI US Equity","CF_NET_INC","FQ3 2023","FQ3 2023","Currency=USD","Period=FQ","BEST_FPERIOD_OVERRIDE=FQ","FILING_STATUS=MR","SCALING_FORMAT=MLN","Sort=A","Dates=H","DateFormat=P","Fill=—","Direction=H","UseDPDF=Y")</f>
        <v>-24.257999999999999</v>
      </c>
      <c r="W7" s="13">
        <f>_xll.BDH("ITCI US Equity","CF_NET_INC","FQ4 2023","FQ4 2023","Currency=USD","Period=FQ","BEST_FPERIOD_OVERRIDE=FQ","FILING_STATUS=MR","SCALING_FORMAT=MLN","Sort=A","Dates=H","DateFormat=P","Fill=—","Direction=H","UseDPDF=Y")</f>
        <v>-28.579000000000001</v>
      </c>
      <c r="X7" s="13">
        <f>_xll.BDH("ITCI US Equity","CF_NET_INC","FQ1 2024","FQ1 2024","Currency=USD","Period=FQ","BEST_FPERIOD_OVERRIDE=FQ","FILING_STATUS=MR","SCALING_FORMAT=MLN","Sort=A","Dates=H","DateFormat=P","Fill=—","Direction=H","UseDPDF=Y")</f>
        <v>-15.247</v>
      </c>
      <c r="Y7" s="13">
        <f>_xll.BDH("ITCI US Equity","CF_NET_INC","FQ2 2024","FQ2 2024","Currency=USD","Period=FQ","BEST_FPERIOD_OVERRIDE=FQ","FILING_STATUS=MR","SCALING_FORMAT=MLN","Sort=A","Dates=H","DateFormat=P","Fill=—","Direction=H","UseDPDF=Y")</f>
        <v>-16.22</v>
      </c>
      <c r="Z7" s="13">
        <f>_xll.BDH("ITCI US Equity","CF_NET_INC","FQ3 2024","FQ3 2024","Currency=USD","Period=FQ","BEST_FPERIOD_OVERRIDE=FQ","FILING_STATUS=MR","SCALING_FORMAT=MLN","Sort=A","Dates=H","DateFormat=P","Fill=—","Direction=H","UseDPDF=Y")</f>
        <v>-26.324000000000002</v>
      </c>
      <c r="AA7" s="13">
        <f>_xll.BDH("ITCI US Equity","CF_NET_INC","FQ4 2024","FQ4 2024","Currency=USD","Period=FQ","BEST_FPERIOD_OVERRIDE=FQ","FILING_STATUS=MR","SCALING_FORMAT=MLN","Sort=A","Dates=H","DateFormat=P","Fill=—","Direction=H","UseDPDF=Y")</f>
        <v>-16.885000000000002</v>
      </c>
    </row>
    <row r="8" spans="1:27" x14ac:dyDescent="0.25">
      <c r="A8" s="10" t="s">
        <v>496</v>
      </c>
      <c r="B8" s="10" t="s">
        <v>937</v>
      </c>
      <c r="C8" s="13">
        <f>_xll.BDH("ITCI US Equity","CF_DEPR_AMORT","FQ4 2018","FQ4 2018","Currency=USD","Period=FQ","BEST_FPERIOD_OVERRIDE=FQ","FILING_STATUS=MR","SCALING_FORMAT=MLN","Sort=A","Dates=H","DateFormat=P","Fill=—","Direction=H","UseDPDF=Y")</f>
        <v>9.5500000000000002E-2</v>
      </c>
      <c r="D8" s="13">
        <f>_xll.BDH("ITCI US Equity","CF_DEPR_AMORT","FQ1 2019","FQ1 2019","Currency=USD","Period=FQ","BEST_FPERIOD_OVERRIDE=FQ","FILING_STATUS=MR","SCALING_FORMAT=MLN","Sort=A","Dates=H","DateFormat=P","Fill=—","Direction=H","UseDPDF=Y")</f>
        <v>0.1014</v>
      </c>
      <c r="E8" s="13">
        <f>_xll.BDH("ITCI US Equity","CF_DEPR_AMORT","FQ2 2019","FQ2 2019","Currency=USD","Period=FQ","BEST_FPERIOD_OVERRIDE=FQ","FILING_STATUS=MR","SCALING_FORMAT=MLN","Sort=A","Dates=H","DateFormat=P","Fill=—","Direction=H","UseDPDF=Y")</f>
        <v>0.1051</v>
      </c>
      <c r="F8" s="13">
        <f>_xll.BDH("ITCI US Equity","CF_DEPR_AMORT","FQ3 2019","FQ3 2019","Currency=USD","Period=FQ","BEST_FPERIOD_OVERRIDE=FQ","FILING_STATUS=MR","SCALING_FORMAT=MLN","Sort=A","Dates=H","DateFormat=P","Fill=—","Direction=H","UseDPDF=Y")</f>
        <v>0.12909999999999999</v>
      </c>
      <c r="G8" s="13">
        <f>_xll.BDH("ITCI US Equity","CF_DEPR_AMORT","FQ4 2019","FQ4 2019","Currency=USD","Period=FQ","BEST_FPERIOD_OVERRIDE=FQ","FILING_STATUS=MR","SCALING_FORMAT=MLN","Sort=A","Dates=H","DateFormat=P","Fill=—","Direction=H","UseDPDF=Y")</f>
        <v>0.14169999999999999</v>
      </c>
      <c r="H8" s="13">
        <f>_xll.BDH("ITCI US Equity","CF_DEPR_AMORT","FQ1 2020","FQ1 2020","Currency=USD","Period=FQ","BEST_FPERIOD_OVERRIDE=FQ","FILING_STATUS=MR","SCALING_FORMAT=MLN","Sort=A","Dates=H","DateFormat=P","Fill=—","Direction=H","UseDPDF=Y")</f>
        <v>0.14879999999999999</v>
      </c>
      <c r="I8" s="13">
        <f>_xll.BDH("ITCI US Equity","CF_DEPR_AMORT","FQ2 2020","FQ2 2020","Currency=USD","Period=FQ","BEST_FPERIOD_OVERRIDE=FQ","FILING_STATUS=MR","SCALING_FORMAT=MLN","Sort=A","Dates=H","DateFormat=P","Fill=—","Direction=H","UseDPDF=Y")</f>
        <v>0.1323</v>
      </c>
      <c r="J8" s="13">
        <f>_xll.BDH("ITCI US Equity","CF_DEPR_AMORT","FQ3 2020","FQ3 2020","Currency=USD","Period=FQ","BEST_FPERIOD_OVERRIDE=FQ","FILING_STATUS=MR","SCALING_FORMAT=MLN","Sort=A","Dates=H","DateFormat=P","Fill=—","Direction=H","UseDPDF=Y")</f>
        <v>0.121</v>
      </c>
      <c r="K8" s="13">
        <f>_xll.BDH("ITCI US Equity","CF_DEPR_AMORT","FQ4 2020","FQ4 2020","Currency=USD","Period=FQ","BEST_FPERIOD_OVERRIDE=FQ","FILING_STATUS=MR","SCALING_FORMAT=MLN","Sort=A","Dates=H","DateFormat=P","Fill=—","Direction=H","UseDPDF=Y")</f>
        <v>0.126</v>
      </c>
      <c r="L8" s="13">
        <f>_xll.BDH("ITCI US Equity","CF_DEPR_AMORT","FQ1 2021","FQ1 2021","Currency=USD","Period=FQ","BEST_FPERIOD_OVERRIDE=FQ","FILING_STATUS=MR","SCALING_FORMAT=MLN","Sort=A","Dates=H","DateFormat=P","Fill=—","Direction=H","UseDPDF=Y")</f>
        <v>0.127</v>
      </c>
      <c r="M8" s="13">
        <f>_xll.BDH("ITCI US Equity","CF_DEPR_AMORT","FQ2 2021","FQ2 2021","Currency=USD","Period=FQ","BEST_FPERIOD_OVERRIDE=FQ","FILING_STATUS=MR","SCALING_FORMAT=MLN","Sort=A","Dates=H","DateFormat=P","Fill=—","Direction=H","UseDPDF=Y")</f>
        <v>0.12559999999999999</v>
      </c>
      <c r="N8" s="13">
        <f>_xll.BDH("ITCI US Equity","CF_DEPR_AMORT","FQ3 2021","FQ3 2021","Currency=USD","Period=FQ","BEST_FPERIOD_OVERRIDE=FQ","FILING_STATUS=MR","SCALING_FORMAT=MLN","Sort=A","Dates=H","DateFormat=P","Fill=—","Direction=H","UseDPDF=Y")</f>
        <v>0.13389999999999999</v>
      </c>
      <c r="O8" s="13">
        <f>_xll.BDH("ITCI US Equity","CF_DEPR_AMORT","FQ4 2021","FQ4 2021","Currency=USD","Period=FQ","BEST_FPERIOD_OVERRIDE=FQ","FILING_STATUS=MR","SCALING_FORMAT=MLN","Sort=A","Dates=H","DateFormat=P","Fill=—","Direction=H","UseDPDF=Y")</f>
        <v>0.14680000000000001</v>
      </c>
      <c r="P8" s="13">
        <f>_xll.BDH("ITCI US Equity","CF_DEPR_AMORT","FQ1 2022","FQ1 2022","Currency=USD","Period=FQ","BEST_FPERIOD_OVERRIDE=FQ","FILING_STATUS=MR","SCALING_FORMAT=MLN","Sort=A","Dates=H","DateFormat=P","Fill=—","Direction=H","UseDPDF=Y")</f>
        <v>0.17100000000000001</v>
      </c>
      <c r="Q8" s="13">
        <f>_xll.BDH("ITCI US Equity","CF_DEPR_AMORT","FQ2 2022","FQ2 2022","Currency=USD","Period=FQ","BEST_FPERIOD_OVERRIDE=FQ","FILING_STATUS=MR","SCALING_FORMAT=MLN","Sort=A","Dates=H","DateFormat=P","Fill=—","Direction=H","UseDPDF=Y")</f>
        <v>0.17199999999999999</v>
      </c>
      <c r="R8" s="13">
        <f>_xll.BDH("ITCI US Equity","CF_DEPR_AMORT","FQ3 2022","FQ3 2022","Currency=USD","Period=FQ","BEST_FPERIOD_OVERRIDE=FQ","FILING_STATUS=MR","SCALING_FORMAT=MLN","Sort=A","Dates=H","DateFormat=P","Fill=—","Direction=H","UseDPDF=Y")</f>
        <v>0.17</v>
      </c>
      <c r="S8" s="13">
        <f>_xll.BDH("ITCI US Equity","CF_DEPR_AMORT","FQ4 2022","FQ4 2022","Currency=USD","Period=FQ","BEST_FPERIOD_OVERRIDE=FQ","FILING_STATUS=MR","SCALING_FORMAT=MLN","Sort=A","Dates=H","DateFormat=P","Fill=—","Direction=H","UseDPDF=Y")</f>
        <v>0.14299999999999999</v>
      </c>
      <c r="T8" s="13">
        <f>_xll.BDH("ITCI US Equity","CF_DEPR_AMORT","FQ1 2023","FQ1 2023","Currency=USD","Period=FQ","BEST_FPERIOD_OVERRIDE=FQ","FILING_STATUS=MR","SCALING_FORMAT=MLN","Sort=A","Dates=H","DateFormat=P","Fill=—","Direction=H","UseDPDF=Y")</f>
        <v>0.13400000000000001</v>
      </c>
      <c r="U8" s="13">
        <f>_xll.BDH("ITCI US Equity","CF_DEPR_AMORT","FQ2 2023","FQ2 2023","Currency=USD","Period=FQ","BEST_FPERIOD_OVERRIDE=FQ","FILING_STATUS=MR","SCALING_FORMAT=MLN","Sort=A","Dates=H","DateFormat=P","Fill=—","Direction=H","UseDPDF=Y")</f>
        <v>0.123</v>
      </c>
      <c r="V8" s="13">
        <f>_xll.BDH("ITCI US Equity","CF_DEPR_AMORT","FQ3 2023","FQ3 2023","Currency=USD","Period=FQ","BEST_FPERIOD_OVERRIDE=FQ","FILING_STATUS=MR","SCALING_FORMAT=MLN","Sort=A","Dates=H","DateFormat=P","Fill=—","Direction=H","UseDPDF=Y")</f>
        <v>0.13500000000000001</v>
      </c>
      <c r="W8" s="13">
        <f>_xll.BDH("ITCI US Equity","CF_DEPR_AMORT","FQ4 2023","FQ4 2023","Currency=USD","Period=FQ","BEST_FPERIOD_OVERRIDE=FQ","FILING_STATUS=MR","SCALING_FORMAT=MLN","Sort=A","Dates=H","DateFormat=P","Fill=—","Direction=H","UseDPDF=Y")</f>
        <v>0.13600000000000001</v>
      </c>
      <c r="X8" s="13">
        <f>_xll.BDH("ITCI US Equity","CF_DEPR_AMORT","FQ1 2024","FQ1 2024","Currency=USD","Period=FQ","BEST_FPERIOD_OVERRIDE=FQ","FILING_STATUS=MR","SCALING_FORMAT=MLN","Sort=A","Dates=H","DateFormat=P","Fill=—","Direction=H","UseDPDF=Y")</f>
        <v>0.13200000000000001</v>
      </c>
      <c r="Y8" s="13">
        <f>_xll.BDH("ITCI US Equity","CF_DEPR_AMORT","FQ2 2024","FQ2 2024","Currency=USD","Period=FQ","BEST_FPERIOD_OVERRIDE=FQ","FILING_STATUS=MR","SCALING_FORMAT=MLN","Sort=A","Dates=H","DateFormat=P","Fill=—","Direction=H","UseDPDF=Y")</f>
        <v>0.129</v>
      </c>
      <c r="Z8" s="13">
        <f>_xll.BDH("ITCI US Equity","CF_DEPR_AMORT","FQ3 2024","FQ3 2024","Currency=USD","Period=FQ","BEST_FPERIOD_OVERRIDE=FQ","FILING_STATUS=MR","SCALING_FORMAT=MLN","Sort=A","Dates=H","DateFormat=P","Fill=—","Direction=H","UseDPDF=Y")</f>
        <v>0.13800000000000001</v>
      </c>
      <c r="AA8" s="13">
        <f>_xll.BDH("ITCI US Equity","CF_DEPR_AMORT","FQ4 2024","FQ4 2024","Currency=USD","Period=FQ","BEST_FPERIOD_OVERRIDE=FQ","FILING_STATUS=MR","SCALING_FORMAT=MLN","Sort=A","Dates=H","DateFormat=P","Fill=—","Direction=H","UseDPDF=Y")</f>
        <v>0.109</v>
      </c>
    </row>
    <row r="9" spans="1:27" x14ac:dyDescent="0.25">
      <c r="A9" s="10" t="s">
        <v>938</v>
      </c>
      <c r="B9" s="10" t="s">
        <v>939</v>
      </c>
      <c r="C9" s="13">
        <f>_xll.BDH("ITCI US Equity","NON_CASH_ITEMS_DETAILED","FQ4 2018","FQ4 2018","Currency=USD","Period=FQ","BEST_FPERIOD_OVERRIDE=FQ","FILING_STATUS=MR","SCALING_FORMAT=MLN","Sort=A","Dates=H","DateFormat=P","Fill=—","Direction=H","UseDPDF=Y")</f>
        <v>4.6039000000000003</v>
      </c>
      <c r="D9" s="13">
        <f>_xll.BDH("ITCI US Equity","NON_CASH_ITEMS_DETAILED","FQ1 2019","FQ1 2019","Currency=USD","Period=FQ","BEST_FPERIOD_OVERRIDE=FQ","FILING_STATUS=MR","SCALING_FORMAT=MLN","Sort=A","Dates=H","DateFormat=P","Fill=—","Direction=H","UseDPDF=Y")</f>
        <v>4.7469999999999999</v>
      </c>
      <c r="E9" s="13">
        <f>_xll.BDH("ITCI US Equity","NON_CASH_ITEMS_DETAILED","FQ2 2019","FQ2 2019","Currency=USD","Period=FQ","BEST_FPERIOD_OVERRIDE=FQ","FILING_STATUS=MR","SCALING_FORMAT=MLN","Sort=A","Dates=H","DateFormat=P","Fill=—","Direction=H","UseDPDF=Y")</f>
        <v>4.7462</v>
      </c>
      <c r="F9" s="13">
        <f>_xll.BDH("ITCI US Equity","NON_CASH_ITEMS_DETAILED","FQ3 2019","FQ3 2019","Currency=USD","Period=FQ","BEST_FPERIOD_OVERRIDE=FQ","FILING_STATUS=MR","SCALING_FORMAT=MLN","Sort=A","Dates=H","DateFormat=P","Fill=—","Direction=H","UseDPDF=Y")</f>
        <v>4.6304999999999996</v>
      </c>
      <c r="G9" s="13">
        <f>_xll.BDH("ITCI US Equity","NON_CASH_ITEMS_DETAILED","FQ4 2019","FQ4 2019","Currency=USD","Period=FQ","BEST_FPERIOD_OVERRIDE=FQ","FILING_STATUS=MR","SCALING_FORMAT=MLN","Sort=A","Dates=H","DateFormat=P","Fill=—","Direction=H","UseDPDF=Y")</f>
        <v>6.8817000000000004</v>
      </c>
      <c r="H9" s="13">
        <f>_xll.BDH("ITCI US Equity","NON_CASH_ITEMS_DETAILED","FQ1 2020","FQ1 2020","Currency=USD","Period=FQ","BEST_FPERIOD_OVERRIDE=FQ","FILING_STATUS=MR","SCALING_FORMAT=MLN","Sort=A","Dates=H","DateFormat=P","Fill=—","Direction=H","UseDPDF=Y")</f>
        <v>5.5118</v>
      </c>
      <c r="I9" s="13">
        <f>_xll.BDH("ITCI US Equity","NON_CASH_ITEMS_DETAILED","FQ2 2020","FQ2 2020","Currency=USD","Period=FQ","BEST_FPERIOD_OVERRIDE=FQ","FILING_STATUS=MR","SCALING_FORMAT=MLN","Sort=A","Dates=H","DateFormat=P","Fill=—","Direction=H","UseDPDF=Y")</f>
        <v>6.9474</v>
      </c>
      <c r="J9" s="13">
        <f>_xll.BDH("ITCI US Equity","NON_CASH_ITEMS_DETAILED","FQ3 2020","FQ3 2020","Currency=USD","Period=FQ","BEST_FPERIOD_OVERRIDE=FQ","FILING_STATUS=MR","SCALING_FORMAT=MLN","Sort=A","Dates=H","DateFormat=P","Fill=—","Direction=H","UseDPDF=Y")</f>
        <v>7.0949</v>
      </c>
      <c r="K9" s="13">
        <f>_xll.BDH("ITCI US Equity","NON_CASH_ITEMS_DETAILED","FQ4 2020","FQ4 2020","Currency=USD","Period=FQ","BEST_FPERIOD_OVERRIDE=FQ","FILING_STATUS=MR","SCALING_FORMAT=MLN","Sort=A","Dates=H","DateFormat=P","Fill=—","Direction=H","UseDPDF=Y")</f>
        <v>4.3183999999999996</v>
      </c>
      <c r="L9" s="13">
        <f>_xll.BDH("ITCI US Equity","NON_CASH_ITEMS_DETAILED","FQ1 2021","FQ1 2021","Currency=USD","Period=FQ","BEST_FPERIOD_OVERRIDE=FQ","FILING_STATUS=MR","SCALING_FORMAT=MLN","Sort=A","Dates=H","DateFormat=P","Fill=—","Direction=H","UseDPDF=Y")</f>
        <v>5.7083000000000004</v>
      </c>
      <c r="M9" s="13">
        <f>_xll.BDH("ITCI US Equity","NON_CASH_ITEMS_DETAILED","FQ2 2021","FQ2 2021","Currency=USD","Period=FQ","BEST_FPERIOD_OVERRIDE=FQ","FILING_STATUS=MR","SCALING_FORMAT=MLN","Sort=A","Dates=H","DateFormat=P","Fill=—","Direction=H","UseDPDF=Y")</f>
        <v>8.0046999999999997</v>
      </c>
      <c r="N9" s="13">
        <f>_xll.BDH("ITCI US Equity","NON_CASH_ITEMS_DETAILED","FQ3 2021","FQ3 2021","Currency=USD","Period=FQ","BEST_FPERIOD_OVERRIDE=FQ","FILING_STATUS=MR","SCALING_FORMAT=MLN","Sort=A","Dates=H","DateFormat=P","Fill=—","Direction=H","UseDPDF=Y")</f>
        <v>7.9335000000000004</v>
      </c>
      <c r="O9" s="13">
        <f>_xll.BDH("ITCI US Equity","NON_CASH_ITEMS_DETAILED","FQ4 2021","FQ4 2021","Currency=USD","Period=FQ","BEST_FPERIOD_OVERRIDE=FQ","FILING_STATUS=MR","SCALING_FORMAT=MLN","Sort=A","Dates=H","DateFormat=P","Fill=—","Direction=H","UseDPDF=Y")</f>
        <v>8.5801999999999996</v>
      </c>
      <c r="P9" s="13">
        <f>_xll.BDH("ITCI US Equity","NON_CASH_ITEMS_DETAILED","FQ1 2022","FQ1 2022","Currency=USD","Period=FQ","BEST_FPERIOD_OVERRIDE=FQ","FILING_STATUS=MR","SCALING_FORMAT=MLN","Sort=A","Dates=H","DateFormat=P","Fill=—","Direction=H","UseDPDF=Y")</f>
        <v>5.8339999999999996</v>
      </c>
      <c r="Q9" s="13">
        <f>_xll.BDH("ITCI US Equity","NON_CASH_ITEMS_DETAILED","FQ2 2022","FQ2 2022","Currency=USD","Period=FQ","BEST_FPERIOD_OVERRIDE=FQ","FILING_STATUS=MR","SCALING_FORMAT=MLN","Sort=A","Dates=H","DateFormat=P","Fill=—","Direction=H","UseDPDF=Y")</f>
        <v>20.661000000000001</v>
      </c>
      <c r="R9" s="13">
        <f>_xll.BDH("ITCI US Equity","NON_CASH_ITEMS_DETAILED","FQ3 2022","FQ3 2022","Currency=USD","Period=FQ","BEST_FPERIOD_OVERRIDE=FQ","FILING_STATUS=MR","SCALING_FORMAT=MLN","Sort=A","Dates=H","DateFormat=P","Fill=—","Direction=H","UseDPDF=Y")</f>
        <v>1.482</v>
      </c>
      <c r="S9" s="13">
        <f>_xll.BDH("ITCI US Equity","NON_CASH_ITEMS_DETAILED","FQ4 2022","FQ4 2022","Currency=USD","Period=FQ","BEST_FPERIOD_OVERRIDE=FQ","FILING_STATUS=MR","SCALING_FORMAT=MLN","Sort=A","Dates=H","DateFormat=P","Fill=—","Direction=H","UseDPDF=Y")</f>
        <v>11.223000000000001</v>
      </c>
      <c r="T9" s="13">
        <f>_xll.BDH("ITCI US Equity","NON_CASH_ITEMS_DETAILED","FQ1 2023","FQ1 2023","Currency=USD","Period=FQ","BEST_FPERIOD_OVERRIDE=FQ","FILING_STATUS=MR","SCALING_FORMAT=MLN","Sort=A","Dates=H","DateFormat=P","Fill=—","Direction=H","UseDPDF=Y")</f>
        <v>7.8</v>
      </c>
      <c r="U9" s="13">
        <f>_xll.BDH("ITCI US Equity","NON_CASH_ITEMS_DETAILED","FQ2 2023","FQ2 2023","Currency=USD","Period=FQ","BEST_FPERIOD_OVERRIDE=FQ","FILING_STATUS=MR","SCALING_FORMAT=MLN","Sort=A","Dates=H","DateFormat=P","Fill=—","Direction=H","UseDPDF=Y")</f>
        <v>23.741</v>
      </c>
      <c r="V9" s="13">
        <f>_xll.BDH("ITCI US Equity","NON_CASH_ITEMS_DETAILED","FQ3 2023","FQ3 2023","Currency=USD","Period=FQ","BEST_FPERIOD_OVERRIDE=FQ","FILING_STATUS=MR","SCALING_FORMAT=MLN","Sort=A","Dates=H","DateFormat=P","Fill=—","Direction=H","UseDPDF=Y")</f>
        <v>-0.46300000000000002</v>
      </c>
      <c r="W9" s="13">
        <f>_xll.BDH("ITCI US Equity","NON_CASH_ITEMS_DETAILED","FQ4 2023","FQ4 2023","Currency=USD","Period=FQ","BEST_FPERIOD_OVERRIDE=FQ","FILING_STATUS=MR","SCALING_FORMAT=MLN","Sort=A","Dates=H","DateFormat=P","Fill=—","Direction=H","UseDPDF=Y")</f>
        <v>12.239000000000001</v>
      </c>
      <c r="X9" s="13">
        <f>_xll.BDH("ITCI US Equity","NON_CASH_ITEMS_DETAILED","FQ1 2024","FQ1 2024","Currency=USD","Period=FQ","BEST_FPERIOD_OVERRIDE=FQ","FILING_STATUS=MR","SCALING_FORMAT=MLN","Sort=A","Dates=H","DateFormat=P","Fill=—","Direction=H","UseDPDF=Y")</f>
        <v>11.407999999999999</v>
      </c>
      <c r="Y9" s="13">
        <f>_xll.BDH("ITCI US Equity","NON_CASH_ITEMS_DETAILED","FQ2 2024","FQ2 2024","Currency=USD","Period=FQ","BEST_FPERIOD_OVERRIDE=FQ","FILING_STATUS=MR","SCALING_FORMAT=MLN","Sort=A","Dates=H","DateFormat=P","Fill=—","Direction=H","UseDPDF=Y")</f>
        <v>14.426</v>
      </c>
      <c r="Z9" s="13">
        <f>_xll.BDH("ITCI US Equity","NON_CASH_ITEMS_DETAILED","FQ3 2024","FQ3 2024","Currency=USD","Period=FQ","BEST_FPERIOD_OVERRIDE=FQ","FILING_STATUS=MR","SCALING_FORMAT=MLN","Sort=A","Dates=H","DateFormat=P","Fill=—","Direction=H","UseDPDF=Y")</f>
        <v>15.577</v>
      </c>
      <c r="AA9" s="13">
        <f>_xll.BDH("ITCI US Equity","NON_CASH_ITEMS_DETAILED","FQ4 2024","FQ4 2024","Currency=USD","Period=FQ","BEST_FPERIOD_OVERRIDE=FQ","FILING_STATUS=MR","SCALING_FORMAT=MLN","Sort=A","Dates=H","DateFormat=P","Fill=—","Direction=H","UseDPDF=Y")</f>
        <v>13.22</v>
      </c>
    </row>
    <row r="10" spans="1:27" x14ac:dyDescent="0.25">
      <c r="A10" s="10" t="s">
        <v>940</v>
      </c>
      <c r="B10" s="10" t="s">
        <v>941</v>
      </c>
      <c r="C10" s="13">
        <f>_xll.BDH("ITCI US Equity","CF_STOCK_BASED_COMPENSATION","FQ4 2018","FQ4 2018","Currency=USD","Period=FQ","BEST_FPERIOD_OVERRIDE=FQ","FILING_STATUS=MR","SCALING_FORMAT=MLN","Sort=A","Dates=H","DateFormat=P","Fill=—","Direction=H","UseDPDF=Y")</f>
        <v>4.4246999999999996</v>
      </c>
      <c r="D10" s="13">
        <f>_xll.BDH("ITCI US Equity","CF_STOCK_BASED_COMPENSATION","FQ1 2019","FQ1 2019","Currency=USD","Period=FQ","BEST_FPERIOD_OVERRIDE=FQ","FILING_STATUS=MR","SCALING_FORMAT=MLN","Sort=A","Dates=H","DateFormat=P","Fill=—","Direction=H","UseDPDF=Y")</f>
        <v>5.0552000000000001</v>
      </c>
      <c r="E10" s="13">
        <f>_xll.BDH("ITCI US Equity","CF_STOCK_BASED_COMPENSATION","FQ2 2019","FQ2 2019","Currency=USD","Period=FQ","BEST_FPERIOD_OVERRIDE=FQ","FILING_STATUS=MR","SCALING_FORMAT=MLN","Sort=A","Dates=H","DateFormat=P","Fill=—","Direction=H","UseDPDF=Y")</f>
        <v>4.9874000000000001</v>
      </c>
      <c r="F10" s="13">
        <f>_xll.BDH("ITCI US Equity","CF_STOCK_BASED_COMPENSATION","FQ3 2019","FQ3 2019","Currency=USD","Period=FQ","BEST_FPERIOD_OVERRIDE=FQ","FILING_STATUS=MR","SCALING_FORMAT=MLN","Sort=A","Dates=H","DateFormat=P","Fill=—","Direction=H","UseDPDF=Y")</f>
        <v>4.8068</v>
      </c>
      <c r="G10" s="13">
        <f>_xll.BDH("ITCI US Equity","CF_STOCK_BASED_COMPENSATION","FQ4 2019","FQ4 2019","Currency=USD","Period=FQ","BEST_FPERIOD_OVERRIDE=FQ","FILING_STATUS=MR","SCALING_FORMAT=MLN","Sort=A","Dates=H","DateFormat=P","Fill=—","Direction=H","UseDPDF=Y")</f>
        <v>5.9393000000000002</v>
      </c>
      <c r="H10" s="13">
        <f>_xll.BDH("ITCI US Equity","CF_STOCK_BASED_COMPENSATION","FQ1 2020","FQ1 2020","Currency=USD","Period=FQ","BEST_FPERIOD_OVERRIDE=FQ","FILING_STATUS=MR","SCALING_FORMAT=MLN","Sort=A","Dates=H","DateFormat=P","Fill=—","Direction=H","UseDPDF=Y")</f>
        <v>5.5042999999999997</v>
      </c>
      <c r="I10" s="13">
        <f>_xll.BDH("ITCI US Equity","CF_STOCK_BASED_COMPENSATION","FQ2 2020","FQ2 2020","Currency=USD","Period=FQ","BEST_FPERIOD_OVERRIDE=FQ","FILING_STATUS=MR","SCALING_FORMAT=MLN","Sort=A","Dates=H","DateFormat=P","Fill=—","Direction=H","UseDPDF=Y")</f>
        <v>6.9470999999999998</v>
      </c>
      <c r="J10" s="13">
        <f>_xll.BDH("ITCI US Equity","CF_STOCK_BASED_COMPENSATION","FQ3 2020","FQ3 2020","Currency=USD","Period=FQ","BEST_FPERIOD_OVERRIDE=FQ","FILING_STATUS=MR","SCALING_FORMAT=MLN","Sort=A","Dates=H","DateFormat=P","Fill=—","Direction=H","UseDPDF=Y")</f>
        <v>6.9006999999999996</v>
      </c>
      <c r="K10" s="13">
        <f>_xll.BDH("ITCI US Equity","CF_STOCK_BASED_COMPENSATION","FQ4 2020","FQ4 2020","Currency=USD","Period=FQ","BEST_FPERIOD_OVERRIDE=FQ","FILING_STATUS=MR","SCALING_FORMAT=MLN","Sort=A","Dates=H","DateFormat=P","Fill=—","Direction=H","UseDPDF=Y")</f>
        <v>4.7629999999999999</v>
      </c>
      <c r="L10" s="13">
        <f>_xll.BDH("ITCI US Equity","CF_STOCK_BASED_COMPENSATION","FQ1 2021","FQ1 2021","Currency=USD","Period=FQ","BEST_FPERIOD_OVERRIDE=FQ","FILING_STATUS=MR","SCALING_FORMAT=MLN","Sort=A","Dates=H","DateFormat=P","Fill=—","Direction=H","UseDPDF=Y")</f>
        <v>6.7784000000000004</v>
      </c>
      <c r="M10" s="13">
        <f>_xll.BDH("ITCI US Equity","CF_STOCK_BASED_COMPENSATION","FQ2 2021","FQ2 2021","Currency=USD","Period=FQ","BEST_FPERIOD_OVERRIDE=FQ","FILING_STATUS=MR","SCALING_FORMAT=MLN","Sort=A","Dates=H","DateFormat=P","Fill=—","Direction=H","UseDPDF=Y")</f>
        <v>8.6166999999999998</v>
      </c>
      <c r="N10" s="13">
        <f>_xll.BDH("ITCI US Equity","CF_STOCK_BASED_COMPENSATION","FQ3 2021","FQ3 2021","Currency=USD","Period=FQ","BEST_FPERIOD_OVERRIDE=FQ","FILING_STATUS=MR","SCALING_FORMAT=MLN","Sort=A","Dates=H","DateFormat=P","Fill=—","Direction=H","UseDPDF=Y")</f>
        <v>9.5303000000000004</v>
      </c>
      <c r="O10" s="13">
        <f>_xll.BDH("ITCI US Equity","CF_STOCK_BASED_COMPENSATION","FQ4 2021","FQ4 2021","Currency=USD","Period=FQ","BEST_FPERIOD_OVERRIDE=FQ","FILING_STATUS=MR","SCALING_FORMAT=MLN","Sort=A","Dates=H","DateFormat=P","Fill=—","Direction=H","UseDPDF=Y")</f>
        <v>9.3775999999999993</v>
      </c>
      <c r="P10" s="13">
        <f>_xll.BDH("ITCI US Equity","CF_STOCK_BASED_COMPENSATION","FQ1 2022","FQ1 2022","Currency=USD","Period=FQ","BEST_FPERIOD_OVERRIDE=FQ","FILING_STATUS=MR","SCALING_FORMAT=MLN","Sort=A","Dates=H","DateFormat=P","Fill=—","Direction=H","UseDPDF=Y")</f>
        <v>8.1050000000000004</v>
      </c>
      <c r="Q10" s="13">
        <f>_xll.BDH("ITCI US Equity","CF_STOCK_BASED_COMPENSATION","FQ2 2022","FQ2 2022","Currency=USD","Period=FQ","BEST_FPERIOD_OVERRIDE=FQ","FILING_STATUS=MR","SCALING_FORMAT=MLN","Sort=A","Dates=H","DateFormat=P","Fill=—","Direction=H","UseDPDF=Y")</f>
        <v>11.997999999999999</v>
      </c>
      <c r="R10" s="13">
        <f>_xll.BDH("ITCI US Equity","CF_STOCK_BASED_COMPENSATION","FQ3 2022","FQ3 2022","Currency=USD","Period=FQ","BEST_FPERIOD_OVERRIDE=FQ","FILING_STATUS=MR","SCALING_FORMAT=MLN","Sort=A","Dates=H","DateFormat=P","Fill=—","Direction=H","UseDPDF=Y")</f>
        <v>11.750999999999999</v>
      </c>
      <c r="S10" s="13">
        <f>_xll.BDH("ITCI US Equity","CF_STOCK_BASED_COMPENSATION","FQ4 2022","FQ4 2022","Currency=USD","Period=FQ","BEST_FPERIOD_OVERRIDE=FQ","FILING_STATUS=MR","SCALING_FORMAT=MLN","Sort=A","Dates=H","DateFormat=P","Fill=—","Direction=H","UseDPDF=Y")</f>
        <v>11.159000000000001</v>
      </c>
      <c r="T10" s="13">
        <f>_xll.BDH("ITCI US Equity","CF_STOCK_BASED_COMPENSATION","FQ1 2023","FQ1 2023","Currency=USD","Period=FQ","BEST_FPERIOD_OVERRIDE=FQ","FILING_STATUS=MR","SCALING_FORMAT=MLN","Sort=A","Dates=H","DateFormat=P","Fill=—","Direction=H","UseDPDF=Y")</f>
        <v>10.439</v>
      </c>
      <c r="U10" s="13">
        <f>_xll.BDH("ITCI US Equity","CF_STOCK_BASED_COMPENSATION","FQ2 2023","FQ2 2023","Currency=USD","Period=FQ","BEST_FPERIOD_OVERRIDE=FQ","FILING_STATUS=MR","SCALING_FORMAT=MLN","Sort=A","Dates=H","DateFormat=P","Fill=—","Direction=H","UseDPDF=Y")</f>
        <v>13.226000000000001</v>
      </c>
      <c r="V10" s="13">
        <f>_xll.BDH("ITCI US Equity","CF_STOCK_BASED_COMPENSATION","FQ3 2023","FQ3 2023","Currency=USD","Period=FQ","BEST_FPERIOD_OVERRIDE=FQ","FILING_STATUS=MR","SCALING_FORMAT=MLN","Sort=A","Dates=H","DateFormat=P","Fill=—","Direction=H","UseDPDF=Y")</f>
        <v>14.311</v>
      </c>
      <c r="W10" s="13">
        <f>_xll.BDH("ITCI US Equity","CF_STOCK_BASED_COMPENSATION","FQ4 2023","FQ4 2023","Currency=USD","Period=FQ","BEST_FPERIOD_OVERRIDE=FQ","FILING_STATUS=MR","SCALING_FORMAT=MLN","Sort=A","Dates=H","DateFormat=P","Fill=—","Direction=H","UseDPDF=Y")</f>
        <v>14.856</v>
      </c>
      <c r="X10" s="13">
        <f>_xll.BDH("ITCI US Equity","CF_STOCK_BASED_COMPENSATION","FQ1 2024","FQ1 2024","Currency=USD","Period=FQ","BEST_FPERIOD_OVERRIDE=FQ","FILING_STATUS=MR","SCALING_FORMAT=MLN","Sort=A","Dates=H","DateFormat=P","Fill=—","Direction=H","UseDPDF=Y")</f>
        <v>13.843</v>
      </c>
      <c r="Y10" s="13">
        <f>_xll.BDH("ITCI US Equity","CF_STOCK_BASED_COMPENSATION","FQ2 2024","FQ2 2024","Currency=USD","Period=FQ","BEST_FPERIOD_OVERRIDE=FQ","FILING_STATUS=MR","SCALING_FORMAT=MLN","Sort=A","Dates=H","DateFormat=P","Fill=—","Direction=H","UseDPDF=Y")</f>
        <v>16.37</v>
      </c>
      <c r="Z10" s="13">
        <f>_xll.BDH("ITCI US Equity","CF_STOCK_BASED_COMPENSATION","FQ3 2024","FQ3 2024","Currency=USD","Period=FQ","BEST_FPERIOD_OVERRIDE=FQ","FILING_STATUS=MR","SCALING_FORMAT=MLN","Sort=A","Dates=H","DateFormat=P","Fill=—","Direction=H","UseDPDF=Y")</f>
        <v>17.489000000000001</v>
      </c>
      <c r="AA10" s="13">
        <f>_xll.BDH("ITCI US Equity","CF_STOCK_BASED_COMPENSATION","FQ4 2024","FQ4 2024","Currency=USD","Period=FQ","BEST_FPERIOD_OVERRIDE=FQ","FILING_STATUS=MR","SCALING_FORMAT=MLN","Sort=A","Dates=H","DateFormat=P","Fill=—","Direction=H","UseDPDF=Y")</f>
        <v>16.332999999999998</v>
      </c>
    </row>
    <row r="11" spans="1:27" x14ac:dyDescent="0.25">
      <c r="A11" s="10" t="s">
        <v>942</v>
      </c>
      <c r="B11" s="10" t="s">
        <v>943</v>
      </c>
      <c r="C11" s="13">
        <f>_xll.BDH("ITCI US Equity","OTHER_NON_CASH_ADJ_LESS_DETAILED","FQ4 2018","FQ4 2018","Currency=USD","Period=FQ","BEST_FPERIOD_OVERRIDE=FQ","FILING_STATUS=MR","SCALING_FORMAT=MLN","Sort=A","Dates=H","DateFormat=P","Fill=—","Direction=H","UseDPDF=Y")</f>
        <v>0.17929999999999999</v>
      </c>
      <c r="D11" s="13">
        <f>_xll.BDH("ITCI US Equity","OTHER_NON_CASH_ADJ_LESS_DETAILED","FQ1 2019","FQ1 2019","Currency=USD","Period=FQ","BEST_FPERIOD_OVERRIDE=FQ","FILING_STATUS=MR","SCALING_FORMAT=MLN","Sort=A","Dates=H","DateFormat=P","Fill=—","Direction=H","UseDPDF=Y")</f>
        <v>-0.30819999999999997</v>
      </c>
      <c r="E11" s="13">
        <f>_xll.BDH("ITCI US Equity","OTHER_NON_CASH_ADJ_LESS_DETAILED","FQ2 2019","FQ2 2019","Currency=USD","Period=FQ","BEST_FPERIOD_OVERRIDE=FQ","FILING_STATUS=MR","SCALING_FORMAT=MLN","Sort=A","Dates=H","DateFormat=P","Fill=—","Direction=H","UseDPDF=Y")</f>
        <v>-0.2412</v>
      </c>
      <c r="F11" s="13">
        <f>_xll.BDH("ITCI US Equity","OTHER_NON_CASH_ADJ_LESS_DETAILED","FQ3 2019","FQ3 2019","Currency=USD","Period=FQ","BEST_FPERIOD_OVERRIDE=FQ","FILING_STATUS=MR","SCALING_FORMAT=MLN","Sort=A","Dates=H","DateFormat=P","Fill=—","Direction=H","UseDPDF=Y")</f>
        <v>-0.17630000000000001</v>
      </c>
      <c r="G11" s="13">
        <f>_xll.BDH("ITCI US Equity","OTHER_NON_CASH_ADJ_LESS_DETAILED","FQ4 2019","FQ4 2019","Currency=USD","Period=FQ","BEST_FPERIOD_OVERRIDE=FQ","FILING_STATUS=MR","SCALING_FORMAT=MLN","Sort=A","Dates=H","DateFormat=P","Fill=—","Direction=H","UseDPDF=Y")</f>
        <v>0.94240000000000002</v>
      </c>
      <c r="H11" s="13">
        <f>_xll.BDH("ITCI US Equity","OTHER_NON_CASH_ADJ_LESS_DETAILED","FQ1 2020","FQ1 2020","Currency=USD","Period=FQ","BEST_FPERIOD_OVERRIDE=FQ","FILING_STATUS=MR","SCALING_FORMAT=MLN","Sort=A","Dates=H","DateFormat=P","Fill=—","Direction=H","UseDPDF=Y")</f>
        <v>7.4999999999999997E-3</v>
      </c>
      <c r="I11" s="13">
        <f>_xll.BDH("ITCI US Equity","OTHER_NON_CASH_ADJ_LESS_DETAILED","FQ2 2020","FQ2 2020","Currency=USD","Period=FQ","BEST_FPERIOD_OVERRIDE=FQ","FILING_STATUS=MR","SCALING_FORMAT=MLN","Sort=A","Dates=H","DateFormat=P","Fill=—","Direction=H","UseDPDF=Y")</f>
        <v>2.9999999999999997E-4</v>
      </c>
      <c r="J11" s="13">
        <f>_xll.BDH("ITCI US Equity","OTHER_NON_CASH_ADJ_LESS_DETAILED","FQ3 2020","FQ3 2020","Currency=USD","Period=FQ","BEST_FPERIOD_OVERRIDE=FQ","FILING_STATUS=MR","SCALING_FORMAT=MLN","Sort=A","Dates=H","DateFormat=P","Fill=—","Direction=H","UseDPDF=Y")</f>
        <v>0.19420000000000001</v>
      </c>
      <c r="K11" s="13">
        <f>_xll.BDH("ITCI US Equity","OTHER_NON_CASH_ADJ_LESS_DETAILED","FQ4 2020","FQ4 2020","Currency=USD","Period=FQ","BEST_FPERIOD_OVERRIDE=FQ","FILING_STATUS=MR","SCALING_FORMAT=MLN","Sort=A","Dates=H","DateFormat=P","Fill=—","Direction=H","UseDPDF=Y")</f>
        <v>-0.4446</v>
      </c>
      <c r="L11" s="13">
        <f>_xll.BDH("ITCI US Equity","OTHER_NON_CASH_ADJ_LESS_DETAILED","FQ1 2021","FQ1 2021","Currency=USD","Period=FQ","BEST_FPERIOD_OVERRIDE=FQ","FILING_STATUS=MR","SCALING_FORMAT=MLN","Sort=A","Dates=H","DateFormat=P","Fill=—","Direction=H","UseDPDF=Y")</f>
        <v>-1.0702</v>
      </c>
      <c r="M11" s="13">
        <f>_xll.BDH("ITCI US Equity","OTHER_NON_CASH_ADJ_LESS_DETAILED","FQ2 2021","FQ2 2021","Currency=USD","Period=FQ","BEST_FPERIOD_OVERRIDE=FQ","FILING_STATUS=MR","SCALING_FORMAT=MLN","Sort=A","Dates=H","DateFormat=P","Fill=—","Direction=H","UseDPDF=Y")</f>
        <v>-0.61209999999999998</v>
      </c>
      <c r="N11" s="13">
        <f>_xll.BDH("ITCI US Equity","OTHER_NON_CASH_ADJ_LESS_DETAILED","FQ3 2021","FQ3 2021","Currency=USD","Period=FQ","BEST_FPERIOD_OVERRIDE=FQ","FILING_STATUS=MR","SCALING_FORMAT=MLN","Sort=A","Dates=H","DateFormat=P","Fill=—","Direction=H","UseDPDF=Y")</f>
        <v>-1.5967</v>
      </c>
      <c r="O11" s="13">
        <f>_xll.BDH("ITCI US Equity","OTHER_NON_CASH_ADJ_LESS_DETAILED","FQ4 2021","FQ4 2021","Currency=USD","Period=FQ","BEST_FPERIOD_OVERRIDE=FQ","FILING_STATUS=MR","SCALING_FORMAT=MLN","Sort=A","Dates=H","DateFormat=P","Fill=—","Direction=H","UseDPDF=Y")</f>
        <v>-0.79749999999999999</v>
      </c>
      <c r="P11" s="13">
        <f>_xll.BDH("ITCI US Equity","OTHER_NON_CASH_ADJ_LESS_DETAILED","FQ1 2022","FQ1 2022","Currency=USD","Period=FQ","BEST_FPERIOD_OVERRIDE=FQ","FILING_STATUS=MR","SCALING_FORMAT=MLN","Sort=A","Dates=H","DateFormat=P","Fill=—","Direction=H","UseDPDF=Y")</f>
        <v>-2.2709999999999999</v>
      </c>
      <c r="Q11" s="13">
        <f>_xll.BDH("ITCI US Equity","OTHER_NON_CASH_ADJ_LESS_DETAILED","FQ2 2022","FQ2 2022","Currency=USD","Period=FQ","BEST_FPERIOD_OVERRIDE=FQ","FILING_STATUS=MR","SCALING_FORMAT=MLN","Sort=A","Dates=H","DateFormat=P","Fill=—","Direction=H","UseDPDF=Y")</f>
        <v>8.6630000000000003</v>
      </c>
      <c r="R11" s="13">
        <f>_xll.BDH("ITCI US Equity","OTHER_NON_CASH_ADJ_LESS_DETAILED","FQ3 2022","FQ3 2022","Currency=USD","Period=FQ","BEST_FPERIOD_OVERRIDE=FQ","FILING_STATUS=MR","SCALING_FORMAT=MLN","Sort=A","Dates=H","DateFormat=P","Fill=—","Direction=H","UseDPDF=Y")</f>
        <v>-10.269</v>
      </c>
      <c r="S11" s="13">
        <f>_xll.BDH("ITCI US Equity","OTHER_NON_CASH_ADJ_LESS_DETAILED","FQ4 2022","FQ4 2022","Currency=USD","Period=FQ","BEST_FPERIOD_OVERRIDE=FQ","FILING_STATUS=MR","SCALING_FORMAT=MLN","Sort=A","Dates=H","DateFormat=P","Fill=—","Direction=H","UseDPDF=Y")</f>
        <v>6.4000000000000001E-2</v>
      </c>
      <c r="T11" s="13">
        <f>_xll.BDH("ITCI US Equity","OTHER_NON_CASH_ADJ_LESS_DETAILED","FQ1 2023","FQ1 2023","Currency=USD","Period=FQ","BEST_FPERIOD_OVERRIDE=FQ","FILING_STATUS=MR","SCALING_FORMAT=MLN","Sort=A","Dates=H","DateFormat=P","Fill=—","Direction=H","UseDPDF=Y")</f>
        <v>-2.6389999999999998</v>
      </c>
      <c r="U11" s="13">
        <f>_xll.BDH("ITCI US Equity","OTHER_NON_CASH_ADJ_LESS_DETAILED","FQ2 2023","FQ2 2023","Currency=USD","Period=FQ","BEST_FPERIOD_OVERRIDE=FQ","FILING_STATUS=MR","SCALING_FORMAT=MLN","Sort=A","Dates=H","DateFormat=P","Fill=—","Direction=H","UseDPDF=Y")</f>
        <v>10.515000000000001</v>
      </c>
      <c r="V11" s="13">
        <f>_xll.BDH("ITCI US Equity","OTHER_NON_CASH_ADJ_LESS_DETAILED","FQ3 2023","FQ3 2023","Currency=USD","Period=FQ","BEST_FPERIOD_OVERRIDE=FQ","FILING_STATUS=MR","SCALING_FORMAT=MLN","Sort=A","Dates=H","DateFormat=P","Fill=—","Direction=H","UseDPDF=Y")</f>
        <v>-14.773999999999999</v>
      </c>
      <c r="W11" s="13">
        <f>_xll.BDH("ITCI US Equity","OTHER_NON_CASH_ADJ_LESS_DETAILED","FQ4 2023","FQ4 2023","Currency=USD","Period=FQ","BEST_FPERIOD_OVERRIDE=FQ","FILING_STATUS=MR","SCALING_FORMAT=MLN","Sort=A","Dates=H","DateFormat=P","Fill=—","Direction=H","UseDPDF=Y")</f>
        <v>-2.617</v>
      </c>
      <c r="X11" s="13">
        <f>_xll.BDH("ITCI US Equity","OTHER_NON_CASH_ADJ_LESS_DETAILED","FQ1 2024","FQ1 2024","Currency=USD","Period=FQ","BEST_FPERIOD_OVERRIDE=FQ","FILING_STATUS=MR","SCALING_FORMAT=MLN","Sort=A","Dates=H","DateFormat=P","Fill=—","Direction=H","UseDPDF=Y")</f>
        <v>-2.4350000000000001</v>
      </c>
      <c r="Y11" s="13">
        <f>_xll.BDH("ITCI US Equity","OTHER_NON_CASH_ADJ_LESS_DETAILED","FQ2 2024","FQ2 2024","Currency=USD","Period=FQ","BEST_FPERIOD_OVERRIDE=FQ","FILING_STATUS=MR","SCALING_FORMAT=MLN","Sort=A","Dates=H","DateFormat=P","Fill=—","Direction=H","UseDPDF=Y")</f>
        <v>-1.944</v>
      </c>
      <c r="Z11" s="13">
        <f>_xll.BDH("ITCI US Equity","OTHER_NON_CASH_ADJ_LESS_DETAILED","FQ3 2024","FQ3 2024","Currency=USD","Period=FQ","BEST_FPERIOD_OVERRIDE=FQ","FILING_STATUS=MR","SCALING_FORMAT=MLN","Sort=A","Dates=H","DateFormat=P","Fill=—","Direction=H","UseDPDF=Y")</f>
        <v>-1.9119999999999999</v>
      </c>
      <c r="AA11" s="13">
        <f>_xll.BDH("ITCI US Equity","OTHER_NON_CASH_ADJ_LESS_DETAILED","FQ4 2024","FQ4 2024","Currency=USD","Period=FQ","BEST_FPERIOD_OVERRIDE=FQ","FILING_STATUS=MR","SCALING_FORMAT=MLN","Sort=A","Dates=H","DateFormat=P","Fill=—","Direction=H","UseDPDF=Y")</f>
        <v>-3.113</v>
      </c>
    </row>
    <row r="12" spans="1:27" x14ac:dyDescent="0.25">
      <c r="A12" s="10" t="s">
        <v>944</v>
      </c>
      <c r="B12" s="10" t="s">
        <v>945</v>
      </c>
      <c r="C12" s="13">
        <f>_xll.BDH("ITCI US Equity","CF_CHNG_NON_CASH_WORK_CAP","FQ4 2018","FQ4 2018","Currency=USD","Period=FQ","BEST_FPERIOD_OVERRIDE=FQ","FILING_STATUS=MR","SCALING_FORMAT=MLN","Sort=A","Dates=H","DateFormat=P","Fill=—","Direction=H","UseDPDF=Y")</f>
        <v>6.8871000000000002</v>
      </c>
      <c r="D12" s="13">
        <f>_xll.BDH("ITCI US Equity","CF_CHNG_NON_CASH_WORK_CAP","FQ1 2019","FQ1 2019","Currency=USD","Period=FQ","BEST_FPERIOD_OVERRIDE=FQ","FILING_STATUS=MR","SCALING_FORMAT=MLN","Sort=A","Dates=H","DateFormat=P","Fill=—","Direction=H","UseDPDF=Y")</f>
        <v>-5.6418999999999997</v>
      </c>
      <c r="E12" s="13">
        <f>_xll.BDH("ITCI US Equity","CF_CHNG_NON_CASH_WORK_CAP","FQ2 2019","FQ2 2019","Currency=USD","Period=FQ","BEST_FPERIOD_OVERRIDE=FQ","FILING_STATUS=MR","SCALING_FORMAT=MLN","Sort=A","Dates=H","DateFormat=P","Fill=—","Direction=H","UseDPDF=Y")</f>
        <v>5.2812000000000001</v>
      </c>
      <c r="F12" s="13">
        <f>_xll.BDH("ITCI US Equity","CF_CHNG_NON_CASH_WORK_CAP","FQ3 2019","FQ3 2019","Currency=USD","Period=FQ","BEST_FPERIOD_OVERRIDE=FQ","FILING_STATUS=MR","SCALING_FORMAT=MLN","Sort=A","Dates=H","DateFormat=P","Fill=—","Direction=H","UseDPDF=Y")</f>
        <v>0.1135</v>
      </c>
      <c r="G12" s="13">
        <f>_xll.BDH("ITCI US Equity","CF_CHNG_NON_CASH_WORK_CAP","FQ4 2019","FQ4 2019","Currency=USD","Period=FQ","BEST_FPERIOD_OVERRIDE=FQ","FILING_STATUS=MR","SCALING_FORMAT=MLN","Sort=A","Dates=H","DateFormat=P","Fill=—","Direction=H","UseDPDF=Y")</f>
        <v>-1.4964</v>
      </c>
      <c r="H12" s="13">
        <f>_xll.BDH("ITCI US Equity","CF_CHNG_NON_CASH_WORK_CAP","FQ1 2020","FQ1 2020","Currency=USD","Period=FQ","BEST_FPERIOD_OVERRIDE=FQ","FILING_STATUS=MR","SCALING_FORMAT=MLN","Sort=A","Dates=H","DateFormat=P","Fill=—","Direction=H","UseDPDF=Y")</f>
        <v>-9.4762000000000004</v>
      </c>
      <c r="I12" s="13">
        <f>_xll.BDH("ITCI US Equity","CF_CHNG_NON_CASH_WORK_CAP","FQ2 2020","FQ2 2020","Currency=USD","Period=FQ","BEST_FPERIOD_OVERRIDE=FQ","FILING_STATUS=MR","SCALING_FORMAT=MLN","Sort=A","Dates=H","DateFormat=P","Fill=—","Direction=H","UseDPDF=Y")</f>
        <v>9.6077999999999992</v>
      </c>
      <c r="J12" s="13">
        <f>_xll.BDH("ITCI US Equity","CF_CHNG_NON_CASH_WORK_CAP","FQ3 2020","FQ3 2020","Currency=USD","Period=FQ","BEST_FPERIOD_OVERRIDE=FQ","FILING_STATUS=MR","SCALING_FORMAT=MLN","Sort=A","Dates=H","DateFormat=P","Fill=—","Direction=H","UseDPDF=Y")</f>
        <v>-15.6114</v>
      </c>
      <c r="K12" s="13">
        <f>_xll.BDH("ITCI US Equity","CF_CHNG_NON_CASH_WORK_CAP","FQ4 2020","FQ4 2020","Currency=USD","Period=FQ","BEST_FPERIOD_OVERRIDE=FQ","FILING_STATUS=MR","SCALING_FORMAT=MLN","Sort=A","Dates=H","DateFormat=P","Fill=—","Direction=H","UseDPDF=Y")</f>
        <v>-11.9879</v>
      </c>
      <c r="L12" s="13">
        <f>_xll.BDH("ITCI US Equity","CF_CHNG_NON_CASH_WORK_CAP","FQ1 2021","FQ1 2021","Currency=USD","Period=FQ","BEST_FPERIOD_OVERRIDE=FQ","FILING_STATUS=MR","SCALING_FORMAT=MLN","Sort=A","Dates=H","DateFormat=P","Fill=—","Direction=H","UseDPDF=Y")</f>
        <v>-0.86229999999999996</v>
      </c>
      <c r="M12" s="13">
        <f>_xll.BDH("ITCI US Equity","CF_CHNG_NON_CASH_WORK_CAP","FQ2 2021","FQ2 2021","Currency=USD","Period=FQ","BEST_FPERIOD_OVERRIDE=FQ","FILING_STATUS=MR","SCALING_FORMAT=MLN","Sort=A","Dates=H","DateFormat=P","Fill=—","Direction=H","UseDPDF=Y")</f>
        <v>1.2883</v>
      </c>
      <c r="N12" s="13">
        <f>_xll.BDH("ITCI US Equity","CF_CHNG_NON_CASH_WORK_CAP","FQ3 2021","FQ3 2021","Currency=USD","Period=FQ","BEST_FPERIOD_OVERRIDE=FQ","FILING_STATUS=MR","SCALING_FORMAT=MLN","Sort=A","Dates=H","DateFormat=P","Fill=—","Direction=H","UseDPDF=Y")</f>
        <v>-10.4262</v>
      </c>
      <c r="O12" s="13">
        <f>_xll.BDH("ITCI US Equity","CF_CHNG_NON_CASH_WORK_CAP","FQ4 2021","FQ4 2021","Currency=USD","Period=FQ","BEST_FPERIOD_OVERRIDE=FQ","FILING_STATUS=MR","SCALING_FORMAT=MLN","Sort=A","Dates=H","DateFormat=P","Fill=—","Direction=H","UseDPDF=Y")</f>
        <v>3.8224</v>
      </c>
      <c r="P12" s="13">
        <f>_xll.BDH("ITCI US Equity","CF_CHNG_NON_CASH_WORK_CAP","FQ1 2022","FQ1 2022","Currency=USD","Period=FQ","BEST_FPERIOD_OVERRIDE=FQ","FILING_STATUS=MR","SCALING_FORMAT=MLN","Sort=A","Dates=H","DateFormat=P","Fill=—","Direction=H","UseDPDF=Y")</f>
        <v>-16.734999999999999</v>
      </c>
      <c r="Q12" s="13">
        <f>_xll.BDH("ITCI US Equity","CF_CHNG_NON_CASH_WORK_CAP","FQ2 2022","FQ2 2022","Currency=USD","Period=FQ","BEST_FPERIOD_OVERRIDE=FQ","FILING_STATUS=MR","SCALING_FORMAT=MLN","Sort=A","Dates=H","DateFormat=P","Fill=—","Direction=H","UseDPDF=Y")</f>
        <v>-29.023</v>
      </c>
      <c r="R12" s="13">
        <f>_xll.BDH("ITCI US Equity","CF_CHNG_NON_CASH_WORK_CAP","FQ3 2022","FQ3 2022","Currency=USD","Period=FQ","BEST_FPERIOD_OVERRIDE=FQ","FILING_STATUS=MR","SCALING_FORMAT=MLN","Sort=A","Dates=H","DateFormat=P","Fill=—","Direction=H","UseDPDF=Y")</f>
        <v>-1.4950000000000001</v>
      </c>
      <c r="S12" s="13">
        <f>_xll.BDH("ITCI US Equity","CF_CHNG_NON_CASH_WORK_CAP","FQ4 2022","FQ4 2022","Currency=USD","Period=FQ","BEST_FPERIOD_OVERRIDE=FQ","FILING_STATUS=MR","SCALING_FORMAT=MLN","Sort=A","Dates=H","DateFormat=P","Fill=—","Direction=H","UseDPDF=Y")</f>
        <v>-6.5330000000000004</v>
      </c>
      <c r="T12" s="13">
        <f>_xll.BDH("ITCI US Equity","CF_CHNG_NON_CASH_WORK_CAP","FQ1 2023","FQ1 2023","Currency=USD","Period=FQ","BEST_FPERIOD_OVERRIDE=FQ","FILING_STATUS=MR","SCALING_FORMAT=MLN","Sort=A","Dates=H","DateFormat=P","Fill=—","Direction=H","UseDPDF=Y")</f>
        <v>-23.946999999999999</v>
      </c>
      <c r="U12" s="13">
        <f>_xll.BDH("ITCI US Equity","CF_CHNG_NON_CASH_WORK_CAP","FQ2 2023","FQ2 2023","Currency=USD","Period=FQ","BEST_FPERIOD_OVERRIDE=FQ","FILING_STATUS=MR","SCALING_FORMAT=MLN","Sort=A","Dates=H","DateFormat=P","Fill=—","Direction=H","UseDPDF=Y")</f>
        <v>-17.882000000000001</v>
      </c>
      <c r="V12" s="13">
        <f>_xll.BDH("ITCI US Equity","CF_CHNG_NON_CASH_WORK_CAP","FQ3 2023","FQ3 2023","Currency=USD","Period=FQ","BEST_FPERIOD_OVERRIDE=FQ","FILING_STATUS=MR","SCALING_FORMAT=MLN","Sort=A","Dates=H","DateFormat=P","Fill=—","Direction=H","UseDPDF=Y")</f>
        <v>-0.68400000000000005</v>
      </c>
      <c r="W12" s="13">
        <f>_xll.BDH("ITCI US Equity","CF_CHNG_NON_CASH_WORK_CAP","FQ4 2023","FQ4 2023","Currency=USD","Period=FQ","BEST_FPERIOD_OVERRIDE=FQ","FILING_STATUS=MR","SCALING_FORMAT=MLN","Sort=A","Dates=H","DateFormat=P","Fill=—","Direction=H","UseDPDF=Y")</f>
        <v>14.143000000000001</v>
      </c>
      <c r="X12" s="13">
        <f>_xll.BDH("ITCI US Equity","CF_CHNG_NON_CASH_WORK_CAP","FQ1 2024","FQ1 2024","Currency=USD","Period=FQ","BEST_FPERIOD_OVERRIDE=FQ","FILING_STATUS=MR","SCALING_FORMAT=MLN","Sort=A","Dates=H","DateFormat=P","Fill=—","Direction=H","UseDPDF=Y")</f>
        <v>-30.408999999999999</v>
      </c>
      <c r="Y12" s="13">
        <f>_xll.BDH("ITCI US Equity","CF_CHNG_NON_CASH_WORK_CAP","FQ2 2024","FQ2 2024","Currency=USD","Period=FQ","BEST_FPERIOD_OVERRIDE=FQ","FILING_STATUS=MR","SCALING_FORMAT=MLN","Sort=A","Dates=H","DateFormat=P","Fill=—","Direction=H","UseDPDF=Y")</f>
        <v>2.2069999999999999</v>
      </c>
      <c r="Z12" s="13">
        <f>_xll.BDH("ITCI US Equity","CF_CHNG_NON_CASH_WORK_CAP","FQ3 2024","FQ3 2024","Currency=USD","Period=FQ","BEST_FPERIOD_OVERRIDE=FQ","FILING_STATUS=MR","SCALING_FORMAT=MLN","Sort=A","Dates=H","DateFormat=P","Fill=—","Direction=H","UseDPDF=Y")</f>
        <v>-15.916</v>
      </c>
      <c r="AA12" s="13">
        <f>_xll.BDH("ITCI US Equity","CF_CHNG_NON_CASH_WORK_CAP","FQ4 2024","FQ4 2024","Currency=USD","Period=FQ","BEST_FPERIOD_OVERRIDE=FQ","FILING_STATUS=MR","SCALING_FORMAT=MLN","Sort=A","Dates=H","DateFormat=P","Fill=—","Direction=H","UseDPDF=Y")</f>
        <v>-9.5220000000000002</v>
      </c>
    </row>
    <row r="13" spans="1:27" x14ac:dyDescent="0.25">
      <c r="A13" s="10" t="s">
        <v>946</v>
      </c>
      <c r="B13" s="10" t="s">
        <v>947</v>
      </c>
      <c r="C13" s="13">
        <f>_xll.BDH("ITCI US Equity","CF_ACCT_RCV_UNBILLED_REV","FQ4 2018","FQ4 2018","Currency=USD","Period=FQ","BEST_FPERIOD_OVERRIDE=FQ","FILING_STATUS=MR","SCALING_FORMAT=MLN","Sort=A","Dates=H","DateFormat=P","Fill=—","Direction=H","UseDPDF=Y")</f>
        <v>0</v>
      </c>
      <c r="D13" s="13" t="str">
        <f>_xll.BDH("ITCI US Equity","CF_ACCT_RCV_UNBILLED_REV","FQ1 2019","FQ1 2019","Currency=USD","Period=FQ","BEST_FPERIOD_OVERRIDE=FQ","FILING_STATUS=MR","SCALING_FORMAT=MLN","Sort=A","Dates=H","DateFormat=P","Fill=—","Direction=H","UseDPDF=Y")</f>
        <v>—</v>
      </c>
      <c r="E13" s="13" t="str">
        <f>_xll.BDH("ITCI US Equity","CF_ACCT_RCV_UNBILLED_REV","FQ2 2019","FQ2 2019","Currency=USD","Period=FQ","BEST_FPERIOD_OVERRIDE=FQ","FILING_STATUS=MR","SCALING_FORMAT=MLN","Sort=A","Dates=H","DateFormat=P","Fill=—","Direction=H","UseDPDF=Y")</f>
        <v>—</v>
      </c>
      <c r="F13" s="13" t="str">
        <f>_xll.BDH("ITCI US Equity","CF_ACCT_RCV_UNBILLED_REV","FQ3 2019","FQ3 2019","Currency=USD","Period=FQ","BEST_FPERIOD_OVERRIDE=FQ","FILING_STATUS=MR","SCALING_FORMAT=MLN","Sort=A","Dates=H","DateFormat=P","Fill=—","Direction=H","UseDPDF=Y")</f>
        <v>—</v>
      </c>
      <c r="G13" s="13" t="str">
        <f>_xll.BDH("ITCI US Equity","CF_ACCT_RCV_UNBILLED_REV","FQ4 2019","FQ4 2019","Currency=USD","Period=FQ","BEST_FPERIOD_OVERRIDE=FQ","FILING_STATUS=MR","SCALING_FORMAT=MLN","Sort=A","Dates=H","DateFormat=P","Fill=—","Direction=H","UseDPDF=Y")</f>
        <v>—</v>
      </c>
      <c r="H13" s="13">
        <f>_xll.BDH("ITCI US Equity","CF_ACCT_RCV_UNBILLED_REV","FQ1 2020","FQ1 2020","Currency=USD","Period=FQ","BEST_FPERIOD_OVERRIDE=FQ","FILING_STATUS=MR","SCALING_FORMAT=MLN","Sort=A","Dates=H","DateFormat=P","Fill=—","Direction=H","UseDPDF=Y")</f>
        <v>-1.351</v>
      </c>
      <c r="I13" s="13">
        <f>_xll.BDH("ITCI US Equity","CF_ACCT_RCV_UNBILLED_REV","FQ2 2020","FQ2 2020","Currency=USD","Period=FQ","BEST_FPERIOD_OVERRIDE=FQ","FILING_STATUS=MR","SCALING_FORMAT=MLN","Sort=A","Dates=H","DateFormat=P","Fill=—","Direction=H","UseDPDF=Y")</f>
        <v>-1.0022</v>
      </c>
      <c r="J13" s="13">
        <f>_xll.BDH("ITCI US Equity","CF_ACCT_RCV_UNBILLED_REV","FQ3 2020","FQ3 2020","Currency=USD","Period=FQ","BEST_FPERIOD_OVERRIDE=FQ","FILING_STATUS=MR","SCALING_FORMAT=MLN","Sort=A","Dates=H","DateFormat=P","Fill=—","Direction=H","UseDPDF=Y")</f>
        <v>-5.1273</v>
      </c>
      <c r="K13" s="13">
        <f>_xll.BDH("ITCI US Equity","CF_ACCT_RCV_UNBILLED_REV","FQ4 2020","FQ4 2020","Currency=USD","Period=FQ","BEST_FPERIOD_OVERRIDE=FQ","FILING_STATUS=MR","SCALING_FORMAT=MLN","Sort=A","Dates=H","DateFormat=P","Fill=—","Direction=H","UseDPDF=Y")</f>
        <v>-3.2839999999999998</v>
      </c>
      <c r="L13" s="13">
        <f>_xll.BDH("ITCI US Equity","CF_ACCT_RCV_UNBILLED_REV","FQ1 2021","FQ1 2021","Currency=USD","Period=FQ","BEST_FPERIOD_OVERRIDE=FQ","FILING_STATUS=MR","SCALING_FORMAT=MLN","Sort=A","Dates=H","DateFormat=P","Fill=—","Direction=H","UseDPDF=Y")</f>
        <v>-2.8974000000000002</v>
      </c>
      <c r="M13" s="13">
        <f>_xll.BDH("ITCI US Equity","CF_ACCT_RCV_UNBILLED_REV","FQ2 2021","FQ2 2021","Currency=USD","Period=FQ","BEST_FPERIOD_OVERRIDE=FQ","FILING_STATUS=MR","SCALING_FORMAT=MLN","Sort=A","Dates=H","DateFormat=P","Fill=—","Direction=H","UseDPDF=Y")</f>
        <v>-1.5258</v>
      </c>
      <c r="N13" s="13">
        <f>_xll.BDH("ITCI US Equity","CF_ACCT_RCV_UNBILLED_REV","FQ3 2021","FQ3 2021","Currency=USD","Period=FQ","BEST_FPERIOD_OVERRIDE=FQ","FILING_STATUS=MR","SCALING_FORMAT=MLN","Sort=A","Dates=H","DateFormat=P","Fill=—","Direction=H","UseDPDF=Y")</f>
        <v>-1.7464999999999999</v>
      </c>
      <c r="O13" s="13">
        <f>_xll.BDH("ITCI US Equity","CF_ACCT_RCV_UNBILLED_REV","FQ4 2021","FQ4 2021","Currency=USD","Period=FQ","BEST_FPERIOD_OVERRIDE=FQ","FILING_STATUS=MR","SCALING_FORMAT=MLN","Sort=A","Dates=H","DateFormat=P","Fill=—","Direction=H","UseDPDF=Y")</f>
        <v>-3.2216</v>
      </c>
      <c r="P13" s="13">
        <f>_xll.BDH("ITCI US Equity","CF_ACCT_RCV_UNBILLED_REV","FQ1 2022","FQ1 2022","Currency=USD","Period=FQ","BEST_FPERIOD_OVERRIDE=FQ","FILING_STATUS=MR","SCALING_FORMAT=MLN","Sort=A","Dates=H","DateFormat=P","Fill=—","Direction=H","UseDPDF=Y")</f>
        <v>-12.676</v>
      </c>
      <c r="Q13" s="13">
        <f>_xll.BDH("ITCI US Equity","CF_ACCT_RCV_UNBILLED_REV","FQ2 2022","FQ2 2022","Currency=USD","Period=FQ","BEST_FPERIOD_OVERRIDE=FQ","FILING_STATUS=MR","SCALING_FORMAT=MLN","Sort=A","Dates=H","DateFormat=P","Fill=—","Direction=H","UseDPDF=Y")</f>
        <v>-14.144</v>
      </c>
      <c r="R13" s="13">
        <f>_xll.BDH("ITCI US Equity","CF_ACCT_RCV_UNBILLED_REV","FQ3 2022","FQ3 2022","Currency=USD","Period=FQ","BEST_FPERIOD_OVERRIDE=FQ","FILING_STATUS=MR","SCALING_FORMAT=MLN","Sort=A","Dates=H","DateFormat=P","Fill=—","Direction=H","UseDPDF=Y")</f>
        <v>-14.561999999999999</v>
      </c>
      <c r="S13" s="13">
        <f>_xll.BDH("ITCI US Equity","CF_ACCT_RCV_UNBILLED_REV","FQ4 2022","FQ4 2022","Currency=USD","Period=FQ","BEST_FPERIOD_OVERRIDE=FQ","FILING_STATUS=MR","SCALING_FORMAT=MLN","Sort=A","Dates=H","DateFormat=P","Fill=—","Direction=H","UseDPDF=Y")</f>
        <v>-13.651</v>
      </c>
      <c r="T13" s="13">
        <f>_xll.BDH("ITCI US Equity","CF_ACCT_RCV_UNBILLED_REV","FQ1 2023","FQ1 2023","Currency=USD","Period=FQ","BEST_FPERIOD_OVERRIDE=FQ","FILING_STATUS=MR","SCALING_FORMAT=MLN","Sort=A","Dates=H","DateFormat=P","Fill=—","Direction=H","UseDPDF=Y")</f>
        <v>-6.3559999999999999</v>
      </c>
      <c r="U13" s="13">
        <f>_xll.BDH("ITCI US Equity","CF_ACCT_RCV_UNBILLED_REV","FQ2 2023","FQ2 2023","Currency=USD","Period=FQ","BEST_FPERIOD_OVERRIDE=FQ","FILING_STATUS=MR","SCALING_FORMAT=MLN","Sort=A","Dates=H","DateFormat=P","Fill=—","Direction=H","UseDPDF=Y")</f>
        <v>-14.419</v>
      </c>
      <c r="V13" s="13">
        <f>_xll.BDH("ITCI US Equity","CF_ACCT_RCV_UNBILLED_REV","FQ3 2023","FQ3 2023","Currency=USD","Period=FQ","BEST_FPERIOD_OVERRIDE=FQ","FILING_STATUS=MR","SCALING_FORMAT=MLN","Sort=A","Dates=H","DateFormat=P","Fill=—","Direction=H","UseDPDF=Y")</f>
        <v>-6.7060000000000004</v>
      </c>
      <c r="W13" s="13">
        <f>_xll.BDH("ITCI US Equity","CF_ACCT_RCV_UNBILLED_REV","FQ4 2023","FQ4 2023","Currency=USD","Period=FQ","BEST_FPERIOD_OVERRIDE=FQ","FILING_STATUS=MR","SCALING_FORMAT=MLN","Sort=A","Dates=H","DateFormat=P","Fill=—","Direction=H","UseDPDF=Y")</f>
        <v>-11.348000000000001</v>
      </c>
      <c r="X13" s="13">
        <f>_xll.BDH("ITCI US Equity","CF_ACCT_RCV_UNBILLED_REV","FQ1 2024","FQ1 2024","Currency=USD","Period=FQ","BEST_FPERIOD_OVERRIDE=FQ","FILING_STATUS=MR","SCALING_FORMAT=MLN","Sort=A","Dates=H","DateFormat=P","Fill=—","Direction=H","UseDPDF=Y")</f>
        <v>-17.138999999999999</v>
      </c>
      <c r="Y13" s="13">
        <f>_xll.BDH("ITCI US Equity","CF_ACCT_RCV_UNBILLED_REV","FQ2 2024","FQ2 2024","Currency=USD","Period=FQ","BEST_FPERIOD_OVERRIDE=FQ","FILING_STATUS=MR","SCALING_FORMAT=MLN","Sort=A","Dates=H","DateFormat=P","Fill=—","Direction=H","UseDPDF=Y")</f>
        <v>-14.557</v>
      </c>
      <c r="Z13" s="13">
        <f>_xll.BDH("ITCI US Equity","CF_ACCT_RCV_UNBILLED_REV","FQ3 2024","FQ3 2024","Currency=USD","Period=FQ","BEST_FPERIOD_OVERRIDE=FQ","FILING_STATUS=MR","SCALING_FORMAT=MLN","Sort=A","Dates=H","DateFormat=P","Fill=—","Direction=H","UseDPDF=Y")</f>
        <v>0.106</v>
      </c>
      <c r="AA13" s="13">
        <f>_xll.BDH("ITCI US Equity","CF_ACCT_RCV_UNBILLED_REV","FQ4 2024","FQ4 2024","Currency=USD","Period=FQ","BEST_FPERIOD_OVERRIDE=FQ","FILING_STATUS=MR","SCALING_FORMAT=MLN","Sort=A","Dates=H","DateFormat=P","Fill=—","Direction=H","UseDPDF=Y")</f>
        <v>-20.891999999999999</v>
      </c>
    </row>
    <row r="14" spans="1:27" x14ac:dyDescent="0.25">
      <c r="A14" s="10" t="s">
        <v>948</v>
      </c>
      <c r="B14" s="10" t="s">
        <v>949</v>
      </c>
      <c r="C14" s="13">
        <f>_xll.BDH("ITCI US Equity","CF_CHANGE_IN_INVENTORIES","FQ4 2018","FQ4 2018","Currency=USD","Period=FQ","BEST_FPERIOD_OVERRIDE=FQ","FILING_STATUS=MR","SCALING_FORMAT=MLN","Sort=A","Dates=H","DateFormat=P","Fill=—","Direction=H","UseDPDF=Y")</f>
        <v>0</v>
      </c>
      <c r="D14" s="13">
        <f>_xll.BDH("ITCI US Equity","CF_CHANGE_IN_INVENTORIES","FQ1 2019","FQ1 2019","Currency=USD","Period=FQ","BEST_FPERIOD_OVERRIDE=FQ","FILING_STATUS=MR","SCALING_FORMAT=MLN","Sort=A","Dates=H","DateFormat=P","Fill=—","Direction=H","UseDPDF=Y")</f>
        <v>0</v>
      </c>
      <c r="E14" s="13">
        <f>_xll.BDH("ITCI US Equity","CF_CHANGE_IN_INVENTORIES","FQ2 2019","FQ2 2019","Currency=USD","Period=FQ","BEST_FPERIOD_OVERRIDE=FQ","FILING_STATUS=MR","SCALING_FORMAT=MLN","Sort=A","Dates=H","DateFormat=P","Fill=—","Direction=H","UseDPDF=Y")</f>
        <v>0</v>
      </c>
      <c r="F14" s="13" t="str">
        <f>_xll.BDH("ITCI US Equity","CF_CHANGE_IN_INVENTORIES","FQ3 2019","FQ3 2019","Currency=USD","Period=FQ","BEST_FPERIOD_OVERRIDE=FQ","FILING_STATUS=MR","SCALING_FORMAT=MLN","Sort=A","Dates=H","DateFormat=P","Fill=—","Direction=H","UseDPDF=Y")</f>
        <v>—</v>
      </c>
      <c r="G14" s="13">
        <f>_xll.BDH("ITCI US Equity","CF_CHANGE_IN_INVENTORIES","FQ4 2019","FQ4 2019","Currency=USD","Period=FQ","BEST_FPERIOD_OVERRIDE=FQ","FILING_STATUS=MR","SCALING_FORMAT=MLN","Sort=A","Dates=H","DateFormat=P","Fill=—","Direction=H","UseDPDF=Y")</f>
        <v>0</v>
      </c>
      <c r="H14" s="13">
        <f>_xll.BDH("ITCI US Equity","CF_CHANGE_IN_INVENTORIES","FQ1 2020","FQ1 2020","Currency=USD","Period=FQ","BEST_FPERIOD_OVERRIDE=FQ","FILING_STATUS=MR","SCALING_FORMAT=MLN","Sort=A","Dates=H","DateFormat=P","Fill=—","Direction=H","UseDPDF=Y")</f>
        <v>-1.3911</v>
      </c>
      <c r="I14" s="13">
        <f>_xll.BDH("ITCI US Equity","CF_CHANGE_IN_INVENTORIES","FQ2 2020","FQ2 2020","Currency=USD","Period=FQ","BEST_FPERIOD_OVERRIDE=FQ","FILING_STATUS=MR","SCALING_FORMAT=MLN","Sort=A","Dates=H","DateFormat=P","Fill=—","Direction=H","UseDPDF=Y")</f>
        <v>-0.94389999999999996</v>
      </c>
      <c r="J14" s="13">
        <f>_xll.BDH("ITCI US Equity","CF_CHANGE_IN_INVENTORIES","FQ3 2020","FQ3 2020","Currency=USD","Period=FQ","BEST_FPERIOD_OVERRIDE=FQ","FILING_STATUS=MR","SCALING_FORMAT=MLN","Sort=A","Dates=H","DateFormat=P","Fill=—","Direction=H","UseDPDF=Y")</f>
        <v>-0.61209999999999998</v>
      </c>
      <c r="K14" s="13">
        <f>_xll.BDH("ITCI US Equity","CF_CHANGE_IN_INVENTORIES","FQ4 2020","FQ4 2020","Currency=USD","Period=FQ","BEST_FPERIOD_OVERRIDE=FQ","FILING_STATUS=MR","SCALING_FORMAT=MLN","Sort=A","Dates=H","DateFormat=P","Fill=—","Direction=H","UseDPDF=Y")</f>
        <v>-4.1092000000000004</v>
      </c>
      <c r="L14" s="13">
        <f>_xll.BDH("ITCI US Equity","CF_CHANGE_IN_INVENTORIES","FQ1 2021","FQ1 2021","Currency=USD","Period=FQ","BEST_FPERIOD_OVERRIDE=FQ","FILING_STATUS=MR","SCALING_FORMAT=MLN","Sort=A","Dates=H","DateFormat=P","Fill=—","Direction=H","UseDPDF=Y")</f>
        <v>-0.52300000000000002</v>
      </c>
      <c r="M14" s="13">
        <f>_xll.BDH("ITCI US Equity","CF_CHANGE_IN_INVENTORIES","FQ2 2021","FQ2 2021","Currency=USD","Period=FQ","BEST_FPERIOD_OVERRIDE=FQ","FILING_STATUS=MR","SCALING_FORMAT=MLN","Sort=A","Dates=H","DateFormat=P","Fill=—","Direction=H","UseDPDF=Y")</f>
        <v>-0.1895</v>
      </c>
      <c r="N14" s="13">
        <f>_xll.BDH("ITCI US Equity","CF_CHANGE_IN_INVENTORIES","FQ3 2021","FQ3 2021","Currency=USD","Period=FQ","BEST_FPERIOD_OVERRIDE=FQ","FILING_STATUS=MR","SCALING_FORMAT=MLN","Sort=A","Dates=H","DateFormat=P","Fill=—","Direction=H","UseDPDF=Y")</f>
        <v>-0.39810000000000001</v>
      </c>
      <c r="O14" s="13">
        <f>_xll.BDH("ITCI US Equity","CF_CHANGE_IN_INVENTORIES","FQ4 2021","FQ4 2021","Currency=USD","Period=FQ","BEST_FPERIOD_OVERRIDE=FQ","FILING_STATUS=MR","SCALING_FORMAT=MLN","Sort=A","Dates=H","DateFormat=P","Fill=—","Direction=H","UseDPDF=Y")</f>
        <v>0.21879999999999999</v>
      </c>
      <c r="P14" s="13">
        <f>_xll.BDH("ITCI US Equity","CF_CHANGE_IN_INVENTORIES","FQ1 2022","FQ1 2022","Currency=USD","Period=FQ","BEST_FPERIOD_OVERRIDE=FQ","FILING_STATUS=MR","SCALING_FORMAT=MLN","Sort=A","Dates=H","DateFormat=P","Fill=—","Direction=H","UseDPDF=Y")</f>
        <v>5.5E-2</v>
      </c>
      <c r="Q14" s="13">
        <f>_xll.BDH("ITCI US Equity","CF_CHANGE_IN_INVENTORIES","FQ2 2022","FQ2 2022","Currency=USD","Period=FQ","BEST_FPERIOD_OVERRIDE=FQ","FILING_STATUS=MR","SCALING_FORMAT=MLN","Sort=A","Dates=H","DateFormat=P","Fill=—","Direction=H","UseDPDF=Y")</f>
        <v>-17.129000000000001</v>
      </c>
      <c r="R14" s="13">
        <f>_xll.BDH("ITCI US Equity","CF_CHANGE_IN_INVENTORIES","FQ3 2022","FQ3 2022","Currency=USD","Period=FQ","BEST_FPERIOD_OVERRIDE=FQ","FILING_STATUS=MR","SCALING_FORMAT=MLN","Sort=A","Dates=H","DateFormat=P","Fill=—","Direction=H","UseDPDF=Y")</f>
        <v>1.425</v>
      </c>
      <c r="S14" s="13">
        <f>_xll.BDH("ITCI US Equity","CF_CHANGE_IN_INVENTORIES","FQ4 2022","FQ4 2022","Currency=USD","Period=FQ","BEST_FPERIOD_OVERRIDE=FQ","FILING_STATUS=MR","SCALING_FORMAT=MLN","Sort=A","Dates=H","DateFormat=P","Fill=—","Direction=H","UseDPDF=Y")</f>
        <v>-0.32300000000000001</v>
      </c>
      <c r="T14" s="13">
        <f>_xll.BDH("ITCI US Equity","CF_CHANGE_IN_INVENTORIES","FQ1 2023","FQ1 2023","Currency=USD","Period=FQ","BEST_FPERIOD_OVERRIDE=FQ","FILING_STATUS=MR","SCALING_FORMAT=MLN","Sort=A","Dates=H","DateFormat=P","Fill=—","Direction=H","UseDPDF=Y")</f>
        <v>-4.4210000000000003</v>
      </c>
      <c r="U14" s="13">
        <f>_xll.BDH("ITCI US Equity","CF_CHANGE_IN_INVENTORIES","FQ2 2023","FQ2 2023","Currency=USD","Period=FQ","BEST_FPERIOD_OVERRIDE=FQ","FILING_STATUS=MR","SCALING_FORMAT=MLN","Sort=A","Dates=H","DateFormat=P","Fill=—","Direction=H","UseDPDF=Y")</f>
        <v>-13.554</v>
      </c>
      <c r="V14" s="13">
        <f>_xll.BDH("ITCI US Equity","CF_CHANGE_IN_INVENTORIES","FQ3 2023","FQ3 2023","Currency=USD","Period=FQ","BEST_FPERIOD_OVERRIDE=FQ","FILING_STATUS=MR","SCALING_FORMAT=MLN","Sort=A","Dates=H","DateFormat=P","Fill=—","Direction=H","UseDPDF=Y")</f>
        <v>-1.091</v>
      </c>
      <c r="W14" s="13">
        <f>_xll.BDH("ITCI US Equity","CF_CHANGE_IN_INVENTORIES","FQ4 2023","FQ4 2023","Currency=USD","Period=FQ","BEST_FPERIOD_OVERRIDE=FQ","FILING_STATUS=MR","SCALING_FORMAT=MLN","Sort=A","Dates=H","DateFormat=P","Fill=—","Direction=H","UseDPDF=Y")</f>
        <v>-7.282</v>
      </c>
      <c r="X14" s="13">
        <f>_xll.BDH("ITCI US Equity","CF_CHANGE_IN_INVENTORIES","FQ1 2024","FQ1 2024","Currency=USD","Period=FQ","BEST_FPERIOD_OVERRIDE=FQ","FILING_STATUS=MR","SCALING_FORMAT=MLN","Sort=A","Dates=H","DateFormat=P","Fill=—","Direction=H","UseDPDF=Y")</f>
        <v>-0.499</v>
      </c>
      <c r="Y14" s="13">
        <f>_xll.BDH("ITCI US Equity","CF_CHANGE_IN_INVENTORIES","FQ2 2024","FQ2 2024","Currency=USD","Period=FQ","BEST_FPERIOD_OVERRIDE=FQ","FILING_STATUS=MR","SCALING_FORMAT=MLN","Sort=A","Dates=H","DateFormat=P","Fill=—","Direction=H","UseDPDF=Y")</f>
        <v>-1.877</v>
      </c>
      <c r="Z14" s="13">
        <f>_xll.BDH("ITCI US Equity","CF_CHANGE_IN_INVENTORIES","FQ3 2024","FQ3 2024","Currency=USD","Period=FQ","BEST_FPERIOD_OVERRIDE=FQ","FILING_STATUS=MR","SCALING_FORMAT=MLN","Sort=A","Dates=H","DateFormat=P","Fill=—","Direction=H","UseDPDF=Y")</f>
        <v>-1.3740000000000001</v>
      </c>
      <c r="AA14" s="13">
        <f>_xll.BDH("ITCI US Equity","CF_CHANGE_IN_INVENTORIES","FQ4 2024","FQ4 2024","Currency=USD","Period=FQ","BEST_FPERIOD_OVERRIDE=FQ","FILING_STATUS=MR","SCALING_FORMAT=MLN","Sort=A","Dates=H","DateFormat=P","Fill=—","Direction=H","UseDPDF=Y")</f>
        <v>-11.154999999999999</v>
      </c>
    </row>
    <row r="15" spans="1:27" x14ac:dyDescent="0.25">
      <c r="A15" s="10" t="s">
        <v>950</v>
      </c>
      <c r="B15" s="10" t="s">
        <v>951</v>
      </c>
      <c r="C15" s="13">
        <f>_xll.BDH("ITCI US Equity","CF_CHANGE_IN_ACCOUNTS_PAYABLE","FQ4 2018","FQ4 2018","Currency=USD","Period=FQ","BEST_FPERIOD_OVERRIDE=FQ","FILING_STATUS=MR","SCALING_FORMAT=MLN","Sort=A","Dates=H","DateFormat=P","Fill=—","Direction=H","UseDPDF=Y")</f>
        <v>3.5078999999999998</v>
      </c>
      <c r="D15" s="13">
        <f>_xll.BDH("ITCI US Equity","CF_CHANGE_IN_ACCOUNTS_PAYABLE","FQ1 2019","FQ1 2019","Currency=USD","Period=FQ","BEST_FPERIOD_OVERRIDE=FQ","FILING_STATUS=MR","SCALING_FORMAT=MLN","Sort=A","Dates=H","DateFormat=P","Fill=—","Direction=H","UseDPDF=Y")</f>
        <v>-5.3865999999999996</v>
      </c>
      <c r="E15" s="13">
        <f>_xll.BDH("ITCI US Equity","CF_CHANGE_IN_ACCOUNTS_PAYABLE","FQ2 2019","FQ2 2019","Currency=USD","Period=FQ","BEST_FPERIOD_OVERRIDE=FQ","FILING_STATUS=MR","SCALING_FORMAT=MLN","Sort=A","Dates=H","DateFormat=P","Fill=—","Direction=H","UseDPDF=Y")</f>
        <v>-2.9417</v>
      </c>
      <c r="F15" s="13">
        <f>_xll.BDH("ITCI US Equity","CF_CHANGE_IN_ACCOUNTS_PAYABLE","FQ3 2019","FQ3 2019","Currency=USD","Period=FQ","BEST_FPERIOD_OVERRIDE=FQ","FILING_STATUS=MR","SCALING_FORMAT=MLN","Sort=A","Dates=H","DateFormat=P","Fill=—","Direction=H","UseDPDF=Y")</f>
        <v>0.59809999999999997</v>
      </c>
      <c r="G15" s="13">
        <f>_xll.BDH("ITCI US Equity","CF_CHANGE_IN_ACCOUNTS_PAYABLE","FQ4 2019","FQ4 2019","Currency=USD","Period=FQ","BEST_FPERIOD_OVERRIDE=FQ","FILING_STATUS=MR","SCALING_FORMAT=MLN","Sort=A","Dates=H","DateFormat=P","Fill=—","Direction=H","UseDPDF=Y")</f>
        <v>1.1940999999999999</v>
      </c>
      <c r="H15" s="13">
        <f>_xll.BDH("ITCI US Equity","CF_CHANGE_IN_ACCOUNTS_PAYABLE","FQ1 2020","FQ1 2020","Currency=USD","Period=FQ","BEST_FPERIOD_OVERRIDE=FQ","FILING_STATUS=MR","SCALING_FORMAT=MLN","Sort=A","Dates=H","DateFormat=P","Fill=—","Direction=H","UseDPDF=Y")</f>
        <v>3.5691000000000002</v>
      </c>
      <c r="I15" s="13">
        <f>_xll.BDH("ITCI US Equity","CF_CHANGE_IN_ACCOUNTS_PAYABLE","FQ2 2020","FQ2 2020","Currency=USD","Period=FQ","BEST_FPERIOD_OVERRIDE=FQ","FILING_STATUS=MR","SCALING_FORMAT=MLN","Sort=A","Dates=H","DateFormat=P","Fill=—","Direction=H","UseDPDF=Y")</f>
        <v>-5.5210999999999997</v>
      </c>
      <c r="J15" s="13">
        <f>_xll.BDH("ITCI US Equity","CF_CHANGE_IN_ACCOUNTS_PAYABLE","FQ3 2020","FQ3 2020","Currency=USD","Period=FQ","BEST_FPERIOD_OVERRIDE=FQ","FILING_STATUS=MR","SCALING_FORMAT=MLN","Sort=A","Dates=H","DateFormat=P","Fill=—","Direction=H","UseDPDF=Y")</f>
        <v>3.0962000000000001</v>
      </c>
      <c r="K15" s="13">
        <f>_xll.BDH("ITCI US Equity","CF_CHANGE_IN_ACCOUNTS_PAYABLE","FQ4 2020","FQ4 2020","Currency=USD","Period=FQ","BEST_FPERIOD_OVERRIDE=FQ","FILING_STATUS=MR","SCALING_FORMAT=MLN","Sort=A","Dates=H","DateFormat=P","Fill=—","Direction=H","UseDPDF=Y")</f>
        <v>-3.0672999999999999</v>
      </c>
      <c r="L15" s="13">
        <f>_xll.BDH("ITCI US Equity","CF_CHANGE_IN_ACCOUNTS_PAYABLE","FQ1 2021","FQ1 2021","Currency=USD","Period=FQ","BEST_FPERIOD_OVERRIDE=FQ","FILING_STATUS=MR","SCALING_FORMAT=MLN","Sort=A","Dates=H","DateFormat=P","Fill=—","Direction=H","UseDPDF=Y")</f>
        <v>3.2191000000000001</v>
      </c>
      <c r="M15" s="13">
        <f>_xll.BDH("ITCI US Equity","CF_CHANGE_IN_ACCOUNTS_PAYABLE","FQ2 2021","FQ2 2021","Currency=USD","Period=FQ","BEST_FPERIOD_OVERRIDE=FQ","FILING_STATUS=MR","SCALING_FORMAT=MLN","Sort=A","Dates=H","DateFormat=P","Fill=—","Direction=H","UseDPDF=Y")</f>
        <v>7.2198000000000002</v>
      </c>
      <c r="N15" s="13">
        <f>_xll.BDH("ITCI US Equity","CF_CHANGE_IN_ACCOUNTS_PAYABLE","FQ3 2021","FQ3 2021","Currency=USD","Period=FQ","BEST_FPERIOD_OVERRIDE=FQ","FILING_STATUS=MR","SCALING_FORMAT=MLN","Sort=A","Dates=H","DateFormat=P","Fill=—","Direction=H","UseDPDF=Y")</f>
        <v>-3.9100999999999999</v>
      </c>
      <c r="O15" s="13">
        <f>_xll.BDH("ITCI US Equity","CF_CHANGE_IN_ACCOUNTS_PAYABLE","FQ4 2021","FQ4 2021","Currency=USD","Period=FQ","BEST_FPERIOD_OVERRIDE=FQ","FILING_STATUS=MR","SCALING_FORMAT=MLN","Sort=A","Dates=H","DateFormat=P","Fill=—","Direction=H","UseDPDF=Y")</f>
        <v>-3.3393999999999999</v>
      </c>
      <c r="P15" s="13">
        <f>_xll.BDH("ITCI US Equity","CF_CHANGE_IN_ACCOUNTS_PAYABLE","FQ1 2022","FQ1 2022","Currency=USD","Period=FQ","BEST_FPERIOD_OVERRIDE=FQ","FILING_STATUS=MR","SCALING_FORMAT=MLN","Sort=A","Dates=H","DateFormat=P","Fill=—","Direction=H","UseDPDF=Y")</f>
        <v>2.9580000000000002</v>
      </c>
      <c r="Q15" s="13">
        <f>_xll.BDH("ITCI US Equity","CF_CHANGE_IN_ACCOUNTS_PAYABLE","FQ2 2022","FQ2 2022","Currency=USD","Period=FQ","BEST_FPERIOD_OVERRIDE=FQ","FILING_STATUS=MR","SCALING_FORMAT=MLN","Sort=A","Dates=H","DateFormat=P","Fill=—","Direction=H","UseDPDF=Y")</f>
        <v>-0.9</v>
      </c>
      <c r="R15" s="13">
        <f>_xll.BDH("ITCI US Equity","CF_CHANGE_IN_ACCOUNTS_PAYABLE","FQ3 2022","FQ3 2022","Currency=USD","Period=FQ","BEST_FPERIOD_OVERRIDE=FQ","FILING_STATUS=MR","SCALING_FORMAT=MLN","Sort=A","Dates=H","DateFormat=P","Fill=—","Direction=H","UseDPDF=Y")</f>
        <v>3.47</v>
      </c>
      <c r="S15" s="13">
        <f>_xll.BDH("ITCI US Equity","CF_CHANGE_IN_ACCOUNTS_PAYABLE","FQ4 2022","FQ4 2022","Currency=USD","Period=FQ","BEST_FPERIOD_OVERRIDE=FQ","FILING_STATUS=MR","SCALING_FORMAT=MLN","Sort=A","Dates=H","DateFormat=P","Fill=—","Direction=H","UseDPDF=Y")</f>
        <v>-3.8239999999999998</v>
      </c>
      <c r="T15" s="13">
        <f>_xll.BDH("ITCI US Equity","CF_CHANGE_IN_ACCOUNTS_PAYABLE","FQ1 2023","FQ1 2023","Currency=USD","Period=FQ","BEST_FPERIOD_OVERRIDE=FQ","FILING_STATUS=MR","SCALING_FORMAT=MLN","Sort=A","Dates=H","DateFormat=P","Fill=—","Direction=H","UseDPDF=Y")</f>
        <v>-1.954</v>
      </c>
      <c r="U15" s="13">
        <f>_xll.BDH("ITCI US Equity","CF_CHANGE_IN_ACCOUNTS_PAYABLE","FQ2 2023","FQ2 2023","Currency=USD","Period=FQ","BEST_FPERIOD_OVERRIDE=FQ","FILING_STATUS=MR","SCALING_FORMAT=MLN","Sort=A","Dates=H","DateFormat=P","Fill=—","Direction=H","UseDPDF=Y")</f>
        <v>-0.70799999999999996</v>
      </c>
      <c r="V15" s="13">
        <f>_xll.BDH("ITCI US Equity","CF_CHANGE_IN_ACCOUNTS_PAYABLE","FQ3 2023","FQ3 2023","Currency=USD","Period=FQ","BEST_FPERIOD_OVERRIDE=FQ","FILING_STATUS=MR","SCALING_FORMAT=MLN","Sort=A","Dates=H","DateFormat=P","Fill=—","Direction=H","UseDPDF=Y")</f>
        <v>2.88</v>
      </c>
      <c r="W15" s="13">
        <f>_xll.BDH("ITCI US Equity","CF_CHANGE_IN_ACCOUNTS_PAYABLE","FQ4 2023","FQ4 2023","Currency=USD","Period=FQ","BEST_FPERIOD_OVERRIDE=FQ","FILING_STATUS=MR","SCALING_FORMAT=MLN","Sort=A","Dates=H","DateFormat=P","Fill=—","Direction=H","UseDPDF=Y")</f>
        <v>0.83899999999999997</v>
      </c>
      <c r="X15" s="13">
        <f>_xll.BDH("ITCI US Equity","CF_CHANGE_IN_ACCOUNTS_PAYABLE","FQ1 2024","FQ1 2024","Currency=USD","Period=FQ","BEST_FPERIOD_OVERRIDE=FQ","FILING_STATUS=MR","SCALING_FORMAT=MLN","Sort=A","Dates=H","DateFormat=P","Fill=—","Direction=H","UseDPDF=Y")</f>
        <v>0.08</v>
      </c>
      <c r="Y15" s="13">
        <f>_xll.BDH("ITCI US Equity","CF_CHANGE_IN_ACCOUNTS_PAYABLE","FQ2 2024","FQ2 2024","Currency=USD","Period=FQ","BEST_FPERIOD_OVERRIDE=FQ","FILING_STATUS=MR","SCALING_FORMAT=MLN","Sort=A","Dates=H","DateFormat=P","Fill=—","Direction=H","UseDPDF=Y")</f>
        <v>6.016</v>
      </c>
      <c r="Z15" s="13">
        <f>_xll.BDH("ITCI US Equity","CF_CHANGE_IN_ACCOUNTS_PAYABLE","FQ3 2024","FQ3 2024","Currency=USD","Period=FQ","BEST_FPERIOD_OVERRIDE=FQ","FILING_STATUS=MR","SCALING_FORMAT=MLN","Sort=A","Dates=H","DateFormat=P","Fill=—","Direction=H","UseDPDF=Y")</f>
        <v>-7.21</v>
      </c>
      <c r="AA15" s="13">
        <f>_xll.BDH("ITCI US Equity","CF_CHANGE_IN_ACCOUNTS_PAYABLE","FQ4 2024","FQ4 2024","Currency=USD","Period=FQ","BEST_FPERIOD_OVERRIDE=FQ","FILING_STATUS=MR","SCALING_FORMAT=MLN","Sort=A","Dates=H","DateFormat=P","Fill=—","Direction=H","UseDPDF=Y")</f>
        <v>15.736000000000001</v>
      </c>
    </row>
    <row r="16" spans="1:27" x14ac:dyDescent="0.25">
      <c r="A16" s="10" t="s">
        <v>952</v>
      </c>
      <c r="B16" s="10" t="s">
        <v>953</v>
      </c>
      <c r="C16" s="13">
        <f>_xll.BDH("ITCI US Equity","INC_DEC_IN_OT_OP_AST_LIAB_DETAIL","FQ4 2018","FQ4 2018","Currency=USD","Period=FQ","BEST_FPERIOD_OVERRIDE=FQ","FILING_STATUS=MR","SCALING_FORMAT=MLN","Sort=A","Dates=H","DateFormat=P","Fill=—","Direction=H","UseDPDF=Y")</f>
        <v>3.3792</v>
      </c>
      <c r="D16" s="13">
        <f>_xll.BDH("ITCI US Equity","INC_DEC_IN_OT_OP_AST_LIAB_DETAIL","FQ1 2019","FQ1 2019","Currency=USD","Period=FQ","BEST_FPERIOD_OVERRIDE=FQ","FILING_STATUS=MR","SCALING_FORMAT=MLN","Sort=A","Dates=H","DateFormat=P","Fill=—","Direction=H","UseDPDF=Y")</f>
        <v>-0.25530000000000003</v>
      </c>
      <c r="E16" s="13">
        <f>_xll.BDH("ITCI US Equity","INC_DEC_IN_OT_OP_AST_LIAB_DETAIL","FQ2 2019","FQ2 2019","Currency=USD","Period=FQ","BEST_FPERIOD_OVERRIDE=FQ","FILING_STATUS=MR","SCALING_FORMAT=MLN","Sort=A","Dates=H","DateFormat=P","Fill=—","Direction=H","UseDPDF=Y")</f>
        <v>8.2227999999999994</v>
      </c>
      <c r="F16" s="13">
        <f>_xll.BDH("ITCI US Equity","INC_DEC_IN_OT_OP_AST_LIAB_DETAIL","FQ3 2019","FQ3 2019","Currency=USD","Period=FQ","BEST_FPERIOD_OVERRIDE=FQ","FILING_STATUS=MR","SCALING_FORMAT=MLN","Sort=A","Dates=H","DateFormat=P","Fill=—","Direction=H","UseDPDF=Y")</f>
        <v>-0.48459999999999998</v>
      </c>
      <c r="G16" s="13">
        <f>_xll.BDH("ITCI US Equity","INC_DEC_IN_OT_OP_AST_LIAB_DETAIL","FQ4 2019","FQ4 2019","Currency=USD","Period=FQ","BEST_FPERIOD_OVERRIDE=FQ","FILING_STATUS=MR","SCALING_FORMAT=MLN","Sort=A","Dates=H","DateFormat=P","Fill=—","Direction=H","UseDPDF=Y")</f>
        <v>-2.6905000000000001</v>
      </c>
      <c r="H16" s="13">
        <f>_xll.BDH("ITCI US Equity","INC_DEC_IN_OT_OP_AST_LIAB_DETAIL","FQ1 2020","FQ1 2020","Currency=USD","Period=FQ","BEST_FPERIOD_OVERRIDE=FQ","FILING_STATUS=MR","SCALING_FORMAT=MLN","Sort=A","Dates=H","DateFormat=P","Fill=—","Direction=H","UseDPDF=Y")</f>
        <v>-10.303100000000001</v>
      </c>
      <c r="I16" s="13">
        <f>_xll.BDH("ITCI US Equity","INC_DEC_IN_OT_OP_AST_LIAB_DETAIL","FQ2 2020","FQ2 2020","Currency=USD","Period=FQ","BEST_FPERIOD_OVERRIDE=FQ","FILING_STATUS=MR","SCALING_FORMAT=MLN","Sort=A","Dates=H","DateFormat=P","Fill=—","Direction=H","UseDPDF=Y")</f>
        <v>17.074999999999999</v>
      </c>
      <c r="J16" s="13">
        <f>_xll.BDH("ITCI US Equity","INC_DEC_IN_OT_OP_AST_LIAB_DETAIL","FQ3 2020","FQ3 2020","Currency=USD","Period=FQ","BEST_FPERIOD_OVERRIDE=FQ","FILING_STATUS=MR","SCALING_FORMAT=MLN","Sort=A","Dates=H","DateFormat=P","Fill=—","Direction=H","UseDPDF=Y")</f>
        <v>-12.9681</v>
      </c>
      <c r="K16" s="13">
        <f>_xll.BDH("ITCI US Equity","INC_DEC_IN_OT_OP_AST_LIAB_DETAIL","FQ4 2020","FQ4 2020","Currency=USD","Period=FQ","BEST_FPERIOD_OVERRIDE=FQ","FILING_STATUS=MR","SCALING_FORMAT=MLN","Sort=A","Dates=H","DateFormat=P","Fill=—","Direction=H","UseDPDF=Y")</f>
        <v>-1.5274000000000001</v>
      </c>
      <c r="L16" s="13">
        <f>_xll.BDH("ITCI US Equity","INC_DEC_IN_OT_OP_AST_LIAB_DETAIL","FQ1 2021","FQ1 2021","Currency=USD","Period=FQ","BEST_FPERIOD_OVERRIDE=FQ","FILING_STATUS=MR","SCALING_FORMAT=MLN","Sort=A","Dates=H","DateFormat=P","Fill=—","Direction=H","UseDPDF=Y")</f>
        <v>-0.66100000000000003</v>
      </c>
      <c r="M16" s="13">
        <f>_xll.BDH("ITCI US Equity","INC_DEC_IN_OT_OP_AST_LIAB_DETAIL","FQ2 2021","FQ2 2021","Currency=USD","Period=FQ","BEST_FPERIOD_OVERRIDE=FQ","FILING_STATUS=MR","SCALING_FORMAT=MLN","Sort=A","Dates=H","DateFormat=P","Fill=—","Direction=H","UseDPDF=Y")</f>
        <v>-4.2161999999999997</v>
      </c>
      <c r="N16" s="13">
        <f>_xll.BDH("ITCI US Equity","INC_DEC_IN_OT_OP_AST_LIAB_DETAIL","FQ3 2021","FQ3 2021","Currency=USD","Period=FQ","BEST_FPERIOD_OVERRIDE=FQ","FILING_STATUS=MR","SCALING_FORMAT=MLN","Sort=A","Dates=H","DateFormat=P","Fill=—","Direction=H","UseDPDF=Y")</f>
        <v>-4.3715000000000002</v>
      </c>
      <c r="O16" s="13">
        <f>_xll.BDH("ITCI US Equity","INC_DEC_IN_OT_OP_AST_LIAB_DETAIL","FQ4 2021","FQ4 2021","Currency=USD","Period=FQ","BEST_FPERIOD_OVERRIDE=FQ","FILING_STATUS=MR","SCALING_FORMAT=MLN","Sort=A","Dates=H","DateFormat=P","Fill=—","Direction=H","UseDPDF=Y")</f>
        <v>10.1646</v>
      </c>
      <c r="P16" s="13">
        <f>_xll.BDH("ITCI US Equity","INC_DEC_IN_OT_OP_AST_LIAB_DETAIL","FQ1 2022","FQ1 2022","Currency=USD","Period=FQ","BEST_FPERIOD_OVERRIDE=FQ","FILING_STATUS=MR","SCALING_FORMAT=MLN","Sort=A","Dates=H","DateFormat=P","Fill=—","Direction=H","UseDPDF=Y")</f>
        <v>-7.0720000000000001</v>
      </c>
      <c r="Q16" s="13">
        <f>_xll.BDH("ITCI US Equity","INC_DEC_IN_OT_OP_AST_LIAB_DETAIL","FQ2 2022","FQ2 2022","Currency=USD","Period=FQ","BEST_FPERIOD_OVERRIDE=FQ","FILING_STATUS=MR","SCALING_FORMAT=MLN","Sort=A","Dates=H","DateFormat=P","Fill=—","Direction=H","UseDPDF=Y")</f>
        <v>3.15</v>
      </c>
      <c r="R16" s="13">
        <f>_xll.BDH("ITCI US Equity","INC_DEC_IN_OT_OP_AST_LIAB_DETAIL","FQ3 2022","FQ3 2022","Currency=USD","Period=FQ","BEST_FPERIOD_OVERRIDE=FQ","FILING_STATUS=MR","SCALING_FORMAT=MLN","Sort=A","Dates=H","DateFormat=P","Fill=—","Direction=H","UseDPDF=Y")</f>
        <v>8.1720000000000006</v>
      </c>
      <c r="S16" s="13">
        <f>_xll.BDH("ITCI US Equity","INC_DEC_IN_OT_OP_AST_LIAB_DETAIL","FQ4 2022","FQ4 2022","Currency=USD","Period=FQ","BEST_FPERIOD_OVERRIDE=FQ","FILING_STATUS=MR","SCALING_FORMAT=MLN","Sort=A","Dates=H","DateFormat=P","Fill=—","Direction=H","UseDPDF=Y")</f>
        <v>11.265000000000001</v>
      </c>
      <c r="T16" s="13">
        <f>_xll.BDH("ITCI US Equity","INC_DEC_IN_OT_OP_AST_LIAB_DETAIL","FQ1 2023","FQ1 2023","Currency=USD","Period=FQ","BEST_FPERIOD_OVERRIDE=FQ","FILING_STATUS=MR","SCALING_FORMAT=MLN","Sort=A","Dates=H","DateFormat=P","Fill=—","Direction=H","UseDPDF=Y")</f>
        <v>-11.215999999999999</v>
      </c>
      <c r="U16" s="13">
        <f>_xll.BDH("ITCI US Equity","INC_DEC_IN_OT_OP_AST_LIAB_DETAIL","FQ2 2023","FQ2 2023","Currency=USD","Period=FQ","BEST_FPERIOD_OVERRIDE=FQ","FILING_STATUS=MR","SCALING_FORMAT=MLN","Sort=A","Dates=H","DateFormat=P","Fill=—","Direction=H","UseDPDF=Y")</f>
        <v>10.798999999999999</v>
      </c>
      <c r="V16" s="13">
        <f>_xll.BDH("ITCI US Equity","INC_DEC_IN_OT_OP_AST_LIAB_DETAIL","FQ3 2023","FQ3 2023","Currency=USD","Period=FQ","BEST_FPERIOD_OVERRIDE=FQ","FILING_STATUS=MR","SCALING_FORMAT=MLN","Sort=A","Dates=H","DateFormat=P","Fill=—","Direction=H","UseDPDF=Y")</f>
        <v>4.2329999999999997</v>
      </c>
      <c r="W16" s="13">
        <f>_xll.BDH("ITCI US Equity","INC_DEC_IN_OT_OP_AST_LIAB_DETAIL","FQ4 2023","FQ4 2023","Currency=USD","Period=FQ","BEST_FPERIOD_OVERRIDE=FQ","FILING_STATUS=MR","SCALING_FORMAT=MLN","Sort=A","Dates=H","DateFormat=P","Fill=—","Direction=H","UseDPDF=Y")</f>
        <v>31.934000000000001</v>
      </c>
      <c r="X16" s="13">
        <f>_xll.BDH("ITCI US Equity","INC_DEC_IN_OT_OP_AST_LIAB_DETAIL","FQ1 2024","FQ1 2024","Currency=USD","Period=FQ","BEST_FPERIOD_OVERRIDE=FQ","FILING_STATUS=MR","SCALING_FORMAT=MLN","Sort=A","Dates=H","DateFormat=P","Fill=—","Direction=H","UseDPDF=Y")</f>
        <v>-12.851000000000001</v>
      </c>
      <c r="Y16" s="13">
        <f>_xll.BDH("ITCI US Equity","INC_DEC_IN_OT_OP_AST_LIAB_DETAIL","FQ2 2024","FQ2 2024","Currency=USD","Period=FQ","BEST_FPERIOD_OVERRIDE=FQ","FILING_STATUS=MR","SCALING_FORMAT=MLN","Sort=A","Dates=H","DateFormat=P","Fill=—","Direction=H","UseDPDF=Y")</f>
        <v>12.625</v>
      </c>
      <c r="Z16" s="13">
        <f>_xll.BDH("ITCI US Equity","INC_DEC_IN_OT_OP_AST_LIAB_DETAIL","FQ3 2024","FQ3 2024","Currency=USD","Period=FQ","BEST_FPERIOD_OVERRIDE=FQ","FILING_STATUS=MR","SCALING_FORMAT=MLN","Sort=A","Dates=H","DateFormat=P","Fill=—","Direction=H","UseDPDF=Y")</f>
        <v>-7.4379999999999997</v>
      </c>
      <c r="AA16" s="13">
        <f>_xll.BDH("ITCI US Equity","INC_DEC_IN_OT_OP_AST_LIAB_DETAIL","FQ4 2024","FQ4 2024","Currency=USD","Period=FQ","BEST_FPERIOD_OVERRIDE=FQ","FILING_STATUS=MR","SCALING_FORMAT=MLN","Sort=A","Dates=H","DateFormat=P","Fill=—","Direction=H","UseDPDF=Y")</f>
        <v>6.7889999999999997</v>
      </c>
    </row>
    <row r="17" spans="1:27" x14ac:dyDescent="0.25">
      <c r="A17" s="10" t="s">
        <v>954</v>
      </c>
      <c r="B17" s="10" t="s">
        <v>955</v>
      </c>
      <c r="C17" s="13">
        <f>_xll.BDH("ITCI US Equity","CF_NET_CASH_DISCONT_OPS_OPER","FQ4 2018","FQ4 2018","Currency=USD","Period=FQ","BEST_FPERIOD_OVERRIDE=FQ","FILING_STATUS=MR","SCALING_FORMAT=MLN","Sort=A","Dates=H","DateFormat=P","Fill=—","Direction=H","UseDPDF=Y")</f>
        <v>0</v>
      </c>
      <c r="D17" s="13">
        <f>_xll.BDH("ITCI US Equity","CF_NET_CASH_DISCONT_OPS_OPER","FQ1 2019","FQ1 2019","Currency=USD","Period=FQ","BEST_FPERIOD_OVERRIDE=FQ","FILING_STATUS=MR","SCALING_FORMAT=MLN","Sort=A","Dates=H","DateFormat=P","Fill=—","Direction=H","UseDPDF=Y")</f>
        <v>0</v>
      </c>
      <c r="E17" s="13">
        <f>_xll.BDH("ITCI US Equity","CF_NET_CASH_DISCONT_OPS_OPER","FQ2 2019","FQ2 2019","Currency=USD","Period=FQ","BEST_FPERIOD_OVERRIDE=FQ","FILING_STATUS=MR","SCALING_FORMAT=MLN","Sort=A","Dates=H","DateFormat=P","Fill=—","Direction=H","UseDPDF=Y")</f>
        <v>0</v>
      </c>
      <c r="F17" s="13">
        <f>_xll.BDH("ITCI US Equity","CF_NET_CASH_DISCONT_OPS_OPER","FQ3 2019","FQ3 2019","Currency=USD","Period=FQ","BEST_FPERIOD_OVERRIDE=FQ","FILING_STATUS=MR","SCALING_FORMAT=MLN","Sort=A","Dates=H","DateFormat=P","Fill=—","Direction=H","UseDPDF=Y")</f>
        <v>0</v>
      </c>
      <c r="G17" s="13">
        <f>_xll.BDH("ITCI US Equity","CF_NET_CASH_DISCONT_OPS_OPER","FQ4 2019","FQ4 2019","Currency=USD","Period=FQ","BEST_FPERIOD_OVERRIDE=FQ","FILING_STATUS=MR","SCALING_FORMAT=MLN","Sort=A","Dates=H","DateFormat=P","Fill=—","Direction=H","UseDPDF=Y")</f>
        <v>0</v>
      </c>
      <c r="H17" s="13">
        <f>_xll.BDH("ITCI US Equity","CF_NET_CASH_DISCONT_OPS_OPER","FQ1 2020","FQ1 2020","Currency=USD","Period=FQ","BEST_FPERIOD_OVERRIDE=FQ","FILING_STATUS=MR","SCALING_FORMAT=MLN","Sort=A","Dates=H","DateFormat=P","Fill=—","Direction=H","UseDPDF=Y")</f>
        <v>0</v>
      </c>
      <c r="I17" s="13">
        <f>_xll.BDH("ITCI US Equity","CF_NET_CASH_DISCONT_OPS_OPER","FQ2 2020","FQ2 2020","Currency=USD","Period=FQ","BEST_FPERIOD_OVERRIDE=FQ","FILING_STATUS=MR","SCALING_FORMAT=MLN","Sort=A","Dates=H","DateFormat=P","Fill=—","Direction=H","UseDPDF=Y")</f>
        <v>0</v>
      </c>
      <c r="J17" s="13">
        <f>_xll.BDH("ITCI US Equity","CF_NET_CASH_DISCONT_OPS_OPER","FQ3 2020","FQ3 2020","Currency=USD","Period=FQ","BEST_FPERIOD_OVERRIDE=FQ","FILING_STATUS=MR","SCALING_FORMAT=MLN","Sort=A","Dates=H","DateFormat=P","Fill=—","Direction=H","UseDPDF=Y")</f>
        <v>0</v>
      </c>
      <c r="K17" s="13">
        <f>_xll.BDH("ITCI US Equity","CF_NET_CASH_DISCONT_OPS_OPER","FQ4 2020","FQ4 2020","Currency=USD","Period=FQ","BEST_FPERIOD_OVERRIDE=FQ","FILING_STATUS=MR","SCALING_FORMAT=MLN","Sort=A","Dates=H","DateFormat=P","Fill=—","Direction=H","UseDPDF=Y")</f>
        <v>0</v>
      </c>
      <c r="L17" s="13">
        <f>_xll.BDH("ITCI US Equity","CF_NET_CASH_DISCONT_OPS_OPER","FQ1 2021","FQ1 2021","Currency=USD","Period=FQ","BEST_FPERIOD_OVERRIDE=FQ","FILING_STATUS=MR","SCALING_FORMAT=MLN","Sort=A","Dates=H","DateFormat=P","Fill=—","Direction=H","UseDPDF=Y")</f>
        <v>0</v>
      </c>
      <c r="M17" s="13">
        <f>_xll.BDH("ITCI US Equity","CF_NET_CASH_DISCONT_OPS_OPER","FQ2 2021","FQ2 2021","Currency=USD","Period=FQ","BEST_FPERIOD_OVERRIDE=FQ","FILING_STATUS=MR","SCALING_FORMAT=MLN","Sort=A","Dates=H","DateFormat=P","Fill=—","Direction=H","UseDPDF=Y")</f>
        <v>0</v>
      </c>
      <c r="N17" s="13">
        <f>_xll.BDH("ITCI US Equity","CF_NET_CASH_DISCONT_OPS_OPER","FQ3 2021","FQ3 2021","Currency=USD","Period=FQ","BEST_FPERIOD_OVERRIDE=FQ","FILING_STATUS=MR","SCALING_FORMAT=MLN","Sort=A","Dates=H","DateFormat=P","Fill=—","Direction=H","UseDPDF=Y")</f>
        <v>0</v>
      </c>
      <c r="O17" s="13">
        <f>_xll.BDH("ITCI US Equity","CF_NET_CASH_DISCONT_OPS_OPER","FQ4 2021","FQ4 2021","Currency=USD","Period=FQ","BEST_FPERIOD_OVERRIDE=FQ","FILING_STATUS=MR","SCALING_FORMAT=MLN","Sort=A","Dates=H","DateFormat=P","Fill=—","Direction=H","UseDPDF=Y")</f>
        <v>0</v>
      </c>
      <c r="P17" s="13">
        <f>_xll.BDH("ITCI US Equity","CF_NET_CASH_DISCONT_OPS_OPER","FQ1 2022","FQ1 2022","Currency=USD","Period=FQ","BEST_FPERIOD_OVERRIDE=FQ","FILING_STATUS=MR","SCALING_FORMAT=MLN","Sort=A","Dates=H","DateFormat=P","Fill=—","Direction=H","UseDPDF=Y")</f>
        <v>0</v>
      </c>
      <c r="Q17" s="13">
        <f>_xll.BDH("ITCI US Equity","CF_NET_CASH_DISCONT_OPS_OPER","FQ2 2022","FQ2 2022","Currency=USD","Period=FQ","BEST_FPERIOD_OVERRIDE=FQ","FILING_STATUS=MR","SCALING_FORMAT=MLN","Sort=A","Dates=H","DateFormat=P","Fill=—","Direction=H","UseDPDF=Y")</f>
        <v>0</v>
      </c>
      <c r="R17" s="13">
        <f>_xll.BDH("ITCI US Equity","CF_NET_CASH_DISCONT_OPS_OPER","FQ3 2022","FQ3 2022","Currency=USD","Period=FQ","BEST_FPERIOD_OVERRIDE=FQ","FILING_STATUS=MR","SCALING_FORMAT=MLN","Sort=A","Dates=H","DateFormat=P","Fill=—","Direction=H","UseDPDF=Y")</f>
        <v>0</v>
      </c>
      <c r="S17" s="13">
        <f>_xll.BDH("ITCI US Equity","CF_NET_CASH_DISCONT_OPS_OPER","FQ4 2022","FQ4 2022","Currency=USD","Period=FQ","BEST_FPERIOD_OVERRIDE=FQ","FILING_STATUS=MR","SCALING_FORMAT=MLN","Sort=A","Dates=H","DateFormat=P","Fill=—","Direction=H","UseDPDF=Y")</f>
        <v>0</v>
      </c>
      <c r="T17" s="13">
        <f>_xll.BDH("ITCI US Equity","CF_NET_CASH_DISCONT_OPS_OPER","FQ1 2023","FQ1 2023","Currency=USD","Period=FQ","BEST_FPERIOD_OVERRIDE=FQ","FILING_STATUS=MR","SCALING_FORMAT=MLN","Sort=A","Dates=H","DateFormat=P","Fill=—","Direction=H","UseDPDF=Y")</f>
        <v>0</v>
      </c>
      <c r="U17" s="13">
        <f>_xll.BDH("ITCI US Equity","CF_NET_CASH_DISCONT_OPS_OPER","FQ2 2023","FQ2 2023","Currency=USD","Period=FQ","BEST_FPERIOD_OVERRIDE=FQ","FILING_STATUS=MR","SCALING_FORMAT=MLN","Sort=A","Dates=H","DateFormat=P","Fill=—","Direction=H","UseDPDF=Y")</f>
        <v>0</v>
      </c>
      <c r="V17" s="13">
        <f>_xll.BDH("ITCI US Equity","CF_NET_CASH_DISCONT_OPS_OPER","FQ3 2023","FQ3 2023","Currency=USD","Period=FQ","BEST_FPERIOD_OVERRIDE=FQ","FILING_STATUS=MR","SCALING_FORMAT=MLN","Sort=A","Dates=H","DateFormat=P","Fill=—","Direction=H","UseDPDF=Y")</f>
        <v>0</v>
      </c>
      <c r="W17" s="13">
        <f>_xll.BDH("ITCI US Equity","CF_NET_CASH_DISCONT_OPS_OPER","FQ4 2023","FQ4 2023","Currency=USD","Period=FQ","BEST_FPERIOD_OVERRIDE=FQ","FILING_STATUS=MR","SCALING_FORMAT=MLN","Sort=A","Dates=H","DateFormat=P","Fill=—","Direction=H","UseDPDF=Y")</f>
        <v>0</v>
      </c>
      <c r="X17" s="13">
        <f>_xll.BDH("ITCI US Equity","CF_NET_CASH_DISCONT_OPS_OPER","FQ1 2024","FQ1 2024","Currency=USD","Period=FQ","BEST_FPERIOD_OVERRIDE=FQ","FILING_STATUS=MR","SCALING_FORMAT=MLN","Sort=A","Dates=H","DateFormat=P","Fill=—","Direction=H","UseDPDF=Y")</f>
        <v>0</v>
      </c>
      <c r="Y17" s="13">
        <f>_xll.BDH("ITCI US Equity","CF_NET_CASH_DISCONT_OPS_OPER","FQ2 2024","FQ2 2024","Currency=USD","Period=FQ","BEST_FPERIOD_OVERRIDE=FQ","FILING_STATUS=MR","SCALING_FORMAT=MLN","Sort=A","Dates=H","DateFormat=P","Fill=—","Direction=H","UseDPDF=Y")</f>
        <v>0</v>
      </c>
      <c r="Z17" s="13">
        <f>_xll.BDH("ITCI US Equity","CF_NET_CASH_DISCONT_OPS_OPER","FQ3 2024","FQ3 2024","Currency=USD","Period=FQ","BEST_FPERIOD_OVERRIDE=FQ","FILING_STATUS=MR","SCALING_FORMAT=MLN","Sort=A","Dates=H","DateFormat=P","Fill=—","Direction=H","UseDPDF=Y")</f>
        <v>0</v>
      </c>
      <c r="AA17" s="13">
        <f>_xll.BDH("ITCI US Equity","CF_NET_CASH_DISCONT_OPS_OPER","FQ4 2024","FQ4 2024","Currency=USD","Period=FQ","BEST_FPERIOD_OVERRIDE=FQ","FILING_STATUS=MR","SCALING_FORMAT=MLN","Sort=A","Dates=H","DateFormat=P","Fill=—","Direction=H","UseDPDF=Y")</f>
        <v>0</v>
      </c>
    </row>
    <row r="18" spans="1:27" x14ac:dyDescent="0.25">
      <c r="A18" s="6" t="s">
        <v>934</v>
      </c>
      <c r="B18" s="6" t="s">
        <v>85</v>
      </c>
      <c r="C18" s="19">
        <f>_xll.BDH("ITCI US Equity","CF_CASH_FROM_OPER","FQ4 2018","FQ4 2018","Currency=USD","Period=FQ","BEST_FPERIOD_OVERRIDE=FQ","FILING_STATUS=MR","SCALING_FORMAT=MLN","Sort=A","Dates=H","DateFormat=P","Fill=—","Direction=H","UseDPDF=Y")</f>
        <v>-29.1615</v>
      </c>
      <c r="D18" s="19">
        <f>_xll.BDH("ITCI US Equity","CF_CASH_FROM_OPER","FQ1 2019","FQ1 2019","Currency=USD","Period=FQ","BEST_FPERIOD_OVERRIDE=FQ","FILING_STATUS=MR","SCALING_FORMAT=MLN","Sort=A","Dates=H","DateFormat=P","Fill=—","Direction=H","UseDPDF=Y")</f>
        <v>-35.629300000000001</v>
      </c>
      <c r="E18" s="19">
        <f>_xll.BDH("ITCI US Equity","CF_CASH_FROM_OPER","FQ2 2019","FQ2 2019","Currency=USD","Period=FQ","BEST_FPERIOD_OVERRIDE=FQ","FILING_STATUS=MR","SCALING_FORMAT=MLN","Sort=A","Dates=H","DateFormat=P","Fill=—","Direction=H","UseDPDF=Y")</f>
        <v>-27.308700000000002</v>
      </c>
      <c r="F18" s="19">
        <f>_xll.BDH("ITCI US Equity","CF_CASH_FROM_OPER","FQ3 2019","FQ3 2019","Currency=USD","Period=FQ","BEST_FPERIOD_OVERRIDE=FQ","FILING_STATUS=MR","SCALING_FORMAT=MLN","Sort=A","Dates=H","DateFormat=P","Fill=—","Direction=H","UseDPDF=Y")</f>
        <v>-29.9893</v>
      </c>
      <c r="G18" s="19">
        <f>_xll.BDH("ITCI US Equity","CF_CASH_FROM_OPER","FQ4 2019","FQ4 2019","Currency=USD","Period=FQ","BEST_FPERIOD_OVERRIDE=FQ","FILING_STATUS=MR","SCALING_FORMAT=MLN","Sort=A","Dates=H","DateFormat=P","Fill=—","Direction=H","UseDPDF=Y")</f>
        <v>-35.055900000000001</v>
      </c>
      <c r="H18" s="19">
        <f>_xll.BDH("ITCI US Equity","CF_CASH_FROM_OPER","FQ1 2020","FQ1 2020","Currency=USD","Period=FQ","BEST_FPERIOD_OVERRIDE=FQ","FILING_STATUS=MR","SCALING_FORMAT=MLN","Sort=A","Dates=H","DateFormat=P","Fill=—","Direction=H","UseDPDF=Y")</f>
        <v>-51.226199999999999</v>
      </c>
      <c r="I18" s="19">
        <f>_xll.BDH("ITCI US Equity","CF_CASH_FROM_OPER","FQ2 2020","FQ2 2020","Currency=USD","Period=FQ","BEST_FPERIOD_OVERRIDE=FQ","FILING_STATUS=MR","SCALING_FORMAT=MLN","Sort=A","Dates=H","DateFormat=P","Fill=—","Direction=H","UseDPDF=Y")</f>
        <v>-47.024799999999999</v>
      </c>
      <c r="J18" s="19">
        <f>_xll.BDH("ITCI US Equity","CF_CASH_FROM_OPER","FQ3 2020","FQ3 2020","Currency=USD","Period=FQ","BEST_FPERIOD_OVERRIDE=FQ","FILING_STATUS=MR","SCALING_FORMAT=MLN","Sort=A","Dates=H","DateFormat=P","Fill=—","Direction=H","UseDPDF=Y")</f>
        <v>-63.579099999999997</v>
      </c>
      <c r="K18" s="19">
        <f>_xll.BDH("ITCI US Equity","CF_CASH_FROM_OPER","FQ4 2020","FQ4 2020","Currency=USD","Period=FQ","BEST_FPERIOD_OVERRIDE=FQ","FILING_STATUS=MR","SCALING_FORMAT=MLN","Sort=A","Dates=H","DateFormat=P","Fill=—","Direction=H","UseDPDF=Y")</f>
        <v>-68.242699999999999</v>
      </c>
      <c r="L18" s="19">
        <f>_xll.BDH("ITCI US Equity","CF_CASH_FROM_OPER","FQ1 2021","FQ1 2021","Currency=USD","Period=FQ","BEST_FPERIOD_OVERRIDE=FQ","FILING_STATUS=MR","SCALING_FORMAT=MLN","Sort=A","Dates=H","DateFormat=P","Fill=—","Direction=H","UseDPDF=Y")</f>
        <v>-47.767000000000003</v>
      </c>
      <c r="M18" s="19">
        <f>_xll.BDH("ITCI US Equity","CF_CASH_FROM_OPER","FQ2 2021","FQ2 2021","Currency=USD","Period=FQ","BEST_FPERIOD_OVERRIDE=FQ","FILING_STATUS=MR","SCALING_FORMAT=MLN","Sort=A","Dates=H","DateFormat=P","Fill=—","Direction=H","UseDPDF=Y")</f>
        <v>-59.325200000000002</v>
      </c>
      <c r="N18" s="19">
        <f>_xll.BDH("ITCI US Equity","CF_CASH_FROM_OPER","FQ3 2021","FQ3 2021","Currency=USD","Period=FQ","BEST_FPERIOD_OVERRIDE=FQ","FILING_STATUS=MR","SCALING_FORMAT=MLN","Sort=A","Dates=H","DateFormat=P","Fill=—","Direction=H","UseDPDF=Y")</f>
        <v>-79.266800000000003</v>
      </c>
      <c r="O18" s="19">
        <f>_xll.BDH("ITCI US Equity","CF_CASH_FROM_OPER","FQ4 2021","FQ4 2021","Currency=USD","Period=FQ","BEST_FPERIOD_OVERRIDE=FQ","FILING_STATUS=MR","SCALING_FORMAT=MLN","Sort=A","Dates=H","DateFormat=P","Fill=—","Direction=H","UseDPDF=Y")</f>
        <v>-73.1845</v>
      </c>
      <c r="P18" s="19">
        <f>_xll.BDH("ITCI US Equity","CF_CASH_FROM_OPER","FQ1 2022","FQ1 2022","Currency=USD","Period=FQ","BEST_FPERIOD_OVERRIDE=FQ","FILING_STATUS=MR","SCALING_FORMAT=MLN","Sort=A","Dates=H","DateFormat=P","Fill=—","Direction=H","UseDPDF=Y")</f>
        <v>-82.849000000000004</v>
      </c>
      <c r="Q18" s="19">
        <f>_xll.BDH("ITCI US Equity","CF_CASH_FROM_OPER","FQ2 2022","FQ2 2022","Currency=USD","Period=FQ","BEST_FPERIOD_OVERRIDE=FQ","FILING_STATUS=MR","SCALING_FORMAT=MLN","Sort=A","Dates=H","DateFormat=P","Fill=—","Direction=H","UseDPDF=Y")</f>
        <v>-94.793000000000006</v>
      </c>
      <c r="R18" s="19">
        <f>_xll.BDH("ITCI US Equity","CF_CASH_FROM_OPER","FQ3 2022","FQ3 2022","Currency=USD","Period=FQ","BEST_FPERIOD_OVERRIDE=FQ","FILING_STATUS=MR","SCALING_FORMAT=MLN","Sort=A","Dates=H","DateFormat=P","Fill=—","Direction=H","UseDPDF=Y")</f>
        <v>-53.350999999999999</v>
      </c>
      <c r="S18" s="19">
        <f>_xll.BDH("ITCI US Equity","CF_CASH_FROM_OPER","FQ4 2022","FQ4 2022","Currency=USD","Period=FQ","BEST_FPERIOD_OVERRIDE=FQ","FILING_STATUS=MR","SCALING_FORMAT=MLN","Sort=A","Dates=H","DateFormat=P","Fill=—","Direction=H","UseDPDF=Y")</f>
        <v>-39.192999999999998</v>
      </c>
      <c r="T18" s="19">
        <f>_xll.BDH("ITCI US Equity","CF_CASH_FROM_OPER","FQ1 2023","FQ1 2023","Currency=USD","Period=FQ","BEST_FPERIOD_OVERRIDE=FQ","FILING_STATUS=MR","SCALING_FORMAT=MLN","Sort=A","Dates=H","DateFormat=P","Fill=—","Direction=H","UseDPDF=Y")</f>
        <v>-60.066000000000003</v>
      </c>
      <c r="U18" s="19">
        <f>_xll.BDH("ITCI US Equity","CF_CASH_FROM_OPER","FQ2 2023","FQ2 2023","Currency=USD","Period=FQ","BEST_FPERIOD_OVERRIDE=FQ","FILING_STATUS=MR","SCALING_FORMAT=MLN","Sort=A","Dates=H","DateFormat=P","Fill=—","Direction=H","UseDPDF=Y")</f>
        <v>-36.802</v>
      </c>
      <c r="V18" s="19">
        <f>_xll.BDH("ITCI US Equity","CF_CASH_FROM_OPER","FQ3 2023","FQ3 2023","Currency=USD","Period=FQ","BEST_FPERIOD_OVERRIDE=FQ","FILING_STATUS=MR","SCALING_FORMAT=MLN","Sort=A","Dates=H","DateFormat=P","Fill=—","Direction=H","UseDPDF=Y")</f>
        <v>-25.27</v>
      </c>
      <c r="W18" s="19">
        <f>_xll.BDH("ITCI US Equity","CF_CASH_FROM_OPER","FQ4 2023","FQ4 2023","Currency=USD","Period=FQ","BEST_FPERIOD_OVERRIDE=FQ","FILING_STATUS=MR","SCALING_FORMAT=MLN","Sort=A","Dates=H","DateFormat=P","Fill=—","Direction=H","UseDPDF=Y")</f>
        <v>-2.0609999999999999</v>
      </c>
      <c r="X18" s="19">
        <f>_xll.BDH("ITCI US Equity","CF_CASH_FROM_OPER","FQ1 2024","FQ1 2024","Currency=USD","Period=FQ","BEST_FPERIOD_OVERRIDE=FQ","FILING_STATUS=MR","SCALING_FORMAT=MLN","Sort=A","Dates=H","DateFormat=P","Fill=—","Direction=H","UseDPDF=Y")</f>
        <v>-34.116</v>
      </c>
      <c r="Y18" s="19">
        <f>_xll.BDH("ITCI US Equity","CF_CASH_FROM_OPER","FQ2 2024","FQ2 2024","Currency=USD","Period=FQ","BEST_FPERIOD_OVERRIDE=FQ","FILING_STATUS=MR","SCALING_FORMAT=MLN","Sort=A","Dates=H","DateFormat=P","Fill=—","Direction=H","UseDPDF=Y")</f>
        <v>0.54200000000000004</v>
      </c>
      <c r="Z18" s="19">
        <f>_xll.BDH("ITCI US Equity","CF_CASH_FROM_OPER","FQ3 2024","FQ3 2024","Currency=USD","Period=FQ","BEST_FPERIOD_OVERRIDE=FQ","FILING_STATUS=MR","SCALING_FORMAT=MLN","Sort=A","Dates=H","DateFormat=P","Fill=—","Direction=H","UseDPDF=Y")</f>
        <v>-26.524999999999999</v>
      </c>
      <c r="AA18" s="19">
        <f>_xll.BDH("ITCI US Equity","CF_CASH_FROM_OPER","FQ4 2024","FQ4 2024","Currency=USD","Period=FQ","BEST_FPERIOD_OVERRIDE=FQ","FILING_STATUS=MR","SCALING_FORMAT=MLN","Sort=A","Dates=H","DateFormat=P","Fill=—","Direction=H","UseDPDF=Y")</f>
        <v>-13.077999999999999</v>
      </c>
    </row>
    <row r="19" spans="1:27" x14ac:dyDescent="0.25">
      <c r="A19" s="6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x14ac:dyDescent="0.25">
      <c r="A20" s="6" t="s">
        <v>956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x14ac:dyDescent="0.25">
      <c r="A21" s="10" t="s">
        <v>957</v>
      </c>
      <c r="B21" s="10" t="s">
        <v>958</v>
      </c>
      <c r="C21" s="13">
        <f>_xll.BDH("ITCI US Equity","FIXED_INTANG_ASST_CHANGE","FQ4 2018","FQ4 2018","Currency=USD","Period=FQ","BEST_FPERIOD_OVERRIDE=FQ","FILING_STATUS=MR","SCALING_FORMAT=MLN","Sort=A","Dates=H","DateFormat=P","Fill=—","Direction=H","UseDPDF=Y")</f>
        <v>-5.8799999999999998E-2</v>
      </c>
      <c r="D21" s="13">
        <f>_xll.BDH("ITCI US Equity","FIXED_INTANG_ASST_CHANGE","FQ1 2019","FQ1 2019","Currency=USD","Period=FQ","BEST_FPERIOD_OVERRIDE=FQ","FILING_STATUS=MR","SCALING_FORMAT=MLN","Sort=A","Dates=H","DateFormat=P","Fill=—","Direction=H","UseDPDF=Y")</f>
        <v>-6.7199999999999996E-2</v>
      </c>
      <c r="E21" s="13">
        <f>_xll.BDH("ITCI US Equity","FIXED_INTANG_ASST_CHANGE","FQ2 2019","FQ2 2019","Currency=USD","Period=FQ","BEST_FPERIOD_OVERRIDE=FQ","FILING_STATUS=MR","SCALING_FORMAT=MLN","Sort=A","Dates=H","DateFormat=P","Fill=—","Direction=H","UseDPDF=Y")</f>
        <v>-1.0624</v>
      </c>
      <c r="F21" s="13">
        <f>_xll.BDH("ITCI US Equity","FIXED_INTANG_ASST_CHANGE","FQ3 2019","FQ3 2019","Currency=USD","Period=FQ","BEST_FPERIOD_OVERRIDE=FQ","FILING_STATUS=MR","SCALING_FORMAT=MLN","Sort=A","Dates=H","DateFormat=P","Fill=—","Direction=H","UseDPDF=Y")</f>
        <v>-0.22109999999999999</v>
      </c>
      <c r="G21" s="13">
        <f>_xll.BDH("ITCI US Equity","FIXED_INTANG_ASST_CHANGE","FQ4 2019","FQ4 2019","Currency=USD","Period=FQ","BEST_FPERIOD_OVERRIDE=FQ","FILING_STATUS=MR","SCALING_FORMAT=MLN","Sort=A","Dates=H","DateFormat=P","Fill=—","Direction=H","UseDPDF=Y")</f>
        <v>0.65029999999999999</v>
      </c>
      <c r="H21" s="13">
        <f>_xll.BDH("ITCI US Equity","FIXED_INTANG_ASST_CHANGE","FQ1 2020","FQ1 2020","Currency=USD","Period=FQ","BEST_FPERIOD_OVERRIDE=FQ","FILING_STATUS=MR","SCALING_FORMAT=MLN","Sort=A","Dates=H","DateFormat=P","Fill=—","Direction=H","UseDPDF=Y")</f>
        <v>-2.1999999999999999E-2</v>
      </c>
      <c r="I21" s="13">
        <f>_xll.BDH("ITCI US Equity","FIXED_INTANG_ASST_CHANGE","FQ2 2020","FQ2 2020","Currency=USD","Period=FQ","BEST_FPERIOD_OVERRIDE=FQ","FILING_STATUS=MR","SCALING_FORMAT=MLN","Sort=A","Dates=H","DateFormat=P","Fill=—","Direction=H","UseDPDF=Y")</f>
        <v>0</v>
      </c>
      <c r="J21" s="13">
        <f>_xll.BDH("ITCI US Equity","FIXED_INTANG_ASST_CHANGE","FQ3 2020","FQ3 2020","Currency=USD","Period=FQ","BEST_FPERIOD_OVERRIDE=FQ","FILING_STATUS=MR","SCALING_FORMAT=MLN","Sort=A","Dates=H","DateFormat=P","Fill=—","Direction=H","UseDPDF=Y")</f>
        <v>-0.1699</v>
      </c>
      <c r="K21" s="13">
        <f>_xll.BDH("ITCI US Equity","FIXED_INTANG_ASST_CHANGE","FQ4 2020","FQ4 2020","Currency=USD","Period=FQ","BEST_FPERIOD_OVERRIDE=FQ","FILING_STATUS=MR","SCALING_FORMAT=MLN","Sort=A","Dates=H","DateFormat=P","Fill=—","Direction=H","UseDPDF=Y")</f>
        <v>-7.4800000000000005E-2</v>
      </c>
      <c r="L21" s="13">
        <f>_xll.BDH("ITCI US Equity","FIXED_INTANG_ASST_CHANGE","FQ1 2021","FQ1 2021","Currency=USD","Period=FQ","BEST_FPERIOD_OVERRIDE=FQ","FILING_STATUS=MR","SCALING_FORMAT=MLN","Sort=A","Dates=H","DateFormat=P","Fill=—","Direction=H","UseDPDF=Y")</f>
        <v>0</v>
      </c>
      <c r="M21" s="13">
        <f>_xll.BDH("ITCI US Equity","FIXED_INTANG_ASST_CHANGE","FQ2 2021","FQ2 2021","Currency=USD","Period=FQ","BEST_FPERIOD_OVERRIDE=FQ","FILING_STATUS=MR","SCALING_FORMAT=MLN","Sort=A","Dates=H","DateFormat=P","Fill=—","Direction=H","UseDPDF=Y")</f>
        <v>-1.52E-2</v>
      </c>
      <c r="N21" s="13">
        <f>_xll.BDH("ITCI US Equity","FIXED_INTANG_ASST_CHANGE","FQ3 2021","FQ3 2021","Currency=USD","Period=FQ","BEST_FPERIOD_OVERRIDE=FQ","FILING_STATUS=MR","SCALING_FORMAT=MLN","Sort=A","Dates=H","DateFormat=P","Fill=—","Direction=H","UseDPDF=Y")</f>
        <v>-0.30930000000000002</v>
      </c>
      <c r="O21" s="13">
        <f>_xll.BDH("ITCI US Equity","FIXED_INTANG_ASST_CHANGE","FQ4 2021","FQ4 2021","Currency=USD","Period=FQ","BEST_FPERIOD_OVERRIDE=FQ","FILING_STATUS=MR","SCALING_FORMAT=MLN","Sort=A","Dates=H","DateFormat=P","Fill=—","Direction=H","UseDPDF=Y")</f>
        <v>-1.1999999999999999E-3</v>
      </c>
      <c r="P21" s="13">
        <f>_xll.BDH("ITCI US Equity","FIXED_INTANG_ASST_CHANGE","FQ1 2022","FQ1 2022","Currency=USD","Period=FQ","BEST_FPERIOD_OVERRIDE=FQ","FILING_STATUS=MR","SCALING_FORMAT=MLN","Sort=A","Dates=H","DateFormat=P","Fill=—","Direction=H","UseDPDF=Y")</f>
        <v>-0.56599999999999995</v>
      </c>
      <c r="Q21" s="13">
        <f>_xll.BDH("ITCI US Equity","FIXED_INTANG_ASST_CHANGE","FQ2 2022","FQ2 2022","Currency=USD","Period=FQ","BEST_FPERIOD_OVERRIDE=FQ","FILING_STATUS=MR","SCALING_FORMAT=MLN","Sort=A","Dates=H","DateFormat=P","Fill=—","Direction=H","UseDPDF=Y")</f>
        <v>-0.123</v>
      </c>
      <c r="R21" s="13">
        <f>_xll.BDH("ITCI US Equity","FIXED_INTANG_ASST_CHANGE","FQ3 2022","FQ3 2022","Currency=USD","Period=FQ","BEST_FPERIOD_OVERRIDE=FQ","FILING_STATUS=MR","SCALING_FORMAT=MLN","Sort=A","Dates=H","DateFormat=P","Fill=—","Direction=H","UseDPDF=Y")</f>
        <v>-0.11700000000000001</v>
      </c>
      <c r="S21" s="13">
        <f>_xll.BDH("ITCI US Equity","FIXED_INTANG_ASST_CHANGE","FQ4 2022","FQ4 2022","Currency=USD","Period=FQ","BEST_FPERIOD_OVERRIDE=FQ","FILING_STATUS=MR","SCALING_FORMAT=MLN","Sort=A","Dates=H","DateFormat=P","Fill=—","Direction=H","UseDPDF=Y")</f>
        <v>2.8000000000000001E-2</v>
      </c>
      <c r="T21" s="13">
        <f>_xll.BDH("ITCI US Equity","FIXED_INTANG_ASST_CHANGE","FQ1 2023","FQ1 2023","Currency=USD","Period=FQ","BEST_FPERIOD_OVERRIDE=FQ","FILING_STATUS=MR","SCALING_FORMAT=MLN","Sort=A","Dates=H","DateFormat=P","Fill=—","Direction=H","UseDPDF=Y")</f>
        <v>0</v>
      </c>
      <c r="U21" s="13">
        <f>_xll.BDH("ITCI US Equity","FIXED_INTANG_ASST_CHANGE","FQ2 2023","FQ2 2023","Currency=USD","Period=FQ","BEST_FPERIOD_OVERRIDE=FQ","FILING_STATUS=MR","SCALING_FORMAT=MLN","Sort=A","Dates=H","DateFormat=P","Fill=—","Direction=H","UseDPDF=Y")</f>
        <v>0</v>
      </c>
      <c r="V21" s="13">
        <f>_xll.BDH("ITCI US Equity","FIXED_INTANG_ASST_CHANGE","FQ3 2023","FQ3 2023","Currency=USD","Period=FQ","BEST_FPERIOD_OVERRIDE=FQ","FILING_STATUS=MR","SCALING_FORMAT=MLN","Sort=A","Dates=H","DateFormat=P","Fill=—","Direction=H","UseDPDF=Y")</f>
        <v>-0.26800000000000002</v>
      </c>
      <c r="W21" s="13">
        <f>_xll.BDH("ITCI US Equity","FIXED_INTANG_ASST_CHANGE","FQ4 2023","FQ4 2023","Currency=USD","Period=FQ","BEST_FPERIOD_OVERRIDE=FQ","FILING_STATUS=MR","SCALING_FORMAT=MLN","Sort=A","Dates=H","DateFormat=P","Fill=—","Direction=H","UseDPDF=Y")</f>
        <v>-1E-3</v>
      </c>
      <c r="X21" s="13">
        <f>_xll.BDH("ITCI US Equity","FIXED_INTANG_ASST_CHANGE","FQ1 2024","FQ1 2024","Currency=USD","Period=FQ","BEST_FPERIOD_OVERRIDE=FQ","FILING_STATUS=MR","SCALING_FORMAT=MLN","Sort=A","Dates=H","DateFormat=P","Fill=—","Direction=H","UseDPDF=Y")</f>
        <v>0</v>
      </c>
      <c r="Y21" s="13">
        <f>_xll.BDH("ITCI US Equity","FIXED_INTANG_ASST_CHANGE","FQ2 2024","FQ2 2024","Currency=USD","Period=FQ","BEST_FPERIOD_OVERRIDE=FQ","FILING_STATUS=MR","SCALING_FORMAT=MLN","Sort=A","Dates=H","DateFormat=P","Fill=—","Direction=H","UseDPDF=Y")</f>
        <v>-5.2999999999999999E-2</v>
      </c>
      <c r="Z21" s="13">
        <f>_xll.BDH("ITCI US Equity","FIXED_INTANG_ASST_CHANGE","FQ3 2024","FQ3 2024","Currency=USD","Period=FQ","BEST_FPERIOD_OVERRIDE=FQ","FILING_STATUS=MR","SCALING_FORMAT=MLN","Sort=A","Dates=H","DateFormat=P","Fill=—","Direction=H","UseDPDF=Y")</f>
        <v>-0.69599999999999995</v>
      </c>
      <c r="AA21" s="13">
        <f>_xll.BDH("ITCI US Equity","FIXED_INTANG_ASST_CHANGE","FQ4 2024","FQ4 2024","Currency=USD","Period=FQ","BEST_FPERIOD_OVERRIDE=FQ","FILING_STATUS=MR","SCALING_FORMAT=MLN","Sort=A","Dates=H","DateFormat=P","Fill=—","Direction=H","UseDPDF=Y")</f>
        <v>0.42699999999999999</v>
      </c>
    </row>
    <row r="22" spans="1:27" x14ac:dyDescent="0.25">
      <c r="A22" s="10" t="s">
        <v>959</v>
      </c>
      <c r="B22" s="10" t="s">
        <v>960</v>
      </c>
      <c r="C22" s="13">
        <f>_xll.BDH("ITCI US Equity","DISPOSAL_OF_FIXED_INTANG","FQ4 2018","FQ4 2018","Currency=USD","Period=FQ","BEST_FPERIOD_OVERRIDE=FQ","FILING_STATUS=MR","SCALING_FORMAT=MLN","Sort=A","Dates=H","DateFormat=P","Fill=—","Direction=H","UseDPDF=Y")</f>
        <v>0</v>
      </c>
      <c r="D22" s="13">
        <f>_xll.BDH("ITCI US Equity","DISPOSAL_OF_FIXED_INTANG","FQ1 2019","FQ1 2019","Currency=USD","Period=FQ","BEST_FPERIOD_OVERRIDE=FQ","FILING_STATUS=MR","SCALING_FORMAT=MLN","Sort=A","Dates=H","DateFormat=P","Fill=—","Direction=H","UseDPDF=Y")</f>
        <v>0</v>
      </c>
      <c r="E22" s="13">
        <f>_xll.BDH("ITCI US Equity","DISPOSAL_OF_FIXED_INTANG","FQ2 2019","FQ2 2019","Currency=USD","Period=FQ","BEST_FPERIOD_OVERRIDE=FQ","FILING_STATUS=MR","SCALING_FORMAT=MLN","Sort=A","Dates=H","DateFormat=P","Fill=—","Direction=H","UseDPDF=Y")</f>
        <v>0</v>
      </c>
      <c r="F22" s="13">
        <f>_xll.BDH("ITCI US Equity","DISPOSAL_OF_FIXED_INTANG","FQ3 2019","FQ3 2019","Currency=USD","Period=FQ","BEST_FPERIOD_OVERRIDE=FQ","FILING_STATUS=MR","SCALING_FORMAT=MLN","Sort=A","Dates=H","DateFormat=P","Fill=—","Direction=H","UseDPDF=Y")</f>
        <v>0</v>
      </c>
      <c r="G22" s="13">
        <f>_xll.BDH("ITCI US Equity","DISPOSAL_OF_FIXED_INTANG","FQ4 2019","FQ4 2019","Currency=USD","Period=FQ","BEST_FPERIOD_OVERRIDE=FQ","FILING_STATUS=MR","SCALING_FORMAT=MLN","Sort=A","Dates=H","DateFormat=P","Fill=—","Direction=H","UseDPDF=Y")</f>
        <v>0.65029999999999999</v>
      </c>
      <c r="H22" s="13">
        <f>_xll.BDH("ITCI US Equity","DISPOSAL_OF_FIXED_INTANG","FQ1 2020","FQ1 2020","Currency=USD","Period=FQ","BEST_FPERIOD_OVERRIDE=FQ","FILING_STATUS=MR","SCALING_FORMAT=MLN","Sort=A","Dates=H","DateFormat=P","Fill=—","Direction=H","UseDPDF=Y")</f>
        <v>0</v>
      </c>
      <c r="I22" s="13">
        <f>_xll.BDH("ITCI US Equity","DISPOSAL_OF_FIXED_INTANG","FQ2 2020","FQ2 2020","Currency=USD","Period=FQ","BEST_FPERIOD_OVERRIDE=FQ","FILING_STATUS=MR","SCALING_FORMAT=MLN","Sort=A","Dates=H","DateFormat=P","Fill=—","Direction=H","UseDPDF=Y")</f>
        <v>0</v>
      </c>
      <c r="J22" s="13">
        <f>_xll.BDH("ITCI US Equity","DISPOSAL_OF_FIXED_INTANG","FQ3 2020","FQ3 2020","Currency=USD","Period=FQ","BEST_FPERIOD_OVERRIDE=FQ","FILING_STATUS=MR","SCALING_FORMAT=MLN","Sort=A","Dates=H","DateFormat=P","Fill=—","Direction=H","UseDPDF=Y")</f>
        <v>0</v>
      </c>
      <c r="K22" s="13">
        <f>_xll.BDH("ITCI US Equity","DISPOSAL_OF_FIXED_INTANG","FQ4 2020","FQ4 2020","Currency=USD","Period=FQ","BEST_FPERIOD_OVERRIDE=FQ","FILING_STATUS=MR","SCALING_FORMAT=MLN","Sort=A","Dates=H","DateFormat=P","Fill=—","Direction=H","UseDPDF=Y")</f>
        <v>0</v>
      </c>
      <c r="L22" s="13">
        <f>_xll.BDH("ITCI US Equity","DISPOSAL_OF_FIXED_INTANG","FQ1 2021","FQ1 2021","Currency=USD","Period=FQ","BEST_FPERIOD_OVERRIDE=FQ","FILING_STATUS=MR","SCALING_FORMAT=MLN","Sort=A","Dates=H","DateFormat=P","Fill=—","Direction=H","UseDPDF=Y")</f>
        <v>0</v>
      </c>
      <c r="M22" s="13">
        <f>_xll.BDH("ITCI US Equity","DISPOSAL_OF_FIXED_INTANG","FQ2 2021","FQ2 2021","Currency=USD","Period=FQ","BEST_FPERIOD_OVERRIDE=FQ","FILING_STATUS=MR","SCALING_FORMAT=MLN","Sort=A","Dates=H","DateFormat=P","Fill=—","Direction=H","UseDPDF=Y")</f>
        <v>0</v>
      </c>
      <c r="N22" s="13">
        <f>_xll.BDH("ITCI US Equity","DISPOSAL_OF_FIXED_INTANG","FQ3 2021","FQ3 2021","Currency=USD","Period=FQ","BEST_FPERIOD_OVERRIDE=FQ","FILING_STATUS=MR","SCALING_FORMAT=MLN","Sort=A","Dates=H","DateFormat=P","Fill=—","Direction=H","UseDPDF=Y")</f>
        <v>0</v>
      </c>
      <c r="O22" s="13">
        <f>_xll.BDH("ITCI US Equity","DISPOSAL_OF_FIXED_INTANG","FQ4 2021","FQ4 2021","Currency=USD","Period=FQ","BEST_FPERIOD_OVERRIDE=FQ","FILING_STATUS=MR","SCALING_FORMAT=MLN","Sort=A","Dates=H","DateFormat=P","Fill=—","Direction=H","UseDPDF=Y")</f>
        <v>0</v>
      </c>
      <c r="P22" s="13">
        <f>_xll.BDH("ITCI US Equity","DISPOSAL_OF_FIXED_INTANG","FQ1 2022","FQ1 2022","Currency=USD","Period=FQ","BEST_FPERIOD_OVERRIDE=FQ","FILING_STATUS=MR","SCALING_FORMAT=MLN","Sort=A","Dates=H","DateFormat=P","Fill=—","Direction=H","UseDPDF=Y")</f>
        <v>0</v>
      </c>
      <c r="Q22" s="13">
        <f>_xll.BDH("ITCI US Equity","DISPOSAL_OF_FIXED_INTANG","FQ2 2022","FQ2 2022","Currency=USD","Period=FQ","BEST_FPERIOD_OVERRIDE=FQ","FILING_STATUS=MR","SCALING_FORMAT=MLN","Sort=A","Dates=H","DateFormat=P","Fill=—","Direction=H","UseDPDF=Y")</f>
        <v>0</v>
      </c>
      <c r="R22" s="13">
        <f>_xll.BDH("ITCI US Equity","DISPOSAL_OF_FIXED_INTANG","FQ3 2022","FQ3 2022","Currency=USD","Period=FQ","BEST_FPERIOD_OVERRIDE=FQ","FILING_STATUS=MR","SCALING_FORMAT=MLN","Sort=A","Dates=H","DateFormat=P","Fill=—","Direction=H","UseDPDF=Y")</f>
        <v>0</v>
      </c>
      <c r="S22" s="13">
        <f>_xll.BDH("ITCI US Equity","DISPOSAL_OF_FIXED_INTANG","FQ4 2022","FQ4 2022","Currency=USD","Period=FQ","BEST_FPERIOD_OVERRIDE=FQ","FILING_STATUS=MR","SCALING_FORMAT=MLN","Sort=A","Dates=H","DateFormat=P","Fill=—","Direction=H","UseDPDF=Y")</f>
        <v>2.8000000000000001E-2</v>
      </c>
      <c r="T22" s="13">
        <f>_xll.BDH("ITCI US Equity","DISPOSAL_OF_FIXED_INTANG","FQ1 2023","FQ1 2023","Currency=USD","Period=FQ","BEST_FPERIOD_OVERRIDE=FQ","FILING_STATUS=MR","SCALING_FORMAT=MLN","Sort=A","Dates=H","DateFormat=P","Fill=—","Direction=H","UseDPDF=Y")</f>
        <v>0</v>
      </c>
      <c r="U22" s="13">
        <f>_xll.BDH("ITCI US Equity","DISPOSAL_OF_FIXED_INTANG","FQ2 2023","FQ2 2023","Currency=USD","Period=FQ","BEST_FPERIOD_OVERRIDE=FQ","FILING_STATUS=MR","SCALING_FORMAT=MLN","Sort=A","Dates=H","DateFormat=P","Fill=—","Direction=H","UseDPDF=Y")</f>
        <v>0</v>
      </c>
      <c r="V22" s="13">
        <f>_xll.BDH("ITCI US Equity","DISPOSAL_OF_FIXED_INTANG","FQ3 2023","FQ3 2023","Currency=USD","Period=FQ","BEST_FPERIOD_OVERRIDE=FQ","FILING_STATUS=MR","SCALING_FORMAT=MLN","Sort=A","Dates=H","DateFormat=P","Fill=—","Direction=H","UseDPDF=Y")</f>
        <v>0</v>
      </c>
      <c r="W22" s="13">
        <f>_xll.BDH("ITCI US Equity","DISPOSAL_OF_FIXED_INTANG","FQ4 2023","FQ4 2023","Currency=USD","Period=FQ","BEST_FPERIOD_OVERRIDE=FQ","FILING_STATUS=MR","SCALING_FORMAT=MLN","Sort=A","Dates=H","DateFormat=P","Fill=—","Direction=H","UseDPDF=Y")</f>
        <v>0</v>
      </c>
      <c r="X22" s="13">
        <f>_xll.BDH("ITCI US Equity","DISPOSAL_OF_FIXED_INTANG","FQ1 2024","FQ1 2024","Currency=USD","Period=FQ","BEST_FPERIOD_OVERRIDE=FQ","FILING_STATUS=MR","SCALING_FORMAT=MLN","Sort=A","Dates=H","DateFormat=P","Fill=—","Direction=H","UseDPDF=Y")</f>
        <v>0</v>
      </c>
      <c r="Y22" s="13">
        <f>_xll.BDH("ITCI US Equity","DISPOSAL_OF_FIXED_INTANG","FQ2 2024","FQ2 2024","Currency=USD","Period=FQ","BEST_FPERIOD_OVERRIDE=FQ","FILING_STATUS=MR","SCALING_FORMAT=MLN","Sort=A","Dates=H","DateFormat=P","Fill=—","Direction=H","UseDPDF=Y")</f>
        <v>0</v>
      </c>
      <c r="Z22" s="13">
        <f>_xll.BDH("ITCI US Equity","DISPOSAL_OF_FIXED_INTANG","FQ3 2024","FQ3 2024","Currency=USD","Period=FQ","BEST_FPERIOD_OVERRIDE=FQ","FILING_STATUS=MR","SCALING_FORMAT=MLN","Sort=A","Dates=H","DateFormat=P","Fill=—","Direction=H","UseDPDF=Y")</f>
        <v>0</v>
      </c>
      <c r="AA22" s="13" t="str">
        <f>_xll.BDH("ITCI US Equity","DISPOSAL_OF_FIXED_INTANG","FQ4 2024","FQ4 2024","Currency=USD","Period=FQ","BEST_FPERIOD_OVERRIDE=FQ","FILING_STATUS=MR","SCALING_FORMAT=MLN","Sort=A","Dates=H","DateFormat=P","Fill=—","Direction=H","UseDPDF=Y")</f>
        <v>—</v>
      </c>
    </row>
    <row r="23" spans="1:27" x14ac:dyDescent="0.25">
      <c r="A23" s="11" t="s">
        <v>961</v>
      </c>
      <c r="B23" s="11" t="s">
        <v>962</v>
      </c>
      <c r="C23" s="25">
        <f>_xll.BDH("ITCI US Equity","CF_DISPOSAL_OF_FIXED_PROD_ASSETS","FQ4 2018","FQ4 2018","Currency=USD","Period=FQ","BEST_FPERIOD_OVERRIDE=FQ","FILING_STATUS=MR","SCALING_FORMAT=MLN","Sort=A","Dates=H","DateFormat=P","Fill=—","Direction=H","UseDPDF=Y")</f>
        <v>0</v>
      </c>
      <c r="D23" s="25">
        <f>_xll.BDH("ITCI US Equity","CF_DISPOSAL_OF_FIXED_PROD_ASSETS","FQ1 2019","FQ1 2019","Currency=USD","Period=FQ","BEST_FPERIOD_OVERRIDE=FQ","FILING_STATUS=MR","SCALING_FORMAT=MLN","Sort=A","Dates=H","DateFormat=P","Fill=—","Direction=H","UseDPDF=Y")</f>
        <v>0</v>
      </c>
      <c r="E23" s="25">
        <f>_xll.BDH("ITCI US Equity","CF_DISPOSAL_OF_FIXED_PROD_ASSETS","FQ2 2019","FQ2 2019","Currency=USD","Period=FQ","BEST_FPERIOD_OVERRIDE=FQ","FILING_STATUS=MR","SCALING_FORMAT=MLN","Sort=A","Dates=H","DateFormat=P","Fill=—","Direction=H","UseDPDF=Y")</f>
        <v>0</v>
      </c>
      <c r="F23" s="25">
        <f>_xll.BDH("ITCI US Equity","CF_DISPOSAL_OF_FIXED_PROD_ASSETS","FQ3 2019","FQ3 2019","Currency=USD","Period=FQ","BEST_FPERIOD_OVERRIDE=FQ","FILING_STATUS=MR","SCALING_FORMAT=MLN","Sort=A","Dates=H","DateFormat=P","Fill=—","Direction=H","UseDPDF=Y")</f>
        <v>0</v>
      </c>
      <c r="G23" s="25">
        <f>_xll.BDH("ITCI US Equity","CF_DISPOSAL_OF_FIXED_PROD_ASSETS","FQ4 2019","FQ4 2019","Currency=USD","Period=FQ","BEST_FPERIOD_OVERRIDE=FQ","FILING_STATUS=MR","SCALING_FORMAT=MLN","Sort=A","Dates=H","DateFormat=P","Fill=—","Direction=H","UseDPDF=Y")</f>
        <v>0.65029999999999999</v>
      </c>
      <c r="H23" s="25">
        <f>_xll.BDH("ITCI US Equity","CF_DISPOSAL_OF_FIXED_PROD_ASSETS","FQ1 2020","FQ1 2020","Currency=USD","Period=FQ","BEST_FPERIOD_OVERRIDE=FQ","FILING_STATUS=MR","SCALING_FORMAT=MLN","Sort=A","Dates=H","DateFormat=P","Fill=—","Direction=H","UseDPDF=Y")</f>
        <v>0</v>
      </c>
      <c r="I23" s="25">
        <f>_xll.BDH("ITCI US Equity","CF_DISPOSAL_OF_FIXED_PROD_ASSETS","FQ2 2020","FQ2 2020","Currency=USD","Period=FQ","BEST_FPERIOD_OVERRIDE=FQ","FILING_STATUS=MR","SCALING_FORMAT=MLN","Sort=A","Dates=H","DateFormat=P","Fill=—","Direction=H","UseDPDF=Y")</f>
        <v>0</v>
      </c>
      <c r="J23" s="25">
        <f>_xll.BDH("ITCI US Equity","CF_DISPOSAL_OF_FIXED_PROD_ASSETS","FQ3 2020","FQ3 2020","Currency=USD","Period=FQ","BEST_FPERIOD_OVERRIDE=FQ","FILING_STATUS=MR","SCALING_FORMAT=MLN","Sort=A","Dates=H","DateFormat=P","Fill=—","Direction=H","UseDPDF=Y")</f>
        <v>0</v>
      </c>
      <c r="K23" s="25">
        <f>_xll.BDH("ITCI US Equity","CF_DISPOSAL_OF_FIXED_PROD_ASSETS","FQ4 2020","FQ4 2020","Currency=USD","Period=FQ","BEST_FPERIOD_OVERRIDE=FQ","FILING_STATUS=MR","SCALING_FORMAT=MLN","Sort=A","Dates=H","DateFormat=P","Fill=—","Direction=H","UseDPDF=Y")</f>
        <v>0</v>
      </c>
      <c r="L23" s="25">
        <f>_xll.BDH("ITCI US Equity","CF_DISPOSAL_OF_FIXED_PROD_ASSETS","FQ1 2021","FQ1 2021","Currency=USD","Period=FQ","BEST_FPERIOD_OVERRIDE=FQ","FILING_STATUS=MR","SCALING_FORMAT=MLN","Sort=A","Dates=H","DateFormat=P","Fill=—","Direction=H","UseDPDF=Y")</f>
        <v>0</v>
      </c>
      <c r="M23" s="25">
        <f>_xll.BDH("ITCI US Equity","CF_DISPOSAL_OF_FIXED_PROD_ASSETS","FQ2 2021","FQ2 2021","Currency=USD","Period=FQ","BEST_FPERIOD_OVERRIDE=FQ","FILING_STATUS=MR","SCALING_FORMAT=MLN","Sort=A","Dates=H","DateFormat=P","Fill=—","Direction=H","UseDPDF=Y")</f>
        <v>0</v>
      </c>
      <c r="N23" s="25">
        <f>_xll.BDH("ITCI US Equity","CF_DISPOSAL_OF_FIXED_PROD_ASSETS","FQ3 2021","FQ3 2021","Currency=USD","Period=FQ","BEST_FPERIOD_OVERRIDE=FQ","FILING_STATUS=MR","SCALING_FORMAT=MLN","Sort=A","Dates=H","DateFormat=P","Fill=—","Direction=H","UseDPDF=Y")</f>
        <v>0</v>
      </c>
      <c r="O23" s="25">
        <f>_xll.BDH("ITCI US Equity","CF_DISPOSAL_OF_FIXED_PROD_ASSETS","FQ4 2021","FQ4 2021","Currency=USD","Period=FQ","BEST_FPERIOD_OVERRIDE=FQ","FILING_STATUS=MR","SCALING_FORMAT=MLN","Sort=A","Dates=H","DateFormat=P","Fill=—","Direction=H","UseDPDF=Y")</f>
        <v>0</v>
      </c>
      <c r="P23" s="25">
        <f>_xll.BDH("ITCI US Equity","CF_DISPOSAL_OF_FIXED_PROD_ASSETS","FQ1 2022","FQ1 2022","Currency=USD","Period=FQ","BEST_FPERIOD_OVERRIDE=FQ","FILING_STATUS=MR","SCALING_FORMAT=MLN","Sort=A","Dates=H","DateFormat=P","Fill=—","Direction=H","UseDPDF=Y")</f>
        <v>0</v>
      </c>
      <c r="Q23" s="25">
        <f>_xll.BDH("ITCI US Equity","CF_DISPOSAL_OF_FIXED_PROD_ASSETS","FQ2 2022","FQ2 2022","Currency=USD","Period=FQ","BEST_FPERIOD_OVERRIDE=FQ","FILING_STATUS=MR","SCALING_FORMAT=MLN","Sort=A","Dates=H","DateFormat=P","Fill=—","Direction=H","UseDPDF=Y")</f>
        <v>0</v>
      </c>
      <c r="R23" s="25">
        <f>_xll.BDH("ITCI US Equity","CF_DISPOSAL_OF_FIXED_PROD_ASSETS","FQ3 2022","FQ3 2022","Currency=USD","Period=FQ","BEST_FPERIOD_OVERRIDE=FQ","FILING_STATUS=MR","SCALING_FORMAT=MLN","Sort=A","Dates=H","DateFormat=P","Fill=—","Direction=H","UseDPDF=Y")</f>
        <v>0</v>
      </c>
      <c r="S23" s="25">
        <f>_xll.BDH("ITCI US Equity","CF_DISPOSAL_OF_FIXED_PROD_ASSETS","FQ4 2022","FQ4 2022","Currency=USD","Period=FQ","BEST_FPERIOD_OVERRIDE=FQ","FILING_STATUS=MR","SCALING_FORMAT=MLN","Sort=A","Dates=H","DateFormat=P","Fill=—","Direction=H","UseDPDF=Y")</f>
        <v>2.8000000000000001E-2</v>
      </c>
      <c r="T23" s="25">
        <f>_xll.BDH("ITCI US Equity","CF_DISPOSAL_OF_FIXED_PROD_ASSETS","FQ1 2023","FQ1 2023","Currency=USD","Period=FQ","BEST_FPERIOD_OVERRIDE=FQ","FILING_STATUS=MR","SCALING_FORMAT=MLN","Sort=A","Dates=H","DateFormat=P","Fill=—","Direction=H","UseDPDF=Y")</f>
        <v>0</v>
      </c>
      <c r="U23" s="25">
        <f>_xll.BDH("ITCI US Equity","CF_DISPOSAL_OF_FIXED_PROD_ASSETS","FQ2 2023","FQ2 2023","Currency=USD","Period=FQ","BEST_FPERIOD_OVERRIDE=FQ","FILING_STATUS=MR","SCALING_FORMAT=MLN","Sort=A","Dates=H","DateFormat=P","Fill=—","Direction=H","UseDPDF=Y")</f>
        <v>0</v>
      </c>
      <c r="V23" s="25">
        <f>_xll.BDH("ITCI US Equity","CF_DISPOSAL_OF_FIXED_PROD_ASSETS","FQ3 2023","FQ3 2023","Currency=USD","Period=FQ","BEST_FPERIOD_OVERRIDE=FQ","FILING_STATUS=MR","SCALING_FORMAT=MLN","Sort=A","Dates=H","DateFormat=P","Fill=—","Direction=H","UseDPDF=Y")</f>
        <v>0</v>
      </c>
      <c r="W23" s="25">
        <f>_xll.BDH("ITCI US Equity","CF_DISPOSAL_OF_FIXED_PROD_ASSETS","FQ4 2023","FQ4 2023","Currency=USD","Period=FQ","BEST_FPERIOD_OVERRIDE=FQ","FILING_STATUS=MR","SCALING_FORMAT=MLN","Sort=A","Dates=H","DateFormat=P","Fill=—","Direction=H","UseDPDF=Y")</f>
        <v>0</v>
      </c>
      <c r="X23" s="25">
        <f>_xll.BDH("ITCI US Equity","CF_DISPOSAL_OF_FIXED_PROD_ASSETS","FQ1 2024","FQ1 2024","Currency=USD","Period=FQ","BEST_FPERIOD_OVERRIDE=FQ","FILING_STATUS=MR","SCALING_FORMAT=MLN","Sort=A","Dates=H","DateFormat=P","Fill=—","Direction=H","UseDPDF=Y")</f>
        <v>0</v>
      </c>
      <c r="Y23" s="25">
        <f>_xll.BDH("ITCI US Equity","CF_DISPOSAL_OF_FIXED_PROD_ASSETS","FQ2 2024","FQ2 2024","Currency=USD","Period=FQ","BEST_FPERIOD_OVERRIDE=FQ","FILING_STATUS=MR","SCALING_FORMAT=MLN","Sort=A","Dates=H","DateFormat=P","Fill=—","Direction=H","UseDPDF=Y")</f>
        <v>0</v>
      </c>
      <c r="Z23" s="25">
        <f>_xll.BDH("ITCI US Equity","CF_DISPOSAL_OF_FIXED_PROD_ASSETS","FQ3 2024","FQ3 2024","Currency=USD","Period=FQ","BEST_FPERIOD_OVERRIDE=FQ","FILING_STATUS=MR","SCALING_FORMAT=MLN","Sort=A","Dates=H","DateFormat=P","Fill=—","Direction=H","UseDPDF=Y")</f>
        <v>0</v>
      </c>
      <c r="AA23" s="25" t="str">
        <f>_xll.BDH("ITCI US Equity","CF_DISPOSAL_OF_FIXED_PROD_ASSETS","FQ4 2024","FQ4 2024","Currency=USD","Period=FQ","BEST_FPERIOD_OVERRIDE=FQ","FILING_STATUS=MR","SCALING_FORMAT=MLN","Sort=A","Dates=H","DateFormat=P","Fill=—","Direction=H","UseDPDF=Y")</f>
        <v>—</v>
      </c>
    </row>
    <row r="24" spans="1:27" x14ac:dyDescent="0.25">
      <c r="A24" s="11" t="s">
        <v>963</v>
      </c>
      <c r="B24" s="11" t="s">
        <v>964</v>
      </c>
      <c r="C24" s="25">
        <f>_xll.BDH("ITCI US Equity","CF_DISPOSAL_OF_INTANGIBLE_ASSETS","FQ4 2018","FQ4 2018","Currency=USD","Period=FQ","BEST_FPERIOD_OVERRIDE=FQ","FILING_STATUS=MR","SCALING_FORMAT=MLN","Sort=A","Dates=H","DateFormat=P","Fill=—","Direction=H","UseDPDF=Y")</f>
        <v>0</v>
      </c>
      <c r="D24" s="25">
        <f>_xll.BDH("ITCI US Equity","CF_DISPOSAL_OF_INTANGIBLE_ASSETS","FQ1 2019","FQ1 2019","Currency=USD","Period=FQ","BEST_FPERIOD_OVERRIDE=FQ","FILING_STATUS=MR","SCALING_FORMAT=MLN","Sort=A","Dates=H","DateFormat=P","Fill=—","Direction=H","UseDPDF=Y")</f>
        <v>0</v>
      </c>
      <c r="E24" s="25">
        <f>_xll.BDH("ITCI US Equity","CF_DISPOSAL_OF_INTANGIBLE_ASSETS","FQ2 2019","FQ2 2019","Currency=USD","Period=FQ","BEST_FPERIOD_OVERRIDE=FQ","FILING_STATUS=MR","SCALING_FORMAT=MLN","Sort=A","Dates=H","DateFormat=P","Fill=—","Direction=H","UseDPDF=Y")</f>
        <v>0</v>
      </c>
      <c r="F24" s="25">
        <f>_xll.BDH("ITCI US Equity","CF_DISPOSAL_OF_INTANGIBLE_ASSETS","FQ3 2019","FQ3 2019","Currency=USD","Period=FQ","BEST_FPERIOD_OVERRIDE=FQ","FILING_STATUS=MR","SCALING_FORMAT=MLN","Sort=A","Dates=H","DateFormat=P","Fill=—","Direction=H","UseDPDF=Y")</f>
        <v>0</v>
      </c>
      <c r="G24" s="25">
        <f>_xll.BDH("ITCI US Equity","CF_DISPOSAL_OF_INTANGIBLE_ASSETS","FQ4 2019","FQ4 2019","Currency=USD","Period=FQ","BEST_FPERIOD_OVERRIDE=FQ","FILING_STATUS=MR","SCALING_FORMAT=MLN","Sort=A","Dates=H","DateFormat=P","Fill=—","Direction=H","UseDPDF=Y")</f>
        <v>0</v>
      </c>
      <c r="H24" s="25">
        <f>_xll.BDH("ITCI US Equity","CF_DISPOSAL_OF_INTANGIBLE_ASSETS","FQ1 2020","FQ1 2020","Currency=USD","Period=FQ","BEST_FPERIOD_OVERRIDE=FQ","FILING_STATUS=MR","SCALING_FORMAT=MLN","Sort=A","Dates=H","DateFormat=P","Fill=—","Direction=H","UseDPDF=Y")</f>
        <v>0</v>
      </c>
      <c r="I24" s="25">
        <f>_xll.BDH("ITCI US Equity","CF_DISPOSAL_OF_INTANGIBLE_ASSETS","FQ2 2020","FQ2 2020","Currency=USD","Period=FQ","BEST_FPERIOD_OVERRIDE=FQ","FILING_STATUS=MR","SCALING_FORMAT=MLN","Sort=A","Dates=H","DateFormat=P","Fill=—","Direction=H","UseDPDF=Y")</f>
        <v>0</v>
      </c>
      <c r="J24" s="25">
        <f>_xll.BDH("ITCI US Equity","CF_DISPOSAL_OF_INTANGIBLE_ASSETS","FQ3 2020","FQ3 2020","Currency=USD","Period=FQ","BEST_FPERIOD_OVERRIDE=FQ","FILING_STATUS=MR","SCALING_FORMAT=MLN","Sort=A","Dates=H","DateFormat=P","Fill=—","Direction=H","UseDPDF=Y")</f>
        <v>0</v>
      </c>
      <c r="K24" s="25">
        <f>_xll.BDH("ITCI US Equity","CF_DISPOSAL_OF_INTANGIBLE_ASSETS","FQ4 2020","FQ4 2020","Currency=USD","Period=FQ","BEST_FPERIOD_OVERRIDE=FQ","FILING_STATUS=MR","SCALING_FORMAT=MLN","Sort=A","Dates=H","DateFormat=P","Fill=—","Direction=H","UseDPDF=Y")</f>
        <v>0</v>
      </c>
      <c r="L24" s="25">
        <f>_xll.BDH("ITCI US Equity","CF_DISPOSAL_OF_INTANGIBLE_ASSETS","FQ1 2021","FQ1 2021","Currency=USD","Period=FQ","BEST_FPERIOD_OVERRIDE=FQ","FILING_STATUS=MR","SCALING_FORMAT=MLN","Sort=A","Dates=H","DateFormat=P","Fill=—","Direction=H","UseDPDF=Y")</f>
        <v>0</v>
      </c>
      <c r="M24" s="25">
        <f>_xll.BDH("ITCI US Equity","CF_DISPOSAL_OF_INTANGIBLE_ASSETS","FQ2 2021","FQ2 2021","Currency=USD","Period=FQ","BEST_FPERIOD_OVERRIDE=FQ","FILING_STATUS=MR","SCALING_FORMAT=MLN","Sort=A","Dates=H","DateFormat=P","Fill=—","Direction=H","UseDPDF=Y")</f>
        <v>0</v>
      </c>
      <c r="N24" s="25">
        <f>_xll.BDH("ITCI US Equity","CF_DISPOSAL_OF_INTANGIBLE_ASSETS","FQ3 2021","FQ3 2021","Currency=USD","Period=FQ","BEST_FPERIOD_OVERRIDE=FQ","FILING_STATUS=MR","SCALING_FORMAT=MLN","Sort=A","Dates=H","DateFormat=P","Fill=—","Direction=H","UseDPDF=Y")</f>
        <v>0</v>
      </c>
      <c r="O24" s="25">
        <f>_xll.BDH("ITCI US Equity","CF_DISPOSAL_OF_INTANGIBLE_ASSETS","FQ4 2021","FQ4 2021","Currency=USD","Period=FQ","BEST_FPERIOD_OVERRIDE=FQ","FILING_STATUS=MR","SCALING_FORMAT=MLN","Sort=A","Dates=H","DateFormat=P","Fill=—","Direction=H","UseDPDF=Y")</f>
        <v>0</v>
      </c>
      <c r="P24" s="25">
        <f>_xll.BDH("ITCI US Equity","CF_DISPOSAL_OF_INTANGIBLE_ASSETS","FQ1 2022","FQ1 2022","Currency=USD","Period=FQ","BEST_FPERIOD_OVERRIDE=FQ","FILING_STATUS=MR","SCALING_FORMAT=MLN","Sort=A","Dates=H","DateFormat=P","Fill=—","Direction=H","UseDPDF=Y")</f>
        <v>0</v>
      </c>
      <c r="Q24" s="25">
        <f>_xll.BDH("ITCI US Equity","CF_DISPOSAL_OF_INTANGIBLE_ASSETS","FQ2 2022","FQ2 2022","Currency=USD","Period=FQ","BEST_FPERIOD_OVERRIDE=FQ","FILING_STATUS=MR","SCALING_FORMAT=MLN","Sort=A","Dates=H","DateFormat=P","Fill=—","Direction=H","UseDPDF=Y")</f>
        <v>0</v>
      </c>
      <c r="R24" s="25">
        <f>_xll.BDH("ITCI US Equity","CF_DISPOSAL_OF_INTANGIBLE_ASSETS","FQ3 2022","FQ3 2022","Currency=USD","Period=FQ","BEST_FPERIOD_OVERRIDE=FQ","FILING_STATUS=MR","SCALING_FORMAT=MLN","Sort=A","Dates=H","DateFormat=P","Fill=—","Direction=H","UseDPDF=Y")</f>
        <v>0</v>
      </c>
      <c r="S24" s="25">
        <f>_xll.BDH("ITCI US Equity","CF_DISPOSAL_OF_INTANGIBLE_ASSETS","FQ4 2022","FQ4 2022","Currency=USD","Period=FQ","BEST_FPERIOD_OVERRIDE=FQ","FILING_STATUS=MR","SCALING_FORMAT=MLN","Sort=A","Dates=H","DateFormat=P","Fill=—","Direction=H","UseDPDF=Y")</f>
        <v>0</v>
      </c>
      <c r="T24" s="25">
        <f>_xll.BDH("ITCI US Equity","CF_DISPOSAL_OF_INTANGIBLE_ASSETS","FQ1 2023","FQ1 2023","Currency=USD","Period=FQ","BEST_FPERIOD_OVERRIDE=FQ","FILING_STATUS=MR","SCALING_FORMAT=MLN","Sort=A","Dates=H","DateFormat=P","Fill=—","Direction=H","UseDPDF=Y")</f>
        <v>0</v>
      </c>
      <c r="U24" s="25">
        <f>_xll.BDH("ITCI US Equity","CF_DISPOSAL_OF_INTANGIBLE_ASSETS","FQ2 2023","FQ2 2023","Currency=USD","Period=FQ","BEST_FPERIOD_OVERRIDE=FQ","FILING_STATUS=MR","SCALING_FORMAT=MLN","Sort=A","Dates=H","DateFormat=P","Fill=—","Direction=H","UseDPDF=Y")</f>
        <v>0</v>
      </c>
      <c r="V24" s="25">
        <f>_xll.BDH("ITCI US Equity","CF_DISPOSAL_OF_INTANGIBLE_ASSETS","FQ3 2023","FQ3 2023","Currency=USD","Period=FQ","BEST_FPERIOD_OVERRIDE=FQ","FILING_STATUS=MR","SCALING_FORMAT=MLN","Sort=A","Dates=H","DateFormat=P","Fill=—","Direction=H","UseDPDF=Y")</f>
        <v>0</v>
      </c>
      <c r="W24" s="25">
        <f>_xll.BDH("ITCI US Equity","CF_DISPOSAL_OF_INTANGIBLE_ASSETS","FQ4 2023","FQ4 2023","Currency=USD","Period=FQ","BEST_FPERIOD_OVERRIDE=FQ","FILING_STATUS=MR","SCALING_FORMAT=MLN","Sort=A","Dates=H","DateFormat=P","Fill=—","Direction=H","UseDPDF=Y")</f>
        <v>0</v>
      </c>
      <c r="X24" s="25">
        <f>_xll.BDH("ITCI US Equity","CF_DISPOSAL_OF_INTANGIBLE_ASSETS","FQ1 2024","FQ1 2024","Currency=USD","Period=FQ","BEST_FPERIOD_OVERRIDE=FQ","FILING_STATUS=MR","SCALING_FORMAT=MLN","Sort=A","Dates=H","DateFormat=P","Fill=—","Direction=H","UseDPDF=Y")</f>
        <v>0</v>
      </c>
      <c r="Y24" s="25">
        <f>_xll.BDH("ITCI US Equity","CF_DISPOSAL_OF_INTANGIBLE_ASSETS","FQ2 2024","FQ2 2024","Currency=USD","Period=FQ","BEST_FPERIOD_OVERRIDE=FQ","FILING_STATUS=MR","SCALING_FORMAT=MLN","Sort=A","Dates=H","DateFormat=P","Fill=—","Direction=H","UseDPDF=Y")</f>
        <v>0</v>
      </c>
      <c r="Z24" s="25">
        <f>_xll.BDH("ITCI US Equity","CF_DISPOSAL_OF_INTANGIBLE_ASSETS","FQ3 2024","FQ3 2024","Currency=USD","Period=FQ","BEST_FPERIOD_OVERRIDE=FQ","FILING_STATUS=MR","SCALING_FORMAT=MLN","Sort=A","Dates=H","DateFormat=P","Fill=—","Direction=H","UseDPDF=Y")</f>
        <v>0</v>
      </c>
      <c r="AA24" s="25" t="str">
        <f>_xll.BDH("ITCI US Equity","CF_DISPOSAL_OF_INTANGIBLE_ASSETS","FQ4 2024","FQ4 2024","Currency=USD","Period=FQ","BEST_FPERIOD_OVERRIDE=FQ","FILING_STATUS=MR","SCALING_FORMAT=MLN","Sort=A","Dates=H","DateFormat=P","Fill=—","Direction=H","UseDPDF=Y")</f>
        <v>—</v>
      </c>
    </row>
    <row r="25" spans="1:27" x14ac:dyDescent="0.25">
      <c r="A25" s="10" t="s">
        <v>965</v>
      </c>
      <c r="B25" s="10" t="s">
        <v>966</v>
      </c>
      <c r="C25" s="13">
        <f>_xll.BDH("ITCI US Equity","ACQUIS_OF_FIXED_INTANG","FQ4 2018","FQ4 2018","Currency=USD","Period=FQ","BEST_FPERIOD_OVERRIDE=FQ","FILING_STATUS=MR","SCALING_FORMAT=MLN","Sort=A","Dates=H","DateFormat=P","Fill=—","Direction=H","UseDPDF=Y")</f>
        <v>-5.8799999999999998E-2</v>
      </c>
      <c r="D25" s="13">
        <f>_xll.BDH("ITCI US Equity","ACQUIS_OF_FIXED_INTANG","FQ1 2019","FQ1 2019","Currency=USD","Period=FQ","BEST_FPERIOD_OVERRIDE=FQ","FILING_STATUS=MR","SCALING_FORMAT=MLN","Sort=A","Dates=H","DateFormat=P","Fill=—","Direction=H","UseDPDF=Y")</f>
        <v>-6.7199999999999996E-2</v>
      </c>
      <c r="E25" s="13">
        <f>_xll.BDH("ITCI US Equity","ACQUIS_OF_FIXED_INTANG","FQ2 2019","FQ2 2019","Currency=USD","Period=FQ","BEST_FPERIOD_OVERRIDE=FQ","FILING_STATUS=MR","SCALING_FORMAT=MLN","Sort=A","Dates=H","DateFormat=P","Fill=—","Direction=H","UseDPDF=Y")</f>
        <v>-1.0624</v>
      </c>
      <c r="F25" s="13">
        <f>_xll.BDH("ITCI US Equity","ACQUIS_OF_FIXED_INTANG","FQ3 2019","FQ3 2019","Currency=USD","Period=FQ","BEST_FPERIOD_OVERRIDE=FQ","FILING_STATUS=MR","SCALING_FORMAT=MLN","Sort=A","Dates=H","DateFormat=P","Fill=—","Direction=H","UseDPDF=Y")</f>
        <v>-0.22109999999999999</v>
      </c>
      <c r="G25" s="13">
        <f>_xll.BDH("ITCI US Equity","ACQUIS_OF_FIXED_INTANG","FQ4 2019","FQ4 2019","Currency=USD","Period=FQ","BEST_FPERIOD_OVERRIDE=FQ","FILING_STATUS=MR","SCALING_FORMAT=MLN","Sort=A","Dates=H","DateFormat=P","Fill=—","Direction=H","UseDPDF=Y")</f>
        <v>0</v>
      </c>
      <c r="H25" s="13">
        <f>_xll.BDH("ITCI US Equity","ACQUIS_OF_FIXED_INTANG","FQ1 2020","FQ1 2020","Currency=USD","Period=FQ","BEST_FPERIOD_OVERRIDE=FQ","FILING_STATUS=MR","SCALING_FORMAT=MLN","Sort=A","Dates=H","DateFormat=P","Fill=—","Direction=H","UseDPDF=Y")</f>
        <v>-2.1999999999999999E-2</v>
      </c>
      <c r="I25" s="13">
        <f>_xll.BDH("ITCI US Equity","ACQUIS_OF_FIXED_INTANG","FQ2 2020","FQ2 2020","Currency=USD","Period=FQ","BEST_FPERIOD_OVERRIDE=FQ","FILING_STATUS=MR","SCALING_FORMAT=MLN","Sort=A","Dates=H","DateFormat=P","Fill=—","Direction=H","UseDPDF=Y")</f>
        <v>0</v>
      </c>
      <c r="J25" s="13">
        <f>_xll.BDH("ITCI US Equity","ACQUIS_OF_FIXED_INTANG","FQ3 2020","FQ3 2020","Currency=USD","Period=FQ","BEST_FPERIOD_OVERRIDE=FQ","FILING_STATUS=MR","SCALING_FORMAT=MLN","Sort=A","Dates=H","DateFormat=P","Fill=—","Direction=H","UseDPDF=Y")</f>
        <v>-0.1699</v>
      </c>
      <c r="K25" s="13">
        <f>_xll.BDH("ITCI US Equity","ACQUIS_OF_FIXED_INTANG","FQ4 2020","FQ4 2020","Currency=USD","Period=FQ","BEST_FPERIOD_OVERRIDE=FQ","FILING_STATUS=MR","SCALING_FORMAT=MLN","Sort=A","Dates=H","DateFormat=P","Fill=—","Direction=H","UseDPDF=Y")</f>
        <v>-7.4800000000000005E-2</v>
      </c>
      <c r="L25" s="13">
        <f>_xll.BDH("ITCI US Equity","ACQUIS_OF_FIXED_INTANG","FQ1 2021","FQ1 2021","Currency=USD","Period=FQ","BEST_FPERIOD_OVERRIDE=FQ","FILING_STATUS=MR","SCALING_FORMAT=MLN","Sort=A","Dates=H","DateFormat=P","Fill=—","Direction=H","UseDPDF=Y")</f>
        <v>0</v>
      </c>
      <c r="M25" s="13">
        <f>_xll.BDH("ITCI US Equity","ACQUIS_OF_FIXED_INTANG","FQ2 2021","FQ2 2021","Currency=USD","Period=FQ","BEST_FPERIOD_OVERRIDE=FQ","FILING_STATUS=MR","SCALING_FORMAT=MLN","Sort=A","Dates=H","DateFormat=P","Fill=—","Direction=H","UseDPDF=Y")</f>
        <v>-1.52E-2</v>
      </c>
      <c r="N25" s="13">
        <f>_xll.BDH("ITCI US Equity","ACQUIS_OF_FIXED_INTANG","FQ3 2021","FQ3 2021","Currency=USD","Period=FQ","BEST_FPERIOD_OVERRIDE=FQ","FILING_STATUS=MR","SCALING_FORMAT=MLN","Sort=A","Dates=H","DateFormat=P","Fill=—","Direction=H","UseDPDF=Y")</f>
        <v>-0.30930000000000002</v>
      </c>
      <c r="O25" s="13">
        <f>_xll.BDH("ITCI US Equity","ACQUIS_OF_FIXED_INTANG","FQ4 2021","FQ4 2021","Currency=USD","Period=FQ","BEST_FPERIOD_OVERRIDE=FQ","FILING_STATUS=MR","SCALING_FORMAT=MLN","Sort=A","Dates=H","DateFormat=P","Fill=—","Direction=H","UseDPDF=Y")</f>
        <v>-1.1999999999999999E-3</v>
      </c>
      <c r="P25" s="13">
        <f>_xll.BDH("ITCI US Equity","ACQUIS_OF_FIXED_INTANG","FQ1 2022","FQ1 2022","Currency=USD","Period=FQ","BEST_FPERIOD_OVERRIDE=FQ","FILING_STATUS=MR","SCALING_FORMAT=MLN","Sort=A","Dates=H","DateFormat=P","Fill=—","Direction=H","UseDPDF=Y")</f>
        <v>-0.56599999999999995</v>
      </c>
      <c r="Q25" s="13">
        <f>_xll.BDH("ITCI US Equity","ACQUIS_OF_FIXED_INTANG","FQ2 2022","FQ2 2022","Currency=USD","Period=FQ","BEST_FPERIOD_OVERRIDE=FQ","FILING_STATUS=MR","SCALING_FORMAT=MLN","Sort=A","Dates=H","DateFormat=P","Fill=—","Direction=H","UseDPDF=Y")</f>
        <v>-0.123</v>
      </c>
      <c r="R25" s="13">
        <f>_xll.BDH("ITCI US Equity","ACQUIS_OF_FIXED_INTANG","FQ3 2022","FQ3 2022","Currency=USD","Period=FQ","BEST_FPERIOD_OVERRIDE=FQ","FILING_STATUS=MR","SCALING_FORMAT=MLN","Sort=A","Dates=H","DateFormat=P","Fill=—","Direction=H","UseDPDF=Y")</f>
        <v>-0.11700000000000001</v>
      </c>
      <c r="S25" s="13">
        <f>_xll.BDH("ITCI US Equity","ACQUIS_OF_FIXED_INTANG","FQ4 2022","FQ4 2022","Currency=USD","Period=FQ","BEST_FPERIOD_OVERRIDE=FQ","FILING_STATUS=MR","SCALING_FORMAT=MLN","Sort=A","Dates=H","DateFormat=P","Fill=—","Direction=H","UseDPDF=Y")</f>
        <v>0</v>
      </c>
      <c r="T25" s="13">
        <f>_xll.BDH("ITCI US Equity","ACQUIS_OF_FIXED_INTANG","FQ1 2023","FQ1 2023","Currency=USD","Period=FQ","BEST_FPERIOD_OVERRIDE=FQ","FILING_STATUS=MR","SCALING_FORMAT=MLN","Sort=A","Dates=H","DateFormat=P","Fill=—","Direction=H","UseDPDF=Y")</f>
        <v>0</v>
      </c>
      <c r="U25" s="13">
        <f>_xll.BDH("ITCI US Equity","ACQUIS_OF_FIXED_INTANG","FQ2 2023","FQ2 2023","Currency=USD","Period=FQ","BEST_FPERIOD_OVERRIDE=FQ","FILING_STATUS=MR","SCALING_FORMAT=MLN","Sort=A","Dates=H","DateFormat=P","Fill=—","Direction=H","UseDPDF=Y")</f>
        <v>0</v>
      </c>
      <c r="V25" s="13">
        <f>_xll.BDH("ITCI US Equity","ACQUIS_OF_FIXED_INTANG","FQ3 2023","FQ3 2023","Currency=USD","Period=FQ","BEST_FPERIOD_OVERRIDE=FQ","FILING_STATUS=MR","SCALING_FORMAT=MLN","Sort=A","Dates=H","DateFormat=P","Fill=—","Direction=H","UseDPDF=Y")</f>
        <v>-0.26800000000000002</v>
      </c>
      <c r="W25" s="13">
        <f>_xll.BDH("ITCI US Equity","ACQUIS_OF_FIXED_INTANG","FQ4 2023","FQ4 2023","Currency=USD","Period=FQ","BEST_FPERIOD_OVERRIDE=FQ","FILING_STATUS=MR","SCALING_FORMAT=MLN","Sort=A","Dates=H","DateFormat=P","Fill=—","Direction=H","UseDPDF=Y")</f>
        <v>-1E-3</v>
      </c>
      <c r="X25" s="13">
        <f>_xll.BDH("ITCI US Equity","ACQUIS_OF_FIXED_INTANG","FQ1 2024","FQ1 2024","Currency=USD","Period=FQ","BEST_FPERIOD_OVERRIDE=FQ","FILING_STATUS=MR","SCALING_FORMAT=MLN","Sort=A","Dates=H","DateFormat=P","Fill=—","Direction=H","UseDPDF=Y")</f>
        <v>0</v>
      </c>
      <c r="Y25" s="13">
        <f>_xll.BDH("ITCI US Equity","ACQUIS_OF_FIXED_INTANG","FQ2 2024","FQ2 2024","Currency=USD","Period=FQ","BEST_FPERIOD_OVERRIDE=FQ","FILING_STATUS=MR","SCALING_FORMAT=MLN","Sort=A","Dates=H","DateFormat=P","Fill=—","Direction=H","UseDPDF=Y")</f>
        <v>-5.2999999999999999E-2</v>
      </c>
      <c r="Z25" s="13">
        <f>_xll.BDH("ITCI US Equity","ACQUIS_OF_FIXED_INTANG","FQ3 2024","FQ3 2024","Currency=USD","Period=FQ","BEST_FPERIOD_OVERRIDE=FQ","FILING_STATUS=MR","SCALING_FORMAT=MLN","Sort=A","Dates=H","DateFormat=P","Fill=—","Direction=H","UseDPDF=Y")</f>
        <v>-0.69599999999999995</v>
      </c>
      <c r="AA25" s="13" t="str">
        <f>_xll.BDH("ITCI US Equity","ACQUIS_OF_FIXED_INTANG","FQ4 2024","FQ4 2024","Currency=USD","Period=FQ","BEST_FPERIOD_OVERRIDE=FQ","FILING_STATUS=MR","SCALING_FORMAT=MLN","Sort=A","Dates=H","DateFormat=P","Fill=—","Direction=H","UseDPDF=Y")</f>
        <v>—</v>
      </c>
    </row>
    <row r="26" spans="1:27" x14ac:dyDescent="0.25">
      <c r="A26" s="11" t="s">
        <v>967</v>
      </c>
      <c r="B26" s="11" t="s">
        <v>968</v>
      </c>
      <c r="C26" s="25">
        <f>_xll.BDH("ITCI US Equity","CF_PURCHASE_OF_FIXED_PROD_ASSETS","FQ4 2018","FQ4 2018","Currency=USD","Period=FQ","BEST_FPERIOD_OVERRIDE=FQ","FILING_STATUS=MR","SCALING_FORMAT=MLN","Sort=A","Dates=H","DateFormat=P","Fill=—","Direction=H","UseDPDF=Y")</f>
        <v>-5.8799999999999998E-2</v>
      </c>
      <c r="D26" s="25">
        <f>_xll.BDH("ITCI US Equity","CF_PURCHASE_OF_FIXED_PROD_ASSETS","FQ1 2019","FQ1 2019","Currency=USD","Period=FQ","BEST_FPERIOD_OVERRIDE=FQ","FILING_STATUS=MR","SCALING_FORMAT=MLN","Sort=A","Dates=H","DateFormat=P","Fill=—","Direction=H","UseDPDF=Y")</f>
        <v>-6.7199999999999996E-2</v>
      </c>
      <c r="E26" s="25">
        <f>_xll.BDH("ITCI US Equity","CF_PURCHASE_OF_FIXED_PROD_ASSETS","FQ2 2019","FQ2 2019","Currency=USD","Period=FQ","BEST_FPERIOD_OVERRIDE=FQ","FILING_STATUS=MR","SCALING_FORMAT=MLN","Sort=A","Dates=H","DateFormat=P","Fill=—","Direction=H","UseDPDF=Y")</f>
        <v>-1.0624</v>
      </c>
      <c r="F26" s="25">
        <f>_xll.BDH("ITCI US Equity","CF_PURCHASE_OF_FIXED_PROD_ASSETS","FQ3 2019","FQ3 2019","Currency=USD","Period=FQ","BEST_FPERIOD_OVERRIDE=FQ","FILING_STATUS=MR","SCALING_FORMAT=MLN","Sort=A","Dates=H","DateFormat=P","Fill=—","Direction=H","UseDPDF=Y")</f>
        <v>-0.22109999999999999</v>
      </c>
      <c r="G26" s="25">
        <f>_xll.BDH("ITCI US Equity","CF_PURCHASE_OF_FIXED_PROD_ASSETS","FQ4 2019","FQ4 2019","Currency=USD","Period=FQ","BEST_FPERIOD_OVERRIDE=FQ","FILING_STATUS=MR","SCALING_FORMAT=MLN","Sort=A","Dates=H","DateFormat=P","Fill=—","Direction=H","UseDPDF=Y")</f>
        <v>0</v>
      </c>
      <c r="H26" s="25">
        <f>_xll.BDH("ITCI US Equity","CF_PURCHASE_OF_FIXED_PROD_ASSETS","FQ1 2020","FQ1 2020","Currency=USD","Period=FQ","BEST_FPERIOD_OVERRIDE=FQ","FILING_STATUS=MR","SCALING_FORMAT=MLN","Sort=A","Dates=H","DateFormat=P","Fill=—","Direction=H","UseDPDF=Y")</f>
        <v>-2.1999999999999999E-2</v>
      </c>
      <c r="I26" s="25">
        <f>_xll.BDH("ITCI US Equity","CF_PURCHASE_OF_FIXED_PROD_ASSETS","FQ2 2020","FQ2 2020","Currency=USD","Period=FQ","BEST_FPERIOD_OVERRIDE=FQ","FILING_STATUS=MR","SCALING_FORMAT=MLN","Sort=A","Dates=H","DateFormat=P","Fill=—","Direction=H","UseDPDF=Y")</f>
        <v>0</v>
      </c>
      <c r="J26" s="25">
        <f>_xll.BDH("ITCI US Equity","CF_PURCHASE_OF_FIXED_PROD_ASSETS","FQ3 2020","FQ3 2020","Currency=USD","Period=FQ","BEST_FPERIOD_OVERRIDE=FQ","FILING_STATUS=MR","SCALING_FORMAT=MLN","Sort=A","Dates=H","DateFormat=P","Fill=—","Direction=H","UseDPDF=Y")</f>
        <v>-0.1699</v>
      </c>
      <c r="K26" s="25">
        <f>_xll.BDH("ITCI US Equity","CF_PURCHASE_OF_FIXED_PROD_ASSETS","FQ4 2020","FQ4 2020","Currency=USD","Period=FQ","BEST_FPERIOD_OVERRIDE=FQ","FILING_STATUS=MR","SCALING_FORMAT=MLN","Sort=A","Dates=H","DateFormat=P","Fill=—","Direction=H","UseDPDF=Y")</f>
        <v>-7.4800000000000005E-2</v>
      </c>
      <c r="L26" s="25">
        <f>_xll.BDH("ITCI US Equity","CF_PURCHASE_OF_FIXED_PROD_ASSETS","FQ1 2021","FQ1 2021","Currency=USD","Period=FQ","BEST_FPERIOD_OVERRIDE=FQ","FILING_STATUS=MR","SCALING_FORMAT=MLN","Sort=A","Dates=H","DateFormat=P","Fill=—","Direction=H","UseDPDF=Y")</f>
        <v>0</v>
      </c>
      <c r="M26" s="25">
        <f>_xll.BDH("ITCI US Equity","CF_PURCHASE_OF_FIXED_PROD_ASSETS","FQ2 2021","FQ2 2021","Currency=USD","Period=FQ","BEST_FPERIOD_OVERRIDE=FQ","FILING_STATUS=MR","SCALING_FORMAT=MLN","Sort=A","Dates=H","DateFormat=P","Fill=—","Direction=H","UseDPDF=Y")</f>
        <v>-1.52E-2</v>
      </c>
      <c r="N26" s="25">
        <f>_xll.BDH("ITCI US Equity","CF_PURCHASE_OF_FIXED_PROD_ASSETS","FQ3 2021","FQ3 2021","Currency=USD","Period=FQ","BEST_FPERIOD_OVERRIDE=FQ","FILING_STATUS=MR","SCALING_FORMAT=MLN","Sort=A","Dates=H","DateFormat=P","Fill=—","Direction=H","UseDPDF=Y")</f>
        <v>-0.30930000000000002</v>
      </c>
      <c r="O26" s="25">
        <f>_xll.BDH("ITCI US Equity","CF_PURCHASE_OF_FIXED_PROD_ASSETS","FQ4 2021","FQ4 2021","Currency=USD","Period=FQ","BEST_FPERIOD_OVERRIDE=FQ","FILING_STATUS=MR","SCALING_FORMAT=MLN","Sort=A","Dates=H","DateFormat=P","Fill=—","Direction=H","UseDPDF=Y")</f>
        <v>-1.1999999999999999E-3</v>
      </c>
      <c r="P26" s="25">
        <f>_xll.BDH("ITCI US Equity","CF_PURCHASE_OF_FIXED_PROD_ASSETS","FQ1 2022","FQ1 2022","Currency=USD","Period=FQ","BEST_FPERIOD_OVERRIDE=FQ","FILING_STATUS=MR","SCALING_FORMAT=MLN","Sort=A","Dates=H","DateFormat=P","Fill=—","Direction=H","UseDPDF=Y")</f>
        <v>-0.56599999999999995</v>
      </c>
      <c r="Q26" s="25">
        <f>_xll.BDH("ITCI US Equity","CF_PURCHASE_OF_FIXED_PROD_ASSETS","FQ2 2022","FQ2 2022","Currency=USD","Period=FQ","BEST_FPERIOD_OVERRIDE=FQ","FILING_STATUS=MR","SCALING_FORMAT=MLN","Sort=A","Dates=H","DateFormat=P","Fill=—","Direction=H","UseDPDF=Y")</f>
        <v>-0.123</v>
      </c>
      <c r="R26" s="25">
        <f>_xll.BDH("ITCI US Equity","CF_PURCHASE_OF_FIXED_PROD_ASSETS","FQ3 2022","FQ3 2022","Currency=USD","Period=FQ","BEST_FPERIOD_OVERRIDE=FQ","FILING_STATUS=MR","SCALING_FORMAT=MLN","Sort=A","Dates=H","DateFormat=P","Fill=—","Direction=H","UseDPDF=Y")</f>
        <v>-0.11700000000000001</v>
      </c>
      <c r="S26" s="25">
        <f>_xll.BDH("ITCI US Equity","CF_PURCHASE_OF_FIXED_PROD_ASSETS","FQ4 2022","FQ4 2022","Currency=USD","Period=FQ","BEST_FPERIOD_OVERRIDE=FQ","FILING_STATUS=MR","SCALING_FORMAT=MLN","Sort=A","Dates=H","DateFormat=P","Fill=—","Direction=H","UseDPDF=Y")</f>
        <v>0</v>
      </c>
      <c r="T26" s="25">
        <f>_xll.BDH("ITCI US Equity","CF_PURCHASE_OF_FIXED_PROD_ASSETS","FQ1 2023","FQ1 2023","Currency=USD","Period=FQ","BEST_FPERIOD_OVERRIDE=FQ","FILING_STATUS=MR","SCALING_FORMAT=MLN","Sort=A","Dates=H","DateFormat=P","Fill=—","Direction=H","UseDPDF=Y")</f>
        <v>0</v>
      </c>
      <c r="U26" s="25">
        <f>_xll.BDH("ITCI US Equity","CF_PURCHASE_OF_FIXED_PROD_ASSETS","FQ2 2023","FQ2 2023","Currency=USD","Period=FQ","BEST_FPERIOD_OVERRIDE=FQ","FILING_STATUS=MR","SCALING_FORMAT=MLN","Sort=A","Dates=H","DateFormat=P","Fill=—","Direction=H","UseDPDF=Y")</f>
        <v>0</v>
      </c>
      <c r="V26" s="25">
        <f>_xll.BDH("ITCI US Equity","CF_PURCHASE_OF_FIXED_PROD_ASSETS","FQ3 2023","FQ3 2023","Currency=USD","Period=FQ","BEST_FPERIOD_OVERRIDE=FQ","FILING_STATUS=MR","SCALING_FORMAT=MLN","Sort=A","Dates=H","DateFormat=P","Fill=—","Direction=H","UseDPDF=Y")</f>
        <v>-0.26800000000000002</v>
      </c>
      <c r="W26" s="25">
        <f>_xll.BDH("ITCI US Equity","CF_PURCHASE_OF_FIXED_PROD_ASSETS","FQ4 2023","FQ4 2023","Currency=USD","Period=FQ","BEST_FPERIOD_OVERRIDE=FQ","FILING_STATUS=MR","SCALING_FORMAT=MLN","Sort=A","Dates=H","DateFormat=P","Fill=—","Direction=H","UseDPDF=Y")</f>
        <v>-1E-3</v>
      </c>
      <c r="X26" s="25">
        <f>_xll.BDH("ITCI US Equity","CF_PURCHASE_OF_FIXED_PROD_ASSETS","FQ1 2024","FQ1 2024","Currency=USD","Period=FQ","BEST_FPERIOD_OVERRIDE=FQ","FILING_STATUS=MR","SCALING_FORMAT=MLN","Sort=A","Dates=H","DateFormat=P","Fill=—","Direction=H","UseDPDF=Y")</f>
        <v>0</v>
      </c>
      <c r="Y26" s="25">
        <f>_xll.BDH("ITCI US Equity","CF_PURCHASE_OF_FIXED_PROD_ASSETS","FQ2 2024","FQ2 2024","Currency=USD","Period=FQ","BEST_FPERIOD_OVERRIDE=FQ","FILING_STATUS=MR","SCALING_FORMAT=MLN","Sort=A","Dates=H","DateFormat=P","Fill=—","Direction=H","UseDPDF=Y")</f>
        <v>-5.2999999999999999E-2</v>
      </c>
      <c r="Z26" s="25">
        <f>_xll.BDH("ITCI US Equity","CF_PURCHASE_OF_FIXED_PROD_ASSETS","FQ3 2024","FQ3 2024","Currency=USD","Period=FQ","BEST_FPERIOD_OVERRIDE=FQ","FILING_STATUS=MR","SCALING_FORMAT=MLN","Sort=A","Dates=H","DateFormat=P","Fill=—","Direction=H","UseDPDF=Y")</f>
        <v>-0.69599999999999995</v>
      </c>
      <c r="AA26" s="25" t="str">
        <f>_xll.BDH("ITCI US Equity","CF_PURCHASE_OF_FIXED_PROD_ASSETS","FQ4 2024","FQ4 2024","Currency=USD","Period=FQ","BEST_FPERIOD_OVERRIDE=FQ","FILING_STATUS=MR","SCALING_FORMAT=MLN","Sort=A","Dates=H","DateFormat=P","Fill=—","Direction=H","UseDPDF=Y")</f>
        <v>—</v>
      </c>
    </row>
    <row r="27" spans="1:27" x14ac:dyDescent="0.25">
      <c r="A27" s="11" t="s">
        <v>969</v>
      </c>
      <c r="B27" s="11" t="s">
        <v>970</v>
      </c>
      <c r="C27" s="25">
        <f>_xll.BDH("ITCI US Equity","CF_ACQUISITION_OF_INTANG_ASSETS","FQ4 2018","FQ4 2018","Currency=USD","Period=FQ","BEST_FPERIOD_OVERRIDE=FQ","FILING_STATUS=MR","SCALING_FORMAT=MLN","Sort=A","Dates=H","DateFormat=P","Fill=—","Direction=H","UseDPDF=Y")</f>
        <v>0</v>
      </c>
      <c r="D27" s="25">
        <f>_xll.BDH("ITCI US Equity","CF_ACQUISITION_OF_INTANG_ASSETS","FQ1 2019","FQ1 2019","Currency=USD","Period=FQ","BEST_FPERIOD_OVERRIDE=FQ","FILING_STATUS=MR","SCALING_FORMAT=MLN","Sort=A","Dates=H","DateFormat=P","Fill=—","Direction=H","UseDPDF=Y")</f>
        <v>0</v>
      </c>
      <c r="E27" s="25">
        <f>_xll.BDH("ITCI US Equity","CF_ACQUISITION_OF_INTANG_ASSETS","FQ2 2019","FQ2 2019","Currency=USD","Period=FQ","BEST_FPERIOD_OVERRIDE=FQ","FILING_STATUS=MR","SCALING_FORMAT=MLN","Sort=A","Dates=H","DateFormat=P","Fill=—","Direction=H","UseDPDF=Y")</f>
        <v>0</v>
      </c>
      <c r="F27" s="25">
        <f>_xll.BDH("ITCI US Equity","CF_ACQUISITION_OF_INTANG_ASSETS","FQ3 2019","FQ3 2019","Currency=USD","Period=FQ","BEST_FPERIOD_OVERRIDE=FQ","FILING_STATUS=MR","SCALING_FORMAT=MLN","Sort=A","Dates=H","DateFormat=P","Fill=—","Direction=H","UseDPDF=Y")</f>
        <v>0</v>
      </c>
      <c r="G27" s="25">
        <f>_xll.BDH("ITCI US Equity","CF_ACQUISITION_OF_INTANG_ASSETS","FQ4 2019","FQ4 2019","Currency=USD","Period=FQ","BEST_FPERIOD_OVERRIDE=FQ","FILING_STATUS=MR","SCALING_FORMAT=MLN","Sort=A","Dates=H","DateFormat=P","Fill=—","Direction=H","UseDPDF=Y")</f>
        <v>0</v>
      </c>
      <c r="H27" s="25">
        <f>_xll.BDH("ITCI US Equity","CF_ACQUISITION_OF_INTANG_ASSETS","FQ1 2020","FQ1 2020","Currency=USD","Period=FQ","BEST_FPERIOD_OVERRIDE=FQ","FILING_STATUS=MR","SCALING_FORMAT=MLN","Sort=A","Dates=H","DateFormat=P","Fill=—","Direction=H","UseDPDF=Y")</f>
        <v>0</v>
      </c>
      <c r="I27" s="25">
        <f>_xll.BDH("ITCI US Equity","CF_ACQUISITION_OF_INTANG_ASSETS","FQ2 2020","FQ2 2020","Currency=USD","Period=FQ","BEST_FPERIOD_OVERRIDE=FQ","FILING_STATUS=MR","SCALING_FORMAT=MLN","Sort=A","Dates=H","DateFormat=P","Fill=—","Direction=H","UseDPDF=Y")</f>
        <v>0</v>
      </c>
      <c r="J27" s="25">
        <f>_xll.BDH("ITCI US Equity","CF_ACQUISITION_OF_INTANG_ASSETS","FQ3 2020","FQ3 2020","Currency=USD","Period=FQ","BEST_FPERIOD_OVERRIDE=FQ","FILING_STATUS=MR","SCALING_FORMAT=MLN","Sort=A","Dates=H","DateFormat=P","Fill=—","Direction=H","UseDPDF=Y")</f>
        <v>0</v>
      </c>
      <c r="K27" s="25">
        <f>_xll.BDH("ITCI US Equity","CF_ACQUISITION_OF_INTANG_ASSETS","FQ4 2020","FQ4 2020","Currency=USD","Period=FQ","BEST_FPERIOD_OVERRIDE=FQ","FILING_STATUS=MR","SCALING_FORMAT=MLN","Sort=A","Dates=H","DateFormat=P","Fill=—","Direction=H","UseDPDF=Y")</f>
        <v>0</v>
      </c>
      <c r="L27" s="25">
        <f>_xll.BDH("ITCI US Equity","CF_ACQUISITION_OF_INTANG_ASSETS","FQ1 2021","FQ1 2021","Currency=USD","Period=FQ","BEST_FPERIOD_OVERRIDE=FQ","FILING_STATUS=MR","SCALING_FORMAT=MLN","Sort=A","Dates=H","DateFormat=P","Fill=—","Direction=H","UseDPDF=Y")</f>
        <v>0</v>
      </c>
      <c r="M27" s="25">
        <f>_xll.BDH("ITCI US Equity","CF_ACQUISITION_OF_INTANG_ASSETS","FQ2 2021","FQ2 2021","Currency=USD","Period=FQ","BEST_FPERIOD_OVERRIDE=FQ","FILING_STATUS=MR","SCALING_FORMAT=MLN","Sort=A","Dates=H","DateFormat=P","Fill=—","Direction=H","UseDPDF=Y")</f>
        <v>0</v>
      </c>
      <c r="N27" s="25">
        <f>_xll.BDH("ITCI US Equity","CF_ACQUISITION_OF_INTANG_ASSETS","FQ3 2021","FQ3 2021","Currency=USD","Period=FQ","BEST_FPERIOD_OVERRIDE=FQ","FILING_STATUS=MR","SCALING_FORMAT=MLN","Sort=A","Dates=H","DateFormat=P","Fill=—","Direction=H","UseDPDF=Y")</f>
        <v>0</v>
      </c>
      <c r="O27" s="25">
        <f>_xll.BDH("ITCI US Equity","CF_ACQUISITION_OF_INTANG_ASSETS","FQ4 2021","FQ4 2021","Currency=USD","Period=FQ","BEST_FPERIOD_OVERRIDE=FQ","FILING_STATUS=MR","SCALING_FORMAT=MLN","Sort=A","Dates=H","DateFormat=P","Fill=—","Direction=H","UseDPDF=Y")</f>
        <v>0</v>
      </c>
      <c r="P27" s="25">
        <f>_xll.BDH("ITCI US Equity","CF_ACQUISITION_OF_INTANG_ASSETS","FQ1 2022","FQ1 2022","Currency=USD","Period=FQ","BEST_FPERIOD_OVERRIDE=FQ","FILING_STATUS=MR","SCALING_FORMAT=MLN","Sort=A","Dates=H","DateFormat=P","Fill=—","Direction=H","UseDPDF=Y")</f>
        <v>0</v>
      </c>
      <c r="Q27" s="25">
        <f>_xll.BDH("ITCI US Equity","CF_ACQUISITION_OF_INTANG_ASSETS","FQ2 2022","FQ2 2022","Currency=USD","Period=FQ","BEST_FPERIOD_OVERRIDE=FQ","FILING_STATUS=MR","SCALING_FORMAT=MLN","Sort=A","Dates=H","DateFormat=P","Fill=—","Direction=H","UseDPDF=Y")</f>
        <v>0</v>
      </c>
      <c r="R27" s="25">
        <f>_xll.BDH("ITCI US Equity","CF_ACQUISITION_OF_INTANG_ASSETS","FQ3 2022","FQ3 2022","Currency=USD","Period=FQ","BEST_FPERIOD_OVERRIDE=FQ","FILING_STATUS=MR","SCALING_FORMAT=MLN","Sort=A","Dates=H","DateFormat=P","Fill=—","Direction=H","UseDPDF=Y")</f>
        <v>0</v>
      </c>
      <c r="S27" s="25">
        <f>_xll.BDH("ITCI US Equity","CF_ACQUISITION_OF_INTANG_ASSETS","FQ4 2022","FQ4 2022","Currency=USD","Period=FQ","BEST_FPERIOD_OVERRIDE=FQ","FILING_STATUS=MR","SCALING_FORMAT=MLN","Sort=A","Dates=H","DateFormat=P","Fill=—","Direction=H","UseDPDF=Y")</f>
        <v>0</v>
      </c>
      <c r="T27" s="25">
        <f>_xll.BDH("ITCI US Equity","CF_ACQUISITION_OF_INTANG_ASSETS","FQ1 2023","FQ1 2023","Currency=USD","Period=FQ","BEST_FPERIOD_OVERRIDE=FQ","FILING_STATUS=MR","SCALING_FORMAT=MLN","Sort=A","Dates=H","DateFormat=P","Fill=—","Direction=H","UseDPDF=Y")</f>
        <v>0</v>
      </c>
      <c r="U27" s="25">
        <f>_xll.BDH("ITCI US Equity","CF_ACQUISITION_OF_INTANG_ASSETS","FQ2 2023","FQ2 2023","Currency=USD","Period=FQ","BEST_FPERIOD_OVERRIDE=FQ","FILING_STATUS=MR","SCALING_FORMAT=MLN","Sort=A","Dates=H","DateFormat=P","Fill=—","Direction=H","UseDPDF=Y")</f>
        <v>0</v>
      </c>
      <c r="V27" s="25">
        <f>_xll.BDH("ITCI US Equity","CF_ACQUISITION_OF_INTANG_ASSETS","FQ3 2023","FQ3 2023","Currency=USD","Period=FQ","BEST_FPERIOD_OVERRIDE=FQ","FILING_STATUS=MR","SCALING_FORMAT=MLN","Sort=A","Dates=H","DateFormat=P","Fill=—","Direction=H","UseDPDF=Y")</f>
        <v>0</v>
      </c>
      <c r="W27" s="25">
        <f>_xll.BDH("ITCI US Equity","CF_ACQUISITION_OF_INTANG_ASSETS","FQ4 2023","FQ4 2023","Currency=USD","Period=FQ","BEST_FPERIOD_OVERRIDE=FQ","FILING_STATUS=MR","SCALING_FORMAT=MLN","Sort=A","Dates=H","DateFormat=P","Fill=—","Direction=H","UseDPDF=Y")</f>
        <v>0</v>
      </c>
      <c r="X27" s="25">
        <f>_xll.BDH("ITCI US Equity","CF_ACQUISITION_OF_INTANG_ASSETS","FQ1 2024","FQ1 2024","Currency=USD","Period=FQ","BEST_FPERIOD_OVERRIDE=FQ","FILING_STATUS=MR","SCALING_FORMAT=MLN","Sort=A","Dates=H","DateFormat=P","Fill=—","Direction=H","UseDPDF=Y")</f>
        <v>0</v>
      </c>
      <c r="Y27" s="25">
        <f>_xll.BDH("ITCI US Equity","CF_ACQUISITION_OF_INTANG_ASSETS","FQ2 2024","FQ2 2024","Currency=USD","Period=FQ","BEST_FPERIOD_OVERRIDE=FQ","FILING_STATUS=MR","SCALING_FORMAT=MLN","Sort=A","Dates=H","DateFormat=P","Fill=—","Direction=H","UseDPDF=Y")</f>
        <v>0</v>
      </c>
      <c r="Z27" s="25">
        <f>_xll.BDH("ITCI US Equity","CF_ACQUISITION_OF_INTANG_ASSETS","FQ3 2024","FQ3 2024","Currency=USD","Period=FQ","BEST_FPERIOD_OVERRIDE=FQ","FILING_STATUS=MR","SCALING_FORMAT=MLN","Sort=A","Dates=H","DateFormat=P","Fill=—","Direction=H","UseDPDF=Y")</f>
        <v>0</v>
      </c>
      <c r="AA27" s="25" t="str">
        <f>_xll.BDH("ITCI US Equity","CF_ACQUISITION_OF_INTANG_ASSETS","FQ4 2024","FQ4 2024","Currency=USD","Period=FQ","BEST_FPERIOD_OVERRIDE=FQ","FILING_STATUS=MR","SCALING_FORMAT=MLN","Sort=A","Dates=H","DateFormat=P","Fill=—","Direction=H","UseDPDF=Y")</f>
        <v>—</v>
      </c>
    </row>
    <row r="28" spans="1:27" x14ac:dyDescent="0.25">
      <c r="A28" s="10" t="s">
        <v>971</v>
      </c>
      <c r="B28" s="10" t="s">
        <v>972</v>
      </c>
      <c r="C28" s="13">
        <f>_xll.BDH("ITCI US Equity","NET_CHG_IN_LT_INVEST_DETAILED","FQ4 2018","FQ4 2018","Currency=USD","Period=FQ","BEST_FPERIOD_OVERRIDE=FQ","FILING_STATUS=MR","SCALING_FORMAT=MLN","Sort=A","Dates=H","DateFormat=P","Fill=—","Direction=H","UseDPDF=Y")</f>
        <v>0</v>
      </c>
      <c r="D28" s="13">
        <f>_xll.BDH("ITCI US Equity","NET_CHG_IN_LT_INVEST_DETAILED","FQ1 2019","FQ1 2019","Currency=USD","Period=FQ","BEST_FPERIOD_OVERRIDE=FQ","FILING_STATUS=MR","SCALING_FORMAT=MLN","Sort=A","Dates=H","DateFormat=P","Fill=—","Direction=H","UseDPDF=Y")</f>
        <v>0</v>
      </c>
      <c r="E28" s="13">
        <f>_xll.BDH("ITCI US Equity","NET_CHG_IN_LT_INVEST_DETAILED","FQ2 2019","FQ2 2019","Currency=USD","Period=FQ","BEST_FPERIOD_OVERRIDE=FQ","FILING_STATUS=MR","SCALING_FORMAT=MLN","Sort=A","Dates=H","DateFormat=P","Fill=—","Direction=H","UseDPDF=Y")</f>
        <v>0</v>
      </c>
      <c r="F28" s="13">
        <f>_xll.BDH("ITCI US Equity","NET_CHG_IN_LT_INVEST_DETAILED","FQ3 2019","FQ3 2019","Currency=USD","Period=FQ","BEST_FPERIOD_OVERRIDE=FQ","FILING_STATUS=MR","SCALING_FORMAT=MLN","Sort=A","Dates=H","DateFormat=P","Fill=—","Direction=H","UseDPDF=Y")</f>
        <v>0</v>
      </c>
      <c r="G28" s="13">
        <f>_xll.BDH("ITCI US Equity","NET_CHG_IN_LT_INVEST_DETAILED","FQ4 2019","FQ4 2019","Currency=USD","Period=FQ","BEST_FPERIOD_OVERRIDE=FQ","FILING_STATUS=MR","SCALING_FORMAT=MLN","Sort=A","Dates=H","DateFormat=P","Fill=—","Direction=H","UseDPDF=Y")</f>
        <v>0</v>
      </c>
      <c r="H28" s="13">
        <f>_xll.BDH("ITCI US Equity","NET_CHG_IN_LT_INVEST_DETAILED","FQ1 2020","FQ1 2020","Currency=USD","Period=FQ","BEST_FPERIOD_OVERRIDE=FQ","FILING_STATUS=MR","SCALING_FORMAT=MLN","Sort=A","Dates=H","DateFormat=P","Fill=—","Direction=H","UseDPDF=Y")</f>
        <v>0</v>
      </c>
      <c r="I28" s="13">
        <f>_xll.BDH("ITCI US Equity","NET_CHG_IN_LT_INVEST_DETAILED","FQ2 2020","FQ2 2020","Currency=USD","Period=FQ","BEST_FPERIOD_OVERRIDE=FQ","FILING_STATUS=MR","SCALING_FORMAT=MLN","Sort=A","Dates=H","DateFormat=P","Fill=—","Direction=H","UseDPDF=Y")</f>
        <v>0</v>
      </c>
      <c r="J28" s="13">
        <f>_xll.BDH("ITCI US Equity","NET_CHG_IN_LT_INVEST_DETAILED","FQ3 2020","FQ3 2020","Currency=USD","Period=FQ","BEST_FPERIOD_OVERRIDE=FQ","FILING_STATUS=MR","SCALING_FORMAT=MLN","Sort=A","Dates=H","DateFormat=P","Fill=—","Direction=H","UseDPDF=Y")</f>
        <v>0</v>
      </c>
      <c r="K28" s="13">
        <f>_xll.BDH("ITCI US Equity","NET_CHG_IN_LT_INVEST_DETAILED","FQ4 2020","FQ4 2020","Currency=USD","Period=FQ","BEST_FPERIOD_OVERRIDE=FQ","FILING_STATUS=MR","SCALING_FORMAT=MLN","Sort=A","Dates=H","DateFormat=P","Fill=—","Direction=H","UseDPDF=Y")</f>
        <v>0</v>
      </c>
      <c r="L28" s="13">
        <f>_xll.BDH("ITCI US Equity","NET_CHG_IN_LT_INVEST_DETAILED","FQ1 2021","FQ1 2021","Currency=USD","Period=FQ","BEST_FPERIOD_OVERRIDE=FQ","FILING_STATUS=MR","SCALING_FORMAT=MLN","Sort=A","Dates=H","DateFormat=P","Fill=—","Direction=H","UseDPDF=Y")</f>
        <v>0</v>
      </c>
      <c r="M28" s="13">
        <f>_xll.BDH("ITCI US Equity","NET_CHG_IN_LT_INVEST_DETAILED","FQ2 2021","FQ2 2021","Currency=USD","Period=FQ","BEST_FPERIOD_OVERRIDE=FQ","FILING_STATUS=MR","SCALING_FORMAT=MLN","Sort=A","Dates=H","DateFormat=P","Fill=—","Direction=H","UseDPDF=Y")</f>
        <v>0</v>
      </c>
      <c r="N28" s="13">
        <f>_xll.BDH("ITCI US Equity","NET_CHG_IN_LT_INVEST_DETAILED","FQ3 2021","FQ3 2021","Currency=USD","Period=FQ","BEST_FPERIOD_OVERRIDE=FQ","FILING_STATUS=MR","SCALING_FORMAT=MLN","Sort=A","Dates=H","DateFormat=P","Fill=—","Direction=H","UseDPDF=Y")</f>
        <v>0</v>
      </c>
      <c r="O28" s="13">
        <f>_xll.BDH("ITCI US Equity","NET_CHG_IN_LT_INVEST_DETAILED","FQ4 2021","FQ4 2021","Currency=USD","Period=FQ","BEST_FPERIOD_OVERRIDE=FQ","FILING_STATUS=MR","SCALING_FORMAT=MLN","Sort=A","Dates=H","DateFormat=P","Fill=—","Direction=H","UseDPDF=Y")</f>
        <v>0</v>
      </c>
      <c r="P28" s="13">
        <f>_xll.BDH("ITCI US Equity","NET_CHG_IN_LT_INVEST_DETAILED","FQ1 2022","FQ1 2022","Currency=USD","Period=FQ","BEST_FPERIOD_OVERRIDE=FQ","FILING_STATUS=MR","SCALING_FORMAT=MLN","Sort=A","Dates=H","DateFormat=P","Fill=—","Direction=H","UseDPDF=Y")</f>
        <v>0</v>
      </c>
      <c r="Q28" s="13">
        <f>_xll.BDH("ITCI US Equity","NET_CHG_IN_LT_INVEST_DETAILED","FQ2 2022","FQ2 2022","Currency=USD","Period=FQ","BEST_FPERIOD_OVERRIDE=FQ","FILING_STATUS=MR","SCALING_FORMAT=MLN","Sort=A","Dates=H","DateFormat=P","Fill=—","Direction=H","UseDPDF=Y")</f>
        <v>0</v>
      </c>
      <c r="R28" s="13">
        <f>_xll.BDH("ITCI US Equity","NET_CHG_IN_LT_INVEST_DETAILED","FQ3 2022","FQ3 2022","Currency=USD","Period=FQ","BEST_FPERIOD_OVERRIDE=FQ","FILING_STATUS=MR","SCALING_FORMAT=MLN","Sort=A","Dates=H","DateFormat=P","Fill=—","Direction=H","UseDPDF=Y")</f>
        <v>0</v>
      </c>
      <c r="S28" s="13">
        <f>_xll.BDH("ITCI US Equity","NET_CHG_IN_LT_INVEST_DETAILED","FQ4 2022","FQ4 2022","Currency=USD","Period=FQ","BEST_FPERIOD_OVERRIDE=FQ","FILING_STATUS=MR","SCALING_FORMAT=MLN","Sort=A","Dates=H","DateFormat=P","Fill=—","Direction=H","UseDPDF=Y")</f>
        <v>0</v>
      </c>
      <c r="T28" s="13">
        <f>_xll.BDH("ITCI US Equity","NET_CHG_IN_LT_INVEST_DETAILED","FQ1 2023","FQ1 2023","Currency=USD","Period=FQ","BEST_FPERIOD_OVERRIDE=FQ","FILING_STATUS=MR","SCALING_FORMAT=MLN","Sort=A","Dates=H","DateFormat=P","Fill=—","Direction=H","UseDPDF=Y")</f>
        <v>0</v>
      </c>
      <c r="U28" s="13">
        <f>_xll.BDH("ITCI US Equity","NET_CHG_IN_LT_INVEST_DETAILED","FQ2 2023","FQ2 2023","Currency=USD","Period=FQ","BEST_FPERIOD_OVERRIDE=FQ","FILING_STATUS=MR","SCALING_FORMAT=MLN","Sort=A","Dates=H","DateFormat=P","Fill=—","Direction=H","UseDPDF=Y")</f>
        <v>0</v>
      </c>
      <c r="V28" s="13">
        <f>_xll.BDH("ITCI US Equity","NET_CHG_IN_LT_INVEST_DETAILED","FQ3 2023","FQ3 2023","Currency=USD","Period=FQ","BEST_FPERIOD_OVERRIDE=FQ","FILING_STATUS=MR","SCALING_FORMAT=MLN","Sort=A","Dates=H","DateFormat=P","Fill=—","Direction=H","UseDPDF=Y")</f>
        <v>0</v>
      </c>
      <c r="W28" s="13">
        <f>_xll.BDH("ITCI US Equity","NET_CHG_IN_LT_INVEST_DETAILED","FQ4 2023","FQ4 2023","Currency=USD","Period=FQ","BEST_FPERIOD_OVERRIDE=FQ","FILING_STATUS=MR","SCALING_FORMAT=MLN","Sort=A","Dates=H","DateFormat=P","Fill=—","Direction=H","UseDPDF=Y")</f>
        <v>0</v>
      </c>
      <c r="X28" s="13">
        <f>_xll.BDH("ITCI US Equity","NET_CHG_IN_LT_INVEST_DETAILED","FQ1 2024","FQ1 2024","Currency=USD","Period=FQ","BEST_FPERIOD_OVERRIDE=FQ","FILING_STATUS=MR","SCALING_FORMAT=MLN","Sort=A","Dates=H","DateFormat=P","Fill=—","Direction=H","UseDPDF=Y")</f>
        <v>0</v>
      </c>
      <c r="Y28" s="13">
        <f>_xll.BDH("ITCI US Equity","NET_CHG_IN_LT_INVEST_DETAILED","FQ2 2024","FQ2 2024","Currency=USD","Period=FQ","BEST_FPERIOD_OVERRIDE=FQ","FILING_STATUS=MR","SCALING_FORMAT=MLN","Sort=A","Dates=H","DateFormat=P","Fill=—","Direction=H","UseDPDF=Y")</f>
        <v>0</v>
      </c>
      <c r="Z28" s="13">
        <f>_xll.BDH("ITCI US Equity","NET_CHG_IN_LT_INVEST_DETAILED","FQ3 2024","FQ3 2024","Currency=USD","Period=FQ","BEST_FPERIOD_OVERRIDE=FQ","FILING_STATUS=MR","SCALING_FORMAT=MLN","Sort=A","Dates=H","DateFormat=P","Fill=—","Direction=H","UseDPDF=Y")</f>
        <v>0</v>
      </c>
      <c r="AA28" s="13">
        <f>_xll.BDH("ITCI US Equity","NET_CHG_IN_LT_INVEST_DETAILED","FQ4 2024","FQ4 2024","Currency=USD","Period=FQ","BEST_FPERIOD_OVERRIDE=FQ","FILING_STATUS=MR","SCALING_FORMAT=MLN","Sort=A","Dates=H","DateFormat=P","Fill=—","Direction=H","UseDPDF=Y")</f>
        <v>0</v>
      </c>
    </row>
    <row r="29" spans="1:27" x14ac:dyDescent="0.25">
      <c r="A29" s="10" t="s">
        <v>973</v>
      </c>
      <c r="B29" s="10" t="s">
        <v>974</v>
      </c>
      <c r="C29" s="13">
        <f>_xll.BDH("ITCI US Equity","CF_DECR_INVEST","FQ4 2018","FQ4 2018","Currency=USD","Period=FQ","BEST_FPERIOD_OVERRIDE=FQ","FILING_STATUS=MR","SCALING_FORMAT=MLN","Sort=A","Dates=H","DateFormat=P","Fill=—","Direction=H","UseDPDF=Y")</f>
        <v>0</v>
      </c>
      <c r="D29" s="13">
        <f>_xll.BDH("ITCI US Equity","CF_DECR_INVEST","FQ1 2019","FQ1 2019","Currency=USD","Period=FQ","BEST_FPERIOD_OVERRIDE=FQ","FILING_STATUS=MR","SCALING_FORMAT=MLN","Sort=A","Dates=H","DateFormat=P","Fill=—","Direction=H","UseDPDF=Y")</f>
        <v>0</v>
      </c>
      <c r="E29" s="13">
        <f>_xll.BDH("ITCI US Equity","CF_DECR_INVEST","FQ2 2019","FQ2 2019","Currency=USD","Period=FQ","BEST_FPERIOD_OVERRIDE=FQ","FILING_STATUS=MR","SCALING_FORMAT=MLN","Sort=A","Dates=H","DateFormat=P","Fill=—","Direction=H","UseDPDF=Y")</f>
        <v>0</v>
      </c>
      <c r="F29" s="13">
        <f>_xll.BDH("ITCI US Equity","CF_DECR_INVEST","FQ3 2019","FQ3 2019","Currency=USD","Period=FQ","BEST_FPERIOD_OVERRIDE=FQ","FILING_STATUS=MR","SCALING_FORMAT=MLN","Sort=A","Dates=H","DateFormat=P","Fill=—","Direction=H","UseDPDF=Y")</f>
        <v>0</v>
      </c>
      <c r="G29" s="13">
        <f>_xll.BDH("ITCI US Equity","CF_DECR_INVEST","FQ4 2019","FQ4 2019","Currency=USD","Period=FQ","BEST_FPERIOD_OVERRIDE=FQ","FILING_STATUS=MR","SCALING_FORMAT=MLN","Sort=A","Dates=H","DateFormat=P","Fill=—","Direction=H","UseDPDF=Y")</f>
        <v>0</v>
      </c>
      <c r="H29" s="13">
        <f>_xll.BDH("ITCI US Equity","CF_DECR_INVEST","FQ1 2020","FQ1 2020","Currency=USD","Period=FQ","BEST_FPERIOD_OVERRIDE=FQ","FILING_STATUS=MR","SCALING_FORMAT=MLN","Sort=A","Dates=H","DateFormat=P","Fill=—","Direction=H","UseDPDF=Y")</f>
        <v>0</v>
      </c>
      <c r="I29" s="13">
        <f>_xll.BDH("ITCI US Equity","CF_DECR_INVEST","FQ2 2020","FQ2 2020","Currency=USD","Period=FQ","BEST_FPERIOD_OVERRIDE=FQ","FILING_STATUS=MR","SCALING_FORMAT=MLN","Sort=A","Dates=H","DateFormat=P","Fill=—","Direction=H","UseDPDF=Y")</f>
        <v>0</v>
      </c>
      <c r="J29" s="13">
        <f>_xll.BDH("ITCI US Equity","CF_DECR_INVEST","FQ3 2020","FQ3 2020","Currency=USD","Period=FQ","BEST_FPERIOD_OVERRIDE=FQ","FILING_STATUS=MR","SCALING_FORMAT=MLN","Sort=A","Dates=H","DateFormat=P","Fill=—","Direction=H","UseDPDF=Y")</f>
        <v>0</v>
      </c>
      <c r="K29" s="13">
        <f>_xll.BDH("ITCI US Equity","CF_DECR_INVEST","FQ4 2020","FQ4 2020","Currency=USD","Period=FQ","BEST_FPERIOD_OVERRIDE=FQ","FILING_STATUS=MR","SCALING_FORMAT=MLN","Sort=A","Dates=H","DateFormat=P","Fill=—","Direction=H","UseDPDF=Y")</f>
        <v>0</v>
      </c>
      <c r="L29" s="13">
        <f>_xll.BDH("ITCI US Equity","CF_DECR_INVEST","FQ1 2021","FQ1 2021","Currency=USD","Period=FQ","BEST_FPERIOD_OVERRIDE=FQ","FILING_STATUS=MR","SCALING_FORMAT=MLN","Sort=A","Dates=H","DateFormat=P","Fill=—","Direction=H","UseDPDF=Y")</f>
        <v>0</v>
      </c>
      <c r="M29" s="13">
        <f>_xll.BDH("ITCI US Equity","CF_DECR_INVEST","FQ2 2021","FQ2 2021","Currency=USD","Period=FQ","BEST_FPERIOD_OVERRIDE=FQ","FILING_STATUS=MR","SCALING_FORMAT=MLN","Sort=A","Dates=H","DateFormat=P","Fill=—","Direction=H","UseDPDF=Y")</f>
        <v>0</v>
      </c>
      <c r="N29" s="13">
        <f>_xll.BDH("ITCI US Equity","CF_DECR_INVEST","FQ3 2021","FQ3 2021","Currency=USD","Period=FQ","BEST_FPERIOD_OVERRIDE=FQ","FILING_STATUS=MR","SCALING_FORMAT=MLN","Sort=A","Dates=H","DateFormat=P","Fill=—","Direction=H","UseDPDF=Y")</f>
        <v>0</v>
      </c>
      <c r="O29" s="13">
        <f>_xll.BDH("ITCI US Equity","CF_DECR_INVEST","FQ4 2021","FQ4 2021","Currency=USD","Period=FQ","BEST_FPERIOD_OVERRIDE=FQ","FILING_STATUS=MR","SCALING_FORMAT=MLN","Sort=A","Dates=H","DateFormat=P","Fill=—","Direction=H","UseDPDF=Y")</f>
        <v>0</v>
      </c>
      <c r="P29" s="13">
        <f>_xll.BDH("ITCI US Equity","CF_DECR_INVEST","FQ1 2022","FQ1 2022","Currency=USD","Period=FQ","BEST_FPERIOD_OVERRIDE=FQ","FILING_STATUS=MR","SCALING_FORMAT=MLN","Sort=A","Dates=H","DateFormat=P","Fill=—","Direction=H","UseDPDF=Y")</f>
        <v>0</v>
      </c>
      <c r="Q29" s="13">
        <f>_xll.BDH("ITCI US Equity","CF_DECR_INVEST","FQ2 2022","FQ2 2022","Currency=USD","Period=FQ","BEST_FPERIOD_OVERRIDE=FQ","FILING_STATUS=MR","SCALING_FORMAT=MLN","Sort=A","Dates=H","DateFormat=P","Fill=—","Direction=H","UseDPDF=Y")</f>
        <v>0</v>
      </c>
      <c r="R29" s="13">
        <f>_xll.BDH("ITCI US Equity","CF_DECR_INVEST","FQ3 2022","FQ3 2022","Currency=USD","Period=FQ","BEST_FPERIOD_OVERRIDE=FQ","FILING_STATUS=MR","SCALING_FORMAT=MLN","Sort=A","Dates=H","DateFormat=P","Fill=—","Direction=H","UseDPDF=Y")</f>
        <v>0</v>
      </c>
      <c r="S29" s="13">
        <f>_xll.BDH("ITCI US Equity","CF_DECR_INVEST","FQ4 2022","FQ4 2022","Currency=USD","Period=FQ","BEST_FPERIOD_OVERRIDE=FQ","FILING_STATUS=MR","SCALING_FORMAT=MLN","Sort=A","Dates=H","DateFormat=P","Fill=—","Direction=H","UseDPDF=Y")</f>
        <v>0</v>
      </c>
      <c r="T29" s="13">
        <f>_xll.BDH("ITCI US Equity","CF_DECR_INVEST","FQ1 2023","FQ1 2023","Currency=USD","Period=FQ","BEST_FPERIOD_OVERRIDE=FQ","FILING_STATUS=MR","SCALING_FORMAT=MLN","Sort=A","Dates=H","DateFormat=P","Fill=—","Direction=H","UseDPDF=Y")</f>
        <v>0</v>
      </c>
      <c r="U29" s="13">
        <f>_xll.BDH("ITCI US Equity","CF_DECR_INVEST","FQ2 2023","FQ2 2023","Currency=USD","Period=FQ","BEST_FPERIOD_OVERRIDE=FQ","FILING_STATUS=MR","SCALING_FORMAT=MLN","Sort=A","Dates=H","DateFormat=P","Fill=—","Direction=H","UseDPDF=Y")</f>
        <v>0</v>
      </c>
      <c r="V29" s="13">
        <f>_xll.BDH("ITCI US Equity","CF_DECR_INVEST","FQ3 2023","FQ3 2023","Currency=USD","Period=FQ","BEST_FPERIOD_OVERRIDE=FQ","FILING_STATUS=MR","SCALING_FORMAT=MLN","Sort=A","Dates=H","DateFormat=P","Fill=—","Direction=H","UseDPDF=Y")</f>
        <v>0</v>
      </c>
      <c r="W29" s="13">
        <f>_xll.BDH("ITCI US Equity","CF_DECR_INVEST","FQ4 2023","FQ4 2023","Currency=USD","Period=FQ","BEST_FPERIOD_OVERRIDE=FQ","FILING_STATUS=MR","SCALING_FORMAT=MLN","Sort=A","Dates=H","DateFormat=P","Fill=—","Direction=H","UseDPDF=Y")</f>
        <v>0</v>
      </c>
      <c r="X29" s="13">
        <f>_xll.BDH("ITCI US Equity","CF_DECR_INVEST","FQ1 2024","FQ1 2024","Currency=USD","Period=FQ","BEST_FPERIOD_OVERRIDE=FQ","FILING_STATUS=MR","SCALING_FORMAT=MLN","Sort=A","Dates=H","DateFormat=P","Fill=—","Direction=H","UseDPDF=Y")</f>
        <v>0</v>
      </c>
      <c r="Y29" s="13">
        <f>_xll.BDH("ITCI US Equity","CF_DECR_INVEST","FQ2 2024","FQ2 2024","Currency=USD","Period=FQ","BEST_FPERIOD_OVERRIDE=FQ","FILING_STATUS=MR","SCALING_FORMAT=MLN","Sort=A","Dates=H","DateFormat=P","Fill=—","Direction=H","UseDPDF=Y")</f>
        <v>0</v>
      </c>
      <c r="Z29" s="13">
        <f>_xll.BDH("ITCI US Equity","CF_DECR_INVEST","FQ3 2024","FQ3 2024","Currency=USD","Period=FQ","BEST_FPERIOD_OVERRIDE=FQ","FILING_STATUS=MR","SCALING_FORMAT=MLN","Sort=A","Dates=H","DateFormat=P","Fill=—","Direction=H","UseDPDF=Y")</f>
        <v>0</v>
      </c>
      <c r="AA29" s="13">
        <f>_xll.BDH("ITCI US Equity","CF_DECR_INVEST","FQ4 2024","FQ4 2024","Currency=USD","Period=FQ","BEST_FPERIOD_OVERRIDE=FQ","FILING_STATUS=MR","SCALING_FORMAT=MLN","Sort=A","Dates=H","DateFormat=P","Fill=—","Direction=H","UseDPDF=Y")</f>
        <v>0</v>
      </c>
    </row>
    <row r="30" spans="1:27" x14ac:dyDescent="0.25">
      <c r="A30" s="10" t="s">
        <v>975</v>
      </c>
      <c r="B30" s="10" t="s">
        <v>976</v>
      </c>
      <c r="C30" s="13">
        <f>_xll.BDH("ITCI US Equity","CF_INCR_INVEST","FQ4 2018","FQ4 2018","Currency=USD","Period=FQ","BEST_FPERIOD_OVERRIDE=FQ","FILING_STATUS=MR","SCALING_FORMAT=MLN","Sort=A","Dates=H","DateFormat=P","Fill=—","Direction=H","UseDPDF=Y")</f>
        <v>0</v>
      </c>
      <c r="D30" s="13">
        <f>_xll.BDH("ITCI US Equity","CF_INCR_INVEST","FQ1 2019","FQ1 2019","Currency=USD","Period=FQ","BEST_FPERIOD_OVERRIDE=FQ","FILING_STATUS=MR","SCALING_FORMAT=MLN","Sort=A","Dates=H","DateFormat=P","Fill=—","Direction=H","UseDPDF=Y")</f>
        <v>0</v>
      </c>
      <c r="E30" s="13">
        <f>_xll.BDH("ITCI US Equity","CF_INCR_INVEST","FQ2 2019","FQ2 2019","Currency=USD","Period=FQ","BEST_FPERIOD_OVERRIDE=FQ","FILING_STATUS=MR","SCALING_FORMAT=MLN","Sort=A","Dates=H","DateFormat=P","Fill=—","Direction=H","UseDPDF=Y")</f>
        <v>0</v>
      </c>
      <c r="F30" s="13">
        <f>_xll.BDH("ITCI US Equity","CF_INCR_INVEST","FQ3 2019","FQ3 2019","Currency=USD","Period=FQ","BEST_FPERIOD_OVERRIDE=FQ","FILING_STATUS=MR","SCALING_FORMAT=MLN","Sort=A","Dates=H","DateFormat=P","Fill=—","Direction=H","UseDPDF=Y")</f>
        <v>0</v>
      </c>
      <c r="G30" s="13">
        <f>_xll.BDH("ITCI US Equity","CF_INCR_INVEST","FQ4 2019","FQ4 2019","Currency=USD","Period=FQ","BEST_FPERIOD_OVERRIDE=FQ","FILING_STATUS=MR","SCALING_FORMAT=MLN","Sort=A","Dates=H","DateFormat=P","Fill=—","Direction=H","UseDPDF=Y")</f>
        <v>0</v>
      </c>
      <c r="H30" s="13">
        <f>_xll.BDH("ITCI US Equity","CF_INCR_INVEST","FQ1 2020","FQ1 2020","Currency=USD","Period=FQ","BEST_FPERIOD_OVERRIDE=FQ","FILING_STATUS=MR","SCALING_FORMAT=MLN","Sort=A","Dates=H","DateFormat=P","Fill=—","Direction=H","UseDPDF=Y")</f>
        <v>0</v>
      </c>
      <c r="I30" s="13">
        <f>_xll.BDH("ITCI US Equity","CF_INCR_INVEST","FQ2 2020","FQ2 2020","Currency=USD","Period=FQ","BEST_FPERIOD_OVERRIDE=FQ","FILING_STATUS=MR","SCALING_FORMAT=MLN","Sort=A","Dates=H","DateFormat=P","Fill=—","Direction=H","UseDPDF=Y")</f>
        <v>0</v>
      </c>
      <c r="J30" s="13">
        <f>_xll.BDH("ITCI US Equity","CF_INCR_INVEST","FQ3 2020","FQ3 2020","Currency=USD","Period=FQ","BEST_FPERIOD_OVERRIDE=FQ","FILING_STATUS=MR","SCALING_FORMAT=MLN","Sort=A","Dates=H","DateFormat=P","Fill=—","Direction=H","UseDPDF=Y")</f>
        <v>0</v>
      </c>
      <c r="K30" s="13">
        <f>_xll.BDH("ITCI US Equity","CF_INCR_INVEST","FQ4 2020","FQ4 2020","Currency=USD","Period=FQ","BEST_FPERIOD_OVERRIDE=FQ","FILING_STATUS=MR","SCALING_FORMAT=MLN","Sort=A","Dates=H","DateFormat=P","Fill=—","Direction=H","UseDPDF=Y")</f>
        <v>0</v>
      </c>
      <c r="L30" s="13">
        <f>_xll.BDH("ITCI US Equity","CF_INCR_INVEST","FQ1 2021","FQ1 2021","Currency=USD","Period=FQ","BEST_FPERIOD_OVERRIDE=FQ","FILING_STATUS=MR","SCALING_FORMAT=MLN","Sort=A","Dates=H","DateFormat=P","Fill=—","Direction=H","UseDPDF=Y")</f>
        <v>0</v>
      </c>
      <c r="M30" s="13">
        <f>_xll.BDH("ITCI US Equity","CF_INCR_INVEST","FQ2 2021","FQ2 2021","Currency=USD","Period=FQ","BEST_FPERIOD_OVERRIDE=FQ","FILING_STATUS=MR","SCALING_FORMAT=MLN","Sort=A","Dates=H","DateFormat=P","Fill=—","Direction=H","UseDPDF=Y")</f>
        <v>0</v>
      </c>
      <c r="N30" s="13">
        <f>_xll.BDH("ITCI US Equity","CF_INCR_INVEST","FQ3 2021","FQ3 2021","Currency=USD","Period=FQ","BEST_FPERIOD_OVERRIDE=FQ","FILING_STATUS=MR","SCALING_FORMAT=MLN","Sort=A","Dates=H","DateFormat=P","Fill=—","Direction=H","UseDPDF=Y")</f>
        <v>0</v>
      </c>
      <c r="O30" s="13">
        <f>_xll.BDH("ITCI US Equity","CF_INCR_INVEST","FQ4 2021","FQ4 2021","Currency=USD","Period=FQ","BEST_FPERIOD_OVERRIDE=FQ","FILING_STATUS=MR","SCALING_FORMAT=MLN","Sort=A","Dates=H","DateFormat=P","Fill=—","Direction=H","UseDPDF=Y")</f>
        <v>0</v>
      </c>
      <c r="P30" s="13">
        <f>_xll.BDH("ITCI US Equity","CF_INCR_INVEST","FQ1 2022","FQ1 2022","Currency=USD","Period=FQ","BEST_FPERIOD_OVERRIDE=FQ","FILING_STATUS=MR","SCALING_FORMAT=MLN","Sort=A","Dates=H","DateFormat=P","Fill=—","Direction=H","UseDPDF=Y")</f>
        <v>0</v>
      </c>
      <c r="Q30" s="13">
        <f>_xll.BDH("ITCI US Equity","CF_INCR_INVEST","FQ2 2022","FQ2 2022","Currency=USD","Period=FQ","BEST_FPERIOD_OVERRIDE=FQ","FILING_STATUS=MR","SCALING_FORMAT=MLN","Sort=A","Dates=H","DateFormat=P","Fill=—","Direction=H","UseDPDF=Y")</f>
        <v>0</v>
      </c>
      <c r="R30" s="13">
        <f>_xll.BDH("ITCI US Equity","CF_INCR_INVEST","FQ3 2022","FQ3 2022","Currency=USD","Period=FQ","BEST_FPERIOD_OVERRIDE=FQ","FILING_STATUS=MR","SCALING_FORMAT=MLN","Sort=A","Dates=H","DateFormat=P","Fill=—","Direction=H","UseDPDF=Y")</f>
        <v>0</v>
      </c>
      <c r="S30" s="13">
        <f>_xll.BDH("ITCI US Equity","CF_INCR_INVEST","FQ4 2022","FQ4 2022","Currency=USD","Period=FQ","BEST_FPERIOD_OVERRIDE=FQ","FILING_STATUS=MR","SCALING_FORMAT=MLN","Sort=A","Dates=H","DateFormat=P","Fill=—","Direction=H","UseDPDF=Y")</f>
        <v>0</v>
      </c>
      <c r="T30" s="13">
        <f>_xll.BDH("ITCI US Equity","CF_INCR_INVEST","FQ1 2023","FQ1 2023","Currency=USD","Period=FQ","BEST_FPERIOD_OVERRIDE=FQ","FILING_STATUS=MR","SCALING_FORMAT=MLN","Sort=A","Dates=H","DateFormat=P","Fill=—","Direction=H","UseDPDF=Y")</f>
        <v>0</v>
      </c>
      <c r="U30" s="13">
        <f>_xll.BDH("ITCI US Equity","CF_INCR_INVEST","FQ2 2023","FQ2 2023","Currency=USD","Period=FQ","BEST_FPERIOD_OVERRIDE=FQ","FILING_STATUS=MR","SCALING_FORMAT=MLN","Sort=A","Dates=H","DateFormat=P","Fill=—","Direction=H","UseDPDF=Y")</f>
        <v>0</v>
      </c>
      <c r="V30" s="13">
        <f>_xll.BDH("ITCI US Equity","CF_INCR_INVEST","FQ3 2023","FQ3 2023","Currency=USD","Period=FQ","BEST_FPERIOD_OVERRIDE=FQ","FILING_STATUS=MR","SCALING_FORMAT=MLN","Sort=A","Dates=H","DateFormat=P","Fill=—","Direction=H","UseDPDF=Y")</f>
        <v>0</v>
      </c>
      <c r="W30" s="13">
        <f>_xll.BDH("ITCI US Equity","CF_INCR_INVEST","FQ4 2023","FQ4 2023","Currency=USD","Period=FQ","BEST_FPERIOD_OVERRIDE=FQ","FILING_STATUS=MR","SCALING_FORMAT=MLN","Sort=A","Dates=H","DateFormat=P","Fill=—","Direction=H","UseDPDF=Y")</f>
        <v>0</v>
      </c>
      <c r="X30" s="13">
        <f>_xll.BDH("ITCI US Equity","CF_INCR_INVEST","FQ1 2024","FQ1 2024","Currency=USD","Period=FQ","BEST_FPERIOD_OVERRIDE=FQ","FILING_STATUS=MR","SCALING_FORMAT=MLN","Sort=A","Dates=H","DateFormat=P","Fill=—","Direction=H","UseDPDF=Y")</f>
        <v>0</v>
      </c>
      <c r="Y30" s="13">
        <f>_xll.BDH("ITCI US Equity","CF_INCR_INVEST","FQ2 2024","FQ2 2024","Currency=USD","Period=FQ","BEST_FPERIOD_OVERRIDE=FQ","FILING_STATUS=MR","SCALING_FORMAT=MLN","Sort=A","Dates=H","DateFormat=P","Fill=—","Direction=H","UseDPDF=Y")</f>
        <v>0</v>
      </c>
      <c r="Z30" s="13">
        <f>_xll.BDH("ITCI US Equity","CF_INCR_INVEST","FQ3 2024","FQ3 2024","Currency=USD","Period=FQ","BEST_FPERIOD_OVERRIDE=FQ","FILING_STATUS=MR","SCALING_FORMAT=MLN","Sort=A","Dates=H","DateFormat=P","Fill=—","Direction=H","UseDPDF=Y")</f>
        <v>0</v>
      </c>
      <c r="AA30" s="13">
        <f>_xll.BDH("ITCI US Equity","CF_INCR_INVEST","FQ4 2024","FQ4 2024","Currency=USD","Period=FQ","BEST_FPERIOD_OVERRIDE=FQ","FILING_STATUS=MR","SCALING_FORMAT=MLN","Sort=A","Dates=H","DateFormat=P","Fill=—","Direction=H","UseDPDF=Y")</f>
        <v>0</v>
      </c>
    </row>
    <row r="31" spans="1:27" x14ac:dyDescent="0.25">
      <c r="A31" s="10" t="s">
        <v>977</v>
      </c>
      <c r="B31" s="10" t="s">
        <v>978</v>
      </c>
      <c r="C31" s="13">
        <f>_xll.BDH("ITCI US Equity","CF_NT_CSH_RCVD_PD_FOR_ACQUIS_DIV","FQ4 2018","FQ4 2018","Currency=USD","Period=FQ","BEST_FPERIOD_OVERRIDE=FQ","FILING_STATUS=MR","SCALING_FORMAT=MLN","Sort=A","Dates=H","DateFormat=P","Fill=—","Direction=H","UseDPDF=Y")</f>
        <v>0</v>
      </c>
      <c r="D31" s="13">
        <f>_xll.BDH("ITCI US Equity","CF_NT_CSH_RCVD_PD_FOR_ACQUIS_DIV","FQ1 2019","FQ1 2019","Currency=USD","Period=FQ","BEST_FPERIOD_OVERRIDE=FQ","FILING_STATUS=MR","SCALING_FORMAT=MLN","Sort=A","Dates=H","DateFormat=P","Fill=—","Direction=H","UseDPDF=Y")</f>
        <v>0</v>
      </c>
      <c r="E31" s="13">
        <f>_xll.BDH("ITCI US Equity","CF_NT_CSH_RCVD_PD_FOR_ACQUIS_DIV","FQ2 2019","FQ2 2019","Currency=USD","Period=FQ","BEST_FPERIOD_OVERRIDE=FQ","FILING_STATUS=MR","SCALING_FORMAT=MLN","Sort=A","Dates=H","DateFormat=P","Fill=—","Direction=H","UseDPDF=Y")</f>
        <v>0</v>
      </c>
      <c r="F31" s="13">
        <f>_xll.BDH("ITCI US Equity","CF_NT_CSH_RCVD_PD_FOR_ACQUIS_DIV","FQ3 2019","FQ3 2019","Currency=USD","Period=FQ","BEST_FPERIOD_OVERRIDE=FQ","FILING_STATUS=MR","SCALING_FORMAT=MLN","Sort=A","Dates=H","DateFormat=P","Fill=—","Direction=H","UseDPDF=Y")</f>
        <v>0</v>
      </c>
      <c r="G31" s="13">
        <f>_xll.BDH("ITCI US Equity","CF_NT_CSH_RCVD_PD_FOR_ACQUIS_DIV","FQ4 2019","FQ4 2019","Currency=USD","Period=FQ","BEST_FPERIOD_OVERRIDE=FQ","FILING_STATUS=MR","SCALING_FORMAT=MLN","Sort=A","Dates=H","DateFormat=P","Fill=—","Direction=H","UseDPDF=Y")</f>
        <v>0</v>
      </c>
      <c r="H31" s="13">
        <f>_xll.BDH("ITCI US Equity","CF_NT_CSH_RCVD_PD_FOR_ACQUIS_DIV","FQ1 2020","FQ1 2020","Currency=USD","Period=FQ","BEST_FPERIOD_OVERRIDE=FQ","FILING_STATUS=MR","SCALING_FORMAT=MLN","Sort=A","Dates=H","DateFormat=P","Fill=—","Direction=H","UseDPDF=Y")</f>
        <v>0</v>
      </c>
      <c r="I31" s="13">
        <f>_xll.BDH("ITCI US Equity","CF_NT_CSH_RCVD_PD_FOR_ACQUIS_DIV","FQ2 2020","FQ2 2020","Currency=USD","Period=FQ","BEST_FPERIOD_OVERRIDE=FQ","FILING_STATUS=MR","SCALING_FORMAT=MLN","Sort=A","Dates=H","DateFormat=P","Fill=—","Direction=H","UseDPDF=Y")</f>
        <v>0</v>
      </c>
      <c r="J31" s="13">
        <f>_xll.BDH("ITCI US Equity","CF_NT_CSH_RCVD_PD_FOR_ACQUIS_DIV","FQ3 2020","FQ3 2020","Currency=USD","Period=FQ","BEST_FPERIOD_OVERRIDE=FQ","FILING_STATUS=MR","SCALING_FORMAT=MLN","Sort=A","Dates=H","DateFormat=P","Fill=—","Direction=H","UseDPDF=Y")</f>
        <v>0</v>
      </c>
      <c r="K31" s="13">
        <f>_xll.BDH("ITCI US Equity","CF_NT_CSH_RCVD_PD_FOR_ACQUIS_DIV","FQ4 2020","FQ4 2020","Currency=USD","Period=FQ","BEST_FPERIOD_OVERRIDE=FQ","FILING_STATUS=MR","SCALING_FORMAT=MLN","Sort=A","Dates=H","DateFormat=P","Fill=—","Direction=H","UseDPDF=Y")</f>
        <v>0</v>
      </c>
      <c r="L31" s="13">
        <f>_xll.BDH("ITCI US Equity","CF_NT_CSH_RCVD_PD_FOR_ACQUIS_DIV","FQ1 2021","FQ1 2021","Currency=USD","Period=FQ","BEST_FPERIOD_OVERRIDE=FQ","FILING_STATUS=MR","SCALING_FORMAT=MLN","Sort=A","Dates=H","DateFormat=P","Fill=—","Direction=H","UseDPDF=Y")</f>
        <v>0</v>
      </c>
      <c r="M31" s="13">
        <f>_xll.BDH("ITCI US Equity","CF_NT_CSH_RCVD_PD_FOR_ACQUIS_DIV","FQ2 2021","FQ2 2021","Currency=USD","Period=FQ","BEST_FPERIOD_OVERRIDE=FQ","FILING_STATUS=MR","SCALING_FORMAT=MLN","Sort=A","Dates=H","DateFormat=P","Fill=—","Direction=H","UseDPDF=Y")</f>
        <v>0</v>
      </c>
      <c r="N31" s="13">
        <f>_xll.BDH("ITCI US Equity","CF_NT_CSH_RCVD_PD_FOR_ACQUIS_DIV","FQ3 2021","FQ3 2021","Currency=USD","Period=FQ","BEST_FPERIOD_OVERRIDE=FQ","FILING_STATUS=MR","SCALING_FORMAT=MLN","Sort=A","Dates=H","DateFormat=P","Fill=—","Direction=H","UseDPDF=Y")</f>
        <v>0</v>
      </c>
      <c r="O31" s="13">
        <f>_xll.BDH("ITCI US Equity","CF_NT_CSH_RCVD_PD_FOR_ACQUIS_DIV","FQ4 2021","FQ4 2021","Currency=USD","Period=FQ","BEST_FPERIOD_OVERRIDE=FQ","FILING_STATUS=MR","SCALING_FORMAT=MLN","Sort=A","Dates=H","DateFormat=P","Fill=—","Direction=H","UseDPDF=Y")</f>
        <v>0</v>
      </c>
      <c r="P31" s="13">
        <f>_xll.BDH("ITCI US Equity","CF_NT_CSH_RCVD_PD_FOR_ACQUIS_DIV","FQ1 2022","FQ1 2022","Currency=USD","Period=FQ","BEST_FPERIOD_OVERRIDE=FQ","FILING_STATUS=MR","SCALING_FORMAT=MLN","Sort=A","Dates=H","DateFormat=P","Fill=—","Direction=H","UseDPDF=Y")</f>
        <v>0</v>
      </c>
      <c r="Q31" s="13">
        <f>_xll.BDH("ITCI US Equity","CF_NT_CSH_RCVD_PD_FOR_ACQUIS_DIV","FQ2 2022","FQ2 2022","Currency=USD","Period=FQ","BEST_FPERIOD_OVERRIDE=FQ","FILING_STATUS=MR","SCALING_FORMAT=MLN","Sort=A","Dates=H","DateFormat=P","Fill=—","Direction=H","UseDPDF=Y")</f>
        <v>0</v>
      </c>
      <c r="R31" s="13">
        <f>_xll.BDH("ITCI US Equity","CF_NT_CSH_RCVD_PD_FOR_ACQUIS_DIV","FQ3 2022","FQ3 2022","Currency=USD","Period=FQ","BEST_FPERIOD_OVERRIDE=FQ","FILING_STATUS=MR","SCALING_FORMAT=MLN","Sort=A","Dates=H","DateFormat=P","Fill=—","Direction=H","UseDPDF=Y")</f>
        <v>0</v>
      </c>
      <c r="S31" s="13">
        <f>_xll.BDH("ITCI US Equity","CF_NT_CSH_RCVD_PD_FOR_ACQUIS_DIV","FQ4 2022","FQ4 2022","Currency=USD","Period=FQ","BEST_FPERIOD_OVERRIDE=FQ","FILING_STATUS=MR","SCALING_FORMAT=MLN","Sort=A","Dates=H","DateFormat=P","Fill=—","Direction=H","UseDPDF=Y")</f>
        <v>0</v>
      </c>
      <c r="T31" s="13">
        <f>_xll.BDH("ITCI US Equity","CF_NT_CSH_RCVD_PD_FOR_ACQUIS_DIV","FQ1 2023","FQ1 2023","Currency=USD","Period=FQ","BEST_FPERIOD_OVERRIDE=FQ","FILING_STATUS=MR","SCALING_FORMAT=MLN","Sort=A","Dates=H","DateFormat=P","Fill=—","Direction=H","UseDPDF=Y")</f>
        <v>0</v>
      </c>
      <c r="U31" s="13">
        <f>_xll.BDH("ITCI US Equity","CF_NT_CSH_RCVD_PD_FOR_ACQUIS_DIV","FQ2 2023","FQ2 2023","Currency=USD","Period=FQ","BEST_FPERIOD_OVERRIDE=FQ","FILING_STATUS=MR","SCALING_FORMAT=MLN","Sort=A","Dates=H","DateFormat=P","Fill=—","Direction=H","UseDPDF=Y")</f>
        <v>0</v>
      </c>
      <c r="V31" s="13">
        <f>_xll.BDH("ITCI US Equity","CF_NT_CSH_RCVD_PD_FOR_ACQUIS_DIV","FQ3 2023","FQ3 2023","Currency=USD","Period=FQ","BEST_FPERIOD_OVERRIDE=FQ","FILING_STATUS=MR","SCALING_FORMAT=MLN","Sort=A","Dates=H","DateFormat=P","Fill=—","Direction=H","UseDPDF=Y")</f>
        <v>0</v>
      </c>
      <c r="W31" s="13">
        <f>_xll.BDH("ITCI US Equity","CF_NT_CSH_RCVD_PD_FOR_ACQUIS_DIV","FQ4 2023","FQ4 2023","Currency=USD","Period=FQ","BEST_FPERIOD_OVERRIDE=FQ","FILING_STATUS=MR","SCALING_FORMAT=MLN","Sort=A","Dates=H","DateFormat=P","Fill=—","Direction=H","UseDPDF=Y")</f>
        <v>0</v>
      </c>
      <c r="X31" s="13">
        <f>_xll.BDH("ITCI US Equity","CF_NT_CSH_RCVD_PD_FOR_ACQUIS_DIV","FQ1 2024","FQ1 2024","Currency=USD","Period=FQ","BEST_FPERIOD_OVERRIDE=FQ","FILING_STATUS=MR","SCALING_FORMAT=MLN","Sort=A","Dates=H","DateFormat=P","Fill=—","Direction=H","UseDPDF=Y")</f>
        <v>0</v>
      </c>
      <c r="Y31" s="13">
        <f>_xll.BDH("ITCI US Equity","CF_NT_CSH_RCVD_PD_FOR_ACQUIS_DIV","FQ2 2024","FQ2 2024","Currency=USD","Period=FQ","BEST_FPERIOD_OVERRIDE=FQ","FILING_STATUS=MR","SCALING_FORMAT=MLN","Sort=A","Dates=H","DateFormat=P","Fill=—","Direction=H","UseDPDF=Y")</f>
        <v>0</v>
      </c>
      <c r="Z31" s="13">
        <f>_xll.BDH("ITCI US Equity","CF_NT_CSH_RCVD_PD_FOR_ACQUIS_DIV","FQ3 2024","FQ3 2024","Currency=USD","Period=FQ","BEST_FPERIOD_OVERRIDE=FQ","FILING_STATUS=MR","SCALING_FORMAT=MLN","Sort=A","Dates=H","DateFormat=P","Fill=—","Direction=H","UseDPDF=Y")</f>
        <v>0</v>
      </c>
      <c r="AA31" s="13">
        <f>_xll.BDH("ITCI US Equity","CF_NT_CSH_RCVD_PD_FOR_ACQUIS_DIV","FQ4 2024","FQ4 2024","Currency=USD","Period=FQ","BEST_FPERIOD_OVERRIDE=FQ","FILING_STATUS=MR","SCALING_FORMAT=MLN","Sort=A","Dates=H","DateFormat=P","Fill=—","Direction=H","UseDPDF=Y")</f>
        <v>0</v>
      </c>
    </row>
    <row r="32" spans="1:27" x14ac:dyDescent="0.25">
      <c r="A32" s="10" t="s">
        <v>979</v>
      </c>
      <c r="B32" s="10" t="s">
        <v>980</v>
      </c>
      <c r="C32" s="13">
        <f>_xll.BDH("ITCI US Equity","CF_CASH_FOR_DIVESTITURES","FQ4 2018","FQ4 2018","Currency=USD","Period=FQ","BEST_FPERIOD_OVERRIDE=FQ","FILING_STATUS=MR","SCALING_FORMAT=MLN","Sort=A","Dates=H","DateFormat=P","Fill=—","Direction=H","UseDPDF=Y")</f>
        <v>0</v>
      </c>
      <c r="D32" s="13">
        <f>_xll.BDH("ITCI US Equity","CF_CASH_FOR_DIVESTITURES","FQ1 2019","FQ1 2019","Currency=USD","Period=FQ","BEST_FPERIOD_OVERRIDE=FQ","FILING_STATUS=MR","SCALING_FORMAT=MLN","Sort=A","Dates=H","DateFormat=P","Fill=—","Direction=H","UseDPDF=Y")</f>
        <v>0</v>
      </c>
      <c r="E32" s="13">
        <f>_xll.BDH("ITCI US Equity","CF_CASH_FOR_DIVESTITURES","FQ2 2019","FQ2 2019","Currency=USD","Period=FQ","BEST_FPERIOD_OVERRIDE=FQ","FILING_STATUS=MR","SCALING_FORMAT=MLN","Sort=A","Dates=H","DateFormat=P","Fill=—","Direction=H","UseDPDF=Y")</f>
        <v>0</v>
      </c>
      <c r="F32" s="13">
        <f>_xll.BDH("ITCI US Equity","CF_CASH_FOR_DIVESTITURES","FQ3 2019","FQ3 2019","Currency=USD","Period=FQ","BEST_FPERIOD_OVERRIDE=FQ","FILING_STATUS=MR","SCALING_FORMAT=MLN","Sort=A","Dates=H","DateFormat=P","Fill=—","Direction=H","UseDPDF=Y")</f>
        <v>0</v>
      </c>
      <c r="G32" s="13">
        <f>_xll.BDH("ITCI US Equity","CF_CASH_FOR_DIVESTITURES","FQ4 2019","FQ4 2019","Currency=USD","Period=FQ","BEST_FPERIOD_OVERRIDE=FQ","FILING_STATUS=MR","SCALING_FORMAT=MLN","Sort=A","Dates=H","DateFormat=P","Fill=—","Direction=H","UseDPDF=Y")</f>
        <v>0</v>
      </c>
      <c r="H32" s="13">
        <f>_xll.BDH("ITCI US Equity","CF_CASH_FOR_DIVESTITURES","FQ1 2020","FQ1 2020","Currency=USD","Period=FQ","BEST_FPERIOD_OVERRIDE=FQ","FILING_STATUS=MR","SCALING_FORMAT=MLN","Sort=A","Dates=H","DateFormat=P","Fill=—","Direction=H","UseDPDF=Y")</f>
        <v>0</v>
      </c>
      <c r="I32" s="13">
        <f>_xll.BDH("ITCI US Equity","CF_CASH_FOR_DIVESTITURES","FQ2 2020","FQ2 2020","Currency=USD","Period=FQ","BEST_FPERIOD_OVERRIDE=FQ","FILING_STATUS=MR","SCALING_FORMAT=MLN","Sort=A","Dates=H","DateFormat=P","Fill=—","Direction=H","UseDPDF=Y")</f>
        <v>0</v>
      </c>
      <c r="J32" s="13">
        <f>_xll.BDH("ITCI US Equity","CF_CASH_FOR_DIVESTITURES","FQ3 2020","FQ3 2020","Currency=USD","Period=FQ","BEST_FPERIOD_OVERRIDE=FQ","FILING_STATUS=MR","SCALING_FORMAT=MLN","Sort=A","Dates=H","DateFormat=P","Fill=—","Direction=H","UseDPDF=Y")</f>
        <v>0</v>
      </c>
      <c r="K32" s="13">
        <f>_xll.BDH("ITCI US Equity","CF_CASH_FOR_DIVESTITURES","FQ4 2020","FQ4 2020","Currency=USD","Period=FQ","BEST_FPERIOD_OVERRIDE=FQ","FILING_STATUS=MR","SCALING_FORMAT=MLN","Sort=A","Dates=H","DateFormat=P","Fill=—","Direction=H","UseDPDF=Y")</f>
        <v>0</v>
      </c>
      <c r="L32" s="13">
        <f>_xll.BDH("ITCI US Equity","CF_CASH_FOR_DIVESTITURES","FQ1 2021","FQ1 2021","Currency=USD","Period=FQ","BEST_FPERIOD_OVERRIDE=FQ","FILING_STATUS=MR","SCALING_FORMAT=MLN","Sort=A","Dates=H","DateFormat=P","Fill=—","Direction=H","UseDPDF=Y")</f>
        <v>0</v>
      </c>
      <c r="M32" s="13">
        <f>_xll.BDH("ITCI US Equity","CF_CASH_FOR_DIVESTITURES","FQ2 2021","FQ2 2021","Currency=USD","Period=FQ","BEST_FPERIOD_OVERRIDE=FQ","FILING_STATUS=MR","SCALING_FORMAT=MLN","Sort=A","Dates=H","DateFormat=P","Fill=—","Direction=H","UseDPDF=Y")</f>
        <v>0</v>
      </c>
      <c r="N32" s="13">
        <f>_xll.BDH("ITCI US Equity","CF_CASH_FOR_DIVESTITURES","FQ3 2021","FQ3 2021","Currency=USD","Period=FQ","BEST_FPERIOD_OVERRIDE=FQ","FILING_STATUS=MR","SCALING_FORMAT=MLN","Sort=A","Dates=H","DateFormat=P","Fill=—","Direction=H","UseDPDF=Y")</f>
        <v>0</v>
      </c>
      <c r="O32" s="13">
        <f>_xll.BDH("ITCI US Equity","CF_CASH_FOR_DIVESTITURES","FQ4 2021","FQ4 2021","Currency=USD","Period=FQ","BEST_FPERIOD_OVERRIDE=FQ","FILING_STATUS=MR","SCALING_FORMAT=MLN","Sort=A","Dates=H","DateFormat=P","Fill=—","Direction=H","UseDPDF=Y")</f>
        <v>0</v>
      </c>
      <c r="P32" s="13">
        <f>_xll.BDH("ITCI US Equity","CF_CASH_FOR_DIVESTITURES","FQ1 2022","FQ1 2022","Currency=USD","Period=FQ","BEST_FPERIOD_OVERRIDE=FQ","FILING_STATUS=MR","SCALING_FORMAT=MLN","Sort=A","Dates=H","DateFormat=P","Fill=—","Direction=H","UseDPDF=Y")</f>
        <v>0</v>
      </c>
      <c r="Q32" s="13">
        <f>_xll.BDH("ITCI US Equity","CF_CASH_FOR_DIVESTITURES","FQ2 2022","FQ2 2022","Currency=USD","Period=FQ","BEST_FPERIOD_OVERRIDE=FQ","FILING_STATUS=MR","SCALING_FORMAT=MLN","Sort=A","Dates=H","DateFormat=P","Fill=—","Direction=H","UseDPDF=Y")</f>
        <v>0</v>
      </c>
      <c r="R32" s="13">
        <f>_xll.BDH("ITCI US Equity","CF_CASH_FOR_DIVESTITURES","FQ3 2022","FQ3 2022","Currency=USD","Period=FQ","BEST_FPERIOD_OVERRIDE=FQ","FILING_STATUS=MR","SCALING_FORMAT=MLN","Sort=A","Dates=H","DateFormat=P","Fill=—","Direction=H","UseDPDF=Y")</f>
        <v>0</v>
      </c>
      <c r="S32" s="13">
        <f>_xll.BDH("ITCI US Equity","CF_CASH_FOR_DIVESTITURES","FQ4 2022","FQ4 2022","Currency=USD","Period=FQ","BEST_FPERIOD_OVERRIDE=FQ","FILING_STATUS=MR","SCALING_FORMAT=MLN","Sort=A","Dates=H","DateFormat=P","Fill=—","Direction=H","UseDPDF=Y")</f>
        <v>0</v>
      </c>
      <c r="T32" s="13">
        <f>_xll.BDH("ITCI US Equity","CF_CASH_FOR_DIVESTITURES","FQ1 2023","FQ1 2023","Currency=USD","Period=FQ","BEST_FPERIOD_OVERRIDE=FQ","FILING_STATUS=MR","SCALING_FORMAT=MLN","Sort=A","Dates=H","DateFormat=P","Fill=—","Direction=H","UseDPDF=Y")</f>
        <v>0</v>
      </c>
      <c r="U32" s="13">
        <f>_xll.BDH("ITCI US Equity","CF_CASH_FOR_DIVESTITURES","FQ2 2023","FQ2 2023","Currency=USD","Period=FQ","BEST_FPERIOD_OVERRIDE=FQ","FILING_STATUS=MR","SCALING_FORMAT=MLN","Sort=A","Dates=H","DateFormat=P","Fill=—","Direction=H","UseDPDF=Y")</f>
        <v>0</v>
      </c>
      <c r="V32" s="13">
        <f>_xll.BDH("ITCI US Equity","CF_CASH_FOR_DIVESTITURES","FQ3 2023","FQ3 2023","Currency=USD","Period=FQ","BEST_FPERIOD_OVERRIDE=FQ","FILING_STATUS=MR","SCALING_FORMAT=MLN","Sort=A","Dates=H","DateFormat=P","Fill=—","Direction=H","UseDPDF=Y")</f>
        <v>0</v>
      </c>
      <c r="W32" s="13">
        <f>_xll.BDH("ITCI US Equity","CF_CASH_FOR_DIVESTITURES","FQ4 2023","FQ4 2023","Currency=USD","Period=FQ","BEST_FPERIOD_OVERRIDE=FQ","FILING_STATUS=MR","SCALING_FORMAT=MLN","Sort=A","Dates=H","DateFormat=P","Fill=—","Direction=H","UseDPDF=Y")</f>
        <v>0</v>
      </c>
      <c r="X32" s="13">
        <f>_xll.BDH("ITCI US Equity","CF_CASH_FOR_DIVESTITURES","FQ1 2024","FQ1 2024","Currency=USD","Period=FQ","BEST_FPERIOD_OVERRIDE=FQ","FILING_STATUS=MR","SCALING_FORMAT=MLN","Sort=A","Dates=H","DateFormat=P","Fill=—","Direction=H","UseDPDF=Y")</f>
        <v>0</v>
      </c>
      <c r="Y32" s="13">
        <f>_xll.BDH("ITCI US Equity","CF_CASH_FOR_DIVESTITURES","FQ2 2024","FQ2 2024","Currency=USD","Period=FQ","BEST_FPERIOD_OVERRIDE=FQ","FILING_STATUS=MR","SCALING_FORMAT=MLN","Sort=A","Dates=H","DateFormat=P","Fill=—","Direction=H","UseDPDF=Y")</f>
        <v>0</v>
      </c>
      <c r="Z32" s="13">
        <f>_xll.BDH("ITCI US Equity","CF_CASH_FOR_DIVESTITURES","FQ3 2024","FQ3 2024","Currency=USD","Period=FQ","BEST_FPERIOD_OVERRIDE=FQ","FILING_STATUS=MR","SCALING_FORMAT=MLN","Sort=A","Dates=H","DateFormat=P","Fill=—","Direction=H","UseDPDF=Y")</f>
        <v>0</v>
      </c>
      <c r="AA32" s="13">
        <f>_xll.BDH("ITCI US Equity","CF_CASH_FOR_DIVESTITURES","FQ4 2024","FQ4 2024","Currency=USD","Period=FQ","BEST_FPERIOD_OVERRIDE=FQ","FILING_STATUS=MR","SCALING_FORMAT=MLN","Sort=A","Dates=H","DateFormat=P","Fill=—","Direction=H","UseDPDF=Y")</f>
        <v>0</v>
      </c>
    </row>
    <row r="33" spans="1:27" x14ac:dyDescent="0.25">
      <c r="A33" s="10" t="s">
        <v>981</v>
      </c>
      <c r="B33" s="10" t="s">
        <v>982</v>
      </c>
      <c r="C33" s="13">
        <f>_xll.BDH("ITCI US Equity","CF_CASH_FOR_ACQUIS_SUBSIDIARIES","FQ4 2018","FQ4 2018","Currency=USD","Period=FQ","BEST_FPERIOD_OVERRIDE=FQ","FILING_STATUS=MR","SCALING_FORMAT=MLN","Sort=A","Dates=H","DateFormat=P","Fill=—","Direction=H","UseDPDF=Y")</f>
        <v>0</v>
      </c>
      <c r="D33" s="13">
        <f>_xll.BDH("ITCI US Equity","CF_CASH_FOR_ACQUIS_SUBSIDIARIES","FQ1 2019","FQ1 2019","Currency=USD","Period=FQ","BEST_FPERIOD_OVERRIDE=FQ","FILING_STATUS=MR","SCALING_FORMAT=MLN","Sort=A","Dates=H","DateFormat=P","Fill=—","Direction=H","UseDPDF=Y")</f>
        <v>0</v>
      </c>
      <c r="E33" s="13">
        <f>_xll.BDH("ITCI US Equity","CF_CASH_FOR_ACQUIS_SUBSIDIARIES","FQ2 2019","FQ2 2019","Currency=USD","Period=FQ","BEST_FPERIOD_OVERRIDE=FQ","FILING_STATUS=MR","SCALING_FORMAT=MLN","Sort=A","Dates=H","DateFormat=P","Fill=—","Direction=H","UseDPDF=Y")</f>
        <v>0</v>
      </c>
      <c r="F33" s="13">
        <f>_xll.BDH("ITCI US Equity","CF_CASH_FOR_ACQUIS_SUBSIDIARIES","FQ3 2019","FQ3 2019","Currency=USD","Period=FQ","BEST_FPERIOD_OVERRIDE=FQ","FILING_STATUS=MR","SCALING_FORMAT=MLN","Sort=A","Dates=H","DateFormat=P","Fill=—","Direction=H","UseDPDF=Y")</f>
        <v>0</v>
      </c>
      <c r="G33" s="13">
        <f>_xll.BDH("ITCI US Equity","CF_CASH_FOR_ACQUIS_SUBSIDIARIES","FQ4 2019","FQ4 2019","Currency=USD","Period=FQ","BEST_FPERIOD_OVERRIDE=FQ","FILING_STATUS=MR","SCALING_FORMAT=MLN","Sort=A","Dates=H","DateFormat=P","Fill=—","Direction=H","UseDPDF=Y")</f>
        <v>0</v>
      </c>
      <c r="H33" s="13">
        <f>_xll.BDH("ITCI US Equity","CF_CASH_FOR_ACQUIS_SUBSIDIARIES","FQ1 2020","FQ1 2020","Currency=USD","Period=FQ","BEST_FPERIOD_OVERRIDE=FQ","FILING_STATUS=MR","SCALING_FORMAT=MLN","Sort=A","Dates=H","DateFormat=P","Fill=—","Direction=H","UseDPDF=Y")</f>
        <v>0</v>
      </c>
      <c r="I33" s="13">
        <f>_xll.BDH("ITCI US Equity","CF_CASH_FOR_ACQUIS_SUBSIDIARIES","FQ2 2020","FQ2 2020","Currency=USD","Period=FQ","BEST_FPERIOD_OVERRIDE=FQ","FILING_STATUS=MR","SCALING_FORMAT=MLN","Sort=A","Dates=H","DateFormat=P","Fill=—","Direction=H","UseDPDF=Y")</f>
        <v>0</v>
      </c>
      <c r="J33" s="13">
        <f>_xll.BDH("ITCI US Equity","CF_CASH_FOR_ACQUIS_SUBSIDIARIES","FQ3 2020","FQ3 2020","Currency=USD","Period=FQ","BEST_FPERIOD_OVERRIDE=FQ","FILING_STATUS=MR","SCALING_FORMAT=MLN","Sort=A","Dates=H","DateFormat=P","Fill=—","Direction=H","UseDPDF=Y")</f>
        <v>0</v>
      </c>
      <c r="K33" s="13">
        <f>_xll.BDH("ITCI US Equity","CF_CASH_FOR_ACQUIS_SUBSIDIARIES","FQ4 2020","FQ4 2020","Currency=USD","Period=FQ","BEST_FPERIOD_OVERRIDE=FQ","FILING_STATUS=MR","SCALING_FORMAT=MLN","Sort=A","Dates=H","DateFormat=P","Fill=—","Direction=H","UseDPDF=Y")</f>
        <v>0</v>
      </c>
      <c r="L33" s="13">
        <f>_xll.BDH("ITCI US Equity","CF_CASH_FOR_ACQUIS_SUBSIDIARIES","FQ1 2021","FQ1 2021","Currency=USD","Period=FQ","BEST_FPERIOD_OVERRIDE=FQ","FILING_STATUS=MR","SCALING_FORMAT=MLN","Sort=A","Dates=H","DateFormat=P","Fill=—","Direction=H","UseDPDF=Y")</f>
        <v>0</v>
      </c>
      <c r="M33" s="13">
        <f>_xll.BDH("ITCI US Equity","CF_CASH_FOR_ACQUIS_SUBSIDIARIES","FQ2 2021","FQ2 2021","Currency=USD","Period=FQ","BEST_FPERIOD_OVERRIDE=FQ","FILING_STATUS=MR","SCALING_FORMAT=MLN","Sort=A","Dates=H","DateFormat=P","Fill=—","Direction=H","UseDPDF=Y")</f>
        <v>0</v>
      </c>
      <c r="N33" s="13">
        <f>_xll.BDH("ITCI US Equity","CF_CASH_FOR_ACQUIS_SUBSIDIARIES","FQ3 2021","FQ3 2021","Currency=USD","Period=FQ","BEST_FPERIOD_OVERRIDE=FQ","FILING_STATUS=MR","SCALING_FORMAT=MLN","Sort=A","Dates=H","DateFormat=P","Fill=—","Direction=H","UseDPDF=Y")</f>
        <v>0</v>
      </c>
      <c r="O33" s="13">
        <f>_xll.BDH("ITCI US Equity","CF_CASH_FOR_ACQUIS_SUBSIDIARIES","FQ4 2021","FQ4 2021","Currency=USD","Period=FQ","BEST_FPERIOD_OVERRIDE=FQ","FILING_STATUS=MR","SCALING_FORMAT=MLN","Sort=A","Dates=H","DateFormat=P","Fill=—","Direction=H","UseDPDF=Y")</f>
        <v>0</v>
      </c>
      <c r="P33" s="13">
        <f>_xll.BDH("ITCI US Equity","CF_CASH_FOR_ACQUIS_SUBSIDIARIES","FQ1 2022","FQ1 2022","Currency=USD","Period=FQ","BEST_FPERIOD_OVERRIDE=FQ","FILING_STATUS=MR","SCALING_FORMAT=MLN","Sort=A","Dates=H","DateFormat=P","Fill=—","Direction=H","UseDPDF=Y")</f>
        <v>0</v>
      </c>
      <c r="Q33" s="13">
        <f>_xll.BDH("ITCI US Equity","CF_CASH_FOR_ACQUIS_SUBSIDIARIES","FQ2 2022","FQ2 2022","Currency=USD","Period=FQ","BEST_FPERIOD_OVERRIDE=FQ","FILING_STATUS=MR","SCALING_FORMAT=MLN","Sort=A","Dates=H","DateFormat=P","Fill=—","Direction=H","UseDPDF=Y")</f>
        <v>0</v>
      </c>
      <c r="R33" s="13">
        <f>_xll.BDH("ITCI US Equity","CF_CASH_FOR_ACQUIS_SUBSIDIARIES","FQ3 2022","FQ3 2022","Currency=USD","Period=FQ","BEST_FPERIOD_OVERRIDE=FQ","FILING_STATUS=MR","SCALING_FORMAT=MLN","Sort=A","Dates=H","DateFormat=P","Fill=—","Direction=H","UseDPDF=Y")</f>
        <v>0</v>
      </c>
      <c r="S33" s="13">
        <f>_xll.BDH("ITCI US Equity","CF_CASH_FOR_ACQUIS_SUBSIDIARIES","FQ4 2022","FQ4 2022","Currency=USD","Period=FQ","BEST_FPERIOD_OVERRIDE=FQ","FILING_STATUS=MR","SCALING_FORMAT=MLN","Sort=A","Dates=H","DateFormat=P","Fill=—","Direction=H","UseDPDF=Y")</f>
        <v>0</v>
      </c>
      <c r="T33" s="13">
        <f>_xll.BDH("ITCI US Equity","CF_CASH_FOR_ACQUIS_SUBSIDIARIES","FQ1 2023","FQ1 2023","Currency=USD","Period=FQ","BEST_FPERIOD_OVERRIDE=FQ","FILING_STATUS=MR","SCALING_FORMAT=MLN","Sort=A","Dates=H","DateFormat=P","Fill=—","Direction=H","UseDPDF=Y")</f>
        <v>0</v>
      </c>
      <c r="U33" s="13">
        <f>_xll.BDH("ITCI US Equity","CF_CASH_FOR_ACQUIS_SUBSIDIARIES","FQ2 2023","FQ2 2023","Currency=USD","Period=FQ","BEST_FPERIOD_OVERRIDE=FQ","FILING_STATUS=MR","SCALING_FORMAT=MLN","Sort=A","Dates=H","DateFormat=P","Fill=—","Direction=H","UseDPDF=Y")</f>
        <v>0</v>
      </c>
      <c r="V33" s="13">
        <f>_xll.BDH("ITCI US Equity","CF_CASH_FOR_ACQUIS_SUBSIDIARIES","FQ3 2023","FQ3 2023","Currency=USD","Period=FQ","BEST_FPERIOD_OVERRIDE=FQ","FILING_STATUS=MR","SCALING_FORMAT=MLN","Sort=A","Dates=H","DateFormat=P","Fill=—","Direction=H","UseDPDF=Y")</f>
        <v>0</v>
      </c>
      <c r="W33" s="13">
        <f>_xll.BDH("ITCI US Equity","CF_CASH_FOR_ACQUIS_SUBSIDIARIES","FQ4 2023","FQ4 2023","Currency=USD","Period=FQ","BEST_FPERIOD_OVERRIDE=FQ","FILING_STATUS=MR","SCALING_FORMAT=MLN","Sort=A","Dates=H","DateFormat=P","Fill=—","Direction=H","UseDPDF=Y")</f>
        <v>0</v>
      </c>
      <c r="X33" s="13">
        <f>_xll.BDH("ITCI US Equity","CF_CASH_FOR_ACQUIS_SUBSIDIARIES","FQ1 2024","FQ1 2024","Currency=USD","Period=FQ","BEST_FPERIOD_OVERRIDE=FQ","FILING_STATUS=MR","SCALING_FORMAT=MLN","Sort=A","Dates=H","DateFormat=P","Fill=—","Direction=H","UseDPDF=Y")</f>
        <v>0</v>
      </c>
      <c r="Y33" s="13">
        <f>_xll.BDH("ITCI US Equity","CF_CASH_FOR_ACQUIS_SUBSIDIARIES","FQ2 2024","FQ2 2024","Currency=USD","Period=FQ","BEST_FPERIOD_OVERRIDE=FQ","FILING_STATUS=MR","SCALING_FORMAT=MLN","Sort=A","Dates=H","DateFormat=P","Fill=—","Direction=H","UseDPDF=Y")</f>
        <v>0</v>
      </c>
      <c r="Z33" s="13">
        <f>_xll.BDH("ITCI US Equity","CF_CASH_FOR_ACQUIS_SUBSIDIARIES","FQ3 2024","FQ3 2024","Currency=USD","Period=FQ","BEST_FPERIOD_OVERRIDE=FQ","FILING_STATUS=MR","SCALING_FORMAT=MLN","Sort=A","Dates=H","DateFormat=P","Fill=—","Direction=H","UseDPDF=Y")</f>
        <v>0</v>
      </c>
      <c r="AA33" s="13">
        <f>_xll.BDH("ITCI US Equity","CF_CASH_FOR_ACQUIS_SUBSIDIARIES","FQ4 2024","FQ4 2024","Currency=USD","Period=FQ","BEST_FPERIOD_OVERRIDE=FQ","FILING_STATUS=MR","SCALING_FORMAT=MLN","Sort=A","Dates=H","DateFormat=P","Fill=—","Direction=H","UseDPDF=Y")</f>
        <v>0</v>
      </c>
    </row>
    <row r="34" spans="1:27" x14ac:dyDescent="0.25">
      <c r="A34" s="10" t="s">
        <v>983</v>
      </c>
      <c r="B34" s="10" t="s">
        <v>984</v>
      </c>
      <c r="C34" s="13">
        <f>_xll.BDH("ITCI US Equity","CF_CASH_FOR_JOINT_VENTURES_ASSOC","FQ4 2018","FQ4 2018","Currency=USD","Period=FQ","BEST_FPERIOD_OVERRIDE=FQ","FILING_STATUS=MR","SCALING_FORMAT=MLN","Sort=A","Dates=H","DateFormat=P","Fill=—","Direction=H","UseDPDF=Y")</f>
        <v>0</v>
      </c>
      <c r="D34" s="13">
        <f>_xll.BDH("ITCI US Equity","CF_CASH_FOR_JOINT_VENTURES_ASSOC","FQ1 2019","FQ1 2019","Currency=USD","Period=FQ","BEST_FPERIOD_OVERRIDE=FQ","FILING_STATUS=MR","SCALING_FORMAT=MLN","Sort=A","Dates=H","DateFormat=P","Fill=—","Direction=H","UseDPDF=Y")</f>
        <v>0</v>
      </c>
      <c r="E34" s="13">
        <f>_xll.BDH("ITCI US Equity","CF_CASH_FOR_JOINT_VENTURES_ASSOC","FQ2 2019","FQ2 2019","Currency=USD","Period=FQ","BEST_FPERIOD_OVERRIDE=FQ","FILING_STATUS=MR","SCALING_FORMAT=MLN","Sort=A","Dates=H","DateFormat=P","Fill=—","Direction=H","UseDPDF=Y")</f>
        <v>0</v>
      </c>
      <c r="F34" s="13">
        <f>_xll.BDH("ITCI US Equity","CF_CASH_FOR_JOINT_VENTURES_ASSOC","FQ3 2019","FQ3 2019","Currency=USD","Period=FQ","BEST_FPERIOD_OVERRIDE=FQ","FILING_STATUS=MR","SCALING_FORMAT=MLN","Sort=A","Dates=H","DateFormat=P","Fill=—","Direction=H","UseDPDF=Y")</f>
        <v>0</v>
      </c>
      <c r="G34" s="13">
        <f>_xll.BDH("ITCI US Equity","CF_CASH_FOR_JOINT_VENTURES_ASSOC","FQ4 2019","FQ4 2019","Currency=USD","Period=FQ","BEST_FPERIOD_OVERRIDE=FQ","FILING_STATUS=MR","SCALING_FORMAT=MLN","Sort=A","Dates=H","DateFormat=P","Fill=—","Direction=H","UseDPDF=Y")</f>
        <v>0</v>
      </c>
      <c r="H34" s="13">
        <f>_xll.BDH("ITCI US Equity","CF_CASH_FOR_JOINT_VENTURES_ASSOC","FQ1 2020","FQ1 2020","Currency=USD","Period=FQ","BEST_FPERIOD_OVERRIDE=FQ","FILING_STATUS=MR","SCALING_FORMAT=MLN","Sort=A","Dates=H","DateFormat=P","Fill=—","Direction=H","UseDPDF=Y")</f>
        <v>0</v>
      </c>
      <c r="I34" s="13">
        <f>_xll.BDH("ITCI US Equity","CF_CASH_FOR_JOINT_VENTURES_ASSOC","FQ2 2020","FQ2 2020","Currency=USD","Period=FQ","BEST_FPERIOD_OVERRIDE=FQ","FILING_STATUS=MR","SCALING_FORMAT=MLN","Sort=A","Dates=H","DateFormat=P","Fill=—","Direction=H","UseDPDF=Y")</f>
        <v>0</v>
      </c>
      <c r="J34" s="13">
        <f>_xll.BDH("ITCI US Equity","CF_CASH_FOR_JOINT_VENTURES_ASSOC","FQ3 2020","FQ3 2020","Currency=USD","Period=FQ","BEST_FPERIOD_OVERRIDE=FQ","FILING_STATUS=MR","SCALING_FORMAT=MLN","Sort=A","Dates=H","DateFormat=P","Fill=—","Direction=H","UseDPDF=Y")</f>
        <v>0</v>
      </c>
      <c r="K34" s="13">
        <f>_xll.BDH("ITCI US Equity","CF_CASH_FOR_JOINT_VENTURES_ASSOC","FQ4 2020","FQ4 2020","Currency=USD","Period=FQ","BEST_FPERIOD_OVERRIDE=FQ","FILING_STATUS=MR","SCALING_FORMAT=MLN","Sort=A","Dates=H","DateFormat=P","Fill=—","Direction=H","UseDPDF=Y")</f>
        <v>0</v>
      </c>
      <c r="L34" s="13">
        <f>_xll.BDH("ITCI US Equity","CF_CASH_FOR_JOINT_VENTURES_ASSOC","FQ1 2021","FQ1 2021","Currency=USD","Period=FQ","BEST_FPERIOD_OVERRIDE=FQ","FILING_STATUS=MR","SCALING_FORMAT=MLN","Sort=A","Dates=H","DateFormat=P","Fill=—","Direction=H","UseDPDF=Y")</f>
        <v>0</v>
      </c>
      <c r="M34" s="13">
        <f>_xll.BDH("ITCI US Equity","CF_CASH_FOR_JOINT_VENTURES_ASSOC","FQ2 2021","FQ2 2021","Currency=USD","Period=FQ","BEST_FPERIOD_OVERRIDE=FQ","FILING_STATUS=MR","SCALING_FORMAT=MLN","Sort=A","Dates=H","DateFormat=P","Fill=—","Direction=H","UseDPDF=Y")</f>
        <v>0</v>
      </c>
      <c r="N34" s="13">
        <f>_xll.BDH("ITCI US Equity","CF_CASH_FOR_JOINT_VENTURES_ASSOC","FQ3 2021","FQ3 2021","Currency=USD","Period=FQ","BEST_FPERIOD_OVERRIDE=FQ","FILING_STATUS=MR","SCALING_FORMAT=MLN","Sort=A","Dates=H","DateFormat=P","Fill=—","Direction=H","UseDPDF=Y")</f>
        <v>0</v>
      </c>
      <c r="O34" s="13">
        <f>_xll.BDH("ITCI US Equity","CF_CASH_FOR_JOINT_VENTURES_ASSOC","FQ4 2021","FQ4 2021","Currency=USD","Period=FQ","BEST_FPERIOD_OVERRIDE=FQ","FILING_STATUS=MR","SCALING_FORMAT=MLN","Sort=A","Dates=H","DateFormat=P","Fill=—","Direction=H","UseDPDF=Y")</f>
        <v>0</v>
      </c>
      <c r="P34" s="13">
        <f>_xll.BDH("ITCI US Equity","CF_CASH_FOR_JOINT_VENTURES_ASSOC","FQ1 2022","FQ1 2022","Currency=USD","Period=FQ","BEST_FPERIOD_OVERRIDE=FQ","FILING_STATUS=MR","SCALING_FORMAT=MLN","Sort=A","Dates=H","DateFormat=P","Fill=—","Direction=H","UseDPDF=Y")</f>
        <v>0</v>
      </c>
      <c r="Q34" s="13">
        <f>_xll.BDH("ITCI US Equity","CF_CASH_FOR_JOINT_VENTURES_ASSOC","FQ2 2022","FQ2 2022","Currency=USD","Period=FQ","BEST_FPERIOD_OVERRIDE=FQ","FILING_STATUS=MR","SCALING_FORMAT=MLN","Sort=A","Dates=H","DateFormat=P","Fill=—","Direction=H","UseDPDF=Y")</f>
        <v>0</v>
      </c>
      <c r="R34" s="13">
        <f>_xll.BDH("ITCI US Equity","CF_CASH_FOR_JOINT_VENTURES_ASSOC","FQ3 2022","FQ3 2022","Currency=USD","Period=FQ","BEST_FPERIOD_OVERRIDE=FQ","FILING_STATUS=MR","SCALING_FORMAT=MLN","Sort=A","Dates=H","DateFormat=P","Fill=—","Direction=H","UseDPDF=Y")</f>
        <v>0</v>
      </c>
      <c r="S34" s="13">
        <f>_xll.BDH("ITCI US Equity","CF_CASH_FOR_JOINT_VENTURES_ASSOC","FQ4 2022","FQ4 2022","Currency=USD","Period=FQ","BEST_FPERIOD_OVERRIDE=FQ","FILING_STATUS=MR","SCALING_FORMAT=MLN","Sort=A","Dates=H","DateFormat=P","Fill=—","Direction=H","UseDPDF=Y")</f>
        <v>0</v>
      </c>
      <c r="T34" s="13">
        <f>_xll.BDH("ITCI US Equity","CF_CASH_FOR_JOINT_VENTURES_ASSOC","FQ1 2023","FQ1 2023","Currency=USD","Period=FQ","BEST_FPERIOD_OVERRIDE=FQ","FILING_STATUS=MR","SCALING_FORMAT=MLN","Sort=A","Dates=H","DateFormat=P","Fill=—","Direction=H","UseDPDF=Y")</f>
        <v>0</v>
      </c>
      <c r="U34" s="13">
        <f>_xll.BDH("ITCI US Equity","CF_CASH_FOR_JOINT_VENTURES_ASSOC","FQ2 2023","FQ2 2023","Currency=USD","Period=FQ","BEST_FPERIOD_OVERRIDE=FQ","FILING_STATUS=MR","SCALING_FORMAT=MLN","Sort=A","Dates=H","DateFormat=P","Fill=—","Direction=H","UseDPDF=Y")</f>
        <v>0</v>
      </c>
      <c r="V34" s="13">
        <f>_xll.BDH("ITCI US Equity","CF_CASH_FOR_JOINT_VENTURES_ASSOC","FQ3 2023","FQ3 2023","Currency=USD","Period=FQ","BEST_FPERIOD_OVERRIDE=FQ","FILING_STATUS=MR","SCALING_FORMAT=MLN","Sort=A","Dates=H","DateFormat=P","Fill=—","Direction=H","UseDPDF=Y")</f>
        <v>0</v>
      </c>
      <c r="W34" s="13">
        <f>_xll.BDH("ITCI US Equity","CF_CASH_FOR_JOINT_VENTURES_ASSOC","FQ4 2023","FQ4 2023","Currency=USD","Period=FQ","BEST_FPERIOD_OVERRIDE=FQ","FILING_STATUS=MR","SCALING_FORMAT=MLN","Sort=A","Dates=H","DateFormat=P","Fill=—","Direction=H","UseDPDF=Y")</f>
        <v>0</v>
      </c>
      <c r="X34" s="13">
        <f>_xll.BDH("ITCI US Equity","CF_CASH_FOR_JOINT_VENTURES_ASSOC","FQ1 2024","FQ1 2024","Currency=USD","Period=FQ","BEST_FPERIOD_OVERRIDE=FQ","FILING_STATUS=MR","SCALING_FORMAT=MLN","Sort=A","Dates=H","DateFormat=P","Fill=—","Direction=H","UseDPDF=Y")</f>
        <v>0</v>
      </c>
      <c r="Y34" s="13">
        <f>_xll.BDH("ITCI US Equity","CF_CASH_FOR_JOINT_VENTURES_ASSOC","FQ2 2024","FQ2 2024","Currency=USD","Period=FQ","BEST_FPERIOD_OVERRIDE=FQ","FILING_STATUS=MR","SCALING_FORMAT=MLN","Sort=A","Dates=H","DateFormat=P","Fill=—","Direction=H","UseDPDF=Y")</f>
        <v>0</v>
      </c>
      <c r="Z34" s="13">
        <f>_xll.BDH("ITCI US Equity","CF_CASH_FOR_JOINT_VENTURES_ASSOC","FQ3 2024","FQ3 2024","Currency=USD","Period=FQ","BEST_FPERIOD_OVERRIDE=FQ","FILING_STATUS=MR","SCALING_FORMAT=MLN","Sort=A","Dates=H","DateFormat=P","Fill=—","Direction=H","UseDPDF=Y")</f>
        <v>0</v>
      </c>
      <c r="AA34" s="13">
        <f>_xll.BDH("ITCI US Equity","CF_CASH_FOR_JOINT_VENTURES_ASSOC","FQ4 2024","FQ4 2024","Currency=USD","Period=FQ","BEST_FPERIOD_OVERRIDE=FQ","FILING_STATUS=MR","SCALING_FORMAT=MLN","Sort=A","Dates=H","DateFormat=P","Fill=—","Direction=H","UseDPDF=Y")</f>
        <v>0</v>
      </c>
    </row>
    <row r="35" spans="1:27" x14ac:dyDescent="0.25">
      <c r="A35" s="10" t="s">
        <v>985</v>
      </c>
      <c r="B35" s="10" t="s">
        <v>986</v>
      </c>
      <c r="C35" s="13">
        <f>_xll.BDH("ITCI US Equity","OTHER_INVESTING_ACT_DETAILED","FQ4 2018","FQ4 2018","Currency=USD","Period=FQ","BEST_FPERIOD_OVERRIDE=FQ","FILING_STATUS=MR","SCALING_FORMAT=MLN","Sort=A","Dates=H","DateFormat=P","Fill=—","Direction=H","UseDPDF=Y")</f>
        <v>14.205</v>
      </c>
      <c r="D35" s="13">
        <f>_xll.BDH("ITCI US Equity","OTHER_INVESTING_ACT_DETAILED","FQ1 2019","FQ1 2019","Currency=USD","Period=FQ","BEST_FPERIOD_OVERRIDE=FQ","FILING_STATUS=MR","SCALING_FORMAT=MLN","Sort=A","Dates=H","DateFormat=P","Fill=—","Direction=H","UseDPDF=Y")</f>
        <v>44.808900000000001</v>
      </c>
      <c r="E35" s="13">
        <f>_xll.BDH("ITCI US Equity","OTHER_INVESTING_ACT_DETAILED","FQ2 2019","FQ2 2019","Currency=USD","Period=FQ","BEST_FPERIOD_OVERRIDE=FQ","FILING_STATUS=MR","SCALING_FORMAT=MLN","Sort=A","Dates=H","DateFormat=P","Fill=—","Direction=H","UseDPDF=Y")</f>
        <v>55.784199999999998</v>
      </c>
      <c r="F35" s="13">
        <f>_xll.BDH("ITCI US Equity","OTHER_INVESTING_ACT_DETAILED","FQ3 2019","FQ3 2019","Currency=USD","Period=FQ","BEST_FPERIOD_OVERRIDE=FQ","FILING_STATUS=MR","SCALING_FORMAT=MLN","Sort=A","Dates=H","DateFormat=P","Fill=—","Direction=H","UseDPDF=Y")</f>
        <v>40.457599999999999</v>
      </c>
      <c r="G35" s="13">
        <f>_xll.BDH("ITCI US Equity","OTHER_INVESTING_ACT_DETAILED","FQ4 2019","FQ4 2019","Currency=USD","Period=FQ","BEST_FPERIOD_OVERRIDE=FQ","FILING_STATUS=MR","SCALING_FORMAT=MLN","Sort=A","Dates=H","DateFormat=P","Fill=—","Direction=H","UseDPDF=Y")</f>
        <v>37.0867</v>
      </c>
      <c r="H35" s="13">
        <f>_xll.BDH("ITCI US Equity","OTHER_INVESTING_ACT_DETAILED","FQ1 2020","FQ1 2020","Currency=USD","Period=FQ","BEST_FPERIOD_OVERRIDE=FQ","FILING_STATUS=MR","SCALING_FORMAT=MLN","Sort=A","Dates=H","DateFormat=P","Fill=—","Direction=H","UseDPDF=Y")</f>
        <v>-152.96289999999999</v>
      </c>
      <c r="I35" s="13">
        <f>_xll.BDH("ITCI US Equity","OTHER_INVESTING_ACT_DETAILED","FQ2 2020","FQ2 2020","Currency=USD","Period=FQ","BEST_FPERIOD_OVERRIDE=FQ","FILING_STATUS=MR","SCALING_FORMAT=MLN","Sort=A","Dates=H","DateFormat=P","Fill=—","Direction=H","UseDPDF=Y")</f>
        <v>-7.7576000000000001</v>
      </c>
      <c r="J35" s="13">
        <f>_xll.BDH("ITCI US Equity","OTHER_INVESTING_ACT_DETAILED","FQ3 2020","FQ3 2020","Currency=USD","Period=FQ","BEST_FPERIOD_OVERRIDE=FQ","FILING_STATUS=MR","SCALING_FORMAT=MLN","Sort=A","Dates=H","DateFormat=P","Fill=—","Direction=H","UseDPDF=Y")</f>
        <v>-143.04689999999999</v>
      </c>
      <c r="K35" s="13">
        <f>_xll.BDH("ITCI US Equity","OTHER_INVESTING_ACT_DETAILED","FQ4 2020","FQ4 2020","Currency=USD","Period=FQ","BEST_FPERIOD_OVERRIDE=FQ","FILING_STATUS=MR","SCALING_FORMAT=MLN","Sort=A","Dates=H","DateFormat=P","Fill=—","Direction=H","UseDPDF=Y")</f>
        <v>-176.26089999999999</v>
      </c>
      <c r="L35" s="13">
        <f>_xll.BDH("ITCI US Equity","OTHER_INVESTING_ACT_DETAILED","FQ1 2021","FQ1 2021","Currency=USD","Period=FQ","BEST_FPERIOD_OVERRIDE=FQ","FILING_STATUS=MR","SCALING_FORMAT=MLN","Sort=A","Dates=H","DateFormat=P","Fill=—","Direction=H","UseDPDF=Y")</f>
        <v>116.2692</v>
      </c>
      <c r="M35" s="13">
        <f>_xll.BDH("ITCI US Equity","OTHER_INVESTING_ACT_DETAILED","FQ2 2021","FQ2 2021","Currency=USD","Period=FQ","BEST_FPERIOD_OVERRIDE=FQ","FILING_STATUS=MR","SCALING_FORMAT=MLN","Sort=A","Dates=H","DateFormat=P","Fill=—","Direction=H","UseDPDF=Y")</f>
        <v>48.808999999999997</v>
      </c>
      <c r="N35" s="13">
        <f>_xll.BDH("ITCI US Equity","OTHER_INVESTING_ACT_DETAILED","FQ3 2021","FQ3 2021","Currency=USD","Period=FQ","BEST_FPERIOD_OVERRIDE=FQ","FILING_STATUS=MR","SCALING_FORMAT=MLN","Sort=A","Dates=H","DateFormat=P","Fill=—","Direction=H","UseDPDF=Y")</f>
        <v>64.080500000000001</v>
      </c>
      <c r="O35" s="13">
        <f>_xll.BDH("ITCI US Equity","OTHER_INVESTING_ACT_DETAILED","FQ4 2021","FQ4 2021","Currency=USD","Period=FQ","BEST_FPERIOD_OVERRIDE=FQ","FILING_STATUS=MR","SCALING_FORMAT=MLN","Sort=A","Dates=H","DateFormat=P","Fill=—","Direction=H","UseDPDF=Y")</f>
        <v>51.5105</v>
      </c>
      <c r="P35" s="13">
        <f>_xll.BDH("ITCI US Equity","OTHER_INVESTING_ACT_DETAILED","FQ1 2022","FQ1 2022","Currency=USD","Period=FQ","BEST_FPERIOD_OVERRIDE=FQ","FILING_STATUS=MR","SCALING_FORMAT=MLN","Sort=A","Dates=H","DateFormat=P","Fill=—","Direction=H","UseDPDF=Y")</f>
        <v>-321.46899999999999</v>
      </c>
      <c r="Q35" s="13">
        <f>_xll.BDH("ITCI US Equity","OTHER_INVESTING_ACT_DETAILED","FQ2 2022","FQ2 2022","Currency=USD","Period=FQ","BEST_FPERIOD_OVERRIDE=FQ","FILING_STATUS=MR","SCALING_FORMAT=MLN","Sort=A","Dates=H","DateFormat=P","Fill=—","Direction=H","UseDPDF=Y")</f>
        <v>37.351999999999997</v>
      </c>
      <c r="R35" s="13">
        <f>_xll.BDH("ITCI US Equity","OTHER_INVESTING_ACT_DETAILED","FQ3 2022","FQ3 2022","Currency=USD","Period=FQ","BEST_FPERIOD_OVERRIDE=FQ","FILING_STATUS=MR","SCALING_FORMAT=MLN","Sort=A","Dates=H","DateFormat=P","Fill=—","Direction=H","UseDPDF=Y")</f>
        <v>106.28700000000001</v>
      </c>
      <c r="S35" s="13">
        <f>_xll.BDH("ITCI US Equity","OTHER_INVESTING_ACT_DETAILED","FQ4 2022","FQ4 2022","Currency=USD","Period=FQ","BEST_FPERIOD_OVERRIDE=FQ","FILING_STATUS=MR","SCALING_FORMAT=MLN","Sort=A","Dates=H","DateFormat=P","Fill=—","Direction=H","UseDPDF=Y")</f>
        <v>50.234999999999999</v>
      </c>
      <c r="T35" s="13">
        <f>_xll.BDH("ITCI US Equity","OTHER_INVESTING_ACT_DETAILED","FQ1 2023","FQ1 2023","Currency=USD","Period=FQ","BEST_FPERIOD_OVERRIDE=FQ","FILING_STATUS=MR","SCALING_FORMAT=MLN","Sort=A","Dates=H","DateFormat=P","Fill=—","Direction=H","UseDPDF=Y")</f>
        <v>-16.462</v>
      </c>
      <c r="U35" s="13">
        <f>_xll.BDH("ITCI US Equity","OTHER_INVESTING_ACT_DETAILED","FQ2 2023","FQ2 2023","Currency=USD","Period=FQ","BEST_FPERIOD_OVERRIDE=FQ","FILING_STATUS=MR","SCALING_FORMAT=MLN","Sort=A","Dates=H","DateFormat=P","Fill=—","Direction=H","UseDPDF=Y")</f>
        <v>94.748000000000005</v>
      </c>
      <c r="V35" s="13">
        <f>_xll.BDH("ITCI US Equity","OTHER_INVESTING_ACT_DETAILED","FQ3 2023","FQ3 2023","Currency=USD","Period=FQ","BEST_FPERIOD_OVERRIDE=FQ","FILING_STATUS=MR","SCALING_FORMAT=MLN","Sort=A","Dates=H","DateFormat=P","Fill=—","Direction=H","UseDPDF=Y")</f>
        <v>-19.899000000000001</v>
      </c>
      <c r="W35" s="13">
        <f>_xll.BDH("ITCI US Equity","OTHER_INVESTING_ACT_DETAILED","FQ4 2023","FQ4 2023","Currency=USD","Period=FQ","BEST_FPERIOD_OVERRIDE=FQ","FILING_STATUS=MR","SCALING_FORMAT=MLN","Sort=A","Dates=H","DateFormat=P","Fill=—","Direction=H","UseDPDF=Y")</f>
        <v>47.423000000000002</v>
      </c>
      <c r="X35" s="13">
        <f>_xll.BDH("ITCI US Equity","OTHER_INVESTING_ACT_DETAILED","FQ1 2024","FQ1 2024","Currency=USD","Period=FQ","BEST_FPERIOD_OVERRIDE=FQ","FILING_STATUS=MR","SCALING_FORMAT=MLN","Sort=A","Dates=H","DateFormat=P","Fill=—","Direction=H","UseDPDF=Y")</f>
        <v>16.178999999999998</v>
      </c>
      <c r="Y35" s="13">
        <f>_xll.BDH("ITCI US Equity","OTHER_INVESTING_ACT_DETAILED","FQ2 2024","FQ2 2024","Currency=USD","Period=FQ","BEST_FPERIOD_OVERRIDE=FQ","FILING_STATUS=MR","SCALING_FORMAT=MLN","Sort=A","Dates=H","DateFormat=P","Fill=—","Direction=H","UseDPDF=Y")</f>
        <v>7.819</v>
      </c>
      <c r="Z35" s="13">
        <f>_xll.BDH("ITCI US Equity","OTHER_INVESTING_ACT_DETAILED","FQ3 2024","FQ3 2024","Currency=USD","Period=FQ","BEST_FPERIOD_OVERRIDE=FQ","FILING_STATUS=MR","SCALING_FORMAT=MLN","Sort=A","Dates=H","DateFormat=P","Fill=—","Direction=H","UseDPDF=Y")</f>
        <v>-208.50700000000001</v>
      </c>
      <c r="AA35" s="13">
        <f>_xll.BDH("ITCI US Equity","OTHER_INVESTING_ACT_DETAILED","FQ4 2024","FQ4 2024","Currency=USD","Period=FQ","BEST_FPERIOD_OVERRIDE=FQ","FILING_STATUS=MR","SCALING_FORMAT=MLN","Sort=A","Dates=H","DateFormat=P","Fill=—","Direction=H","UseDPDF=Y")</f>
        <v>-150.31899999999999</v>
      </c>
    </row>
    <row r="36" spans="1:27" x14ac:dyDescent="0.25">
      <c r="A36" s="10" t="s">
        <v>954</v>
      </c>
      <c r="B36" s="10" t="s">
        <v>987</v>
      </c>
      <c r="C36" s="13">
        <f>_xll.BDH("ITCI US Equity","CF_NET_CASH_DISCONTINUED_OPS_INV","FQ4 2018","FQ4 2018","Currency=USD","Period=FQ","BEST_FPERIOD_OVERRIDE=FQ","FILING_STATUS=MR","SCALING_FORMAT=MLN","Sort=A","Dates=H","DateFormat=P","Fill=—","Direction=H","UseDPDF=Y")</f>
        <v>0</v>
      </c>
      <c r="D36" s="13">
        <f>_xll.BDH("ITCI US Equity","CF_NET_CASH_DISCONTINUED_OPS_INV","FQ1 2019","FQ1 2019","Currency=USD","Period=FQ","BEST_FPERIOD_OVERRIDE=FQ","FILING_STATUS=MR","SCALING_FORMAT=MLN","Sort=A","Dates=H","DateFormat=P","Fill=—","Direction=H","UseDPDF=Y")</f>
        <v>0</v>
      </c>
      <c r="E36" s="13">
        <f>_xll.BDH("ITCI US Equity","CF_NET_CASH_DISCONTINUED_OPS_INV","FQ2 2019","FQ2 2019","Currency=USD","Period=FQ","BEST_FPERIOD_OVERRIDE=FQ","FILING_STATUS=MR","SCALING_FORMAT=MLN","Sort=A","Dates=H","DateFormat=P","Fill=—","Direction=H","UseDPDF=Y")</f>
        <v>0</v>
      </c>
      <c r="F36" s="13">
        <f>_xll.BDH("ITCI US Equity","CF_NET_CASH_DISCONTINUED_OPS_INV","FQ3 2019","FQ3 2019","Currency=USD","Period=FQ","BEST_FPERIOD_OVERRIDE=FQ","FILING_STATUS=MR","SCALING_FORMAT=MLN","Sort=A","Dates=H","DateFormat=P","Fill=—","Direction=H","UseDPDF=Y")</f>
        <v>0</v>
      </c>
      <c r="G36" s="13">
        <f>_xll.BDH("ITCI US Equity","CF_NET_CASH_DISCONTINUED_OPS_INV","FQ4 2019","FQ4 2019","Currency=USD","Period=FQ","BEST_FPERIOD_OVERRIDE=FQ","FILING_STATUS=MR","SCALING_FORMAT=MLN","Sort=A","Dates=H","DateFormat=P","Fill=—","Direction=H","UseDPDF=Y")</f>
        <v>0</v>
      </c>
      <c r="H36" s="13">
        <f>_xll.BDH("ITCI US Equity","CF_NET_CASH_DISCONTINUED_OPS_INV","FQ1 2020","FQ1 2020","Currency=USD","Period=FQ","BEST_FPERIOD_OVERRIDE=FQ","FILING_STATUS=MR","SCALING_FORMAT=MLN","Sort=A","Dates=H","DateFormat=P","Fill=—","Direction=H","UseDPDF=Y")</f>
        <v>0</v>
      </c>
      <c r="I36" s="13">
        <f>_xll.BDH("ITCI US Equity","CF_NET_CASH_DISCONTINUED_OPS_INV","FQ2 2020","FQ2 2020","Currency=USD","Period=FQ","BEST_FPERIOD_OVERRIDE=FQ","FILING_STATUS=MR","SCALING_FORMAT=MLN","Sort=A","Dates=H","DateFormat=P","Fill=—","Direction=H","UseDPDF=Y")</f>
        <v>0</v>
      </c>
      <c r="J36" s="13">
        <f>_xll.BDH("ITCI US Equity","CF_NET_CASH_DISCONTINUED_OPS_INV","FQ3 2020","FQ3 2020","Currency=USD","Period=FQ","BEST_FPERIOD_OVERRIDE=FQ","FILING_STATUS=MR","SCALING_FORMAT=MLN","Sort=A","Dates=H","DateFormat=P","Fill=—","Direction=H","UseDPDF=Y")</f>
        <v>0</v>
      </c>
      <c r="K36" s="13">
        <f>_xll.BDH("ITCI US Equity","CF_NET_CASH_DISCONTINUED_OPS_INV","FQ4 2020","FQ4 2020","Currency=USD","Period=FQ","BEST_FPERIOD_OVERRIDE=FQ","FILING_STATUS=MR","SCALING_FORMAT=MLN","Sort=A","Dates=H","DateFormat=P","Fill=—","Direction=H","UseDPDF=Y")</f>
        <v>0</v>
      </c>
      <c r="L36" s="13">
        <f>_xll.BDH("ITCI US Equity","CF_NET_CASH_DISCONTINUED_OPS_INV","FQ1 2021","FQ1 2021","Currency=USD","Period=FQ","BEST_FPERIOD_OVERRIDE=FQ","FILING_STATUS=MR","SCALING_FORMAT=MLN","Sort=A","Dates=H","DateFormat=P","Fill=—","Direction=H","UseDPDF=Y")</f>
        <v>0</v>
      </c>
      <c r="M36" s="13">
        <f>_xll.BDH("ITCI US Equity","CF_NET_CASH_DISCONTINUED_OPS_INV","FQ2 2021","FQ2 2021","Currency=USD","Period=FQ","BEST_FPERIOD_OVERRIDE=FQ","FILING_STATUS=MR","SCALING_FORMAT=MLN","Sort=A","Dates=H","DateFormat=P","Fill=—","Direction=H","UseDPDF=Y")</f>
        <v>0</v>
      </c>
      <c r="N36" s="13">
        <f>_xll.BDH("ITCI US Equity","CF_NET_CASH_DISCONTINUED_OPS_INV","FQ3 2021","FQ3 2021","Currency=USD","Period=FQ","BEST_FPERIOD_OVERRIDE=FQ","FILING_STATUS=MR","SCALING_FORMAT=MLN","Sort=A","Dates=H","DateFormat=P","Fill=—","Direction=H","UseDPDF=Y")</f>
        <v>0</v>
      </c>
      <c r="O36" s="13">
        <f>_xll.BDH("ITCI US Equity","CF_NET_CASH_DISCONTINUED_OPS_INV","FQ4 2021","FQ4 2021","Currency=USD","Period=FQ","BEST_FPERIOD_OVERRIDE=FQ","FILING_STATUS=MR","SCALING_FORMAT=MLN","Sort=A","Dates=H","DateFormat=P","Fill=—","Direction=H","UseDPDF=Y")</f>
        <v>0</v>
      </c>
      <c r="P36" s="13">
        <f>_xll.BDH("ITCI US Equity","CF_NET_CASH_DISCONTINUED_OPS_INV","FQ1 2022","FQ1 2022","Currency=USD","Period=FQ","BEST_FPERIOD_OVERRIDE=FQ","FILING_STATUS=MR","SCALING_FORMAT=MLN","Sort=A","Dates=H","DateFormat=P","Fill=—","Direction=H","UseDPDF=Y")</f>
        <v>0</v>
      </c>
      <c r="Q36" s="13">
        <f>_xll.BDH("ITCI US Equity","CF_NET_CASH_DISCONTINUED_OPS_INV","FQ2 2022","FQ2 2022","Currency=USD","Period=FQ","BEST_FPERIOD_OVERRIDE=FQ","FILING_STATUS=MR","SCALING_FORMAT=MLN","Sort=A","Dates=H","DateFormat=P","Fill=—","Direction=H","UseDPDF=Y")</f>
        <v>0</v>
      </c>
      <c r="R36" s="13">
        <f>_xll.BDH("ITCI US Equity","CF_NET_CASH_DISCONTINUED_OPS_INV","FQ3 2022","FQ3 2022","Currency=USD","Period=FQ","BEST_FPERIOD_OVERRIDE=FQ","FILING_STATUS=MR","SCALING_FORMAT=MLN","Sort=A","Dates=H","DateFormat=P","Fill=—","Direction=H","UseDPDF=Y")</f>
        <v>0</v>
      </c>
      <c r="S36" s="13">
        <f>_xll.BDH("ITCI US Equity","CF_NET_CASH_DISCONTINUED_OPS_INV","FQ4 2022","FQ4 2022","Currency=USD","Period=FQ","BEST_FPERIOD_OVERRIDE=FQ","FILING_STATUS=MR","SCALING_FORMAT=MLN","Sort=A","Dates=H","DateFormat=P","Fill=—","Direction=H","UseDPDF=Y")</f>
        <v>0</v>
      </c>
      <c r="T36" s="13">
        <f>_xll.BDH("ITCI US Equity","CF_NET_CASH_DISCONTINUED_OPS_INV","FQ1 2023","FQ1 2023","Currency=USD","Period=FQ","BEST_FPERIOD_OVERRIDE=FQ","FILING_STATUS=MR","SCALING_FORMAT=MLN","Sort=A","Dates=H","DateFormat=P","Fill=—","Direction=H","UseDPDF=Y")</f>
        <v>0</v>
      </c>
      <c r="U36" s="13">
        <f>_xll.BDH("ITCI US Equity","CF_NET_CASH_DISCONTINUED_OPS_INV","FQ2 2023","FQ2 2023","Currency=USD","Period=FQ","BEST_FPERIOD_OVERRIDE=FQ","FILING_STATUS=MR","SCALING_FORMAT=MLN","Sort=A","Dates=H","DateFormat=P","Fill=—","Direction=H","UseDPDF=Y")</f>
        <v>0</v>
      </c>
      <c r="V36" s="13">
        <f>_xll.BDH("ITCI US Equity","CF_NET_CASH_DISCONTINUED_OPS_INV","FQ3 2023","FQ3 2023","Currency=USD","Period=FQ","BEST_FPERIOD_OVERRIDE=FQ","FILING_STATUS=MR","SCALING_FORMAT=MLN","Sort=A","Dates=H","DateFormat=P","Fill=—","Direction=H","UseDPDF=Y")</f>
        <v>0</v>
      </c>
      <c r="W36" s="13">
        <f>_xll.BDH("ITCI US Equity","CF_NET_CASH_DISCONTINUED_OPS_INV","FQ4 2023","FQ4 2023","Currency=USD","Period=FQ","BEST_FPERIOD_OVERRIDE=FQ","FILING_STATUS=MR","SCALING_FORMAT=MLN","Sort=A","Dates=H","DateFormat=P","Fill=—","Direction=H","UseDPDF=Y")</f>
        <v>0</v>
      </c>
      <c r="X36" s="13">
        <f>_xll.BDH("ITCI US Equity","CF_NET_CASH_DISCONTINUED_OPS_INV","FQ1 2024","FQ1 2024","Currency=USD","Period=FQ","BEST_FPERIOD_OVERRIDE=FQ","FILING_STATUS=MR","SCALING_FORMAT=MLN","Sort=A","Dates=H","DateFormat=P","Fill=—","Direction=H","UseDPDF=Y")</f>
        <v>0</v>
      </c>
      <c r="Y36" s="13">
        <f>_xll.BDH("ITCI US Equity","CF_NET_CASH_DISCONTINUED_OPS_INV","FQ2 2024","FQ2 2024","Currency=USD","Period=FQ","BEST_FPERIOD_OVERRIDE=FQ","FILING_STATUS=MR","SCALING_FORMAT=MLN","Sort=A","Dates=H","DateFormat=P","Fill=—","Direction=H","UseDPDF=Y")</f>
        <v>0</v>
      </c>
      <c r="Z36" s="13">
        <f>_xll.BDH("ITCI US Equity","CF_NET_CASH_DISCONTINUED_OPS_INV","FQ3 2024","FQ3 2024","Currency=USD","Period=FQ","BEST_FPERIOD_OVERRIDE=FQ","FILING_STATUS=MR","SCALING_FORMAT=MLN","Sort=A","Dates=H","DateFormat=P","Fill=—","Direction=H","UseDPDF=Y")</f>
        <v>0</v>
      </c>
      <c r="AA36" s="13">
        <f>_xll.BDH("ITCI US Equity","CF_NET_CASH_DISCONTINUED_OPS_INV","FQ4 2024","FQ4 2024","Currency=USD","Period=FQ","BEST_FPERIOD_OVERRIDE=FQ","FILING_STATUS=MR","SCALING_FORMAT=MLN","Sort=A","Dates=H","DateFormat=P","Fill=—","Direction=H","UseDPDF=Y")</f>
        <v>0</v>
      </c>
    </row>
    <row r="37" spans="1:27" x14ac:dyDescent="0.25">
      <c r="A37" s="6" t="s">
        <v>956</v>
      </c>
      <c r="B37" s="6" t="s">
        <v>126</v>
      </c>
      <c r="C37" s="19">
        <f>_xll.BDH("ITCI US Equity","CF_CASH_FROM_INV_ACT","FQ4 2018","FQ4 2018","Currency=USD","Period=FQ","BEST_FPERIOD_OVERRIDE=FQ","FILING_STATUS=MR","SCALING_FORMAT=MLN","Sort=A","Dates=H","DateFormat=P","Fill=—","Direction=H","UseDPDF=Y")</f>
        <v>14.1462</v>
      </c>
      <c r="D37" s="19">
        <f>_xll.BDH("ITCI US Equity","CF_CASH_FROM_INV_ACT","FQ1 2019","FQ1 2019","Currency=USD","Period=FQ","BEST_FPERIOD_OVERRIDE=FQ","FILING_STATUS=MR","SCALING_FORMAT=MLN","Sort=A","Dates=H","DateFormat=P","Fill=—","Direction=H","UseDPDF=Y")</f>
        <v>44.741700000000002</v>
      </c>
      <c r="E37" s="19">
        <f>_xll.BDH("ITCI US Equity","CF_CASH_FROM_INV_ACT","FQ2 2019","FQ2 2019","Currency=USD","Period=FQ","BEST_FPERIOD_OVERRIDE=FQ","FILING_STATUS=MR","SCALING_FORMAT=MLN","Sort=A","Dates=H","DateFormat=P","Fill=—","Direction=H","UseDPDF=Y")</f>
        <v>54.721800000000002</v>
      </c>
      <c r="F37" s="19">
        <f>_xll.BDH("ITCI US Equity","CF_CASH_FROM_INV_ACT","FQ3 2019","FQ3 2019","Currency=USD","Period=FQ","BEST_FPERIOD_OVERRIDE=FQ","FILING_STATUS=MR","SCALING_FORMAT=MLN","Sort=A","Dates=H","DateFormat=P","Fill=—","Direction=H","UseDPDF=Y")</f>
        <v>40.236499999999999</v>
      </c>
      <c r="G37" s="19">
        <f>_xll.BDH("ITCI US Equity","CF_CASH_FROM_INV_ACT","FQ4 2019","FQ4 2019","Currency=USD","Period=FQ","BEST_FPERIOD_OVERRIDE=FQ","FILING_STATUS=MR","SCALING_FORMAT=MLN","Sort=A","Dates=H","DateFormat=P","Fill=—","Direction=H","UseDPDF=Y")</f>
        <v>37.737000000000002</v>
      </c>
      <c r="H37" s="19">
        <f>_xll.BDH("ITCI US Equity","CF_CASH_FROM_INV_ACT","FQ1 2020","FQ1 2020","Currency=USD","Period=FQ","BEST_FPERIOD_OVERRIDE=FQ","FILING_STATUS=MR","SCALING_FORMAT=MLN","Sort=A","Dates=H","DateFormat=P","Fill=—","Direction=H","UseDPDF=Y")</f>
        <v>-152.98490000000001</v>
      </c>
      <c r="I37" s="19">
        <f>_xll.BDH("ITCI US Equity","CF_CASH_FROM_INV_ACT","FQ2 2020","FQ2 2020","Currency=USD","Period=FQ","BEST_FPERIOD_OVERRIDE=FQ","FILING_STATUS=MR","SCALING_FORMAT=MLN","Sort=A","Dates=H","DateFormat=P","Fill=—","Direction=H","UseDPDF=Y")</f>
        <v>-7.7576000000000001</v>
      </c>
      <c r="J37" s="19">
        <f>_xll.BDH("ITCI US Equity","CF_CASH_FROM_INV_ACT","FQ3 2020","FQ3 2020","Currency=USD","Period=FQ","BEST_FPERIOD_OVERRIDE=FQ","FILING_STATUS=MR","SCALING_FORMAT=MLN","Sort=A","Dates=H","DateFormat=P","Fill=—","Direction=H","UseDPDF=Y")</f>
        <v>-143.21680000000001</v>
      </c>
      <c r="K37" s="19">
        <f>_xll.BDH("ITCI US Equity","CF_CASH_FROM_INV_ACT","FQ4 2020","FQ4 2020","Currency=USD","Period=FQ","BEST_FPERIOD_OVERRIDE=FQ","FILING_STATUS=MR","SCALING_FORMAT=MLN","Sort=A","Dates=H","DateFormat=P","Fill=—","Direction=H","UseDPDF=Y")</f>
        <v>-176.3357</v>
      </c>
      <c r="L37" s="19">
        <f>_xll.BDH("ITCI US Equity","CF_CASH_FROM_INV_ACT","FQ1 2021","FQ1 2021","Currency=USD","Period=FQ","BEST_FPERIOD_OVERRIDE=FQ","FILING_STATUS=MR","SCALING_FORMAT=MLN","Sort=A","Dates=H","DateFormat=P","Fill=—","Direction=H","UseDPDF=Y")</f>
        <v>116.2692</v>
      </c>
      <c r="M37" s="19">
        <f>_xll.BDH("ITCI US Equity","CF_CASH_FROM_INV_ACT","FQ2 2021","FQ2 2021","Currency=USD","Period=FQ","BEST_FPERIOD_OVERRIDE=FQ","FILING_STATUS=MR","SCALING_FORMAT=MLN","Sort=A","Dates=H","DateFormat=P","Fill=—","Direction=H","UseDPDF=Y")</f>
        <v>48.793799999999997</v>
      </c>
      <c r="N37" s="19">
        <f>_xll.BDH("ITCI US Equity","CF_CASH_FROM_INV_ACT","FQ3 2021","FQ3 2021","Currency=USD","Period=FQ","BEST_FPERIOD_OVERRIDE=FQ","FILING_STATUS=MR","SCALING_FORMAT=MLN","Sort=A","Dates=H","DateFormat=P","Fill=—","Direction=H","UseDPDF=Y")</f>
        <v>63.771299999999997</v>
      </c>
      <c r="O37" s="19">
        <f>_xll.BDH("ITCI US Equity","CF_CASH_FROM_INV_ACT","FQ4 2021","FQ4 2021","Currency=USD","Period=FQ","BEST_FPERIOD_OVERRIDE=FQ","FILING_STATUS=MR","SCALING_FORMAT=MLN","Sort=A","Dates=H","DateFormat=P","Fill=—","Direction=H","UseDPDF=Y")</f>
        <v>51.509300000000003</v>
      </c>
      <c r="P37" s="19">
        <f>_xll.BDH("ITCI US Equity","CF_CASH_FROM_INV_ACT","FQ1 2022","FQ1 2022","Currency=USD","Period=FQ","BEST_FPERIOD_OVERRIDE=FQ","FILING_STATUS=MR","SCALING_FORMAT=MLN","Sort=A","Dates=H","DateFormat=P","Fill=—","Direction=H","UseDPDF=Y")</f>
        <v>-322.03500000000003</v>
      </c>
      <c r="Q37" s="19">
        <f>_xll.BDH("ITCI US Equity","CF_CASH_FROM_INV_ACT","FQ2 2022","FQ2 2022","Currency=USD","Period=FQ","BEST_FPERIOD_OVERRIDE=FQ","FILING_STATUS=MR","SCALING_FORMAT=MLN","Sort=A","Dates=H","DateFormat=P","Fill=—","Direction=H","UseDPDF=Y")</f>
        <v>37.228999999999999</v>
      </c>
      <c r="R37" s="19">
        <f>_xll.BDH("ITCI US Equity","CF_CASH_FROM_INV_ACT","FQ3 2022","FQ3 2022","Currency=USD","Period=FQ","BEST_FPERIOD_OVERRIDE=FQ","FILING_STATUS=MR","SCALING_FORMAT=MLN","Sort=A","Dates=H","DateFormat=P","Fill=—","Direction=H","UseDPDF=Y")</f>
        <v>106.17</v>
      </c>
      <c r="S37" s="19">
        <f>_xll.BDH("ITCI US Equity","CF_CASH_FROM_INV_ACT","FQ4 2022","FQ4 2022","Currency=USD","Period=FQ","BEST_FPERIOD_OVERRIDE=FQ","FILING_STATUS=MR","SCALING_FORMAT=MLN","Sort=A","Dates=H","DateFormat=P","Fill=—","Direction=H","UseDPDF=Y")</f>
        <v>50.262999999999998</v>
      </c>
      <c r="T37" s="19">
        <f>_xll.BDH("ITCI US Equity","CF_CASH_FROM_INV_ACT","FQ1 2023","FQ1 2023","Currency=USD","Period=FQ","BEST_FPERIOD_OVERRIDE=FQ","FILING_STATUS=MR","SCALING_FORMAT=MLN","Sort=A","Dates=H","DateFormat=P","Fill=—","Direction=H","UseDPDF=Y")</f>
        <v>-16.462</v>
      </c>
      <c r="U37" s="19">
        <f>_xll.BDH("ITCI US Equity","CF_CASH_FROM_INV_ACT","FQ2 2023","FQ2 2023","Currency=USD","Period=FQ","BEST_FPERIOD_OVERRIDE=FQ","FILING_STATUS=MR","SCALING_FORMAT=MLN","Sort=A","Dates=H","DateFormat=P","Fill=—","Direction=H","UseDPDF=Y")</f>
        <v>94.748000000000005</v>
      </c>
      <c r="V37" s="19">
        <f>_xll.BDH("ITCI US Equity","CF_CASH_FROM_INV_ACT","FQ3 2023","FQ3 2023","Currency=USD","Period=FQ","BEST_FPERIOD_OVERRIDE=FQ","FILING_STATUS=MR","SCALING_FORMAT=MLN","Sort=A","Dates=H","DateFormat=P","Fill=—","Direction=H","UseDPDF=Y")</f>
        <v>-20.167000000000002</v>
      </c>
      <c r="W37" s="19">
        <f>_xll.BDH("ITCI US Equity","CF_CASH_FROM_INV_ACT","FQ4 2023","FQ4 2023","Currency=USD","Period=FQ","BEST_FPERIOD_OVERRIDE=FQ","FILING_STATUS=MR","SCALING_FORMAT=MLN","Sort=A","Dates=H","DateFormat=P","Fill=—","Direction=H","UseDPDF=Y")</f>
        <v>47.421999999999997</v>
      </c>
      <c r="X37" s="19">
        <f>_xll.BDH("ITCI US Equity","CF_CASH_FROM_INV_ACT","FQ1 2024","FQ1 2024","Currency=USD","Period=FQ","BEST_FPERIOD_OVERRIDE=FQ","FILING_STATUS=MR","SCALING_FORMAT=MLN","Sort=A","Dates=H","DateFormat=P","Fill=—","Direction=H","UseDPDF=Y")</f>
        <v>16.178999999999998</v>
      </c>
      <c r="Y37" s="19">
        <f>_xll.BDH("ITCI US Equity","CF_CASH_FROM_INV_ACT","FQ2 2024","FQ2 2024","Currency=USD","Period=FQ","BEST_FPERIOD_OVERRIDE=FQ","FILING_STATUS=MR","SCALING_FORMAT=MLN","Sort=A","Dates=H","DateFormat=P","Fill=—","Direction=H","UseDPDF=Y")</f>
        <v>7.766</v>
      </c>
      <c r="Z37" s="19">
        <f>_xll.BDH("ITCI US Equity","CF_CASH_FROM_INV_ACT","FQ3 2024","FQ3 2024","Currency=USD","Period=FQ","BEST_FPERIOD_OVERRIDE=FQ","FILING_STATUS=MR","SCALING_FORMAT=MLN","Sort=A","Dates=H","DateFormat=P","Fill=—","Direction=H","UseDPDF=Y")</f>
        <v>-209.203</v>
      </c>
      <c r="AA37" s="19">
        <f>_xll.BDH("ITCI US Equity","CF_CASH_FROM_INV_ACT","FQ4 2024","FQ4 2024","Currency=USD","Period=FQ","BEST_FPERIOD_OVERRIDE=FQ","FILING_STATUS=MR","SCALING_FORMAT=MLN","Sort=A","Dates=H","DateFormat=P","Fill=—","Direction=H","UseDPDF=Y")</f>
        <v>-149.892</v>
      </c>
    </row>
    <row r="38" spans="1:27" x14ac:dyDescent="0.25">
      <c r="A38" s="6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 x14ac:dyDescent="0.25">
      <c r="A39" s="6" t="s">
        <v>988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x14ac:dyDescent="0.25">
      <c r="A40" s="10" t="s">
        <v>989</v>
      </c>
      <c r="B40" s="10" t="s">
        <v>990</v>
      </c>
      <c r="C40" s="13">
        <f>_xll.BDH("ITCI US Equity","CF_DVD_PAID","FQ4 2018","FQ4 2018","Currency=USD","Period=FQ","BEST_FPERIOD_OVERRIDE=FQ","FILING_STATUS=MR","SCALING_FORMAT=MLN","Sort=A","Dates=H","DateFormat=P","Fill=—","Direction=H","UseDPDF=Y")</f>
        <v>0</v>
      </c>
      <c r="D40" s="13">
        <f>_xll.BDH("ITCI US Equity","CF_DVD_PAID","FQ1 2019","FQ1 2019","Currency=USD","Period=FQ","BEST_FPERIOD_OVERRIDE=FQ","FILING_STATUS=MR","SCALING_FORMAT=MLN","Sort=A","Dates=H","DateFormat=P","Fill=—","Direction=H","UseDPDF=Y")</f>
        <v>0</v>
      </c>
      <c r="E40" s="13">
        <f>_xll.BDH("ITCI US Equity","CF_DVD_PAID","FQ2 2019","FQ2 2019","Currency=USD","Period=FQ","BEST_FPERIOD_OVERRIDE=FQ","FILING_STATUS=MR","SCALING_FORMAT=MLN","Sort=A","Dates=H","DateFormat=P","Fill=—","Direction=H","UseDPDF=Y")</f>
        <v>0</v>
      </c>
      <c r="F40" s="13">
        <f>_xll.BDH("ITCI US Equity","CF_DVD_PAID","FQ3 2019","FQ3 2019","Currency=USD","Period=FQ","BEST_FPERIOD_OVERRIDE=FQ","FILING_STATUS=MR","SCALING_FORMAT=MLN","Sort=A","Dates=H","DateFormat=P","Fill=—","Direction=H","UseDPDF=Y")</f>
        <v>0</v>
      </c>
      <c r="G40" s="13">
        <f>_xll.BDH("ITCI US Equity","CF_DVD_PAID","FQ4 2019","FQ4 2019","Currency=USD","Period=FQ","BEST_FPERIOD_OVERRIDE=FQ","FILING_STATUS=MR","SCALING_FORMAT=MLN","Sort=A","Dates=H","DateFormat=P","Fill=—","Direction=H","UseDPDF=Y")</f>
        <v>0</v>
      </c>
      <c r="H40" s="13">
        <f>_xll.BDH("ITCI US Equity","CF_DVD_PAID","FQ1 2020","FQ1 2020","Currency=USD","Period=FQ","BEST_FPERIOD_OVERRIDE=FQ","FILING_STATUS=MR","SCALING_FORMAT=MLN","Sort=A","Dates=H","DateFormat=P","Fill=—","Direction=H","UseDPDF=Y")</f>
        <v>0</v>
      </c>
      <c r="I40" s="13">
        <f>_xll.BDH("ITCI US Equity","CF_DVD_PAID","FQ2 2020","FQ2 2020","Currency=USD","Period=FQ","BEST_FPERIOD_OVERRIDE=FQ","FILING_STATUS=MR","SCALING_FORMAT=MLN","Sort=A","Dates=H","DateFormat=P","Fill=—","Direction=H","UseDPDF=Y")</f>
        <v>0</v>
      </c>
      <c r="J40" s="13">
        <f>_xll.BDH("ITCI US Equity","CF_DVD_PAID","FQ3 2020","FQ3 2020","Currency=USD","Period=FQ","BEST_FPERIOD_OVERRIDE=FQ","FILING_STATUS=MR","SCALING_FORMAT=MLN","Sort=A","Dates=H","DateFormat=P","Fill=—","Direction=H","UseDPDF=Y")</f>
        <v>0</v>
      </c>
      <c r="K40" s="13">
        <f>_xll.BDH("ITCI US Equity","CF_DVD_PAID","FQ4 2020","FQ4 2020","Currency=USD","Period=FQ","BEST_FPERIOD_OVERRIDE=FQ","FILING_STATUS=MR","SCALING_FORMAT=MLN","Sort=A","Dates=H","DateFormat=P","Fill=—","Direction=H","UseDPDF=Y")</f>
        <v>0</v>
      </c>
      <c r="L40" s="13">
        <f>_xll.BDH("ITCI US Equity","CF_DVD_PAID","FQ1 2021","FQ1 2021","Currency=USD","Period=FQ","BEST_FPERIOD_OVERRIDE=FQ","FILING_STATUS=MR","SCALING_FORMAT=MLN","Sort=A","Dates=H","DateFormat=P","Fill=—","Direction=H","UseDPDF=Y")</f>
        <v>0</v>
      </c>
      <c r="M40" s="13">
        <f>_xll.BDH("ITCI US Equity","CF_DVD_PAID","FQ2 2021","FQ2 2021","Currency=USD","Period=FQ","BEST_FPERIOD_OVERRIDE=FQ","FILING_STATUS=MR","SCALING_FORMAT=MLN","Sort=A","Dates=H","DateFormat=P","Fill=—","Direction=H","UseDPDF=Y")</f>
        <v>0</v>
      </c>
      <c r="N40" s="13">
        <f>_xll.BDH("ITCI US Equity","CF_DVD_PAID","FQ3 2021","FQ3 2021","Currency=USD","Period=FQ","BEST_FPERIOD_OVERRIDE=FQ","FILING_STATUS=MR","SCALING_FORMAT=MLN","Sort=A","Dates=H","DateFormat=P","Fill=—","Direction=H","UseDPDF=Y")</f>
        <v>0</v>
      </c>
      <c r="O40" s="13">
        <f>_xll.BDH("ITCI US Equity","CF_DVD_PAID","FQ4 2021","FQ4 2021","Currency=USD","Period=FQ","BEST_FPERIOD_OVERRIDE=FQ","FILING_STATUS=MR","SCALING_FORMAT=MLN","Sort=A","Dates=H","DateFormat=P","Fill=—","Direction=H","UseDPDF=Y")</f>
        <v>0</v>
      </c>
      <c r="P40" s="13">
        <f>_xll.BDH("ITCI US Equity","CF_DVD_PAID","FQ1 2022","FQ1 2022","Currency=USD","Period=FQ","BEST_FPERIOD_OVERRIDE=FQ","FILING_STATUS=MR","SCALING_FORMAT=MLN","Sort=A","Dates=H","DateFormat=P","Fill=—","Direction=H","UseDPDF=Y")</f>
        <v>0</v>
      </c>
      <c r="Q40" s="13">
        <f>_xll.BDH("ITCI US Equity","CF_DVD_PAID","FQ2 2022","FQ2 2022","Currency=USD","Period=FQ","BEST_FPERIOD_OVERRIDE=FQ","FILING_STATUS=MR","SCALING_FORMAT=MLN","Sort=A","Dates=H","DateFormat=P","Fill=—","Direction=H","UseDPDF=Y")</f>
        <v>0</v>
      </c>
      <c r="R40" s="13">
        <f>_xll.BDH("ITCI US Equity","CF_DVD_PAID","FQ3 2022","FQ3 2022","Currency=USD","Period=FQ","BEST_FPERIOD_OVERRIDE=FQ","FILING_STATUS=MR","SCALING_FORMAT=MLN","Sort=A","Dates=H","DateFormat=P","Fill=—","Direction=H","UseDPDF=Y")</f>
        <v>0</v>
      </c>
      <c r="S40" s="13">
        <f>_xll.BDH("ITCI US Equity","CF_DVD_PAID","FQ4 2022","FQ4 2022","Currency=USD","Period=FQ","BEST_FPERIOD_OVERRIDE=FQ","FILING_STATUS=MR","SCALING_FORMAT=MLN","Sort=A","Dates=H","DateFormat=P","Fill=—","Direction=H","UseDPDF=Y")</f>
        <v>0</v>
      </c>
      <c r="T40" s="13">
        <f>_xll.BDH("ITCI US Equity","CF_DVD_PAID","FQ1 2023","FQ1 2023","Currency=USD","Period=FQ","BEST_FPERIOD_OVERRIDE=FQ","FILING_STATUS=MR","SCALING_FORMAT=MLN","Sort=A","Dates=H","DateFormat=P","Fill=—","Direction=H","UseDPDF=Y")</f>
        <v>0</v>
      </c>
      <c r="U40" s="13">
        <f>_xll.BDH("ITCI US Equity","CF_DVD_PAID","FQ2 2023","FQ2 2023","Currency=USD","Period=FQ","BEST_FPERIOD_OVERRIDE=FQ","FILING_STATUS=MR","SCALING_FORMAT=MLN","Sort=A","Dates=H","DateFormat=P","Fill=—","Direction=H","UseDPDF=Y")</f>
        <v>0</v>
      </c>
      <c r="V40" s="13">
        <f>_xll.BDH("ITCI US Equity","CF_DVD_PAID","FQ3 2023","FQ3 2023","Currency=USD","Period=FQ","BEST_FPERIOD_OVERRIDE=FQ","FILING_STATUS=MR","SCALING_FORMAT=MLN","Sort=A","Dates=H","DateFormat=P","Fill=—","Direction=H","UseDPDF=Y")</f>
        <v>0</v>
      </c>
      <c r="W40" s="13">
        <f>_xll.BDH("ITCI US Equity","CF_DVD_PAID","FQ4 2023","FQ4 2023","Currency=USD","Period=FQ","BEST_FPERIOD_OVERRIDE=FQ","FILING_STATUS=MR","SCALING_FORMAT=MLN","Sort=A","Dates=H","DateFormat=P","Fill=—","Direction=H","UseDPDF=Y")</f>
        <v>0</v>
      </c>
      <c r="X40" s="13">
        <f>_xll.BDH("ITCI US Equity","CF_DVD_PAID","FQ1 2024","FQ1 2024","Currency=USD","Period=FQ","BEST_FPERIOD_OVERRIDE=FQ","FILING_STATUS=MR","SCALING_FORMAT=MLN","Sort=A","Dates=H","DateFormat=P","Fill=—","Direction=H","UseDPDF=Y")</f>
        <v>0</v>
      </c>
      <c r="Y40" s="13">
        <f>_xll.BDH("ITCI US Equity","CF_DVD_PAID","FQ2 2024","FQ2 2024","Currency=USD","Period=FQ","BEST_FPERIOD_OVERRIDE=FQ","FILING_STATUS=MR","SCALING_FORMAT=MLN","Sort=A","Dates=H","DateFormat=P","Fill=—","Direction=H","UseDPDF=Y")</f>
        <v>0</v>
      </c>
      <c r="Z40" s="13">
        <f>_xll.BDH("ITCI US Equity","CF_DVD_PAID","FQ3 2024","FQ3 2024","Currency=USD","Period=FQ","BEST_FPERIOD_OVERRIDE=FQ","FILING_STATUS=MR","SCALING_FORMAT=MLN","Sort=A","Dates=H","DateFormat=P","Fill=—","Direction=H","UseDPDF=Y")</f>
        <v>0</v>
      </c>
      <c r="AA40" s="13">
        <f>_xll.BDH("ITCI US Equity","CF_DVD_PAID","FQ4 2024","FQ4 2024","Currency=USD","Period=FQ","BEST_FPERIOD_OVERRIDE=FQ","FILING_STATUS=MR","SCALING_FORMAT=MLN","Sort=A","Dates=H","DateFormat=P","Fill=—","Direction=H","UseDPDF=Y")</f>
        <v>0</v>
      </c>
    </row>
    <row r="41" spans="1:27" x14ac:dyDescent="0.25">
      <c r="A41" s="10" t="s">
        <v>991</v>
      </c>
      <c r="B41" s="10" t="s">
        <v>992</v>
      </c>
      <c r="C41" s="13">
        <f>_xll.BDH("ITCI US Equity","PROC_FR_REPAYMNTS_BOR_DETAILED","FQ4 2018","FQ4 2018","Currency=USD","Period=FQ","BEST_FPERIOD_OVERRIDE=FQ","FILING_STATUS=MR","SCALING_FORMAT=MLN","Sort=A","Dates=H","DateFormat=P","Fill=—","Direction=H","UseDPDF=Y")</f>
        <v>0</v>
      </c>
      <c r="D41" s="13">
        <f>_xll.BDH("ITCI US Equity","PROC_FR_REPAYMNTS_BOR_DETAILED","FQ1 2019","FQ1 2019","Currency=USD","Period=FQ","BEST_FPERIOD_OVERRIDE=FQ","FILING_STATUS=MR","SCALING_FORMAT=MLN","Sort=A","Dates=H","DateFormat=P","Fill=—","Direction=H","UseDPDF=Y")</f>
        <v>0</v>
      </c>
      <c r="E41" s="13">
        <f>_xll.BDH("ITCI US Equity","PROC_FR_REPAYMNTS_BOR_DETAILED","FQ2 2019","FQ2 2019","Currency=USD","Period=FQ","BEST_FPERIOD_OVERRIDE=FQ","FILING_STATUS=MR","SCALING_FORMAT=MLN","Sort=A","Dates=H","DateFormat=P","Fill=—","Direction=H","UseDPDF=Y")</f>
        <v>0</v>
      </c>
      <c r="F41" s="13">
        <f>_xll.BDH("ITCI US Equity","PROC_FR_REPAYMNTS_BOR_DETAILED","FQ3 2019","FQ3 2019","Currency=USD","Period=FQ","BEST_FPERIOD_OVERRIDE=FQ","FILING_STATUS=MR","SCALING_FORMAT=MLN","Sort=A","Dates=H","DateFormat=P","Fill=—","Direction=H","UseDPDF=Y")</f>
        <v>0</v>
      </c>
      <c r="G41" s="13">
        <f>_xll.BDH("ITCI US Equity","PROC_FR_REPAYMNTS_BOR_DETAILED","FQ4 2019","FQ4 2019","Currency=USD","Period=FQ","BEST_FPERIOD_OVERRIDE=FQ","FILING_STATUS=MR","SCALING_FORMAT=MLN","Sort=A","Dates=H","DateFormat=P","Fill=—","Direction=H","UseDPDF=Y")</f>
        <v>0</v>
      </c>
      <c r="H41" s="13">
        <f>_xll.BDH("ITCI US Equity","PROC_FR_REPAYMNTS_BOR_DETAILED","FQ1 2020","FQ1 2020","Currency=USD","Period=FQ","BEST_FPERIOD_OVERRIDE=FQ","FILING_STATUS=MR","SCALING_FORMAT=MLN","Sort=A","Dates=H","DateFormat=P","Fill=—","Direction=H","UseDPDF=Y")</f>
        <v>0</v>
      </c>
      <c r="I41" s="13">
        <f>_xll.BDH("ITCI US Equity","PROC_FR_REPAYMNTS_BOR_DETAILED","FQ2 2020","FQ2 2020","Currency=USD","Period=FQ","BEST_FPERIOD_OVERRIDE=FQ","FILING_STATUS=MR","SCALING_FORMAT=MLN","Sort=A","Dates=H","DateFormat=P","Fill=—","Direction=H","UseDPDF=Y")</f>
        <v>0</v>
      </c>
      <c r="J41" s="13">
        <f>_xll.BDH("ITCI US Equity","PROC_FR_REPAYMNTS_BOR_DETAILED","FQ3 2020","FQ3 2020","Currency=USD","Period=FQ","BEST_FPERIOD_OVERRIDE=FQ","FILING_STATUS=MR","SCALING_FORMAT=MLN","Sort=A","Dates=H","DateFormat=P","Fill=—","Direction=H","UseDPDF=Y")</f>
        <v>0</v>
      </c>
      <c r="K41" s="13">
        <f>_xll.BDH("ITCI US Equity","PROC_FR_REPAYMNTS_BOR_DETAILED","FQ4 2020","FQ4 2020","Currency=USD","Period=FQ","BEST_FPERIOD_OVERRIDE=FQ","FILING_STATUS=MR","SCALING_FORMAT=MLN","Sort=A","Dates=H","DateFormat=P","Fill=—","Direction=H","UseDPDF=Y")</f>
        <v>0</v>
      </c>
      <c r="L41" s="13">
        <f>_xll.BDH("ITCI US Equity","PROC_FR_REPAYMNTS_BOR_DETAILED","FQ1 2021","FQ1 2021","Currency=USD","Period=FQ","BEST_FPERIOD_OVERRIDE=FQ","FILING_STATUS=MR","SCALING_FORMAT=MLN","Sort=A","Dates=H","DateFormat=P","Fill=—","Direction=H","UseDPDF=Y")</f>
        <v>0</v>
      </c>
      <c r="M41" s="13">
        <f>_xll.BDH("ITCI US Equity","PROC_FR_REPAYMNTS_BOR_DETAILED","FQ2 2021","FQ2 2021","Currency=USD","Period=FQ","BEST_FPERIOD_OVERRIDE=FQ","FILING_STATUS=MR","SCALING_FORMAT=MLN","Sort=A","Dates=H","DateFormat=P","Fill=—","Direction=H","UseDPDF=Y")</f>
        <v>0</v>
      </c>
      <c r="N41" s="13">
        <f>_xll.BDH("ITCI US Equity","PROC_FR_REPAYMNTS_BOR_DETAILED","FQ3 2021","FQ3 2021","Currency=USD","Period=FQ","BEST_FPERIOD_OVERRIDE=FQ","FILING_STATUS=MR","SCALING_FORMAT=MLN","Sort=A","Dates=H","DateFormat=P","Fill=—","Direction=H","UseDPDF=Y")</f>
        <v>0</v>
      </c>
      <c r="O41" s="13">
        <f>_xll.BDH("ITCI US Equity","PROC_FR_REPAYMNTS_BOR_DETAILED","FQ4 2021","FQ4 2021","Currency=USD","Period=FQ","BEST_FPERIOD_OVERRIDE=FQ","FILING_STATUS=MR","SCALING_FORMAT=MLN","Sort=A","Dates=H","DateFormat=P","Fill=—","Direction=H","UseDPDF=Y")</f>
        <v>0</v>
      </c>
      <c r="P41" s="13">
        <f>_xll.BDH("ITCI US Equity","PROC_FR_REPAYMNTS_BOR_DETAILED","FQ1 2022","FQ1 2022","Currency=USD","Period=FQ","BEST_FPERIOD_OVERRIDE=FQ","FILING_STATUS=MR","SCALING_FORMAT=MLN","Sort=A","Dates=H","DateFormat=P","Fill=—","Direction=H","UseDPDF=Y")</f>
        <v>0</v>
      </c>
      <c r="Q41" s="13">
        <f>_xll.BDH("ITCI US Equity","PROC_FR_REPAYMNTS_BOR_DETAILED","FQ2 2022","FQ2 2022","Currency=USD","Period=FQ","BEST_FPERIOD_OVERRIDE=FQ","FILING_STATUS=MR","SCALING_FORMAT=MLN","Sort=A","Dates=H","DateFormat=P","Fill=—","Direction=H","UseDPDF=Y")</f>
        <v>0</v>
      </c>
      <c r="R41" s="13">
        <f>_xll.BDH("ITCI US Equity","PROC_FR_REPAYMNTS_BOR_DETAILED","FQ3 2022","FQ3 2022","Currency=USD","Period=FQ","BEST_FPERIOD_OVERRIDE=FQ","FILING_STATUS=MR","SCALING_FORMAT=MLN","Sort=A","Dates=H","DateFormat=P","Fill=—","Direction=H","UseDPDF=Y")</f>
        <v>0</v>
      </c>
      <c r="S41" s="13">
        <f>_xll.BDH("ITCI US Equity","PROC_FR_REPAYMNTS_BOR_DETAILED","FQ4 2022","FQ4 2022","Currency=USD","Period=FQ","BEST_FPERIOD_OVERRIDE=FQ","FILING_STATUS=MR","SCALING_FORMAT=MLN","Sort=A","Dates=H","DateFormat=P","Fill=—","Direction=H","UseDPDF=Y")</f>
        <v>0</v>
      </c>
      <c r="T41" s="13">
        <f>_xll.BDH("ITCI US Equity","PROC_FR_REPAYMNTS_BOR_DETAILED","FQ1 2023","FQ1 2023","Currency=USD","Period=FQ","BEST_FPERIOD_OVERRIDE=FQ","FILING_STATUS=MR","SCALING_FORMAT=MLN","Sort=A","Dates=H","DateFormat=P","Fill=—","Direction=H","UseDPDF=Y")</f>
        <v>0</v>
      </c>
      <c r="U41" s="13">
        <f>_xll.BDH("ITCI US Equity","PROC_FR_REPAYMNTS_BOR_DETAILED","FQ2 2023","FQ2 2023","Currency=USD","Period=FQ","BEST_FPERIOD_OVERRIDE=FQ","FILING_STATUS=MR","SCALING_FORMAT=MLN","Sort=A","Dates=H","DateFormat=P","Fill=—","Direction=H","UseDPDF=Y")</f>
        <v>0</v>
      </c>
      <c r="V41" s="13">
        <f>_xll.BDH("ITCI US Equity","PROC_FR_REPAYMNTS_BOR_DETAILED","FQ3 2023","FQ3 2023","Currency=USD","Period=FQ","BEST_FPERIOD_OVERRIDE=FQ","FILING_STATUS=MR","SCALING_FORMAT=MLN","Sort=A","Dates=H","DateFormat=P","Fill=—","Direction=H","UseDPDF=Y")</f>
        <v>0</v>
      </c>
      <c r="W41" s="13">
        <f>_xll.BDH("ITCI US Equity","PROC_FR_REPAYMNTS_BOR_DETAILED","FQ4 2023","FQ4 2023","Currency=USD","Period=FQ","BEST_FPERIOD_OVERRIDE=FQ","FILING_STATUS=MR","SCALING_FORMAT=MLN","Sort=A","Dates=H","DateFormat=P","Fill=—","Direction=H","UseDPDF=Y")</f>
        <v>0</v>
      </c>
      <c r="X41" s="13">
        <f>_xll.BDH("ITCI US Equity","PROC_FR_REPAYMNTS_BOR_DETAILED","FQ1 2024","FQ1 2024","Currency=USD","Period=FQ","BEST_FPERIOD_OVERRIDE=FQ","FILING_STATUS=MR","SCALING_FORMAT=MLN","Sort=A","Dates=H","DateFormat=P","Fill=—","Direction=H","UseDPDF=Y")</f>
        <v>0</v>
      </c>
      <c r="Y41" s="13">
        <f>_xll.BDH("ITCI US Equity","PROC_FR_REPAYMNTS_BOR_DETAILED","FQ2 2024","FQ2 2024","Currency=USD","Period=FQ","BEST_FPERIOD_OVERRIDE=FQ","FILING_STATUS=MR","SCALING_FORMAT=MLN","Sort=A","Dates=H","DateFormat=P","Fill=—","Direction=H","UseDPDF=Y")</f>
        <v>0</v>
      </c>
      <c r="Z41" s="13">
        <f>_xll.BDH("ITCI US Equity","PROC_FR_REPAYMNTS_BOR_DETAILED","FQ3 2024","FQ3 2024","Currency=USD","Period=FQ","BEST_FPERIOD_OVERRIDE=FQ","FILING_STATUS=MR","SCALING_FORMAT=MLN","Sort=A","Dates=H","DateFormat=P","Fill=—","Direction=H","UseDPDF=Y")</f>
        <v>0</v>
      </c>
      <c r="AA41" s="13">
        <f>_xll.BDH("ITCI US Equity","PROC_FR_REPAYMNTS_BOR_DETAILED","FQ4 2024","FQ4 2024","Currency=USD","Period=FQ","BEST_FPERIOD_OVERRIDE=FQ","FILING_STATUS=MR","SCALING_FORMAT=MLN","Sort=A","Dates=H","DateFormat=P","Fill=—","Direction=H","UseDPDF=Y")</f>
        <v>0</v>
      </c>
    </row>
    <row r="42" spans="1:27" x14ac:dyDescent="0.25">
      <c r="A42" s="10" t="s">
        <v>993</v>
      </c>
      <c r="B42" s="10" t="s">
        <v>994</v>
      </c>
      <c r="C42" s="13">
        <f>_xll.BDH("ITCI US Equity","CF_NET_CHG_ST_DEBT_CPTL_LEAS","FQ4 2018","FQ4 2018","Currency=USD","Period=FQ","BEST_FPERIOD_OVERRIDE=FQ","FILING_STATUS=MR","SCALING_FORMAT=MLN","Sort=A","Dates=H","DateFormat=P","Fill=—","Direction=H","UseDPDF=Y")</f>
        <v>0</v>
      </c>
      <c r="D42" s="13">
        <f>_xll.BDH("ITCI US Equity","CF_NET_CHG_ST_DEBT_CPTL_LEAS","FQ1 2019","FQ1 2019","Currency=USD","Period=FQ","BEST_FPERIOD_OVERRIDE=FQ","FILING_STATUS=MR","SCALING_FORMAT=MLN","Sort=A","Dates=H","DateFormat=P","Fill=—","Direction=H","UseDPDF=Y")</f>
        <v>0</v>
      </c>
      <c r="E42" s="13">
        <f>_xll.BDH("ITCI US Equity","CF_NET_CHG_ST_DEBT_CPTL_LEAS","FQ2 2019","FQ2 2019","Currency=USD","Period=FQ","BEST_FPERIOD_OVERRIDE=FQ","FILING_STATUS=MR","SCALING_FORMAT=MLN","Sort=A","Dates=H","DateFormat=P","Fill=—","Direction=H","UseDPDF=Y")</f>
        <v>0</v>
      </c>
      <c r="F42" s="13">
        <f>_xll.BDH("ITCI US Equity","CF_NET_CHG_ST_DEBT_CPTL_LEAS","FQ3 2019","FQ3 2019","Currency=USD","Period=FQ","BEST_FPERIOD_OVERRIDE=FQ","FILING_STATUS=MR","SCALING_FORMAT=MLN","Sort=A","Dates=H","DateFormat=P","Fill=—","Direction=H","UseDPDF=Y")</f>
        <v>0</v>
      </c>
      <c r="G42" s="13">
        <f>_xll.BDH("ITCI US Equity","CF_NET_CHG_ST_DEBT_CPTL_LEAS","FQ4 2019","FQ4 2019","Currency=USD","Period=FQ","BEST_FPERIOD_OVERRIDE=FQ","FILING_STATUS=MR","SCALING_FORMAT=MLN","Sort=A","Dates=H","DateFormat=P","Fill=—","Direction=H","UseDPDF=Y")</f>
        <v>0</v>
      </c>
      <c r="H42" s="13">
        <f>_xll.BDH("ITCI US Equity","CF_NET_CHG_ST_DEBT_CPTL_LEAS","FQ1 2020","FQ1 2020","Currency=USD","Period=FQ","BEST_FPERIOD_OVERRIDE=FQ","FILING_STATUS=MR","SCALING_FORMAT=MLN","Sort=A","Dates=H","DateFormat=P","Fill=—","Direction=H","UseDPDF=Y")</f>
        <v>0</v>
      </c>
      <c r="I42" s="13">
        <f>_xll.BDH("ITCI US Equity","CF_NET_CHG_ST_DEBT_CPTL_LEAS","FQ2 2020","FQ2 2020","Currency=USD","Period=FQ","BEST_FPERIOD_OVERRIDE=FQ","FILING_STATUS=MR","SCALING_FORMAT=MLN","Sort=A","Dates=H","DateFormat=P","Fill=—","Direction=H","UseDPDF=Y")</f>
        <v>0</v>
      </c>
      <c r="J42" s="13">
        <f>_xll.BDH("ITCI US Equity","CF_NET_CHG_ST_DEBT_CPTL_LEAS","FQ3 2020","FQ3 2020","Currency=USD","Period=FQ","BEST_FPERIOD_OVERRIDE=FQ","FILING_STATUS=MR","SCALING_FORMAT=MLN","Sort=A","Dates=H","DateFormat=P","Fill=—","Direction=H","UseDPDF=Y")</f>
        <v>0</v>
      </c>
      <c r="K42" s="13">
        <f>_xll.BDH("ITCI US Equity","CF_NET_CHG_ST_DEBT_CPTL_LEAS","FQ4 2020","FQ4 2020","Currency=USD","Period=FQ","BEST_FPERIOD_OVERRIDE=FQ","FILING_STATUS=MR","SCALING_FORMAT=MLN","Sort=A","Dates=H","DateFormat=P","Fill=—","Direction=H","UseDPDF=Y")</f>
        <v>0</v>
      </c>
      <c r="L42" s="13">
        <f>_xll.BDH("ITCI US Equity","CF_NET_CHG_ST_DEBT_CPTL_LEAS","FQ1 2021","FQ1 2021","Currency=USD","Period=FQ","BEST_FPERIOD_OVERRIDE=FQ","FILING_STATUS=MR","SCALING_FORMAT=MLN","Sort=A","Dates=H","DateFormat=P","Fill=—","Direction=H","UseDPDF=Y")</f>
        <v>0</v>
      </c>
      <c r="M42" s="13">
        <f>_xll.BDH("ITCI US Equity","CF_NET_CHG_ST_DEBT_CPTL_LEAS","FQ2 2021","FQ2 2021","Currency=USD","Period=FQ","BEST_FPERIOD_OVERRIDE=FQ","FILING_STATUS=MR","SCALING_FORMAT=MLN","Sort=A","Dates=H","DateFormat=P","Fill=—","Direction=H","UseDPDF=Y")</f>
        <v>0</v>
      </c>
      <c r="N42" s="13">
        <f>_xll.BDH("ITCI US Equity","CF_NET_CHG_ST_DEBT_CPTL_LEAS","FQ3 2021","FQ3 2021","Currency=USD","Period=FQ","BEST_FPERIOD_OVERRIDE=FQ","FILING_STATUS=MR","SCALING_FORMAT=MLN","Sort=A","Dates=H","DateFormat=P","Fill=—","Direction=H","UseDPDF=Y")</f>
        <v>0</v>
      </c>
      <c r="O42" s="13">
        <f>_xll.BDH("ITCI US Equity","CF_NET_CHG_ST_DEBT_CPTL_LEAS","FQ4 2021","FQ4 2021","Currency=USD","Period=FQ","BEST_FPERIOD_OVERRIDE=FQ","FILING_STATUS=MR","SCALING_FORMAT=MLN","Sort=A","Dates=H","DateFormat=P","Fill=—","Direction=H","UseDPDF=Y")</f>
        <v>0</v>
      </c>
      <c r="P42" s="13">
        <f>_xll.BDH("ITCI US Equity","CF_NET_CHG_ST_DEBT_CPTL_LEAS","FQ1 2022","FQ1 2022","Currency=USD","Period=FQ","BEST_FPERIOD_OVERRIDE=FQ","FILING_STATUS=MR","SCALING_FORMAT=MLN","Sort=A","Dates=H","DateFormat=P","Fill=—","Direction=H","UseDPDF=Y")</f>
        <v>0</v>
      </c>
      <c r="Q42" s="13">
        <f>_xll.BDH("ITCI US Equity","CF_NET_CHG_ST_DEBT_CPTL_LEAS","FQ2 2022","FQ2 2022","Currency=USD","Period=FQ","BEST_FPERIOD_OVERRIDE=FQ","FILING_STATUS=MR","SCALING_FORMAT=MLN","Sort=A","Dates=H","DateFormat=P","Fill=—","Direction=H","UseDPDF=Y")</f>
        <v>0</v>
      </c>
      <c r="R42" s="13">
        <f>_xll.BDH("ITCI US Equity","CF_NET_CHG_ST_DEBT_CPTL_LEAS","FQ3 2022","FQ3 2022","Currency=USD","Period=FQ","BEST_FPERIOD_OVERRIDE=FQ","FILING_STATUS=MR","SCALING_FORMAT=MLN","Sort=A","Dates=H","DateFormat=P","Fill=—","Direction=H","UseDPDF=Y")</f>
        <v>0</v>
      </c>
      <c r="S42" s="13">
        <f>_xll.BDH("ITCI US Equity","CF_NET_CHG_ST_DEBT_CPTL_LEAS","FQ4 2022","FQ4 2022","Currency=USD","Period=FQ","BEST_FPERIOD_OVERRIDE=FQ","FILING_STATUS=MR","SCALING_FORMAT=MLN","Sort=A","Dates=H","DateFormat=P","Fill=—","Direction=H","UseDPDF=Y")</f>
        <v>0</v>
      </c>
      <c r="T42" s="13">
        <f>_xll.BDH("ITCI US Equity","CF_NET_CHG_ST_DEBT_CPTL_LEAS","FQ1 2023","FQ1 2023","Currency=USD","Period=FQ","BEST_FPERIOD_OVERRIDE=FQ","FILING_STATUS=MR","SCALING_FORMAT=MLN","Sort=A","Dates=H","DateFormat=P","Fill=—","Direction=H","UseDPDF=Y")</f>
        <v>0</v>
      </c>
      <c r="U42" s="13">
        <f>_xll.BDH("ITCI US Equity","CF_NET_CHG_ST_DEBT_CPTL_LEAS","FQ2 2023","FQ2 2023","Currency=USD","Period=FQ","BEST_FPERIOD_OVERRIDE=FQ","FILING_STATUS=MR","SCALING_FORMAT=MLN","Sort=A","Dates=H","DateFormat=P","Fill=—","Direction=H","UseDPDF=Y")</f>
        <v>0</v>
      </c>
      <c r="V42" s="13">
        <f>_xll.BDH("ITCI US Equity","CF_NET_CHG_ST_DEBT_CPTL_LEAS","FQ3 2023","FQ3 2023","Currency=USD","Period=FQ","BEST_FPERIOD_OVERRIDE=FQ","FILING_STATUS=MR","SCALING_FORMAT=MLN","Sort=A","Dates=H","DateFormat=P","Fill=—","Direction=H","UseDPDF=Y")</f>
        <v>0</v>
      </c>
      <c r="W42" s="13">
        <f>_xll.BDH("ITCI US Equity","CF_NET_CHG_ST_DEBT_CPTL_LEAS","FQ4 2023","FQ4 2023","Currency=USD","Period=FQ","BEST_FPERIOD_OVERRIDE=FQ","FILING_STATUS=MR","SCALING_FORMAT=MLN","Sort=A","Dates=H","DateFormat=P","Fill=—","Direction=H","UseDPDF=Y")</f>
        <v>0</v>
      </c>
      <c r="X42" s="13">
        <f>_xll.BDH("ITCI US Equity","CF_NET_CHG_ST_DEBT_CPTL_LEAS","FQ1 2024","FQ1 2024","Currency=USD","Period=FQ","BEST_FPERIOD_OVERRIDE=FQ","FILING_STATUS=MR","SCALING_FORMAT=MLN","Sort=A","Dates=H","DateFormat=P","Fill=—","Direction=H","UseDPDF=Y")</f>
        <v>0</v>
      </c>
      <c r="Y42" s="13">
        <f>_xll.BDH("ITCI US Equity","CF_NET_CHG_ST_DEBT_CPTL_LEAS","FQ2 2024","FQ2 2024","Currency=USD","Period=FQ","BEST_FPERIOD_OVERRIDE=FQ","FILING_STATUS=MR","SCALING_FORMAT=MLN","Sort=A","Dates=H","DateFormat=P","Fill=—","Direction=H","UseDPDF=Y")</f>
        <v>0</v>
      </c>
      <c r="Z42" s="13">
        <f>_xll.BDH("ITCI US Equity","CF_NET_CHG_ST_DEBT_CPTL_LEAS","FQ3 2024","FQ3 2024","Currency=USD","Period=FQ","BEST_FPERIOD_OVERRIDE=FQ","FILING_STATUS=MR","SCALING_FORMAT=MLN","Sort=A","Dates=H","DateFormat=P","Fill=—","Direction=H","UseDPDF=Y")</f>
        <v>0</v>
      </c>
      <c r="AA42" s="13">
        <f>_xll.BDH("ITCI US Equity","CF_NET_CHG_ST_DEBT_CPTL_LEAS","FQ4 2024","FQ4 2024","Currency=USD","Period=FQ","BEST_FPERIOD_OVERRIDE=FQ","FILING_STATUS=MR","SCALING_FORMAT=MLN","Sort=A","Dates=H","DateFormat=P","Fill=—","Direction=H","UseDPDF=Y")</f>
        <v>0</v>
      </c>
    </row>
    <row r="43" spans="1:27" x14ac:dyDescent="0.25">
      <c r="A43" s="10" t="s">
        <v>995</v>
      </c>
      <c r="B43" s="10" t="s">
        <v>996</v>
      </c>
      <c r="C43" s="13">
        <f>_xll.BDH("ITCI US Equity","CF_LT_DEBT_CAP_LEAS_PROCEEDS","FQ4 2018","FQ4 2018","Currency=USD","Period=FQ","BEST_FPERIOD_OVERRIDE=FQ","FILING_STATUS=MR","SCALING_FORMAT=MLN","Sort=A","Dates=H","DateFormat=P","Fill=—","Direction=H","UseDPDF=Y")</f>
        <v>0</v>
      </c>
      <c r="D43" s="13">
        <f>_xll.BDH("ITCI US Equity","CF_LT_DEBT_CAP_LEAS_PROCEEDS","FQ1 2019","FQ1 2019","Currency=USD","Period=FQ","BEST_FPERIOD_OVERRIDE=FQ","FILING_STATUS=MR","SCALING_FORMAT=MLN","Sort=A","Dates=H","DateFormat=P","Fill=—","Direction=H","UseDPDF=Y")</f>
        <v>0</v>
      </c>
      <c r="E43" s="13">
        <f>_xll.BDH("ITCI US Equity","CF_LT_DEBT_CAP_LEAS_PROCEEDS","FQ2 2019","FQ2 2019","Currency=USD","Period=FQ","BEST_FPERIOD_OVERRIDE=FQ","FILING_STATUS=MR","SCALING_FORMAT=MLN","Sort=A","Dates=H","DateFormat=P","Fill=—","Direction=H","UseDPDF=Y")</f>
        <v>0</v>
      </c>
      <c r="F43" s="13">
        <f>_xll.BDH("ITCI US Equity","CF_LT_DEBT_CAP_LEAS_PROCEEDS","FQ3 2019","FQ3 2019","Currency=USD","Period=FQ","BEST_FPERIOD_OVERRIDE=FQ","FILING_STATUS=MR","SCALING_FORMAT=MLN","Sort=A","Dates=H","DateFormat=P","Fill=—","Direction=H","UseDPDF=Y")</f>
        <v>0</v>
      </c>
      <c r="G43" s="13">
        <f>_xll.BDH("ITCI US Equity","CF_LT_DEBT_CAP_LEAS_PROCEEDS","FQ4 2019","FQ4 2019","Currency=USD","Period=FQ","BEST_FPERIOD_OVERRIDE=FQ","FILING_STATUS=MR","SCALING_FORMAT=MLN","Sort=A","Dates=H","DateFormat=P","Fill=—","Direction=H","UseDPDF=Y")</f>
        <v>0</v>
      </c>
      <c r="H43" s="13">
        <f>_xll.BDH("ITCI US Equity","CF_LT_DEBT_CAP_LEAS_PROCEEDS","FQ1 2020","FQ1 2020","Currency=USD","Period=FQ","BEST_FPERIOD_OVERRIDE=FQ","FILING_STATUS=MR","SCALING_FORMAT=MLN","Sort=A","Dates=H","DateFormat=P","Fill=—","Direction=H","UseDPDF=Y")</f>
        <v>0</v>
      </c>
      <c r="I43" s="13">
        <f>_xll.BDH("ITCI US Equity","CF_LT_DEBT_CAP_LEAS_PROCEEDS","FQ2 2020","FQ2 2020","Currency=USD","Period=FQ","BEST_FPERIOD_OVERRIDE=FQ","FILING_STATUS=MR","SCALING_FORMAT=MLN","Sort=A","Dates=H","DateFormat=P","Fill=—","Direction=H","UseDPDF=Y")</f>
        <v>0</v>
      </c>
      <c r="J43" s="13">
        <f>_xll.BDH("ITCI US Equity","CF_LT_DEBT_CAP_LEAS_PROCEEDS","FQ3 2020","FQ3 2020","Currency=USD","Period=FQ","BEST_FPERIOD_OVERRIDE=FQ","FILING_STATUS=MR","SCALING_FORMAT=MLN","Sort=A","Dates=H","DateFormat=P","Fill=—","Direction=H","UseDPDF=Y")</f>
        <v>0</v>
      </c>
      <c r="K43" s="13">
        <f>_xll.BDH("ITCI US Equity","CF_LT_DEBT_CAP_LEAS_PROCEEDS","FQ4 2020","FQ4 2020","Currency=USD","Period=FQ","BEST_FPERIOD_OVERRIDE=FQ","FILING_STATUS=MR","SCALING_FORMAT=MLN","Sort=A","Dates=H","DateFormat=P","Fill=—","Direction=H","UseDPDF=Y")</f>
        <v>0</v>
      </c>
      <c r="L43" s="13">
        <f>_xll.BDH("ITCI US Equity","CF_LT_DEBT_CAP_LEAS_PROCEEDS","FQ1 2021","FQ1 2021","Currency=USD","Period=FQ","BEST_FPERIOD_OVERRIDE=FQ","FILING_STATUS=MR","SCALING_FORMAT=MLN","Sort=A","Dates=H","DateFormat=P","Fill=—","Direction=H","UseDPDF=Y")</f>
        <v>0</v>
      </c>
      <c r="M43" s="13">
        <f>_xll.BDH("ITCI US Equity","CF_LT_DEBT_CAP_LEAS_PROCEEDS","FQ2 2021","FQ2 2021","Currency=USD","Period=FQ","BEST_FPERIOD_OVERRIDE=FQ","FILING_STATUS=MR","SCALING_FORMAT=MLN","Sort=A","Dates=H","DateFormat=P","Fill=—","Direction=H","UseDPDF=Y")</f>
        <v>0</v>
      </c>
      <c r="N43" s="13">
        <f>_xll.BDH("ITCI US Equity","CF_LT_DEBT_CAP_LEAS_PROCEEDS","FQ3 2021","FQ3 2021","Currency=USD","Period=FQ","BEST_FPERIOD_OVERRIDE=FQ","FILING_STATUS=MR","SCALING_FORMAT=MLN","Sort=A","Dates=H","DateFormat=P","Fill=—","Direction=H","UseDPDF=Y")</f>
        <v>0</v>
      </c>
      <c r="O43" s="13">
        <f>_xll.BDH("ITCI US Equity","CF_LT_DEBT_CAP_LEAS_PROCEEDS","FQ4 2021","FQ4 2021","Currency=USD","Period=FQ","BEST_FPERIOD_OVERRIDE=FQ","FILING_STATUS=MR","SCALING_FORMAT=MLN","Sort=A","Dates=H","DateFormat=P","Fill=—","Direction=H","UseDPDF=Y")</f>
        <v>0</v>
      </c>
      <c r="P43" s="13">
        <f>_xll.BDH("ITCI US Equity","CF_LT_DEBT_CAP_LEAS_PROCEEDS","FQ1 2022","FQ1 2022","Currency=USD","Period=FQ","BEST_FPERIOD_OVERRIDE=FQ","FILING_STATUS=MR","SCALING_FORMAT=MLN","Sort=A","Dates=H","DateFormat=P","Fill=—","Direction=H","UseDPDF=Y")</f>
        <v>0</v>
      </c>
      <c r="Q43" s="13">
        <f>_xll.BDH("ITCI US Equity","CF_LT_DEBT_CAP_LEAS_PROCEEDS","FQ2 2022","FQ2 2022","Currency=USD","Period=FQ","BEST_FPERIOD_OVERRIDE=FQ","FILING_STATUS=MR","SCALING_FORMAT=MLN","Sort=A","Dates=H","DateFormat=P","Fill=—","Direction=H","UseDPDF=Y")</f>
        <v>0</v>
      </c>
      <c r="R43" s="13">
        <f>_xll.BDH("ITCI US Equity","CF_LT_DEBT_CAP_LEAS_PROCEEDS","FQ3 2022","FQ3 2022","Currency=USD","Period=FQ","BEST_FPERIOD_OVERRIDE=FQ","FILING_STATUS=MR","SCALING_FORMAT=MLN","Sort=A","Dates=H","DateFormat=P","Fill=—","Direction=H","UseDPDF=Y")</f>
        <v>0</v>
      </c>
      <c r="S43" s="13">
        <f>_xll.BDH("ITCI US Equity","CF_LT_DEBT_CAP_LEAS_PROCEEDS","FQ4 2022","FQ4 2022","Currency=USD","Period=FQ","BEST_FPERIOD_OVERRIDE=FQ","FILING_STATUS=MR","SCALING_FORMAT=MLN","Sort=A","Dates=H","DateFormat=P","Fill=—","Direction=H","UseDPDF=Y")</f>
        <v>0</v>
      </c>
      <c r="T43" s="13">
        <f>_xll.BDH("ITCI US Equity","CF_LT_DEBT_CAP_LEAS_PROCEEDS","FQ1 2023","FQ1 2023","Currency=USD","Period=FQ","BEST_FPERIOD_OVERRIDE=FQ","FILING_STATUS=MR","SCALING_FORMAT=MLN","Sort=A","Dates=H","DateFormat=P","Fill=—","Direction=H","UseDPDF=Y")</f>
        <v>0</v>
      </c>
      <c r="U43" s="13">
        <f>_xll.BDH("ITCI US Equity","CF_LT_DEBT_CAP_LEAS_PROCEEDS","FQ2 2023","FQ2 2023","Currency=USD","Period=FQ","BEST_FPERIOD_OVERRIDE=FQ","FILING_STATUS=MR","SCALING_FORMAT=MLN","Sort=A","Dates=H","DateFormat=P","Fill=—","Direction=H","UseDPDF=Y")</f>
        <v>0</v>
      </c>
      <c r="V43" s="13">
        <f>_xll.BDH("ITCI US Equity","CF_LT_DEBT_CAP_LEAS_PROCEEDS","FQ3 2023","FQ3 2023","Currency=USD","Period=FQ","BEST_FPERIOD_OVERRIDE=FQ","FILING_STATUS=MR","SCALING_FORMAT=MLN","Sort=A","Dates=H","DateFormat=P","Fill=—","Direction=H","UseDPDF=Y")</f>
        <v>0</v>
      </c>
      <c r="W43" s="13">
        <f>_xll.BDH("ITCI US Equity","CF_LT_DEBT_CAP_LEAS_PROCEEDS","FQ4 2023","FQ4 2023","Currency=USD","Period=FQ","BEST_FPERIOD_OVERRIDE=FQ","FILING_STATUS=MR","SCALING_FORMAT=MLN","Sort=A","Dates=H","DateFormat=P","Fill=—","Direction=H","UseDPDF=Y")</f>
        <v>0</v>
      </c>
      <c r="X43" s="13">
        <f>_xll.BDH("ITCI US Equity","CF_LT_DEBT_CAP_LEAS_PROCEEDS","FQ1 2024","FQ1 2024","Currency=USD","Period=FQ","BEST_FPERIOD_OVERRIDE=FQ","FILING_STATUS=MR","SCALING_FORMAT=MLN","Sort=A","Dates=H","DateFormat=P","Fill=—","Direction=H","UseDPDF=Y")</f>
        <v>0</v>
      </c>
      <c r="Y43" s="13">
        <f>_xll.BDH("ITCI US Equity","CF_LT_DEBT_CAP_LEAS_PROCEEDS","FQ2 2024","FQ2 2024","Currency=USD","Period=FQ","BEST_FPERIOD_OVERRIDE=FQ","FILING_STATUS=MR","SCALING_FORMAT=MLN","Sort=A","Dates=H","DateFormat=P","Fill=—","Direction=H","UseDPDF=Y")</f>
        <v>0</v>
      </c>
      <c r="Z43" s="13">
        <f>_xll.BDH("ITCI US Equity","CF_LT_DEBT_CAP_LEAS_PROCEEDS","FQ3 2024","FQ3 2024","Currency=USD","Period=FQ","BEST_FPERIOD_OVERRIDE=FQ","FILING_STATUS=MR","SCALING_FORMAT=MLN","Sort=A","Dates=H","DateFormat=P","Fill=—","Direction=H","UseDPDF=Y")</f>
        <v>0</v>
      </c>
      <c r="AA43" s="13">
        <f>_xll.BDH("ITCI US Equity","CF_LT_DEBT_CAP_LEAS_PROCEEDS","FQ4 2024","FQ4 2024","Currency=USD","Period=FQ","BEST_FPERIOD_OVERRIDE=FQ","FILING_STATUS=MR","SCALING_FORMAT=MLN","Sort=A","Dates=H","DateFormat=P","Fill=—","Direction=H","UseDPDF=Y")</f>
        <v>0</v>
      </c>
    </row>
    <row r="44" spans="1:27" x14ac:dyDescent="0.25">
      <c r="A44" s="10" t="s">
        <v>997</v>
      </c>
      <c r="B44" s="10" t="s">
        <v>998</v>
      </c>
      <c r="C44" s="13">
        <f>_xll.BDH("ITCI US Equity","CF_LT_DEBT_CAP_LEAS_PAYMENT","FQ4 2018","FQ4 2018","Currency=USD","Period=FQ","BEST_FPERIOD_OVERRIDE=FQ","FILING_STATUS=MR","SCALING_FORMAT=MLN","Sort=A","Dates=H","DateFormat=P","Fill=—","Direction=H","UseDPDF=Y")</f>
        <v>0</v>
      </c>
      <c r="D44" s="13">
        <f>_xll.BDH("ITCI US Equity","CF_LT_DEBT_CAP_LEAS_PAYMENT","FQ1 2019","FQ1 2019","Currency=USD","Period=FQ","BEST_FPERIOD_OVERRIDE=FQ","FILING_STATUS=MR","SCALING_FORMAT=MLN","Sort=A","Dates=H","DateFormat=P","Fill=—","Direction=H","UseDPDF=Y")</f>
        <v>0</v>
      </c>
      <c r="E44" s="13">
        <f>_xll.BDH("ITCI US Equity","CF_LT_DEBT_CAP_LEAS_PAYMENT","FQ2 2019","FQ2 2019","Currency=USD","Period=FQ","BEST_FPERIOD_OVERRIDE=FQ","FILING_STATUS=MR","SCALING_FORMAT=MLN","Sort=A","Dates=H","DateFormat=P","Fill=—","Direction=H","UseDPDF=Y")</f>
        <v>0</v>
      </c>
      <c r="F44" s="13">
        <f>_xll.BDH("ITCI US Equity","CF_LT_DEBT_CAP_LEAS_PAYMENT","FQ3 2019","FQ3 2019","Currency=USD","Period=FQ","BEST_FPERIOD_OVERRIDE=FQ","FILING_STATUS=MR","SCALING_FORMAT=MLN","Sort=A","Dates=H","DateFormat=P","Fill=—","Direction=H","UseDPDF=Y")</f>
        <v>0</v>
      </c>
      <c r="G44" s="13">
        <f>_xll.BDH("ITCI US Equity","CF_LT_DEBT_CAP_LEAS_PAYMENT","FQ4 2019","FQ4 2019","Currency=USD","Period=FQ","BEST_FPERIOD_OVERRIDE=FQ","FILING_STATUS=MR","SCALING_FORMAT=MLN","Sort=A","Dates=H","DateFormat=P","Fill=—","Direction=H","UseDPDF=Y")</f>
        <v>0</v>
      </c>
      <c r="H44" s="13">
        <f>_xll.BDH("ITCI US Equity","CF_LT_DEBT_CAP_LEAS_PAYMENT","FQ1 2020","FQ1 2020","Currency=USD","Period=FQ","BEST_FPERIOD_OVERRIDE=FQ","FILING_STATUS=MR","SCALING_FORMAT=MLN","Sort=A","Dates=H","DateFormat=P","Fill=—","Direction=H","UseDPDF=Y")</f>
        <v>0</v>
      </c>
      <c r="I44" s="13">
        <f>_xll.BDH("ITCI US Equity","CF_LT_DEBT_CAP_LEAS_PAYMENT","FQ2 2020","FQ2 2020","Currency=USD","Period=FQ","BEST_FPERIOD_OVERRIDE=FQ","FILING_STATUS=MR","SCALING_FORMAT=MLN","Sort=A","Dates=H","DateFormat=P","Fill=—","Direction=H","UseDPDF=Y")</f>
        <v>0</v>
      </c>
      <c r="J44" s="13">
        <f>_xll.BDH("ITCI US Equity","CF_LT_DEBT_CAP_LEAS_PAYMENT","FQ3 2020","FQ3 2020","Currency=USD","Period=FQ","BEST_FPERIOD_OVERRIDE=FQ","FILING_STATUS=MR","SCALING_FORMAT=MLN","Sort=A","Dates=H","DateFormat=P","Fill=—","Direction=H","UseDPDF=Y")</f>
        <v>0</v>
      </c>
      <c r="K44" s="13">
        <f>_xll.BDH("ITCI US Equity","CF_LT_DEBT_CAP_LEAS_PAYMENT","FQ4 2020","FQ4 2020","Currency=USD","Period=FQ","BEST_FPERIOD_OVERRIDE=FQ","FILING_STATUS=MR","SCALING_FORMAT=MLN","Sort=A","Dates=H","DateFormat=P","Fill=—","Direction=H","UseDPDF=Y")</f>
        <v>0</v>
      </c>
      <c r="L44" s="13">
        <f>_xll.BDH("ITCI US Equity","CF_LT_DEBT_CAP_LEAS_PAYMENT","FQ1 2021","FQ1 2021","Currency=USD","Period=FQ","BEST_FPERIOD_OVERRIDE=FQ","FILING_STATUS=MR","SCALING_FORMAT=MLN","Sort=A","Dates=H","DateFormat=P","Fill=—","Direction=H","UseDPDF=Y")</f>
        <v>0</v>
      </c>
      <c r="M44" s="13">
        <f>_xll.BDH("ITCI US Equity","CF_LT_DEBT_CAP_LEAS_PAYMENT","FQ2 2021","FQ2 2021","Currency=USD","Period=FQ","BEST_FPERIOD_OVERRIDE=FQ","FILING_STATUS=MR","SCALING_FORMAT=MLN","Sort=A","Dates=H","DateFormat=P","Fill=—","Direction=H","UseDPDF=Y")</f>
        <v>0</v>
      </c>
      <c r="N44" s="13">
        <f>_xll.BDH("ITCI US Equity","CF_LT_DEBT_CAP_LEAS_PAYMENT","FQ3 2021","FQ3 2021","Currency=USD","Period=FQ","BEST_FPERIOD_OVERRIDE=FQ","FILING_STATUS=MR","SCALING_FORMAT=MLN","Sort=A","Dates=H","DateFormat=P","Fill=—","Direction=H","UseDPDF=Y")</f>
        <v>0</v>
      </c>
      <c r="O44" s="13">
        <f>_xll.BDH("ITCI US Equity","CF_LT_DEBT_CAP_LEAS_PAYMENT","FQ4 2021","FQ4 2021","Currency=USD","Period=FQ","BEST_FPERIOD_OVERRIDE=FQ","FILING_STATUS=MR","SCALING_FORMAT=MLN","Sort=A","Dates=H","DateFormat=P","Fill=—","Direction=H","UseDPDF=Y")</f>
        <v>0</v>
      </c>
      <c r="P44" s="13">
        <f>_xll.BDH("ITCI US Equity","CF_LT_DEBT_CAP_LEAS_PAYMENT","FQ1 2022","FQ1 2022","Currency=USD","Period=FQ","BEST_FPERIOD_OVERRIDE=FQ","FILING_STATUS=MR","SCALING_FORMAT=MLN","Sort=A","Dates=H","DateFormat=P","Fill=—","Direction=H","UseDPDF=Y")</f>
        <v>0</v>
      </c>
      <c r="Q44" s="13">
        <f>_xll.BDH("ITCI US Equity","CF_LT_DEBT_CAP_LEAS_PAYMENT","FQ2 2022","FQ2 2022","Currency=USD","Period=FQ","BEST_FPERIOD_OVERRIDE=FQ","FILING_STATUS=MR","SCALING_FORMAT=MLN","Sort=A","Dates=H","DateFormat=P","Fill=—","Direction=H","UseDPDF=Y")</f>
        <v>0</v>
      </c>
      <c r="R44" s="13">
        <f>_xll.BDH("ITCI US Equity","CF_LT_DEBT_CAP_LEAS_PAYMENT","FQ3 2022","FQ3 2022","Currency=USD","Period=FQ","BEST_FPERIOD_OVERRIDE=FQ","FILING_STATUS=MR","SCALING_FORMAT=MLN","Sort=A","Dates=H","DateFormat=P","Fill=—","Direction=H","UseDPDF=Y")</f>
        <v>0</v>
      </c>
      <c r="S44" s="13">
        <f>_xll.BDH("ITCI US Equity","CF_LT_DEBT_CAP_LEAS_PAYMENT","FQ4 2022","FQ4 2022","Currency=USD","Period=FQ","BEST_FPERIOD_OVERRIDE=FQ","FILING_STATUS=MR","SCALING_FORMAT=MLN","Sort=A","Dates=H","DateFormat=P","Fill=—","Direction=H","UseDPDF=Y")</f>
        <v>0</v>
      </c>
      <c r="T44" s="13">
        <f>_xll.BDH("ITCI US Equity","CF_LT_DEBT_CAP_LEAS_PAYMENT","FQ1 2023","FQ1 2023","Currency=USD","Period=FQ","BEST_FPERIOD_OVERRIDE=FQ","FILING_STATUS=MR","SCALING_FORMAT=MLN","Sort=A","Dates=H","DateFormat=P","Fill=—","Direction=H","UseDPDF=Y")</f>
        <v>0</v>
      </c>
      <c r="U44" s="13">
        <f>_xll.BDH("ITCI US Equity","CF_LT_DEBT_CAP_LEAS_PAYMENT","FQ2 2023","FQ2 2023","Currency=USD","Period=FQ","BEST_FPERIOD_OVERRIDE=FQ","FILING_STATUS=MR","SCALING_FORMAT=MLN","Sort=A","Dates=H","DateFormat=P","Fill=—","Direction=H","UseDPDF=Y")</f>
        <v>0</v>
      </c>
      <c r="V44" s="13">
        <f>_xll.BDH("ITCI US Equity","CF_LT_DEBT_CAP_LEAS_PAYMENT","FQ3 2023","FQ3 2023","Currency=USD","Period=FQ","BEST_FPERIOD_OVERRIDE=FQ","FILING_STATUS=MR","SCALING_FORMAT=MLN","Sort=A","Dates=H","DateFormat=P","Fill=—","Direction=H","UseDPDF=Y")</f>
        <v>0</v>
      </c>
      <c r="W44" s="13">
        <f>_xll.BDH("ITCI US Equity","CF_LT_DEBT_CAP_LEAS_PAYMENT","FQ4 2023","FQ4 2023","Currency=USD","Period=FQ","BEST_FPERIOD_OVERRIDE=FQ","FILING_STATUS=MR","SCALING_FORMAT=MLN","Sort=A","Dates=H","DateFormat=P","Fill=—","Direction=H","UseDPDF=Y")</f>
        <v>0</v>
      </c>
      <c r="X44" s="13">
        <f>_xll.BDH("ITCI US Equity","CF_LT_DEBT_CAP_LEAS_PAYMENT","FQ1 2024","FQ1 2024","Currency=USD","Period=FQ","BEST_FPERIOD_OVERRIDE=FQ","FILING_STATUS=MR","SCALING_FORMAT=MLN","Sort=A","Dates=H","DateFormat=P","Fill=—","Direction=H","UseDPDF=Y")</f>
        <v>0</v>
      </c>
      <c r="Y44" s="13">
        <f>_xll.BDH("ITCI US Equity","CF_LT_DEBT_CAP_LEAS_PAYMENT","FQ2 2024","FQ2 2024","Currency=USD","Period=FQ","BEST_FPERIOD_OVERRIDE=FQ","FILING_STATUS=MR","SCALING_FORMAT=MLN","Sort=A","Dates=H","DateFormat=P","Fill=—","Direction=H","UseDPDF=Y")</f>
        <v>0</v>
      </c>
      <c r="Z44" s="13">
        <f>_xll.BDH("ITCI US Equity","CF_LT_DEBT_CAP_LEAS_PAYMENT","FQ3 2024","FQ3 2024","Currency=USD","Period=FQ","BEST_FPERIOD_OVERRIDE=FQ","FILING_STATUS=MR","SCALING_FORMAT=MLN","Sort=A","Dates=H","DateFormat=P","Fill=—","Direction=H","UseDPDF=Y")</f>
        <v>0</v>
      </c>
      <c r="AA44" s="13">
        <f>_xll.BDH("ITCI US Equity","CF_LT_DEBT_CAP_LEAS_PAYMENT","FQ4 2024","FQ4 2024","Currency=USD","Period=FQ","BEST_FPERIOD_OVERRIDE=FQ","FILING_STATUS=MR","SCALING_FORMAT=MLN","Sort=A","Dates=H","DateFormat=P","Fill=—","Direction=H","UseDPDF=Y")</f>
        <v>0</v>
      </c>
    </row>
    <row r="45" spans="1:27" x14ac:dyDescent="0.25">
      <c r="A45" s="10" t="s">
        <v>999</v>
      </c>
      <c r="B45" s="10" t="s">
        <v>1000</v>
      </c>
      <c r="C45" s="13">
        <f>_xll.BDH("ITCI US Equity","PROC_FR_REPURCH_EQTY_DETAILED","FQ4 2018","FQ4 2018","Currency=USD","Period=FQ","BEST_FPERIOD_OVERRIDE=FQ","FILING_STATUS=MR","SCALING_FORMAT=MLN","Sort=A","Dates=H","DateFormat=P","Fill=—","Direction=H","UseDPDF=Y")</f>
        <v>0.1749</v>
      </c>
      <c r="D45" s="13">
        <f>_xll.BDH("ITCI US Equity","PROC_FR_REPURCH_EQTY_DETAILED","FQ1 2019","FQ1 2019","Currency=USD","Period=FQ","BEST_FPERIOD_OVERRIDE=FQ","FILING_STATUS=MR","SCALING_FORMAT=MLN","Sort=A","Dates=H","DateFormat=P","Fill=—","Direction=H","UseDPDF=Y")</f>
        <v>3.1199999999999999E-2</v>
      </c>
      <c r="E45" s="13">
        <f>_xll.BDH("ITCI US Equity","PROC_FR_REPURCH_EQTY_DETAILED","FQ2 2019","FQ2 2019","Currency=USD","Period=FQ","BEST_FPERIOD_OVERRIDE=FQ","FILING_STATUS=MR","SCALING_FORMAT=MLN","Sort=A","Dates=H","DateFormat=P","Fill=—","Direction=H","UseDPDF=Y")</f>
        <v>0.25919999999999999</v>
      </c>
      <c r="F45" s="13">
        <f>_xll.BDH("ITCI US Equity","PROC_FR_REPURCH_EQTY_DETAILED","FQ3 2019","FQ3 2019","Currency=USD","Period=FQ","BEST_FPERIOD_OVERRIDE=FQ","FILING_STATUS=MR","SCALING_FORMAT=MLN","Sort=A","Dates=H","DateFormat=P","Fill=—","Direction=H","UseDPDF=Y")</f>
        <v>0.15240000000000001</v>
      </c>
      <c r="G45" s="13">
        <f>_xll.BDH("ITCI US Equity","PROC_FR_REPURCH_EQTY_DETAILED","FQ4 2019","FQ4 2019","Currency=USD","Period=FQ","BEST_FPERIOD_OVERRIDE=FQ","FILING_STATUS=MR","SCALING_FORMAT=MLN","Sort=A","Dates=H","DateFormat=P","Fill=—","Direction=H","UseDPDF=Y")</f>
        <v>2.7928000000000002</v>
      </c>
      <c r="H45" s="13">
        <f>_xll.BDH("ITCI US Equity","PROC_FR_REPURCH_EQTY_DETAILED","FQ1 2020","FQ1 2020","Currency=USD","Period=FQ","BEST_FPERIOD_OVERRIDE=FQ","FILING_STATUS=MR","SCALING_FORMAT=MLN","Sort=A","Dates=H","DateFormat=P","Fill=—","Direction=H","UseDPDF=Y")</f>
        <v>277.56729999999999</v>
      </c>
      <c r="I45" s="13">
        <f>_xll.BDH("ITCI US Equity","PROC_FR_REPURCH_EQTY_DETAILED","FQ2 2020","FQ2 2020","Currency=USD","Period=FQ","BEST_FPERIOD_OVERRIDE=FQ","FILING_STATUS=MR","SCALING_FORMAT=MLN","Sort=A","Dates=H","DateFormat=P","Fill=—","Direction=H","UseDPDF=Y")</f>
        <v>4.4798</v>
      </c>
      <c r="J45" s="13">
        <f>_xll.BDH("ITCI US Equity","PROC_FR_REPURCH_EQTY_DETAILED","FQ3 2020","FQ3 2020","Currency=USD","Period=FQ","BEST_FPERIOD_OVERRIDE=FQ","FILING_STATUS=MR","SCALING_FORMAT=MLN","Sort=A","Dates=H","DateFormat=P","Fill=—","Direction=H","UseDPDF=Y")</f>
        <v>378.49439999999998</v>
      </c>
      <c r="K45" s="13">
        <f>_xll.BDH("ITCI US Equity","PROC_FR_REPURCH_EQTY_DETAILED","FQ4 2020","FQ4 2020","Currency=USD","Period=FQ","BEST_FPERIOD_OVERRIDE=FQ","FILING_STATUS=MR","SCALING_FORMAT=MLN","Sort=A","Dates=H","DateFormat=P","Fill=—","Direction=H","UseDPDF=Y")</f>
        <v>3.6353</v>
      </c>
      <c r="L45" s="13">
        <f>_xll.BDH("ITCI US Equity","PROC_FR_REPURCH_EQTY_DETAILED","FQ1 2021","FQ1 2021","Currency=USD","Period=FQ","BEST_FPERIOD_OVERRIDE=FQ","FILING_STATUS=MR","SCALING_FORMAT=MLN","Sort=A","Dates=H","DateFormat=P","Fill=—","Direction=H","UseDPDF=Y")</f>
        <v>1.4317</v>
      </c>
      <c r="M45" s="13">
        <f>_xll.BDH("ITCI US Equity","PROC_FR_REPURCH_EQTY_DETAILED","FQ2 2021","FQ2 2021","Currency=USD","Period=FQ","BEST_FPERIOD_OVERRIDE=FQ","FILING_STATUS=MR","SCALING_FORMAT=MLN","Sort=A","Dates=H","DateFormat=P","Fill=—","Direction=H","UseDPDF=Y")</f>
        <v>1.5817000000000001</v>
      </c>
      <c r="N45" s="13">
        <f>_xll.BDH("ITCI US Equity","PROC_FR_REPURCH_EQTY_DETAILED","FQ3 2021","FQ3 2021","Currency=USD","Period=FQ","BEST_FPERIOD_OVERRIDE=FQ","FILING_STATUS=MR","SCALING_FORMAT=MLN","Sort=A","Dates=H","DateFormat=P","Fill=—","Direction=H","UseDPDF=Y")</f>
        <v>0.59130000000000005</v>
      </c>
      <c r="O45" s="13">
        <f>_xll.BDH("ITCI US Equity","PROC_FR_REPURCH_EQTY_DETAILED","FQ4 2021","FQ4 2021","Currency=USD","Period=FQ","BEST_FPERIOD_OVERRIDE=FQ","FILING_STATUS=MR","SCALING_FORMAT=MLN","Sort=A","Dates=H","DateFormat=P","Fill=—","Direction=H","UseDPDF=Y")</f>
        <v>7.9142999999999999</v>
      </c>
      <c r="P45" s="13">
        <f>_xll.BDH("ITCI US Equity","PROC_FR_REPURCH_EQTY_DETAILED","FQ1 2022","FQ1 2022","Currency=USD","Period=FQ","BEST_FPERIOD_OVERRIDE=FQ","FILING_STATUS=MR","SCALING_FORMAT=MLN","Sort=A","Dates=H","DateFormat=P","Fill=—","Direction=H","UseDPDF=Y")</f>
        <v>441.81400000000002</v>
      </c>
      <c r="Q45" s="13">
        <f>_xll.BDH("ITCI US Equity","PROC_FR_REPURCH_EQTY_DETAILED","FQ2 2022","FQ2 2022","Currency=USD","Period=FQ","BEST_FPERIOD_OVERRIDE=FQ","FILING_STATUS=MR","SCALING_FORMAT=MLN","Sort=A","Dates=H","DateFormat=P","Fill=—","Direction=H","UseDPDF=Y")</f>
        <v>5.5039999999999996</v>
      </c>
      <c r="R45" s="13">
        <f>_xll.BDH("ITCI US Equity","PROC_FR_REPURCH_EQTY_DETAILED","FQ3 2022","FQ3 2022","Currency=USD","Period=FQ","BEST_FPERIOD_OVERRIDE=FQ","FILING_STATUS=MR","SCALING_FORMAT=MLN","Sort=A","Dates=H","DateFormat=P","Fill=—","Direction=H","UseDPDF=Y")</f>
        <v>5.6539999999999999</v>
      </c>
      <c r="S45" s="13">
        <f>_xll.BDH("ITCI US Equity","PROC_FR_REPURCH_EQTY_DETAILED","FQ4 2022","FQ4 2022","Currency=USD","Period=FQ","BEST_FPERIOD_OVERRIDE=FQ","FILING_STATUS=MR","SCALING_FORMAT=MLN","Sort=A","Dates=H","DateFormat=P","Fill=—","Direction=H","UseDPDF=Y")</f>
        <v>2.1869999999999998</v>
      </c>
      <c r="T45" s="13">
        <f>_xll.BDH("ITCI US Equity","PROC_FR_REPURCH_EQTY_DETAILED","FQ1 2023","FQ1 2023","Currency=USD","Period=FQ","BEST_FPERIOD_OVERRIDE=FQ","FILING_STATUS=MR","SCALING_FORMAT=MLN","Sort=A","Dates=H","DateFormat=P","Fill=—","Direction=H","UseDPDF=Y")</f>
        <v>3.64</v>
      </c>
      <c r="U45" s="13">
        <f>_xll.BDH("ITCI US Equity","PROC_FR_REPURCH_EQTY_DETAILED","FQ2 2023","FQ2 2023","Currency=USD","Period=FQ","BEST_FPERIOD_OVERRIDE=FQ","FILING_STATUS=MR","SCALING_FORMAT=MLN","Sort=A","Dates=H","DateFormat=P","Fill=—","Direction=H","UseDPDF=Y")</f>
        <v>8.5850000000000009</v>
      </c>
      <c r="V45" s="13">
        <f>_xll.BDH("ITCI US Equity","PROC_FR_REPURCH_EQTY_DETAILED","FQ3 2023","FQ3 2023","Currency=USD","Period=FQ","BEST_FPERIOD_OVERRIDE=FQ","FILING_STATUS=MR","SCALING_FORMAT=MLN","Sort=A","Dates=H","DateFormat=P","Fill=—","Direction=H","UseDPDF=Y")</f>
        <v>2.581</v>
      </c>
      <c r="W45" s="13">
        <f>_xll.BDH("ITCI US Equity","PROC_FR_REPURCH_EQTY_DETAILED","FQ4 2023","FQ4 2023","Currency=USD","Period=FQ","BEST_FPERIOD_OVERRIDE=FQ","FILING_STATUS=MR","SCALING_FORMAT=MLN","Sort=A","Dates=H","DateFormat=P","Fill=—","Direction=H","UseDPDF=Y")</f>
        <v>3.004</v>
      </c>
      <c r="X45" s="13">
        <f>_xll.BDH("ITCI US Equity","PROC_FR_REPURCH_EQTY_DETAILED","FQ1 2024","FQ1 2024","Currency=USD","Period=FQ","BEST_FPERIOD_OVERRIDE=FQ","FILING_STATUS=MR","SCALING_FORMAT=MLN","Sort=A","Dates=H","DateFormat=P","Fill=—","Direction=H","UseDPDF=Y")</f>
        <v>9.9890000000000008</v>
      </c>
      <c r="Y45" s="13">
        <f>_xll.BDH("ITCI US Equity","PROC_FR_REPURCH_EQTY_DETAILED","FQ2 2024","FQ2 2024","Currency=USD","Period=FQ","BEST_FPERIOD_OVERRIDE=FQ","FILING_STATUS=MR","SCALING_FORMAT=MLN","Sort=A","Dates=H","DateFormat=P","Fill=—","Direction=H","UseDPDF=Y")</f>
        <v>545.17899999999997</v>
      </c>
      <c r="Z45" s="13">
        <f>_xll.BDH("ITCI US Equity","PROC_FR_REPURCH_EQTY_DETAILED","FQ3 2024","FQ3 2024","Currency=USD","Period=FQ","BEST_FPERIOD_OVERRIDE=FQ","FILING_STATUS=MR","SCALING_FORMAT=MLN","Sort=A","Dates=H","DateFormat=P","Fill=—","Direction=H","UseDPDF=Y")</f>
        <v>6.734</v>
      </c>
      <c r="AA45" s="13">
        <f>_xll.BDH("ITCI US Equity","PROC_FR_REPURCH_EQTY_DETAILED","FQ4 2024","FQ4 2024","Currency=USD","Period=FQ","BEST_FPERIOD_OVERRIDE=FQ","FILING_STATUS=MR","SCALING_FORMAT=MLN","Sort=A","Dates=H","DateFormat=P","Fill=—","Direction=H","UseDPDF=Y")</f>
        <v>5.6059999999999999</v>
      </c>
    </row>
    <row r="46" spans="1:27" x14ac:dyDescent="0.25">
      <c r="A46" s="10" t="s">
        <v>1001</v>
      </c>
      <c r="B46" s="10" t="s">
        <v>1002</v>
      </c>
      <c r="C46" s="13">
        <f>_xll.BDH("ITCI US Equity","CF_INCR_CAP_STOCK","FQ4 2018","FQ4 2018","Currency=USD","Period=FQ","BEST_FPERIOD_OVERRIDE=FQ","FILING_STATUS=MR","SCALING_FORMAT=MLN","Sort=A","Dates=H","DateFormat=P","Fill=—","Direction=H","UseDPDF=Y")</f>
        <v>0.1749</v>
      </c>
      <c r="D46" s="13">
        <f>_xll.BDH("ITCI US Equity","CF_INCR_CAP_STOCK","FQ1 2019","FQ1 2019","Currency=USD","Period=FQ","BEST_FPERIOD_OVERRIDE=FQ","FILING_STATUS=MR","SCALING_FORMAT=MLN","Sort=A","Dates=H","DateFormat=P","Fill=—","Direction=H","UseDPDF=Y")</f>
        <v>3.1199999999999999E-2</v>
      </c>
      <c r="E46" s="13">
        <f>_xll.BDH("ITCI US Equity","CF_INCR_CAP_STOCK","FQ2 2019","FQ2 2019","Currency=USD","Period=FQ","BEST_FPERIOD_OVERRIDE=FQ","FILING_STATUS=MR","SCALING_FORMAT=MLN","Sort=A","Dates=H","DateFormat=P","Fill=—","Direction=H","UseDPDF=Y")</f>
        <v>0.25919999999999999</v>
      </c>
      <c r="F46" s="13">
        <f>_xll.BDH("ITCI US Equity","CF_INCR_CAP_STOCK","FQ3 2019","FQ3 2019","Currency=USD","Period=FQ","BEST_FPERIOD_OVERRIDE=FQ","FILING_STATUS=MR","SCALING_FORMAT=MLN","Sort=A","Dates=H","DateFormat=P","Fill=—","Direction=H","UseDPDF=Y")</f>
        <v>0.15240000000000001</v>
      </c>
      <c r="G46" s="13">
        <f>_xll.BDH("ITCI US Equity","CF_INCR_CAP_STOCK","FQ4 2019","FQ4 2019","Currency=USD","Period=FQ","BEST_FPERIOD_OVERRIDE=FQ","FILING_STATUS=MR","SCALING_FORMAT=MLN","Sort=A","Dates=H","DateFormat=P","Fill=—","Direction=H","UseDPDF=Y")</f>
        <v>2.7928000000000002</v>
      </c>
      <c r="H46" s="13">
        <f>_xll.BDH("ITCI US Equity","CF_INCR_CAP_STOCK","FQ1 2020","FQ1 2020","Currency=USD","Period=FQ","BEST_FPERIOD_OVERRIDE=FQ","FILING_STATUS=MR","SCALING_FORMAT=MLN","Sort=A","Dates=H","DateFormat=P","Fill=—","Direction=H","UseDPDF=Y")</f>
        <v>277.56729999999999</v>
      </c>
      <c r="I46" s="13">
        <f>_xll.BDH("ITCI US Equity","CF_INCR_CAP_STOCK","FQ2 2020","FQ2 2020","Currency=USD","Period=FQ","BEST_FPERIOD_OVERRIDE=FQ","FILING_STATUS=MR","SCALING_FORMAT=MLN","Sort=A","Dates=H","DateFormat=P","Fill=—","Direction=H","UseDPDF=Y")</f>
        <v>4.4798</v>
      </c>
      <c r="J46" s="13">
        <f>_xll.BDH("ITCI US Equity","CF_INCR_CAP_STOCK","FQ3 2020","FQ3 2020","Currency=USD","Period=FQ","BEST_FPERIOD_OVERRIDE=FQ","FILING_STATUS=MR","SCALING_FORMAT=MLN","Sort=A","Dates=H","DateFormat=P","Fill=—","Direction=H","UseDPDF=Y")</f>
        <v>378.49439999999998</v>
      </c>
      <c r="K46" s="13">
        <f>_xll.BDH("ITCI US Equity","CF_INCR_CAP_STOCK","FQ4 2020","FQ4 2020","Currency=USD","Period=FQ","BEST_FPERIOD_OVERRIDE=FQ","FILING_STATUS=MR","SCALING_FORMAT=MLN","Sort=A","Dates=H","DateFormat=P","Fill=—","Direction=H","UseDPDF=Y")</f>
        <v>3.6353</v>
      </c>
      <c r="L46" s="13">
        <f>_xll.BDH("ITCI US Equity","CF_INCR_CAP_STOCK","FQ1 2021","FQ1 2021","Currency=USD","Period=FQ","BEST_FPERIOD_OVERRIDE=FQ","FILING_STATUS=MR","SCALING_FORMAT=MLN","Sort=A","Dates=H","DateFormat=P","Fill=—","Direction=H","UseDPDF=Y")</f>
        <v>1.4317</v>
      </c>
      <c r="M46" s="13">
        <f>_xll.BDH("ITCI US Equity","CF_INCR_CAP_STOCK","FQ2 2021","FQ2 2021","Currency=USD","Period=FQ","BEST_FPERIOD_OVERRIDE=FQ","FILING_STATUS=MR","SCALING_FORMAT=MLN","Sort=A","Dates=H","DateFormat=P","Fill=—","Direction=H","UseDPDF=Y")</f>
        <v>1.5817000000000001</v>
      </c>
      <c r="N46" s="13">
        <f>_xll.BDH("ITCI US Equity","CF_INCR_CAP_STOCK","FQ3 2021","FQ3 2021","Currency=USD","Period=FQ","BEST_FPERIOD_OVERRIDE=FQ","FILING_STATUS=MR","SCALING_FORMAT=MLN","Sort=A","Dates=H","DateFormat=P","Fill=—","Direction=H","UseDPDF=Y")</f>
        <v>0.59130000000000005</v>
      </c>
      <c r="O46" s="13">
        <f>_xll.BDH("ITCI US Equity","CF_INCR_CAP_STOCK","FQ4 2021","FQ4 2021","Currency=USD","Period=FQ","BEST_FPERIOD_OVERRIDE=FQ","FILING_STATUS=MR","SCALING_FORMAT=MLN","Sort=A","Dates=H","DateFormat=P","Fill=—","Direction=H","UseDPDF=Y")</f>
        <v>7.9142999999999999</v>
      </c>
      <c r="P46" s="13">
        <f>_xll.BDH("ITCI US Equity","CF_INCR_CAP_STOCK","FQ1 2022","FQ1 2022","Currency=USD","Period=FQ","BEST_FPERIOD_OVERRIDE=FQ","FILING_STATUS=MR","SCALING_FORMAT=MLN","Sort=A","Dates=H","DateFormat=P","Fill=—","Direction=H","UseDPDF=Y")</f>
        <v>441.81400000000002</v>
      </c>
      <c r="Q46" s="13">
        <f>_xll.BDH("ITCI US Equity","CF_INCR_CAP_STOCK","FQ2 2022","FQ2 2022","Currency=USD","Period=FQ","BEST_FPERIOD_OVERRIDE=FQ","FILING_STATUS=MR","SCALING_FORMAT=MLN","Sort=A","Dates=H","DateFormat=P","Fill=—","Direction=H","UseDPDF=Y")</f>
        <v>5.5039999999999996</v>
      </c>
      <c r="R46" s="13">
        <f>_xll.BDH("ITCI US Equity","CF_INCR_CAP_STOCK","FQ3 2022","FQ3 2022","Currency=USD","Period=FQ","BEST_FPERIOD_OVERRIDE=FQ","FILING_STATUS=MR","SCALING_FORMAT=MLN","Sort=A","Dates=H","DateFormat=P","Fill=—","Direction=H","UseDPDF=Y")</f>
        <v>5.6539999999999999</v>
      </c>
      <c r="S46" s="13">
        <f>_xll.BDH("ITCI US Equity","CF_INCR_CAP_STOCK","FQ4 2022","FQ4 2022","Currency=USD","Period=FQ","BEST_FPERIOD_OVERRIDE=FQ","FILING_STATUS=MR","SCALING_FORMAT=MLN","Sort=A","Dates=H","DateFormat=P","Fill=—","Direction=H","UseDPDF=Y")</f>
        <v>2.1869999999999998</v>
      </c>
      <c r="T46" s="13">
        <f>_xll.BDH("ITCI US Equity","CF_INCR_CAP_STOCK","FQ1 2023","FQ1 2023","Currency=USD","Period=FQ","BEST_FPERIOD_OVERRIDE=FQ","FILING_STATUS=MR","SCALING_FORMAT=MLN","Sort=A","Dates=H","DateFormat=P","Fill=—","Direction=H","UseDPDF=Y")</f>
        <v>3.64</v>
      </c>
      <c r="U46" s="13">
        <f>_xll.BDH("ITCI US Equity","CF_INCR_CAP_STOCK","FQ2 2023","FQ2 2023","Currency=USD","Period=FQ","BEST_FPERIOD_OVERRIDE=FQ","FILING_STATUS=MR","SCALING_FORMAT=MLN","Sort=A","Dates=H","DateFormat=P","Fill=—","Direction=H","UseDPDF=Y")</f>
        <v>8.5850000000000009</v>
      </c>
      <c r="V46" s="13">
        <f>_xll.BDH("ITCI US Equity","CF_INCR_CAP_STOCK","FQ3 2023","FQ3 2023","Currency=USD","Period=FQ","BEST_FPERIOD_OVERRIDE=FQ","FILING_STATUS=MR","SCALING_FORMAT=MLN","Sort=A","Dates=H","DateFormat=P","Fill=—","Direction=H","UseDPDF=Y")</f>
        <v>2.581</v>
      </c>
      <c r="W46" s="13">
        <f>_xll.BDH("ITCI US Equity","CF_INCR_CAP_STOCK","FQ4 2023","FQ4 2023","Currency=USD","Period=FQ","BEST_FPERIOD_OVERRIDE=FQ","FILING_STATUS=MR","SCALING_FORMAT=MLN","Sort=A","Dates=H","DateFormat=P","Fill=—","Direction=H","UseDPDF=Y")</f>
        <v>3.004</v>
      </c>
      <c r="X46" s="13">
        <f>_xll.BDH("ITCI US Equity","CF_INCR_CAP_STOCK","FQ1 2024","FQ1 2024","Currency=USD","Period=FQ","BEST_FPERIOD_OVERRIDE=FQ","FILING_STATUS=MR","SCALING_FORMAT=MLN","Sort=A","Dates=H","DateFormat=P","Fill=—","Direction=H","UseDPDF=Y")</f>
        <v>9.9890000000000008</v>
      </c>
      <c r="Y46" s="13">
        <f>_xll.BDH("ITCI US Equity","CF_INCR_CAP_STOCK","FQ2 2024","FQ2 2024","Currency=USD","Period=FQ","BEST_FPERIOD_OVERRIDE=FQ","FILING_STATUS=MR","SCALING_FORMAT=MLN","Sort=A","Dates=H","DateFormat=P","Fill=—","Direction=H","UseDPDF=Y")</f>
        <v>545.17899999999997</v>
      </c>
      <c r="Z46" s="13">
        <f>_xll.BDH("ITCI US Equity","CF_INCR_CAP_STOCK","FQ3 2024","FQ3 2024","Currency=USD","Period=FQ","BEST_FPERIOD_OVERRIDE=FQ","FILING_STATUS=MR","SCALING_FORMAT=MLN","Sort=A","Dates=H","DateFormat=P","Fill=—","Direction=H","UseDPDF=Y")</f>
        <v>6.734</v>
      </c>
      <c r="AA46" s="13">
        <f>_xll.BDH("ITCI US Equity","CF_INCR_CAP_STOCK","FQ4 2024","FQ4 2024","Currency=USD","Period=FQ","BEST_FPERIOD_OVERRIDE=FQ","FILING_STATUS=MR","SCALING_FORMAT=MLN","Sort=A","Dates=H","DateFormat=P","Fill=—","Direction=H","UseDPDF=Y")</f>
        <v>5.6059999999999999</v>
      </c>
    </row>
    <row r="47" spans="1:27" x14ac:dyDescent="0.25">
      <c r="A47" s="10" t="s">
        <v>1003</v>
      </c>
      <c r="B47" s="10" t="s">
        <v>1004</v>
      </c>
      <c r="C47" s="13">
        <f>_xll.BDH("ITCI US Equity","CF_DECR_CAP_STOCK","FQ4 2018","FQ4 2018","Currency=USD","Period=FQ","BEST_FPERIOD_OVERRIDE=FQ","FILING_STATUS=MR","SCALING_FORMAT=MLN","Sort=A","Dates=H","DateFormat=P","Fill=—","Direction=H","UseDPDF=Y")</f>
        <v>0</v>
      </c>
      <c r="D47" s="13">
        <f>_xll.BDH("ITCI US Equity","CF_DECR_CAP_STOCK","FQ1 2019","FQ1 2019","Currency=USD","Period=FQ","BEST_FPERIOD_OVERRIDE=FQ","FILING_STATUS=MR","SCALING_FORMAT=MLN","Sort=A","Dates=H","DateFormat=P","Fill=—","Direction=H","UseDPDF=Y")</f>
        <v>0</v>
      </c>
      <c r="E47" s="13">
        <f>_xll.BDH("ITCI US Equity","CF_DECR_CAP_STOCK","FQ2 2019","FQ2 2019","Currency=USD","Period=FQ","BEST_FPERIOD_OVERRIDE=FQ","FILING_STATUS=MR","SCALING_FORMAT=MLN","Sort=A","Dates=H","DateFormat=P","Fill=—","Direction=H","UseDPDF=Y")</f>
        <v>0</v>
      </c>
      <c r="F47" s="13">
        <f>_xll.BDH("ITCI US Equity","CF_DECR_CAP_STOCK","FQ3 2019","FQ3 2019","Currency=USD","Period=FQ","BEST_FPERIOD_OVERRIDE=FQ","FILING_STATUS=MR","SCALING_FORMAT=MLN","Sort=A","Dates=H","DateFormat=P","Fill=—","Direction=H","UseDPDF=Y")</f>
        <v>0</v>
      </c>
      <c r="G47" s="13">
        <f>_xll.BDH("ITCI US Equity","CF_DECR_CAP_STOCK","FQ4 2019","FQ4 2019","Currency=USD","Period=FQ","BEST_FPERIOD_OVERRIDE=FQ","FILING_STATUS=MR","SCALING_FORMAT=MLN","Sort=A","Dates=H","DateFormat=P","Fill=—","Direction=H","UseDPDF=Y")</f>
        <v>0</v>
      </c>
      <c r="H47" s="13">
        <f>_xll.BDH("ITCI US Equity","CF_DECR_CAP_STOCK","FQ1 2020","FQ1 2020","Currency=USD","Period=FQ","BEST_FPERIOD_OVERRIDE=FQ","FILING_STATUS=MR","SCALING_FORMAT=MLN","Sort=A","Dates=H","DateFormat=P","Fill=—","Direction=H","UseDPDF=Y")</f>
        <v>0</v>
      </c>
      <c r="I47" s="13">
        <f>_xll.BDH("ITCI US Equity","CF_DECR_CAP_STOCK","FQ2 2020","FQ2 2020","Currency=USD","Period=FQ","BEST_FPERIOD_OVERRIDE=FQ","FILING_STATUS=MR","SCALING_FORMAT=MLN","Sort=A","Dates=H","DateFormat=P","Fill=—","Direction=H","UseDPDF=Y")</f>
        <v>0</v>
      </c>
      <c r="J47" s="13">
        <f>_xll.BDH("ITCI US Equity","CF_DECR_CAP_STOCK","FQ3 2020","FQ3 2020","Currency=USD","Period=FQ","BEST_FPERIOD_OVERRIDE=FQ","FILING_STATUS=MR","SCALING_FORMAT=MLN","Sort=A","Dates=H","DateFormat=P","Fill=—","Direction=H","UseDPDF=Y")</f>
        <v>0</v>
      </c>
      <c r="K47" s="13">
        <f>_xll.BDH("ITCI US Equity","CF_DECR_CAP_STOCK","FQ4 2020","FQ4 2020","Currency=USD","Period=FQ","BEST_FPERIOD_OVERRIDE=FQ","FILING_STATUS=MR","SCALING_FORMAT=MLN","Sort=A","Dates=H","DateFormat=P","Fill=—","Direction=H","UseDPDF=Y")</f>
        <v>0</v>
      </c>
      <c r="L47" s="13">
        <f>_xll.BDH("ITCI US Equity","CF_DECR_CAP_STOCK","FQ1 2021","FQ1 2021","Currency=USD","Period=FQ","BEST_FPERIOD_OVERRIDE=FQ","FILING_STATUS=MR","SCALING_FORMAT=MLN","Sort=A","Dates=H","DateFormat=P","Fill=—","Direction=H","UseDPDF=Y")</f>
        <v>0</v>
      </c>
      <c r="M47" s="13">
        <f>_xll.BDH("ITCI US Equity","CF_DECR_CAP_STOCK","FQ2 2021","FQ2 2021","Currency=USD","Period=FQ","BEST_FPERIOD_OVERRIDE=FQ","FILING_STATUS=MR","SCALING_FORMAT=MLN","Sort=A","Dates=H","DateFormat=P","Fill=—","Direction=H","UseDPDF=Y")</f>
        <v>0</v>
      </c>
      <c r="N47" s="13">
        <f>_xll.BDH("ITCI US Equity","CF_DECR_CAP_STOCK","FQ3 2021","FQ3 2021","Currency=USD","Period=FQ","BEST_FPERIOD_OVERRIDE=FQ","FILING_STATUS=MR","SCALING_FORMAT=MLN","Sort=A","Dates=H","DateFormat=P","Fill=—","Direction=H","UseDPDF=Y")</f>
        <v>0</v>
      </c>
      <c r="O47" s="13">
        <f>_xll.BDH("ITCI US Equity","CF_DECR_CAP_STOCK","FQ4 2021","FQ4 2021","Currency=USD","Period=FQ","BEST_FPERIOD_OVERRIDE=FQ","FILING_STATUS=MR","SCALING_FORMAT=MLN","Sort=A","Dates=H","DateFormat=P","Fill=—","Direction=H","UseDPDF=Y")</f>
        <v>0</v>
      </c>
      <c r="P47" s="13">
        <f>_xll.BDH("ITCI US Equity","CF_DECR_CAP_STOCK","FQ1 2022","FQ1 2022","Currency=USD","Period=FQ","BEST_FPERIOD_OVERRIDE=FQ","FILING_STATUS=MR","SCALING_FORMAT=MLN","Sort=A","Dates=H","DateFormat=P","Fill=—","Direction=H","UseDPDF=Y")</f>
        <v>0</v>
      </c>
      <c r="Q47" s="13">
        <f>_xll.BDH("ITCI US Equity","CF_DECR_CAP_STOCK","FQ2 2022","FQ2 2022","Currency=USD","Period=FQ","BEST_FPERIOD_OVERRIDE=FQ","FILING_STATUS=MR","SCALING_FORMAT=MLN","Sort=A","Dates=H","DateFormat=P","Fill=—","Direction=H","UseDPDF=Y")</f>
        <v>0</v>
      </c>
      <c r="R47" s="13">
        <f>_xll.BDH("ITCI US Equity","CF_DECR_CAP_STOCK","FQ3 2022","FQ3 2022","Currency=USD","Period=FQ","BEST_FPERIOD_OVERRIDE=FQ","FILING_STATUS=MR","SCALING_FORMAT=MLN","Sort=A","Dates=H","DateFormat=P","Fill=—","Direction=H","UseDPDF=Y")</f>
        <v>0</v>
      </c>
      <c r="S47" s="13">
        <f>_xll.BDH("ITCI US Equity","CF_DECR_CAP_STOCK","FQ4 2022","FQ4 2022","Currency=USD","Period=FQ","BEST_FPERIOD_OVERRIDE=FQ","FILING_STATUS=MR","SCALING_FORMAT=MLN","Sort=A","Dates=H","DateFormat=P","Fill=—","Direction=H","UseDPDF=Y")</f>
        <v>0</v>
      </c>
      <c r="T47" s="13">
        <f>_xll.BDH("ITCI US Equity","CF_DECR_CAP_STOCK","FQ1 2023","FQ1 2023","Currency=USD","Period=FQ","BEST_FPERIOD_OVERRIDE=FQ","FILING_STATUS=MR","SCALING_FORMAT=MLN","Sort=A","Dates=H","DateFormat=P","Fill=—","Direction=H","UseDPDF=Y")</f>
        <v>0</v>
      </c>
      <c r="U47" s="13">
        <f>_xll.BDH("ITCI US Equity","CF_DECR_CAP_STOCK","FQ2 2023","FQ2 2023","Currency=USD","Period=FQ","BEST_FPERIOD_OVERRIDE=FQ","FILING_STATUS=MR","SCALING_FORMAT=MLN","Sort=A","Dates=H","DateFormat=P","Fill=—","Direction=H","UseDPDF=Y")</f>
        <v>0</v>
      </c>
      <c r="V47" s="13">
        <f>_xll.BDH("ITCI US Equity","CF_DECR_CAP_STOCK","FQ3 2023","FQ3 2023","Currency=USD","Period=FQ","BEST_FPERIOD_OVERRIDE=FQ","FILING_STATUS=MR","SCALING_FORMAT=MLN","Sort=A","Dates=H","DateFormat=P","Fill=—","Direction=H","UseDPDF=Y")</f>
        <v>0</v>
      </c>
      <c r="W47" s="13">
        <f>_xll.BDH("ITCI US Equity","CF_DECR_CAP_STOCK","FQ4 2023","FQ4 2023","Currency=USD","Period=FQ","BEST_FPERIOD_OVERRIDE=FQ","FILING_STATUS=MR","SCALING_FORMAT=MLN","Sort=A","Dates=H","DateFormat=P","Fill=—","Direction=H","UseDPDF=Y")</f>
        <v>0</v>
      </c>
      <c r="X47" s="13">
        <f>_xll.BDH("ITCI US Equity","CF_DECR_CAP_STOCK","FQ1 2024","FQ1 2024","Currency=USD","Period=FQ","BEST_FPERIOD_OVERRIDE=FQ","FILING_STATUS=MR","SCALING_FORMAT=MLN","Sort=A","Dates=H","DateFormat=P","Fill=—","Direction=H","UseDPDF=Y")</f>
        <v>0</v>
      </c>
      <c r="Y47" s="13">
        <f>_xll.BDH("ITCI US Equity","CF_DECR_CAP_STOCK","FQ2 2024","FQ2 2024","Currency=USD","Period=FQ","BEST_FPERIOD_OVERRIDE=FQ","FILING_STATUS=MR","SCALING_FORMAT=MLN","Sort=A","Dates=H","DateFormat=P","Fill=—","Direction=H","UseDPDF=Y")</f>
        <v>0</v>
      </c>
      <c r="Z47" s="13">
        <f>_xll.BDH("ITCI US Equity","CF_DECR_CAP_STOCK","FQ3 2024","FQ3 2024","Currency=USD","Period=FQ","BEST_FPERIOD_OVERRIDE=FQ","FILING_STATUS=MR","SCALING_FORMAT=MLN","Sort=A","Dates=H","DateFormat=P","Fill=—","Direction=H","UseDPDF=Y")</f>
        <v>0</v>
      </c>
      <c r="AA47" s="13">
        <f>_xll.BDH("ITCI US Equity","CF_DECR_CAP_STOCK","FQ4 2024","FQ4 2024","Currency=USD","Period=FQ","BEST_FPERIOD_OVERRIDE=FQ","FILING_STATUS=MR","SCALING_FORMAT=MLN","Sort=A","Dates=H","DateFormat=P","Fill=—","Direction=H","UseDPDF=Y")</f>
        <v>0</v>
      </c>
    </row>
    <row r="48" spans="1:27" x14ac:dyDescent="0.25">
      <c r="A48" s="10" t="s">
        <v>1005</v>
      </c>
      <c r="B48" s="10" t="s">
        <v>1006</v>
      </c>
      <c r="C48" s="13">
        <f>_xll.BDH("ITCI US Equity","OTHER_FIN_AND_DEC_CAP","FQ4 2018","FQ4 2018","Currency=USD","Period=FQ","BEST_FPERIOD_OVERRIDE=FQ","FILING_STATUS=MR","SCALING_FORMAT=MLN","Sort=A","Dates=H","DateFormat=P","Fill=—","Direction=H","UseDPDF=Y")</f>
        <v>1.0999999999999999E-2</v>
      </c>
      <c r="D48" s="13">
        <f>_xll.BDH("ITCI US Equity","OTHER_FIN_AND_DEC_CAP","FQ1 2019","FQ1 2019","Currency=USD","Period=FQ","BEST_FPERIOD_OVERRIDE=FQ","FILING_STATUS=MR","SCALING_FORMAT=MLN","Sort=A","Dates=H","DateFormat=P","Fill=—","Direction=H","UseDPDF=Y")</f>
        <v>0</v>
      </c>
      <c r="E48" s="13">
        <f>_xll.BDH("ITCI US Equity","OTHER_FIN_AND_DEC_CAP","FQ2 2019","FQ2 2019","Currency=USD","Period=FQ","BEST_FPERIOD_OVERRIDE=FQ","FILING_STATUS=MR","SCALING_FORMAT=MLN","Sort=A","Dates=H","DateFormat=P","Fill=—","Direction=H","UseDPDF=Y")</f>
        <v>0</v>
      </c>
      <c r="F48" s="13">
        <f>_xll.BDH("ITCI US Equity","OTHER_FIN_AND_DEC_CAP","FQ3 2019","FQ3 2019","Currency=USD","Period=FQ","BEST_FPERIOD_OVERRIDE=FQ","FILING_STATUS=MR","SCALING_FORMAT=MLN","Sort=A","Dates=H","DateFormat=P","Fill=—","Direction=H","UseDPDF=Y")</f>
        <v>0</v>
      </c>
      <c r="G48" s="13">
        <f>_xll.BDH("ITCI US Equity","OTHER_FIN_AND_DEC_CAP","FQ4 2019","FQ4 2019","Currency=USD","Period=FQ","BEST_FPERIOD_OVERRIDE=FQ","FILING_STATUS=MR","SCALING_FORMAT=MLN","Sort=A","Dates=H","DateFormat=P","Fill=—","Direction=H","UseDPDF=Y")</f>
        <v>0</v>
      </c>
      <c r="H48" s="13">
        <f>_xll.BDH("ITCI US Equity","OTHER_FIN_AND_DEC_CAP","FQ1 2020","FQ1 2020","Currency=USD","Period=FQ","BEST_FPERIOD_OVERRIDE=FQ","FILING_STATUS=MR","SCALING_FORMAT=MLN","Sort=A","Dates=H","DateFormat=P","Fill=—","Direction=H","UseDPDF=Y")</f>
        <v>0</v>
      </c>
      <c r="I48" s="13">
        <f>_xll.BDH("ITCI US Equity","OTHER_FIN_AND_DEC_CAP","FQ2 2020","FQ2 2020","Currency=USD","Period=FQ","BEST_FPERIOD_OVERRIDE=FQ","FILING_STATUS=MR","SCALING_FORMAT=MLN","Sort=A","Dates=H","DateFormat=P","Fill=—","Direction=H","UseDPDF=Y")</f>
        <v>0</v>
      </c>
      <c r="J48" s="13">
        <f>_xll.BDH("ITCI US Equity","OTHER_FIN_AND_DEC_CAP","FQ3 2020","FQ3 2020","Currency=USD","Period=FQ","BEST_FPERIOD_OVERRIDE=FQ","FILING_STATUS=MR","SCALING_FORMAT=MLN","Sort=A","Dates=H","DateFormat=P","Fill=—","Direction=H","UseDPDF=Y")</f>
        <v>0</v>
      </c>
      <c r="K48" s="13">
        <f>_xll.BDH("ITCI US Equity","OTHER_FIN_AND_DEC_CAP","FQ4 2020","FQ4 2020","Currency=USD","Period=FQ","BEST_FPERIOD_OVERRIDE=FQ","FILING_STATUS=MR","SCALING_FORMAT=MLN","Sort=A","Dates=H","DateFormat=P","Fill=—","Direction=H","UseDPDF=Y")</f>
        <v>0</v>
      </c>
      <c r="L48" s="13">
        <f>_xll.BDH("ITCI US Equity","OTHER_FIN_AND_DEC_CAP","FQ1 2021","FQ1 2021","Currency=USD","Period=FQ","BEST_FPERIOD_OVERRIDE=FQ","FILING_STATUS=MR","SCALING_FORMAT=MLN","Sort=A","Dates=H","DateFormat=P","Fill=—","Direction=H","UseDPDF=Y")</f>
        <v>0</v>
      </c>
      <c r="M48" s="13">
        <f>_xll.BDH("ITCI US Equity","OTHER_FIN_AND_DEC_CAP","FQ2 2021","FQ2 2021","Currency=USD","Period=FQ","BEST_FPERIOD_OVERRIDE=FQ","FILING_STATUS=MR","SCALING_FORMAT=MLN","Sort=A","Dates=H","DateFormat=P","Fill=—","Direction=H","UseDPDF=Y")</f>
        <v>0</v>
      </c>
      <c r="N48" s="13">
        <f>_xll.BDH("ITCI US Equity","OTHER_FIN_AND_DEC_CAP","FQ3 2021","FQ3 2021","Currency=USD","Period=FQ","BEST_FPERIOD_OVERRIDE=FQ","FILING_STATUS=MR","SCALING_FORMAT=MLN","Sort=A","Dates=H","DateFormat=P","Fill=—","Direction=H","UseDPDF=Y")</f>
        <v>0</v>
      </c>
      <c r="O48" s="13">
        <f>_xll.BDH("ITCI US Equity","OTHER_FIN_AND_DEC_CAP","FQ4 2021","FQ4 2021","Currency=USD","Period=FQ","BEST_FPERIOD_OVERRIDE=FQ","FILING_STATUS=MR","SCALING_FORMAT=MLN","Sort=A","Dates=H","DateFormat=P","Fill=—","Direction=H","UseDPDF=Y")</f>
        <v>0</v>
      </c>
      <c r="P48" s="13">
        <f>_xll.BDH("ITCI US Equity","OTHER_FIN_AND_DEC_CAP","FQ1 2022","FQ1 2022","Currency=USD","Period=FQ","BEST_FPERIOD_OVERRIDE=FQ","FILING_STATUS=MR","SCALING_FORMAT=MLN","Sort=A","Dates=H","DateFormat=P","Fill=—","Direction=H","UseDPDF=Y")</f>
        <v>0</v>
      </c>
      <c r="Q48" s="13">
        <f>_xll.BDH("ITCI US Equity","OTHER_FIN_AND_DEC_CAP","FQ2 2022","FQ2 2022","Currency=USD","Period=FQ","BEST_FPERIOD_OVERRIDE=FQ","FILING_STATUS=MR","SCALING_FORMAT=MLN","Sort=A","Dates=H","DateFormat=P","Fill=—","Direction=H","UseDPDF=Y")</f>
        <v>0</v>
      </c>
      <c r="R48" s="13">
        <f>_xll.BDH("ITCI US Equity","OTHER_FIN_AND_DEC_CAP","FQ3 2022","FQ3 2022","Currency=USD","Period=FQ","BEST_FPERIOD_OVERRIDE=FQ","FILING_STATUS=MR","SCALING_FORMAT=MLN","Sort=A","Dates=H","DateFormat=P","Fill=—","Direction=H","UseDPDF=Y")</f>
        <v>0</v>
      </c>
      <c r="S48" s="13">
        <f>_xll.BDH("ITCI US Equity","OTHER_FIN_AND_DEC_CAP","FQ4 2022","FQ4 2022","Currency=USD","Period=FQ","BEST_FPERIOD_OVERRIDE=FQ","FILING_STATUS=MR","SCALING_FORMAT=MLN","Sort=A","Dates=H","DateFormat=P","Fill=—","Direction=H","UseDPDF=Y")</f>
        <v>0</v>
      </c>
      <c r="T48" s="13">
        <f>_xll.BDH("ITCI US Equity","OTHER_FIN_AND_DEC_CAP","FQ1 2023","FQ1 2023","Currency=USD","Period=FQ","BEST_FPERIOD_OVERRIDE=FQ","FILING_STATUS=MR","SCALING_FORMAT=MLN","Sort=A","Dates=H","DateFormat=P","Fill=—","Direction=H","UseDPDF=Y")</f>
        <v>0</v>
      </c>
      <c r="U48" s="13">
        <f>_xll.BDH("ITCI US Equity","OTHER_FIN_AND_DEC_CAP","FQ2 2023","FQ2 2023","Currency=USD","Period=FQ","BEST_FPERIOD_OVERRIDE=FQ","FILING_STATUS=MR","SCALING_FORMAT=MLN","Sort=A","Dates=H","DateFormat=P","Fill=—","Direction=H","UseDPDF=Y")</f>
        <v>0</v>
      </c>
      <c r="V48" s="13">
        <f>_xll.BDH("ITCI US Equity","OTHER_FIN_AND_DEC_CAP","FQ3 2023","FQ3 2023","Currency=USD","Period=FQ","BEST_FPERIOD_OVERRIDE=FQ","FILING_STATUS=MR","SCALING_FORMAT=MLN","Sort=A","Dates=H","DateFormat=P","Fill=—","Direction=H","UseDPDF=Y")</f>
        <v>0</v>
      </c>
      <c r="W48" s="13">
        <f>_xll.BDH("ITCI US Equity","OTHER_FIN_AND_DEC_CAP","FQ4 2023","FQ4 2023","Currency=USD","Period=FQ","BEST_FPERIOD_OVERRIDE=FQ","FILING_STATUS=MR","SCALING_FORMAT=MLN","Sort=A","Dates=H","DateFormat=P","Fill=—","Direction=H","UseDPDF=Y")</f>
        <v>0</v>
      </c>
      <c r="X48" s="13">
        <f>_xll.BDH("ITCI US Equity","OTHER_FIN_AND_DEC_CAP","FQ1 2024","FQ1 2024","Currency=USD","Period=FQ","BEST_FPERIOD_OVERRIDE=FQ","FILING_STATUS=MR","SCALING_FORMAT=MLN","Sort=A","Dates=H","DateFormat=P","Fill=—","Direction=H","UseDPDF=Y")</f>
        <v>0</v>
      </c>
      <c r="Y48" s="13">
        <f>_xll.BDH("ITCI US Equity","OTHER_FIN_AND_DEC_CAP","FQ2 2024","FQ2 2024","Currency=USD","Period=FQ","BEST_FPERIOD_OVERRIDE=FQ","FILING_STATUS=MR","SCALING_FORMAT=MLN","Sort=A","Dates=H","DateFormat=P","Fill=—","Direction=H","UseDPDF=Y")</f>
        <v>0</v>
      </c>
      <c r="Z48" s="13">
        <f>_xll.BDH("ITCI US Equity","OTHER_FIN_AND_DEC_CAP","FQ3 2024","FQ3 2024","Currency=USD","Period=FQ","BEST_FPERIOD_OVERRIDE=FQ","FILING_STATUS=MR","SCALING_FORMAT=MLN","Sort=A","Dates=H","DateFormat=P","Fill=—","Direction=H","UseDPDF=Y")</f>
        <v>0</v>
      </c>
      <c r="AA48" s="13">
        <f>_xll.BDH("ITCI US Equity","OTHER_FIN_AND_DEC_CAP","FQ4 2024","FQ4 2024","Currency=USD","Period=FQ","BEST_FPERIOD_OVERRIDE=FQ","FILING_STATUS=MR","SCALING_FORMAT=MLN","Sort=A","Dates=H","DateFormat=P","Fill=—","Direction=H","UseDPDF=Y")</f>
        <v>0</v>
      </c>
    </row>
    <row r="49" spans="1:27" x14ac:dyDescent="0.25">
      <c r="A49" s="10" t="s">
        <v>954</v>
      </c>
      <c r="B49" s="10" t="s">
        <v>1007</v>
      </c>
      <c r="C49" s="13">
        <f>_xll.BDH("ITCI US Equity","CF_NET_CASH_DISCONTINUED_OPS_FIN","FQ4 2018","FQ4 2018","Currency=USD","Period=FQ","BEST_FPERIOD_OVERRIDE=FQ","FILING_STATUS=MR","SCALING_FORMAT=MLN","Sort=A","Dates=H","DateFormat=P","Fill=—","Direction=H","UseDPDF=Y")</f>
        <v>0</v>
      </c>
      <c r="D49" s="13">
        <f>_xll.BDH("ITCI US Equity","CF_NET_CASH_DISCONTINUED_OPS_FIN","FQ1 2019","FQ1 2019","Currency=USD","Period=FQ","BEST_FPERIOD_OVERRIDE=FQ","FILING_STATUS=MR","SCALING_FORMAT=MLN","Sort=A","Dates=H","DateFormat=P","Fill=—","Direction=H","UseDPDF=Y")</f>
        <v>0</v>
      </c>
      <c r="E49" s="13">
        <f>_xll.BDH("ITCI US Equity","CF_NET_CASH_DISCONTINUED_OPS_FIN","FQ2 2019","FQ2 2019","Currency=USD","Period=FQ","BEST_FPERIOD_OVERRIDE=FQ","FILING_STATUS=MR","SCALING_FORMAT=MLN","Sort=A","Dates=H","DateFormat=P","Fill=—","Direction=H","UseDPDF=Y")</f>
        <v>0</v>
      </c>
      <c r="F49" s="13">
        <f>_xll.BDH("ITCI US Equity","CF_NET_CASH_DISCONTINUED_OPS_FIN","FQ3 2019","FQ3 2019","Currency=USD","Period=FQ","BEST_FPERIOD_OVERRIDE=FQ","FILING_STATUS=MR","SCALING_FORMAT=MLN","Sort=A","Dates=H","DateFormat=P","Fill=—","Direction=H","UseDPDF=Y")</f>
        <v>0</v>
      </c>
      <c r="G49" s="13">
        <f>_xll.BDH("ITCI US Equity","CF_NET_CASH_DISCONTINUED_OPS_FIN","FQ4 2019","FQ4 2019","Currency=USD","Period=FQ","BEST_FPERIOD_OVERRIDE=FQ","FILING_STATUS=MR","SCALING_FORMAT=MLN","Sort=A","Dates=H","DateFormat=P","Fill=—","Direction=H","UseDPDF=Y")</f>
        <v>0</v>
      </c>
      <c r="H49" s="13">
        <f>_xll.BDH("ITCI US Equity","CF_NET_CASH_DISCONTINUED_OPS_FIN","FQ1 2020","FQ1 2020","Currency=USD","Period=FQ","BEST_FPERIOD_OVERRIDE=FQ","FILING_STATUS=MR","SCALING_FORMAT=MLN","Sort=A","Dates=H","DateFormat=P","Fill=—","Direction=H","UseDPDF=Y")</f>
        <v>0</v>
      </c>
      <c r="I49" s="13">
        <f>_xll.BDH("ITCI US Equity","CF_NET_CASH_DISCONTINUED_OPS_FIN","FQ2 2020","FQ2 2020","Currency=USD","Period=FQ","BEST_FPERIOD_OVERRIDE=FQ","FILING_STATUS=MR","SCALING_FORMAT=MLN","Sort=A","Dates=H","DateFormat=P","Fill=—","Direction=H","UseDPDF=Y")</f>
        <v>0</v>
      </c>
      <c r="J49" s="13">
        <f>_xll.BDH("ITCI US Equity","CF_NET_CASH_DISCONTINUED_OPS_FIN","FQ3 2020","FQ3 2020","Currency=USD","Period=FQ","BEST_FPERIOD_OVERRIDE=FQ","FILING_STATUS=MR","SCALING_FORMAT=MLN","Sort=A","Dates=H","DateFormat=P","Fill=—","Direction=H","UseDPDF=Y")</f>
        <v>0</v>
      </c>
      <c r="K49" s="13">
        <f>_xll.BDH("ITCI US Equity","CF_NET_CASH_DISCONTINUED_OPS_FIN","FQ4 2020","FQ4 2020","Currency=USD","Period=FQ","BEST_FPERIOD_OVERRIDE=FQ","FILING_STATUS=MR","SCALING_FORMAT=MLN","Sort=A","Dates=H","DateFormat=P","Fill=—","Direction=H","UseDPDF=Y")</f>
        <v>0</v>
      </c>
      <c r="L49" s="13">
        <f>_xll.BDH("ITCI US Equity","CF_NET_CASH_DISCONTINUED_OPS_FIN","FQ1 2021","FQ1 2021","Currency=USD","Period=FQ","BEST_FPERIOD_OVERRIDE=FQ","FILING_STATUS=MR","SCALING_FORMAT=MLN","Sort=A","Dates=H","DateFormat=P","Fill=—","Direction=H","UseDPDF=Y")</f>
        <v>0</v>
      </c>
      <c r="M49" s="13">
        <f>_xll.BDH("ITCI US Equity","CF_NET_CASH_DISCONTINUED_OPS_FIN","FQ2 2021","FQ2 2021","Currency=USD","Period=FQ","BEST_FPERIOD_OVERRIDE=FQ","FILING_STATUS=MR","SCALING_FORMAT=MLN","Sort=A","Dates=H","DateFormat=P","Fill=—","Direction=H","UseDPDF=Y")</f>
        <v>0</v>
      </c>
      <c r="N49" s="13">
        <f>_xll.BDH("ITCI US Equity","CF_NET_CASH_DISCONTINUED_OPS_FIN","FQ3 2021","FQ3 2021","Currency=USD","Period=FQ","BEST_FPERIOD_OVERRIDE=FQ","FILING_STATUS=MR","SCALING_FORMAT=MLN","Sort=A","Dates=H","DateFormat=P","Fill=—","Direction=H","UseDPDF=Y")</f>
        <v>0</v>
      </c>
      <c r="O49" s="13">
        <f>_xll.BDH("ITCI US Equity","CF_NET_CASH_DISCONTINUED_OPS_FIN","FQ4 2021","FQ4 2021","Currency=USD","Period=FQ","BEST_FPERIOD_OVERRIDE=FQ","FILING_STATUS=MR","SCALING_FORMAT=MLN","Sort=A","Dates=H","DateFormat=P","Fill=—","Direction=H","UseDPDF=Y")</f>
        <v>0</v>
      </c>
      <c r="P49" s="13">
        <f>_xll.BDH("ITCI US Equity","CF_NET_CASH_DISCONTINUED_OPS_FIN","FQ1 2022","FQ1 2022","Currency=USD","Period=FQ","BEST_FPERIOD_OVERRIDE=FQ","FILING_STATUS=MR","SCALING_FORMAT=MLN","Sort=A","Dates=H","DateFormat=P","Fill=—","Direction=H","UseDPDF=Y")</f>
        <v>0</v>
      </c>
      <c r="Q49" s="13">
        <f>_xll.BDH("ITCI US Equity","CF_NET_CASH_DISCONTINUED_OPS_FIN","FQ2 2022","FQ2 2022","Currency=USD","Period=FQ","BEST_FPERIOD_OVERRIDE=FQ","FILING_STATUS=MR","SCALING_FORMAT=MLN","Sort=A","Dates=H","DateFormat=P","Fill=—","Direction=H","UseDPDF=Y")</f>
        <v>0</v>
      </c>
      <c r="R49" s="13">
        <f>_xll.BDH("ITCI US Equity","CF_NET_CASH_DISCONTINUED_OPS_FIN","FQ3 2022","FQ3 2022","Currency=USD","Period=FQ","BEST_FPERIOD_OVERRIDE=FQ","FILING_STATUS=MR","SCALING_FORMAT=MLN","Sort=A","Dates=H","DateFormat=P","Fill=—","Direction=H","UseDPDF=Y")</f>
        <v>0</v>
      </c>
      <c r="S49" s="13">
        <f>_xll.BDH("ITCI US Equity","CF_NET_CASH_DISCONTINUED_OPS_FIN","FQ4 2022","FQ4 2022","Currency=USD","Period=FQ","BEST_FPERIOD_OVERRIDE=FQ","FILING_STATUS=MR","SCALING_FORMAT=MLN","Sort=A","Dates=H","DateFormat=P","Fill=—","Direction=H","UseDPDF=Y")</f>
        <v>0</v>
      </c>
      <c r="T49" s="13">
        <f>_xll.BDH("ITCI US Equity","CF_NET_CASH_DISCONTINUED_OPS_FIN","FQ1 2023","FQ1 2023","Currency=USD","Period=FQ","BEST_FPERIOD_OVERRIDE=FQ","FILING_STATUS=MR","SCALING_FORMAT=MLN","Sort=A","Dates=H","DateFormat=P","Fill=—","Direction=H","UseDPDF=Y")</f>
        <v>0</v>
      </c>
      <c r="U49" s="13">
        <f>_xll.BDH("ITCI US Equity","CF_NET_CASH_DISCONTINUED_OPS_FIN","FQ2 2023","FQ2 2023","Currency=USD","Period=FQ","BEST_FPERIOD_OVERRIDE=FQ","FILING_STATUS=MR","SCALING_FORMAT=MLN","Sort=A","Dates=H","DateFormat=P","Fill=—","Direction=H","UseDPDF=Y")</f>
        <v>0</v>
      </c>
      <c r="V49" s="13">
        <f>_xll.BDH("ITCI US Equity","CF_NET_CASH_DISCONTINUED_OPS_FIN","FQ3 2023","FQ3 2023","Currency=USD","Period=FQ","BEST_FPERIOD_OVERRIDE=FQ","FILING_STATUS=MR","SCALING_FORMAT=MLN","Sort=A","Dates=H","DateFormat=P","Fill=—","Direction=H","UseDPDF=Y")</f>
        <v>0</v>
      </c>
      <c r="W49" s="13">
        <f>_xll.BDH("ITCI US Equity","CF_NET_CASH_DISCONTINUED_OPS_FIN","FQ4 2023","FQ4 2023","Currency=USD","Period=FQ","BEST_FPERIOD_OVERRIDE=FQ","FILING_STATUS=MR","SCALING_FORMAT=MLN","Sort=A","Dates=H","DateFormat=P","Fill=—","Direction=H","UseDPDF=Y")</f>
        <v>0</v>
      </c>
      <c r="X49" s="13">
        <f>_xll.BDH("ITCI US Equity","CF_NET_CASH_DISCONTINUED_OPS_FIN","FQ1 2024","FQ1 2024","Currency=USD","Period=FQ","BEST_FPERIOD_OVERRIDE=FQ","FILING_STATUS=MR","SCALING_FORMAT=MLN","Sort=A","Dates=H","DateFormat=P","Fill=—","Direction=H","UseDPDF=Y")</f>
        <v>0</v>
      </c>
      <c r="Y49" s="13">
        <f>_xll.BDH("ITCI US Equity","CF_NET_CASH_DISCONTINUED_OPS_FIN","FQ2 2024","FQ2 2024","Currency=USD","Period=FQ","BEST_FPERIOD_OVERRIDE=FQ","FILING_STATUS=MR","SCALING_FORMAT=MLN","Sort=A","Dates=H","DateFormat=P","Fill=—","Direction=H","UseDPDF=Y")</f>
        <v>0</v>
      </c>
      <c r="Z49" s="13">
        <f>_xll.BDH("ITCI US Equity","CF_NET_CASH_DISCONTINUED_OPS_FIN","FQ3 2024","FQ3 2024","Currency=USD","Period=FQ","BEST_FPERIOD_OVERRIDE=FQ","FILING_STATUS=MR","SCALING_FORMAT=MLN","Sort=A","Dates=H","DateFormat=P","Fill=—","Direction=H","UseDPDF=Y")</f>
        <v>0</v>
      </c>
      <c r="AA49" s="13">
        <f>_xll.BDH("ITCI US Equity","CF_NET_CASH_DISCONTINUED_OPS_FIN","FQ4 2024","FQ4 2024","Currency=USD","Period=FQ","BEST_FPERIOD_OVERRIDE=FQ","FILING_STATUS=MR","SCALING_FORMAT=MLN","Sort=A","Dates=H","DateFormat=P","Fill=—","Direction=H","UseDPDF=Y")</f>
        <v>0</v>
      </c>
    </row>
    <row r="50" spans="1:27" x14ac:dyDescent="0.25">
      <c r="A50" s="6" t="s">
        <v>988</v>
      </c>
      <c r="B50" s="6" t="s">
        <v>1008</v>
      </c>
      <c r="C50" s="19">
        <f>_xll.BDH("ITCI US Equity","CFF_ACTIVITIES_DETAILED","FQ4 2018","FQ4 2018","Currency=USD","Period=FQ","BEST_FPERIOD_OVERRIDE=FQ","FILING_STATUS=MR","SCALING_FORMAT=MLN","Sort=A","Dates=H","DateFormat=P","Fill=—","Direction=H","UseDPDF=Y")</f>
        <v>0.18590000000000001</v>
      </c>
      <c r="D50" s="19">
        <f>_xll.BDH("ITCI US Equity","CFF_ACTIVITIES_DETAILED","FQ1 2019","FQ1 2019","Currency=USD","Period=FQ","BEST_FPERIOD_OVERRIDE=FQ","FILING_STATUS=MR","SCALING_FORMAT=MLN","Sort=A","Dates=H","DateFormat=P","Fill=—","Direction=H","UseDPDF=Y")</f>
        <v>3.1199999999999999E-2</v>
      </c>
      <c r="E50" s="19">
        <f>_xll.BDH("ITCI US Equity","CFF_ACTIVITIES_DETAILED","FQ2 2019","FQ2 2019","Currency=USD","Period=FQ","BEST_FPERIOD_OVERRIDE=FQ","FILING_STATUS=MR","SCALING_FORMAT=MLN","Sort=A","Dates=H","DateFormat=P","Fill=—","Direction=H","UseDPDF=Y")</f>
        <v>0.25919999999999999</v>
      </c>
      <c r="F50" s="19">
        <f>_xll.BDH("ITCI US Equity","CFF_ACTIVITIES_DETAILED","FQ3 2019","FQ3 2019","Currency=USD","Period=FQ","BEST_FPERIOD_OVERRIDE=FQ","FILING_STATUS=MR","SCALING_FORMAT=MLN","Sort=A","Dates=H","DateFormat=P","Fill=—","Direction=H","UseDPDF=Y")</f>
        <v>0.15240000000000001</v>
      </c>
      <c r="G50" s="19">
        <f>_xll.BDH("ITCI US Equity","CFF_ACTIVITIES_DETAILED","FQ4 2019","FQ4 2019","Currency=USD","Period=FQ","BEST_FPERIOD_OVERRIDE=FQ","FILING_STATUS=MR","SCALING_FORMAT=MLN","Sort=A","Dates=H","DateFormat=P","Fill=—","Direction=H","UseDPDF=Y")</f>
        <v>2.7928000000000002</v>
      </c>
      <c r="H50" s="19">
        <f>_xll.BDH("ITCI US Equity","CFF_ACTIVITIES_DETAILED","FQ1 2020","FQ1 2020","Currency=USD","Period=FQ","BEST_FPERIOD_OVERRIDE=FQ","FILING_STATUS=MR","SCALING_FORMAT=MLN","Sort=A","Dates=H","DateFormat=P","Fill=—","Direction=H","UseDPDF=Y")</f>
        <v>277.56729999999999</v>
      </c>
      <c r="I50" s="19">
        <f>_xll.BDH("ITCI US Equity","CFF_ACTIVITIES_DETAILED","FQ2 2020","FQ2 2020","Currency=USD","Period=FQ","BEST_FPERIOD_OVERRIDE=FQ","FILING_STATUS=MR","SCALING_FORMAT=MLN","Sort=A","Dates=H","DateFormat=P","Fill=—","Direction=H","UseDPDF=Y")</f>
        <v>4.4798</v>
      </c>
      <c r="J50" s="19">
        <f>_xll.BDH("ITCI US Equity","CFF_ACTIVITIES_DETAILED","FQ3 2020","FQ3 2020","Currency=USD","Period=FQ","BEST_FPERIOD_OVERRIDE=FQ","FILING_STATUS=MR","SCALING_FORMAT=MLN","Sort=A","Dates=H","DateFormat=P","Fill=—","Direction=H","UseDPDF=Y")</f>
        <v>378.49439999999998</v>
      </c>
      <c r="K50" s="19">
        <f>_xll.BDH("ITCI US Equity","CFF_ACTIVITIES_DETAILED","FQ4 2020","FQ4 2020","Currency=USD","Period=FQ","BEST_FPERIOD_OVERRIDE=FQ","FILING_STATUS=MR","SCALING_FORMAT=MLN","Sort=A","Dates=H","DateFormat=P","Fill=—","Direction=H","UseDPDF=Y")</f>
        <v>3.6353</v>
      </c>
      <c r="L50" s="19">
        <f>_xll.BDH("ITCI US Equity","CFF_ACTIVITIES_DETAILED","FQ1 2021","FQ1 2021","Currency=USD","Period=FQ","BEST_FPERIOD_OVERRIDE=FQ","FILING_STATUS=MR","SCALING_FORMAT=MLN","Sort=A","Dates=H","DateFormat=P","Fill=—","Direction=H","UseDPDF=Y")</f>
        <v>1.4317</v>
      </c>
      <c r="M50" s="19">
        <f>_xll.BDH("ITCI US Equity","CFF_ACTIVITIES_DETAILED","FQ2 2021","FQ2 2021","Currency=USD","Period=FQ","BEST_FPERIOD_OVERRIDE=FQ","FILING_STATUS=MR","SCALING_FORMAT=MLN","Sort=A","Dates=H","DateFormat=P","Fill=—","Direction=H","UseDPDF=Y")</f>
        <v>1.5817000000000001</v>
      </c>
      <c r="N50" s="19">
        <f>_xll.BDH("ITCI US Equity","CFF_ACTIVITIES_DETAILED","FQ3 2021","FQ3 2021","Currency=USD","Period=FQ","BEST_FPERIOD_OVERRIDE=FQ","FILING_STATUS=MR","SCALING_FORMAT=MLN","Sort=A","Dates=H","DateFormat=P","Fill=—","Direction=H","UseDPDF=Y")</f>
        <v>0.59130000000000005</v>
      </c>
      <c r="O50" s="19">
        <f>_xll.BDH("ITCI US Equity","CFF_ACTIVITIES_DETAILED","FQ4 2021","FQ4 2021","Currency=USD","Period=FQ","BEST_FPERIOD_OVERRIDE=FQ","FILING_STATUS=MR","SCALING_FORMAT=MLN","Sort=A","Dates=H","DateFormat=P","Fill=—","Direction=H","UseDPDF=Y")</f>
        <v>7.9142999999999999</v>
      </c>
      <c r="P50" s="19">
        <f>_xll.BDH("ITCI US Equity","CFF_ACTIVITIES_DETAILED","FQ1 2022","FQ1 2022","Currency=USD","Period=FQ","BEST_FPERIOD_OVERRIDE=FQ","FILING_STATUS=MR","SCALING_FORMAT=MLN","Sort=A","Dates=H","DateFormat=P","Fill=—","Direction=H","UseDPDF=Y")</f>
        <v>441.81400000000002</v>
      </c>
      <c r="Q50" s="19">
        <f>_xll.BDH("ITCI US Equity","CFF_ACTIVITIES_DETAILED","FQ2 2022","FQ2 2022","Currency=USD","Period=FQ","BEST_FPERIOD_OVERRIDE=FQ","FILING_STATUS=MR","SCALING_FORMAT=MLN","Sort=A","Dates=H","DateFormat=P","Fill=—","Direction=H","UseDPDF=Y")</f>
        <v>5.5039999999999996</v>
      </c>
      <c r="R50" s="19">
        <f>_xll.BDH("ITCI US Equity","CFF_ACTIVITIES_DETAILED","FQ3 2022","FQ3 2022","Currency=USD","Period=FQ","BEST_FPERIOD_OVERRIDE=FQ","FILING_STATUS=MR","SCALING_FORMAT=MLN","Sort=A","Dates=H","DateFormat=P","Fill=—","Direction=H","UseDPDF=Y")</f>
        <v>5.6539999999999999</v>
      </c>
      <c r="S50" s="19">
        <f>_xll.BDH("ITCI US Equity","CFF_ACTIVITIES_DETAILED","FQ4 2022","FQ4 2022","Currency=USD","Period=FQ","BEST_FPERIOD_OVERRIDE=FQ","FILING_STATUS=MR","SCALING_FORMAT=MLN","Sort=A","Dates=H","DateFormat=P","Fill=—","Direction=H","UseDPDF=Y")</f>
        <v>2.1869999999999998</v>
      </c>
      <c r="T50" s="19">
        <f>_xll.BDH("ITCI US Equity","CFF_ACTIVITIES_DETAILED","FQ1 2023","FQ1 2023","Currency=USD","Period=FQ","BEST_FPERIOD_OVERRIDE=FQ","FILING_STATUS=MR","SCALING_FORMAT=MLN","Sort=A","Dates=H","DateFormat=P","Fill=—","Direction=H","UseDPDF=Y")</f>
        <v>3.64</v>
      </c>
      <c r="U50" s="19">
        <f>_xll.BDH("ITCI US Equity","CFF_ACTIVITIES_DETAILED","FQ2 2023","FQ2 2023","Currency=USD","Period=FQ","BEST_FPERIOD_OVERRIDE=FQ","FILING_STATUS=MR","SCALING_FORMAT=MLN","Sort=A","Dates=H","DateFormat=P","Fill=—","Direction=H","UseDPDF=Y")</f>
        <v>8.5850000000000009</v>
      </c>
      <c r="V50" s="19">
        <f>_xll.BDH("ITCI US Equity","CFF_ACTIVITIES_DETAILED","FQ3 2023","FQ3 2023","Currency=USD","Period=FQ","BEST_FPERIOD_OVERRIDE=FQ","FILING_STATUS=MR","SCALING_FORMAT=MLN","Sort=A","Dates=H","DateFormat=P","Fill=—","Direction=H","UseDPDF=Y")</f>
        <v>2.581</v>
      </c>
      <c r="W50" s="19">
        <f>_xll.BDH("ITCI US Equity","CFF_ACTIVITIES_DETAILED","FQ4 2023","FQ4 2023","Currency=USD","Period=FQ","BEST_FPERIOD_OVERRIDE=FQ","FILING_STATUS=MR","SCALING_FORMAT=MLN","Sort=A","Dates=H","DateFormat=P","Fill=—","Direction=H","UseDPDF=Y")</f>
        <v>3.004</v>
      </c>
      <c r="X50" s="19">
        <f>_xll.BDH("ITCI US Equity","CFF_ACTIVITIES_DETAILED","FQ1 2024","FQ1 2024","Currency=USD","Period=FQ","BEST_FPERIOD_OVERRIDE=FQ","FILING_STATUS=MR","SCALING_FORMAT=MLN","Sort=A","Dates=H","DateFormat=P","Fill=—","Direction=H","UseDPDF=Y")</f>
        <v>9.9890000000000008</v>
      </c>
      <c r="Y50" s="19">
        <f>_xll.BDH("ITCI US Equity","CFF_ACTIVITIES_DETAILED","FQ2 2024","FQ2 2024","Currency=USD","Period=FQ","BEST_FPERIOD_OVERRIDE=FQ","FILING_STATUS=MR","SCALING_FORMAT=MLN","Sort=A","Dates=H","DateFormat=P","Fill=—","Direction=H","UseDPDF=Y")</f>
        <v>545.17899999999997</v>
      </c>
      <c r="Z50" s="19">
        <f>_xll.BDH("ITCI US Equity","CFF_ACTIVITIES_DETAILED","FQ3 2024","FQ3 2024","Currency=USD","Period=FQ","BEST_FPERIOD_OVERRIDE=FQ","FILING_STATUS=MR","SCALING_FORMAT=MLN","Sort=A","Dates=H","DateFormat=P","Fill=—","Direction=H","UseDPDF=Y")</f>
        <v>6.734</v>
      </c>
      <c r="AA50" s="19">
        <f>_xll.BDH("ITCI US Equity","CFF_ACTIVITIES_DETAILED","FQ4 2024","FQ4 2024","Currency=USD","Period=FQ","BEST_FPERIOD_OVERRIDE=FQ","FILING_STATUS=MR","SCALING_FORMAT=MLN","Sort=A","Dates=H","DateFormat=P","Fill=—","Direction=H","UseDPDF=Y")</f>
        <v>5.6059999999999999</v>
      </c>
    </row>
    <row r="51" spans="1:27" x14ac:dyDescent="0.25">
      <c r="A51" s="6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x14ac:dyDescent="0.25">
      <c r="A52" s="10" t="s">
        <v>1009</v>
      </c>
      <c r="B52" s="10" t="s">
        <v>1010</v>
      </c>
      <c r="C52" s="13">
        <f>_xll.BDH("ITCI US Equity","CF_EFFECT_FOREIGN_EXCHANGES","FQ4 2018","FQ4 2018","Currency=USD","Period=FQ","BEST_FPERIOD_OVERRIDE=FQ","FILING_STATUS=MR","SCALING_FORMAT=MLN","Sort=A","Dates=H","DateFormat=P","Fill=—","Direction=H","UseDPDF=Y")</f>
        <v>0</v>
      </c>
      <c r="D52" s="13">
        <f>_xll.BDH("ITCI US Equity","CF_EFFECT_FOREIGN_EXCHANGES","FQ1 2019","FQ1 2019","Currency=USD","Period=FQ","BEST_FPERIOD_OVERRIDE=FQ","FILING_STATUS=MR","SCALING_FORMAT=MLN","Sort=A","Dates=H","DateFormat=P","Fill=—","Direction=H","UseDPDF=Y")</f>
        <v>0</v>
      </c>
      <c r="E52" s="13">
        <f>_xll.BDH("ITCI US Equity","CF_EFFECT_FOREIGN_EXCHANGES","FQ2 2019","FQ2 2019","Currency=USD","Period=FQ","BEST_FPERIOD_OVERRIDE=FQ","FILING_STATUS=MR","SCALING_FORMAT=MLN","Sort=A","Dates=H","DateFormat=P","Fill=—","Direction=H","UseDPDF=Y")</f>
        <v>0</v>
      </c>
      <c r="F52" s="13">
        <f>_xll.BDH("ITCI US Equity","CF_EFFECT_FOREIGN_EXCHANGES","FQ3 2019","FQ3 2019","Currency=USD","Period=FQ","BEST_FPERIOD_OVERRIDE=FQ","FILING_STATUS=MR","SCALING_FORMAT=MLN","Sort=A","Dates=H","DateFormat=P","Fill=—","Direction=H","UseDPDF=Y")</f>
        <v>0</v>
      </c>
      <c r="G52" s="13">
        <f>_xll.BDH("ITCI US Equity","CF_EFFECT_FOREIGN_EXCHANGES","FQ4 2019","FQ4 2019","Currency=USD","Period=FQ","BEST_FPERIOD_OVERRIDE=FQ","FILING_STATUS=MR","SCALING_FORMAT=MLN","Sort=A","Dates=H","DateFormat=P","Fill=—","Direction=H","UseDPDF=Y")</f>
        <v>0</v>
      </c>
      <c r="H52" s="13">
        <f>_xll.BDH("ITCI US Equity","CF_EFFECT_FOREIGN_EXCHANGES","FQ1 2020","FQ1 2020","Currency=USD","Period=FQ","BEST_FPERIOD_OVERRIDE=FQ","FILING_STATUS=MR","SCALING_FORMAT=MLN","Sort=A","Dates=H","DateFormat=P","Fill=—","Direction=H","UseDPDF=Y")</f>
        <v>0</v>
      </c>
      <c r="I52" s="13">
        <f>_xll.BDH("ITCI US Equity","CF_EFFECT_FOREIGN_EXCHANGES","FQ2 2020","FQ2 2020","Currency=USD","Period=FQ","BEST_FPERIOD_OVERRIDE=FQ","FILING_STATUS=MR","SCALING_FORMAT=MLN","Sort=A","Dates=H","DateFormat=P","Fill=—","Direction=H","UseDPDF=Y")</f>
        <v>0</v>
      </c>
      <c r="J52" s="13">
        <f>_xll.BDH("ITCI US Equity","CF_EFFECT_FOREIGN_EXCHANGES","FQ3 2020","FQ3 2020","Currency=USD","Period=FQ","BEST_FPERIOD_OVERRIDE=FQ","FILING_STATUS=MR","SCALING_FORMAT=MLN","Sort=A","Dates=H","DateFormat=P","Fill=—","Direction=H","UseDPDF=Y")</f>
        <v>0</v>
      </c>
      <c r="K52" s="13">
        <f>_xll.BDH("ITCI US Equity","CF_EFFECT_FOREIGN_EXCHANGES","FQ4 2020","FQ4 2020","Currency=USD","Period=FQ","BEST_FPERIOD_OVERRIDE=FQ","FILING_STATUS=MR","SCALING_FORMAT=MLN","Sort=A","Dates=H","DateFormat=P","Fill=—","Direction=H","UseDPDF=Y")</f>
        <v>0</v>
      </c>
      <c r="L52" s="13">
        <f>_xll.BDH("ITCI US Equity","CF_EFFECT_FOREIGN_EXCHANGES","FQ1 2021","FQ1 2021","Currency=USD","Period=FQ","BEST_FPERIOD_OVERRIDE=FQ","FILING_STATUS=MR","SCALING_FORMAT=MLN","Sort=A","Dates=H","DateFormat=P","Fill=—","Direction=H","UseDPDF=Y")</f>
        <v>0</v>
      </c>
      <c r="M52" s="13">
        <f>_xll.BDH("ITCI US Equity","CF_EFFECT_FOREIGN_EXCHANGES","FQ2 2021","FQ2 2021","Currency=USD","Period=FQ","BEST_FPERIOD_OVERRIDE=FQ","FILING_STATUS=MR","SCALING_FORMAT=MLN","Sort=A","Dates=H","DateFormat=P","Fill=—","Direction=H","UseDPDF=Y")</f>
        <v>0</v>
      </c>
      <c r="N52" s="13">
        <f>_xll.BDH("ITCI US Equity","CF_EFFECT_FOREIGN_EXCHANGES","FQ3 2021","FQ3 2021","Currency=USD","Period=FQ","BEST_FPERIOD_OVERRIDE=FQ","FILING_STATUS=MR","SCALING_FORMAT=MLN","Sort=A","Dates=H","DateFormat=P","Fill=—","Direction=H","UseDPDF=Y")</f>
        <v>0</v>
      </c>
      <c r="O52" s="13">
        <f>_xll.BDH("ITCI US Equity","CF_EFFECT_FOREIGN_EXCHANGES","FQ4 2021","FQ4 2021","Currency=USD","Period=FQ","BEST_FPERIOD_OVERRIDE=FQ","FILING_STATUS=MR","SCALING_FORMAT=MLN","Sort=A","Dates=H","DateFormat=P","Fill=—","Direction=H","UseDPDF=Y")</f>
        <v>0</v>
      </c>
      <c r="P52" s="13">
        <f>_xll.BDH("ITCI US Equity","CF_EFFECT_FOREIGN_EXCHANGES","FQ1 2022","FQ1 2022","Currency=USD","Period=FQ","BEST_FPERIOD_OVERRIDE=FQ","FILING_STATUS=MR","SCALING_FORMAT=MLN","Sort=A","Dates=H","DateFormat=P","Fill=—","Direction=H","UseDPDF=Y")</f>
        <v>0</v>
      </c>
      <c r="Q52" s="13">
        <f>_xll.BDH("ITCI US Equity","CF_EFFECT_FOREIGN_EXCHANGES","FQ2 2022","FQ2 2022","Currency=USD","Period=FQ","BEST_FPERIOD_OVERRIDE=FQ","FILING_STATUS=MR","SCALING_FORMAT=MLN","Sort=A","Dates=H","DateFormat=P","Fill=—","Direction=H","UseDPDF=Y")</f>
        <v>0</v>
      </c>
      <c r="R52" s="13">
        <f>_xll.BDH("ITCI US Equity","CF_EFFECT_FOREIGN_EXCHANGES","FQ3 2022","FQ3 2022","Currency=USD","Period=FQ","BEST_FPERIOD_OVERRIDE=FQ","FILING_STATUS=MR","SCALING_FORMAT=MLN","Sort=A","Dates=H","DateFormat=P","Fill=—","Direction=H","UseDPDF=Y")</f>
        <v>0</v>
      </c>
      <c r="S52" s="13">
        <f>_xll.BDH("ITCI US Equity","CF_EFFECT_FOREIGN_EXCHANGES","FQ4 2022","FQ4 2022","Currency=USD","Period=FQ","BEST_FPERIOD_OVERRIDE=FQ","FILING_STATUS=MR","SCALING_FORMAT=MLN","Sort=A","Dates=H","DateFormat=P","Fill=—","Direction=H","UseDPDF=Y")</f>
        <v>0</v>
      </c>
      <c r="T52" s="13">
        <f>_xll.BDH("ITCI US Equity","CF_EFFECT_FOREIGN_EXCHANGES","FQ1 2023","FQ1 2023","Currency=USD","Period=FQ","BEST_FPERIOD_OVERRIDE=FQ","FILING_STATUS=MR","SCALING_FORMAT=MLN","Sort=A","Dates=H","DateFormat=P","Fill=—","Direction=H","UseDPDF=Y")</f>
        <v>0</v>
      </c>
      <c r="U52" s="13">
        <f>_xll.BDH("ITCI US Equity","CF_EFFECT_FOREIGN_EXCHANGES","FQ2 2023","FQ2 2023","Currency=USD","Period=FQ","BEST_FPERIOD_OVERRIDE=FQ","FILING_STATUS=MR","SCALING_FORMAT=MLN","Sort=A","Dates=H","DateFormat=P","Fill=—","Direction=H","UseDPDF=Y")</f>
        <v>0</v>
      </c>
      <c r="V52" s="13">
        <f>_xll.BDH("ITCI US Equity","CF_EFFECT_FOREIGN_EXCHANGES","FQ3 2023","FQ3 2023","Currency=USD","Period=FQ","BEST_FPERIOD_OVERRIDE=FQ","FILING_STATUS=MR","SCALING_FORMAT=MLN","Sort=A","Dates=H","DateFormat=P","Fill=—","Direction=H","UseDPDF=Y")</f>
        <v>0</v>
      </c>
      <c r="W52" s="13">
        <f>_xll.BDH("ITCI US Equity","CF_EFFECT_FOREIGN_EXCHANGES","FQ4 2023","FQ4 2023","Currency=USD","Period=FQ","BEST_FPERIOD_OVERRIDE=FQ","FILING_STATUS=MR","SCALING_FORMAT=MLN","Sort=A","Dates=H","DateFormat=P","Fill=—","Direction=H","UseDPDF=Y")</f>
        <v>0</v>
      </c>
      <c r="X52" s="13">
        <f>_xll.BDH("ITCI US Equity","CF_EFFECT_FOREIGN_EXCHANGES","FQ1 2024","FQ1 2024","Currency=USD","Period=FQ","BEST_FPERIOD_OVERRIDE=FQ","FILING_STATUS=MR","SCALING_FORMAT=MLN","Sort=A","Dates=H","DateFormat=P","Fill=—","Direction=H","UseDPDF=Y")</f>
        <v>0</v>
      </c>
      <c r="Y52" s="13">
        <f>_xll.BDH("ITCI US Equity","CF_EFFECT_FOREIGN_EXCHANGES","FQ2 2024","FQ2 2024","Currency=USD","Period=FQ","BEST_FPERIOD_OVERRIDE=FQ","FILING_STATUS=MR","SCALING_FORMAT=MLN","Sort=A","Dates=H","DateFormat=P","Fill=—","Direction=H","UseDPDF=Y")</f>
        <v>0</v>
      </c>
      <c r="Z52" s="13">
        <f>_xll.BDH("ITCI US Equity","CF_EFFECT_FOREIGN_EXCHANGES","FQ3 2024","FQ3 2024","Currency=USD","Period=FQ","BEST_FPERIOD_OVERRIDE=FQ","FILING_STATUS=MR","SCALING_FORMAT=MLN","Sort=A","Dates=H","DateFormat=P","Fill=—","Direction=H","UseDPDF=Y")</f>
        <v>0</v>
      </c>
      <c r="AA52" s="13">
        <f>_xll.BDH("ITCI US Equity","CF_EFFECT_FOREIGN_EXCHANGES","FQ4 2024","FQ4 2024","Currency=USD","Period=FQ","BEST_FPERIOD_OVERRIDE=FQ","FILING_STATUS=MR","SCALING_FORMAT=MLN","Sort=A","Dates=H","DateFormat=P","Fill=—","Direction=H","UseDPDF=Y")</f>
        <v>0</v>
      </c>
    </row>
    <row r="53" spans="1:27" x14ac:dyDescent="0.25">
      <c r="A53" s="6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x14ac:dyDescent="0.25">
      <c r="A54" s="6" t="s">
        <v>1011</v>
      </c>
      <c r="B54" s="6" t="s">
        <v>1012</v>
      </c>
      <c r="C54" s="19">
        <f>_xll.BDH("ITCI US Equity","CF_NET_CHNG_CASH","FQ4 2018","FQ4 2018","Currency=USD","Period=FQ","BEST_FPERIOD_OVERRIDE=FQ","FILING_STATUS=MR","SCALING_FORMAT=MLN","Sort=A","Dates=H","DateFormat=P","Fill=—","Direction=H","UseDPDF=Y")</f>
        <v>-14.829499999999999</v>
      </c>
      <c r="D54" s="19">
        <f>_xll.BDH("ITCI US Equity","CF_NET_CHNG_CASH","FQ1 2019","FQ1 2019","Currency=USD","Period=FQ","BEST_FPERIOD_OVERRIDE=FQ","FILING_STATUS=MR","SCALING_FORMAT=MLN","Sort=A","Dates=H","DateFormat=P","Fill=—","Direction=H","UseDPDF=Y")</f>
        <v>9.1435999999999993</v>
      </c>
      <c r="E54" s="19">
        <f>_xll.BDH("ITCI US Equity","CF_NET_CHNG_CASH","FQ2 2019","FQ2 2019","Currency=USD","Period=FQ","BEST_FPERIOD_OVERRIDE=FQ","FILING_STATUS=MR","SCALING_FORMAT=MLN","Sort=A","Dates=H","DateFormat=P","Fill=—","Direction=H","UseDPDF=Y")</f>
        <v>27.6723</v>
      </c>
      <c r="F54" s="19">
        <f>_xll.BDH("ITCI US Equity","CF_NET_CHNG_CASH","FQ3 2019","FQ3 2019","Currency=USD","Period=FQ","BEST_FPERIOD_OVERRIDE=FQ","FILING_STATUS=MR","SCALING_FORMAT=MLN","Sort=A","Dates=H","DateFormat=P","Fill=—","Direction=H","UseDPDF=Y")</f>
        <v>10.3996</v>
      </c>
      <c r="G54" s="19">
        <f>_xll.BDH("ITCI US Equity","CF_NET_CHNG_CASH","FQ4 2019","FQ4 2019","Currency=USD","Period=FQ","BEST_FPERIOD_OVERRIDE=FQ","FILING_STATUS=MR","SCALING_FORMAT=MLN","Sort=A","Dates=H","DateFormat=P","Fill=—","Direction=H","UseDPDF=Y")</f>
        <v>5.4739000000000004</v>
      </c>
      <c r="H54" s="19">
        <f>_xll.BDH("ITCI US Equity","CF_NET_CHNG_CASH","FQ1 2020","FQ1 2020","Currency=USD","Period=FQ","BEST_FPERIOD_OVERRIDE=FQ","FILING_STATUS=MR","SCALING_FORMAT=MLN","Sort=A","Dates=H","DateFormat=P","Fill=—","Direction=H","UseDPDF=Y")</f>
        <v>73.356200000000001</v>
      </c>
      <c r="I54" s="19">
        <f>_xll.BDH("ITCI US Equity","CF_NET_CHNG_CASH","FQ2 2020","FQ2 2020","Currency=USD","Period=FQ","BEST_FPERIOD_OVERRIDE=FQ","FILING_STATUS=MR","SCALING_FORMAT=MLN","Sort=A","Dates=H","DateFormat=P","Fill=—","Direction=H","UseDPDF=Y")</f>
        <v>-50.302599999999998</v>
      </c>
      <c r="J54" s="19">
        <f>_xll.BDH("ITCI US Equity","CF_NET_CHNG_CASH","FQ3 2020","FQ3 2020","Currency=USD","Period=FQ","BEST_FPERIOD_OVERRIDE=FQ","FILING_STATUS=MR","SCALING_FORMAT=MLN","Sort=A","Dates=H","DateFormat=P","Fill=—","Direction=H","UseDPDF=Y")</f>
        <v>171.6985</v>
      </c>
      <c r="K54" s="19">
        <f>_xll.BDH("ITCI US Equity","CF_NET_CHNG_CASH","FQ4 2020","FQ4 2020","Currency=USD","Period=FQ","BEST_FPERIOD_OVERRIDE=FQ","FILING_STATUS=MR","SCALING_FORMAT=MLN","Sort=A","Dates=H","DateFormat=P","Fill=—","Direction=H","UseDPDF=Y")</f>
        <v>-240.94300000000001</v>
      </c>
      <c r="L54" s="19">
        <f>_xll.BDH("ITCI US Equity","CF_NET_CHNG_CASH","FQ1 2021","FQ1 2021","Currency=USD","Period=FQ","BEST_FPERIOD_OVERRIDE=FQ","FILING_STATUS=MR","SCALING_FORMAT=MLN","Sort=A","Dates=H","DateFormat=P","Fill=—","Direction=H","UseDPDF=Y")</f>
        <v>69.933999999999997</v>
      </c>
      <c r="M54" s="19">
        <f>_xll.BDH("ITCI US Equity","CF_NET_CHNG_CASH","FQ2 2021","FQ2 2021","Currency=USD","Period=FQ","BEST_FPERIOD_OVERRIDE=FQ","FILING_STATUS=MR","SCALING_FORMAT=MLN","Sort=A","Dates=H","DateFormat=P","Fill=—","Direction=H","UseDPDF=Y")</f>
        <v>-8.9497</v>
      </c>
      <c r="N54" s="19">
        <f>_xll.BDH("ITCI US Equity","CF_NET_CHNG_CASH","FQ3 2021","FQ3 2021","Currency=USD","Period=FQ","BEST_FPERIOD_OVERRIDE=FQ","FILING_STATUS=MR","SCALING_FORMAT=MLN","Sort=A","Dates=H","DateFormat=P","Fill=—","Direction=H","UseDPDF=Y")</f>
        <v>-14.904199999999999</v>
      </c>
      <c r="O54" s="19">
        <f>_xll.BDH("ITCI US Equity","CF_NET_CHNG_CASH","FQ4 2021","FQ4 2021","Currency=USD","Period=FQ","BEST_FPERIOD_OVERRIDE=FQ","FILING_STATUS=MR","SCALING_FORMAT=MLN","Sort=A","Dates=H","DateFormat=P","Fill=—","Direction=H","UseDPDF=Y")</f>
        <v>-13.760999999999999</v>
      </c>
      <c r="P54" s="19">
        <f>_xll.BDH("ITCI US Equity","CF_NET_CHNG_CASH","FQ1 2022","FQ1 2022","Currency=USD","Period=FQ","BEST_FPERIOD_OVERRIDE=FQ","FILING_STATUS=MR","SCALING_FORMAT=MLN","Sort=A","Dates=H","DateFormat=P","Fill=—","Direction=H","UseDPDF=Y")</f>
        <v>36.93</v>
      </c>
      <c r="Q54" s="19">
        <f>_xll.BDH("ITCI US Equity","CF_NET_CHNG_CASH","FQ2 2022","FQ2 2022","Currency=USD","Period=FQ","BEST_FPERIOD_OVERRIDE=FQ","FILING_STATUS=MR","SCALING_FORMAT=MLN","Sort=A","Dates=H","DateFormat=P","Fill=—","Direction=H","UseDPDF=Y")</f>
        <v>-52.06</v>
      </c>
      <c r="R54" s="19">
        <f>_xll.BDH("ITCI US Equity","CF_NET_CHNG_CASH","FQ3 2022","FQ3 2022","Currency=USD","Period=FQ","BEST_FPERIOD_OVERRIDE=FQ","FILING_STATUS=MR","SCALING_FORMAT=MLN","Sort=A","Dates=H","DateFormat=P","Fill=—","Direction=H","UseDPDF=Y")</f>
        <v>58.472999999999999</v>
      </c>
      <c r="S54" s="19">
        <f>_xll.BDH("ITCI US Equity","CF_NET_CHNG_CASH","FQ4 2022","FQ4 2022","Currency=USD","Period=FQ","BEST_FPERIOD_OVERRIDE=FQ","FILING_STATUS=MR","SCALING_FORMAT=MLN","Sort=A","Dates=H","DateFormat=P","Fill=—","Direction=H","UseDPDF=Y")</f>
        <v>13.257</v>
      </c>
      <c r="T54" s="19">
        <f>_xll.BDH("ITCI US Equity","CF_NET_CHNG_CASH","FQ1 2023","FQ1 2023","Currency=USD","Period=FQ","BEST_FPERIOD_OVERRIDE=FQ","FILING_STATUS=MR","SCALING_FORMAT=MLN","Sort=A","Dates=H","DateFormat=P","Fill=—","Direction=H","UseDPDF=Y")</f>
        <v>-72.888000000000005</v>
      </c>
      <c r="U54" s="19">
        <f>_xll.BDH("ITCI US Equity","CF_NET_CHNG_CASH","FQ2 2023","FQ2 2023","Currency=USD","Period=FQ","BEST_FPERIOD_OVERRIDE=FQ","FILING_STATUS=MR","SCALING_FORMAT=MLN","Sort=A","Dates=H","DateFormat=P","Fill=—","Direction=H","UseDPDF=Y")</f>
        <v>66.531000000000006</v>
      </c>
      <c r="V54" s="19">
        <f>_xll.BDH("ITCI US Equity","CF_NET_CHNG_CASH","FQ3 2023","FQ3 2023","Currency=USD","Period=FQ","BEST_FPERIOD_OVERRIDE=FQ","FILING_STATUS=MR","SCALING_FORMAT=MLN","Sort=A","Dates=H","DateFormat=P","Fill=—","Direction=H","UseDPDF=Y")</f>
        <v>-42.856000000000002</v>
      </c>
      <c r="W54" s="19">
        <f>_xll.BDH("ITCI US Equity","CF_NET_CHNG_CASH","FQ4 2023","FQ4 2023","Currency=USD","Period=FQ","BEST_FPERIOD_OVERRIDE=FQ","FILING_STATUS=MR","SCALING_FORMAT=MLN","Sort=A","Dates=H","DateFormat=P","Fill=—","Direction=H","UseDPDF=Y")</f>
        <v>48.365000000000002</v>
      </c>
      <c r="X54" s="19">
        <f>_xll.BDH("ITCI US Equity","CF_NET_CHNG_CASH","FQ1 2024","FQ1 2024","Currency=USD","Period=FQ","BEST_FPERIOD_OVERRIDE=FQ","FILING_STATUS=MR","SCALING_FORMAT=MLN","Sort=A","Dates=H","DateFormat=P","Fill=—","Direction=H","UseDPDF=Y")</f>
        <v>-7.9480000000000004</v>
      </c>
      <c r="Y54" s="19">
        <f>_xll.BDH("ITCI US Equity","CF_NET_CHNG_CASH","FQ2 2024","FQ2 2024","Currency=USD","Period=FQ","BEST_FPERIOD_OVERRIDE=FQ","FILING_STATUS=MR","SCALING_FORMAT=MLN","Sort=A","Dates=H","DateFormat=P","Fill=—","Direction=H","UseDPDF=Y")</f>
        <v>553.48699999999997</v>
      </c>
      <c r="Z54" s="19">
        <f>_xll.BDH("ITCI US Equity","CF_NET_CHNG_CASH","FQ3 2024","FQ3 2024","Currency=USD","Period=FQ","BEST_FPERIOD_OVERRIDE=FQ","FILING_STATUS=MR","SCALING_FORMAT=MLN","Sort=A","Dates=H","DateFormat=P","Fill=—","Direction=H","UseDPDF=Y")</f>
        <v>-228.994</v>
      </c>
      <c r="AA54" s="19">
        <f>_xll.BDH("ITCI US Equity","CF_NET_CHNG_CASH","FQ4 2024","FQ4 2024","Currency=USD","Period=FQ","BEST_FPERIOD_OVERRIDE=FQ","FILING_STATUS=MR","SCALING_FORMAT=MLN","Sort=A","Dates=H","DateFormat=P","Fill=—","Direction=H","UseDPDF=Y")</f>
        <v>-157.364</v>
      </c>
    </row>
    <row r="55" spans="1:27" x14ac:dyDescent="0.25">
      <c r="A55" s="6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 x14ac:dyDescent="0.25">
      <c r="A56" s="6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x14ac:dyDescent="0.25">
      <c r="A57" s="6" t="s">
        <v>4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x14ac:dyDescent="0.25">
      <c r="A58" s="10" t="s">
        <v>78</v>
      </c>
      <c r="B58" s="10" t="s">
        <v>78</v>
      </c>
      <c r="C58" s="13">
        <f>_xll.BDH("ITCI US Equity","EBITDA","FQ4 2018","FQ4 2018","Currency=USD","Period=FQ","BEST_FPERIOD_OVERRIDE=FQ","FILING_STATUS=MR","SCALING_FORMAT=MLN","FA_ADJUSTED=GAAP","Sort=A","Dates=H","DateFormat=P","Fill=—","Direction=H","UseDPDF=Y")</f>
        <v>-42.527500000000003</v>
      </c>
      <c r="D58" s="13">
        <f>_xll.BDH("ITCI US Equity","EBITDA","FQ1 2019","FQ1 2019","Currency=USD","Period=FQ","BEST_FPERIOD_OVERRIDE=FQ","FILING_STATUS=MR","SCALING_FORMAT=MLN","FA_ADJUSTED=GAAP","Sort=A","Dates=H","DateFormat=P","Fill=—","Direction=H","UseDPDF=Y")</f>
        <v>-35.764499999999998</v>
      </c>
      <c r="E58" s="13">
        <f>_xll.BDH("ITCI US Equity","EBITDA","FQ2 2019","FQ2 2019","Currency=USD","Period=FQ","BEST_FPERIOD_OVERRIDE=FQ","FILING_STATUS=MR","SCALING_FORMAT=MLN","FA_ADJUSTED=GAAP","Sort=A","Dates=H","DateFormat=P","Fill=—","Direction=H","UseDPDF=Y")</f>
        <v>-38.110100000000003</v>
      </c>
      <c r="F58" s="13">
        <f>_xll.BDH("ITCI US Equity","EBITDA","FQ3 2019","FQ3 2019","Currency=USD","Period=FQ","BEST_FPERIOD_OVERRIDE=FQ","FILING_STATUS=MR","SCALING_FORMAT=MLN","FA_ADJUSTED=GAAP","Sort=A","Dates=H","DateFormat=P","Fill=—","Direction=H","UseDPDF=Y")</f>
        <v>-35.429200000000002</v>
      </c>
      <c r="G58" s="13">
        <f>_xll.BDH("ITCI US Equity","EBITDA","FQ4 2019","FQ4 2019","Currency=USD","Period=FQ","BEST_FPERIOD_OVERRIDE=FQ","FILING_STATUS=MR","SCALING_FORMAT=MLN","FA_ADJUSTED=GAAP","Sort=A","Dates=H","DateFormat=P","Fill=—","Direction=H","UseDPDF=Y")</f>
        <v>-40.826999999999998</v>
      </c>
      <c r="H58" s="13">
        <f>_xll.BDH("ITCI US Equity","EBITDA","FQ1 2020","FQ1 2020","Currency=USD","Period=FQ","BEST_FPERIOD_OVERRIDE=FQ","FILING_STATUS=MR","SCALING_FORMAT=MLN","FA_ADJUSTED=GAAP","Sort=A","Dates=H","DateFormat=P","Fill=—","Direction=H","UseDPDF=Y")</f>
        <v>-48.118699999999997</v>
      </c>
      <c r="I58" s="13">
        <f>_xll.BDH("ITCI US Equity","EBITDA","FQ2 2020","FQ2 2020","Currency=USD","Period=FQ","BEST_FPERIOD_OVERRIDE=FQ","FILING_STATUS=MR","SCALING_FORMAT=MLN","FA_ADJUSTED=GAAP","Sort=A","Dates=H","DateFormat=P","Fill=—","Direction=H","UseDPDF=Y")</f>
        <v>-63.94</v>
      </c>
      <c r="J58" s="13">
        <f>_xll.BDH("ITCI US Equity","EBITDA","FQ3 2020","FQ3 2020","Currency=USD","Period=FQ","BEST_FPERIOD_OVERRIDE=FQ","FILING_STATUS=MR","SCALING_FORMAT=MLN","FA_ADJUSTED=GAAP","Sort=A","Dates=H","DateFormat=P","Fill=—","Direction=H","UseDPDF=Y")</f>
        <v>-55.0154</v>
      </c>
      <c r="K58" s="13">
        <f>_xll.BDH("ITCI US Equity","EBITDA","FQ4 2020","FQ4 2020","Currency=USD","Period=FQ","BEST_FPERIOD_OVERRIDE=FQ","FILING_STATUS=MR","SCALING_FORMAT=MLN","FA_ADJUSTED=GAAP","Sort=A","Dates=H","DateFormat=P","Fill=—","Direction=H","UseDPDF=Y")</f>
        <v>-60.824300000000001</v>
      </c>
      <c r="L58" s="13">
        <f>_xll.BDH("ITCI US Equity","EBITDA","FQ1 2021","FQ1 2021","Currency=USD","Period=FQ","BEST_FPERIOD_OVERRIDE=FQ","FILING_STATUS=MR","SCALING_FORMAT=MLN","FA_ADJUSTED=GAAP","Sort=A","Dates=H","DateFormat=P","Fill=—","Direction=H","UseDPDF=Y")</f>
        <v>-52.291699999999999</v>
      </c>
      <c r="M58" s="13">
        <f>_xll.BDH("ITCI US Equity","EBITDA","FQ2 2021","FQ2 2021","Currency=USD","Period=FQ","BEST_FPERIOD_OVERRIDE=FQ","FILING_STATUS=MR","SCALING_FORMAT=MLN","FA_ADJUSTED=GAAP","Sort=A","Dates=H","DateFormat=P","Fill=—","Direction=H","UseDPDF=Y")</f>
        <v>-68.215500000000006</v>
      </c>
      <c r="N58" s="13">
        <f>_xll.BDH("ITCI US Equity","EBITDA","FQ3 2021","FQ3 2021","Currency=USD","Period=FQ","BEST_FPERIOD_OVERRIDE=FQ","FILING_STATUS=MR","SCALING_FORMAT=MLN","FA_ADJUSTED=GAAP","Sort=A","Dates=H","DateFormat=P","Fill=—","Direction=H","UseDPDF=Y")</f>
        <v>-76.389899999999997</v>
      </c>
      <c r="O58" s="13">
        <f>_xll.BDH("ITCI US Equity","EBITDA","FQ4 2021","FQ4 2021","Currency=USD","Period=FQ","BEST_FPERIOD_OVERRIDE=FQ","FILING_STATUS=MR","SCALING_FORMAT=MLN","FA_ADJUSTED=GAAP","Sort=A","Dates=H","DateFormat=P","Fill=—","Direction=H","UseDPDF=Y")</f>
        <v>-84.908799999999999</v>
      </c>
      <c r="P58" s="13">
        <f>_xll.BDH("ITCI US Equity","EBITDA","FQ1 2022","FQ1 2022","Currency=USD","Period=FQ","BEST_FPERIOD_OVERRIDE=FQ","FILING_STATUS=MR","SCALING_FORMAT=MLN","FA_ADJUSTED=GAAP","Sort=A","Dates=H","DateFormat=P","Fill=—","Direction=H","UseDPDF=Y")</f>
        <v>-72.491</v>
      </c>
      <c r="Q58" s="13">
        <f>_xll.BDH("ITCI US Equity","EBITDA","FQ2 2022","FQ2 2022","Currency=USD","Period=FQ","BEST_FPERIOD_OVERRIDE=FQ","FILING_STATUS=MR","SCALING_FORMAT=MLN","FA_ADJUSTED=GAAP","Sort=A","Dates=H","DateFormat=P","Fill=—","Direction=H","UseDPDF=Y")</f>
        <v>-87.751000000000005</v>
      </c>
      <c r="R58" s="13">
        <f>_xll.BDH("ITCI US Equity","EBITDA","FQ3 2022","FQ3 2022","Currency=USD","Period=FQ","BEST_FPERIOD_OVERRIDE=FQ","FILING_STATUS=MR","SCALING_FORMAT=MLN","FA_ADJUSTED=GAAP","Sort=A","Dates=H","DateFormat=P","Fill=—","Direction=H","UseDPDF=Y")</f>
        <v>-55.459000000000003</v>
      </c>
      <c r="S58" s="13">
        <f>_xll.BDH("ITCI US Equity","EBITDA","FQ4 2022","FQ4 2022","Currency=USD","Period=FQ","BEST_FPERIOD_OVERRIDE=FQ","FILING_STATUS=MR","SCALING_FORMAT=MLN","FA_ADJUSTED=GAAP","Sort=A","Dates=H","DateFormat=P","Fill=—","Direction=H","UseDPDF=Y")</f>
        <v>-40.064999999999998</v>
      </c>
      <c r="T58" s="13">
        <f>_xll.BDH("ITCI US Equity","EBITDA","FQ1 2023","FQ1 2023","Currency=USD","Period=FQ","BEST_FPERIOD_OVERRIDE=FQ","FILING_STATUS=MR","SCALING_FORMAT=MLN","FA_ADJUSTED=GAAP","Sort=A","Dates=H","DateFormat=P","Fill=—","Direction=H","UseDPDF=Y")</f>
        <v>-47.173000000000002</v>
      </c>
      <c r="U58" s="13">
        <f>_xll.BDH("ITCI US Equity","EBITDA","FQ2 2023","FQ2 2023","Currency=USD","Period=FQ","BEST_FPERIOD_OVERRIDE=FQ","FILING_STATUS=MR","SCALING_FORMAT=MLN","FA_ADJUSTED=GAAP","Sort=A","Dates=H","DateFormat=P","Fill=—","Direction=H","UseDPDF=Y")</f>
        <v>-47.055999999999997</v>
      </c>
      <c r="V58" s="13">
        <f>_xll.BDH("ITCI US Equity","EBITDA","FQ3 2023","FQ3 2023","Currency=USD","Period=FQ","BEST_FPERIOD_OVERRIDE=FQ","FILING_STATUS=MR","SCALING_FORMAT=MLN","FA_ADJUSTED=GAAP","Sort=A","Dates=H","DateFormat=P","Fill=—","Direction=H","UseDPDF=Y")</f>
        <v>-28.66</v>
      </c>
      <c r="W58" s="13">
        <f>_xll.BDH("ITCI US Equity","EBITDA","FQ4 2023","FQ4 2023","Currency=USD","Period=FQ","BEST_FPERIOD_OVERRIDE=FQ","FILING_STATUS=MR","SCALING_FORMAT=MLN","FA_ADJUSTED=GAAP","Sort=A","Dates=H","DateFormat=P","Fill=—","Direction=H","UseDPDF=Y")</f>
        <v>-26.276</v>
      </c>
      <c r="X58" s="13">
        <f>_xll.BDH("ITCI US Equity","EBITDA","FQ1 2024","FQ1 2024","Currency=USD","Period=FQ","BEST_FPERIOD_OVERRIDE=FQ","FILING_STATUS=MR","SCALING_FORMAT=MLN","FA_ADJUSTED=GAAP","Sort=A","Dates=H","DateFormat=P","Fill=—","Direction=H","UseDPDF=Y")</f>
        <v>-19.879000000000001</v>
      </c>
      <c r="Y58" s="13">
        <f>_xll.BDH("ITCI US Equity","EBITDA","FQ2 2024","FQ2 2024","Currency=USD","Period=FQ","BEST_FPERIOD_OVERRIDE=FQ","FILING_STATUS=MR","SCALING_FORMAT=MLN","FA_ADJUSTED=GAAP","Sort=A","Dates=H","DateFormat=P","Fill=—","Direction=H","UseDPDF=Y")</f>
        <v>-26.561</v>
      </c>
      <c r="Z58" s="13">
        <f>_xll.BDH("ITCI US Equity","EBITDA","FQ3 2024","FQ3 2024","Currency=USD","Period=FQ","BEST_FPERIOD_OVERRIDE=FQ","FILING_STATUS=MR","SCALING_FORMAT=MLN","FA_ADJUSTED=GAAP","Sort=A","Dates=H","DateFormat=P","Fill=—","Direction=H","UseDPDF=Y")</f>
        <v>-37.658000000000001</v>
      </c>
      <c r="AA58" s="13">
        <f>_xll.BDH("ITCI US Equity","EBITDA","FQ4 2024","FQ4 2024","Currency=USD","Period=FQ","BEST_FPERIOD_OVERRIDE=FQ","FILING_STATUS=MR","SCALING_FORMAT=MLN","FA_ADJUSTED=GAAP","Sort=A","Dates=H","DateFormat=P","Fill=—","Direction=H","UseDPDF=Y")</f>
        <v>-26.981999999999999</v>
      </c>
    </row>
    <row r="59" spans="1:27" x14ac:dyDescent="0.25">
      <c r="A59" s="10" t="s">
        <v>1013</v>
      </c>
      <c r="B59" s="10" t="s">
        <v>354</v>
      </c>
      <c r="C59" s="14" t="str">
        <f>_xll.BDH("ITCI US Equity","EBITDA_MARGIN","FQ4 2018","FQ4 2018","Currency=USD","Period=FQ","BEST_FPERIOD_OVERRIDE=FQ","FILING_STATUS=MR","FA_ADJUSTED=GAAP","Sort=A","Dates=H","DateFormat=P","Fill=—","Direction=H","UseDPDF=Y")</f>
        <v>—</v>
      </c>
      <c r="D59" s="14" t="str">
        <f>_xll.BDH("ITCI US Equity","EBITDA_MARGIN","FQ1 2019","FQ1 2019","Currency=USD","Period=FQ","BEST_FPERIOD_OVERRIDE=FQ","FILING_STATUS=MR","FA_ADJUSTED=GAAP","Sort=A","Dates=H","DateFormat=P","Fill=—","Direction=H","UseDPDF=Y")</f>
        <v>—</v>
      </c>
      <c r="E59" s="14" t="str">
        <f>_xll.BDH("ITCI US Equity","EBITDA_MARGIN","FQ2 2019","FQ2 2019","Currency=USD","Period=FQ","BEST_FPERIOD_OVERRIDE=FQ","FILING_STATUS=MR","FA_ADJUSTED=GAAP","Sort=A","Dates=H","DateFormat=P","Fill=—","Direction=H","UseDPDF=Y")</f>
        <v>—</v>
      </c>
      <c r="F59" s="14" t="str">
        <f>_xll.BDH("ITCI US Equity","EBITDA_MARGIN","FQ3 2019","FQ3 2019","Currency=USD","Period=FQ","BEST_FPERIOD_OVERRIDE=FQ","FILING_STATUS=MR","FA_ADJUSTED=GAAP","Sort=A","Dates=H","DateFormat=P","Fill=—","Direction=H","UseDPDF=Y")</f>
        <v>—</v>
      </c>
      <c r="G59" s="14">
        <f>_xll.BDH("ITCI US Equity","EBITDA_MARGIN","FQ4 2019","FQ4 2019","Currency=USD","Period=FQ","BEST_FPERIOD_OVERRIDE=FQ","FILING_STATUS=MR","FA_ADJUSTED=GAAP","Sort=A","Dates=H","DateFormat=P","Fill=—","Direction=H","UseDPDF=Y")</f>
        <v>-247687.34099999999</v>
      </c>
      <c r="H59" s="14">
        <f>_xll.BDH("ITCI US Equity","EBITDA_MARGIN","FQ1 2020","FQ1 2020","Currency=USD","Period=FQ","BEST_FPERIOD_OVERRIDE=FQ","FILING_STATUS=MR","FA_ADJUSTED=GAAP","Sort=A","Dates=H","DateFormat=P","Fill=—","Direction=H","UseDPDF=Y")</f>
        <v>-14202.088900000001</v>
      </c>
      <c r="I59" s="14">
        <f>_xll.BDH("ITCI US Equity","EBITDA_MARGIN","FQ2 2020","FQ2 2020","Currency=USD","Period=FQ","BEST_FPERIOD_OVERRIDE=FQ","FILING_STATUS=MR","FA_ADJUSTED=GAAP","Sort=A","Dates=H","DateFormat=P","Fill=—","Direction=H","UseDPDF=Y")</f>
        <v>-6172.7864</v>
      </c>
      <c r="J59" s="14">
        <f>_xll.BDH("ITCI US Equity","EBITDA_MARGIN","FQ3 2020","FQ3 2020","Currency=USD","Period=FQ","BEST_FPERIOD_OVERRIDE=FQ","FILING_STATUS=MR","FA_ADJUSTED=GAAP","Sort=A","Dates=H","DateFormat=P","Fill=—","Direction=H","UseDPDF=Y")</f>
        <v>-1995.3424</v>
      </c>
      <c r="K59" s="14">
        <f>_xll.BDH("ITCI US Equity","EBITDA_MARGIN","FQ4 2020","FQ4 2020","Currency=USD","Period=FQ","BEST_FPERIOD_OVERRIDE=FQ","FILING_STATUS=MR","FA_ADJUSTED=GAAP","Sort=A","Dates=H","DateFormat=P","Fill=—","Direction=H","UseDPDF=Y")</f>
        <v>-998.98590000000002</v>
      </c>
      <c r="L59" s="14">
        <f>_xll.BDH("ITCI US Equity","EBITDA_MARGIN","FQ1 2021","FQ1 2021","Currency=USD","Period=FQ","BEST_FPERIOD_OVERRIDE=FQ","FILING_STATUS=MR","FA_ADJUSTED=GAAP","Sort=A","Dates=H","DateFormat=P","Fill=—","Direction=H","UseDPDF=Y")</f>
        <v>-617.08270000000005</v>
      </c>
      <c r="M59" s="14">
        <f>_xll.BDH("ITCI US Equity","EBITDA_MARGIN","FQ2 2021","FQ2 2021","Currency=USD","Period=FQ","BEST_FPERIOD_OVERRIDE=FQ","FILING_STATUS=MR","FA_ADJUSTED=GAAP","Sort=A","Dates=H","DateFormat=P","Fill=—","Direction=H","UseDPDF=Y")</f>
        <v>-423.95760000000001</v>
      </c>
      <c r="N59" s="14">
        <f>_xll.BDH("ITCI US Equity","EBITDA_MARGIN","FQ3 2021","FQ3 2021","Currency=USD","Period=FQ","BEST_FPERIOD_OVERRIDE=FQ","FILING_STATUS=MR","FA_ADJUSTED=GAAP","Sort=A","Dates=H","DateFormat=P","Fill=—","Direction=H","UseDPDF=Y")</f>
        <v>-365.11489999999998</v>
      </c>
      <c r="O59" s="14">
        <f>_xll.BDH("ITCI US Equity","EBITDA_MARGIN","FQ4 2021","FQ4 2021","Currency=USD","Period=FQ","BEST_FPERIOD_OVERRIDE=FQ","FILING_STATUS=MR","FA_ADJUSTED=GAAP","Sort=A","Dates=H","DateFormat=P","Fill=—","Direction=H","UseDPDF=Y")</f>
        <v>-336.27179999999998</v>
      </c>
      <c r="P59" s="14">
        <f>_xll.BDH("ITCI US Equity","EBITDA_MARGIN","FQ1 2022","FQ1 2022","Currency=USD","Period=FQ","BEST_FPERIOD_OVERRIDE=FQ","FILING_STATUS=MR","FA_ADJUSTED=GAAP","Sort=A","Dates=H","DateFormat=P","Fill=—","Direction=H","UseDPDF=Y")</f>
        <v>-293.43490000000003</v>
      </c>
      <c r="Q59" s="14">
        <f>_xll.BDH("ITCI US Equity","EBITDA_MARGIN","FQ2 2022","FQ2 2022","Currency=USD","Period=FQ","BEST_FPERIOD_OVERRIDE=FQ","FILING_STATUS=MR","FA_ADJUSTED=GAAP","Sort=A","Dates=H","DateFormat=P","Fill=—","Direction=H","UseDPDF=Y")</f>
        <v>-232.238</v>
      </c>
      <c r="R59" s="14">
        <f>_xll.BDH("ITCI US Equity","EBITDA_MARGIN","FQ3 2022","FQ3 2022","Currency=USD","Period=FQ","BEST_FPERIOD_OVERRIDE=FQ","FILING_STATUS=MR","FA_ADJUSTED=GAAP","Sort=A","Dates=H","DateFormat=P","Fill=—","Direction=H","UseDPDF=Y")</f>
        <v>-159.80029999999999</v>
      </c>
      <c r="S59" s="14">
        <f>_xll.BDH("ITCI US Equity","EBITDA_MARGIN","FQ4 2022","FQ4 2022","Currency=USD","Period=FQ","BEST_FPERIOD_OVERRIDE=FQ","FILING_STATUS=MR","FA_ADJUSTED=GAAP","Sort=A","Dates=H","DateFormat=P","Fill=—","Direction=H","UseDPDF=Y")</f>
        <v>-102.1781</v>
      </c>
      <c r="T59" s="14">
        <f>_xll.BDH("ITCI US Equity","EBITDA_MARGIN","FQ1 2023","FQ1 2023","Currency=USD","Period=FQ","BEST_FPERIOD_OVERRIDE=FQ","FILING_STATUS=MR","FA_ADJUSTED=GAAP","Sort=A","Dates=H","DateFormat=P","Fill=—","Direction=H","UseDPDF=Y")</f>
        <v>-74.188699999999997</v>
      </c>
      <c r="U59" s="14">
        <f>_xll.BDH("ITCI US Equity","EBITDA_MARGIN","FQ2 2023","FQ2 2023","Currency=USD","Period=FQ","BEST_FPERIOD_OVERRIDE=FQ","FILING_STATUS=MR","FA_ADJUSTED=GAAP","Sort=A","Dates=H","DateFormat=P","Fill=—","Direction=H","UseDPDF=Y")</f>
        <v>-51.868200000000002</v>
      </c>
      <c r="V59" s="14">
        <f>_xll.BDH("ITCI US Equity","EBITDA_MARGIN","FQ3 2023","FQ3 2023","Currency=USD","Period=FQ","BEST_FPERIOD_OVERRIDE=FQ","FILING_STATUS=MR","FA_ADJUSTED=GAAP","Sort=A","Dates=H","DateFormat=P","Fill=—","Direction=H","UseDPDF=Y")</f>
        <v>-38.785600000000002</v>
      </c>
      <c r="W59" s="14">
        <f>_xll.BDH("ITCI US Equity","EBITDA_MARGIN","FQ4 2023","FQ4 2023","Currency=USD","Period=FQ","BEST_FPERIOD_OVERRIDE=FQ","FILING_STATUS=MR","FA_ADJUSTED=GAAP","Sort=A","Dates=H","DateFormat=P","Fill=—","Direction=H","UseDPDF=Y")</f>
        <v>-32.122</v>
      </c>
      <c r="X59" s="14">
        <f>_xll.BDH("ITCI US Equity","EBITDA_MARGIN","FQ1 2024","FQ1 2024","Currency=USD","Period=FQ","BEST_FPERIOD_OVERRIDE=FQ","FILING_STATUS=MR","FA_ADJUSTED=GAAP","Sort=A","Dates=H","DateFormat=P","Fill=—","Direction=H","UseDPDF=Y")</f>
        <v>-23.7135</v>
      </c>
      <c r="Y59" s="14">
        <f>_xll.BDH("ITCI US Equity","EBITDA_MARGIN","FQ2 2024","FQ2 2024","Currency=USD","Period=FQ","BEST_FPERIOD_OVERRIDE=FQ","FILING_STATUS=MR","FA_ADJUSTED=GAAP","Sort=A","Dates=H","DateFormat=P","Fill=—","Direction=H","UseDPDF=Y")</f>
        <v>-17.957699999999999</v>
      </c>
      <c r="Z59" s="14">
        <f>_xll.BDH("ITCI US Equity","EBITDA_MARGIN","FQ3 2024","FQ3 2024","Currency=USD","Period=FQ","BEST_FPERIOD_OVERRIDE=FQ","FILING_STATUS=MR","FA_ADJUSTED=GAAP","Sort=A","Dates=H","DateFormat=P","Fill=—","Direction=H","UseDPDF=Y")</f>
        <v>-17.984200000000001</v>
      </c>
      <c r="AA59" s="14">
        <f>_xll.BDH("ITCI US Equity","EBITDA_MARGIN","FQ4 2024","FQ4 2024","Currency=USD","Period=FQ","BEST_FPERIOD_OVERRIDE=FQ","FILING_STATUS=MR","FA_ADJUSTED=GAAP","Sort=A","Dates=H","DateFormat=P","Fill=—","Direction=H","UseDPDF=Y")</f>
        <v>-16.314900000000002</v>
      </c>
    </row>
    <row r="60" spans="1:27" x14ac:dyDescent="0.25">
      <c r="A60" s="10" t="s">
        <v>1014</v>
      </c>
      <c r="B60" s="10" t="s">
        <v>1015</v>
      </c>
      <c r="C60" s="13" t="str">
        <f>_xll.BDH("ITCI US Equity","CF_NET_CASH_PAID_FOR_AQUIS","FQ4 2018","FQ4 2018","Currency=USD","Period=FQ","BEST_FPERIOD_OVERRIDE=FQ","FILING_STATUS=MR","SCALING_FORMAT=MLN","Sort=A","Dates=H","DateFormat=P","Fill=—","Direction=H","UseDPDF=Y")</f>
        <v>—</v>
      </c>
      <c r="D60" s="13">
        <f>_xll.BDH("ITCI US Equity","CF_NET_CASH_PAID_FOR_AQUIS","FQ1 2019","FQ1 2019","Currency=USD","Period=FQ","BEST_FPERIOD_OVERRIDE=FQ","FILING_STATUS=MR","SCALING_FORMAT=MLN","Sort=A","Dates=H","DateFormat=P","Fill=—","Direction=H","UseDPDF=Y")</f>
        <v>0</v>
      </c>
      <c r="E60" s="13">
        <f>_xll.BDH("ITCI US Equity","CF_NET_CASH_PAID_FOR_AQUIS","FQ2 2019","FQ2 2019","Currency=USD","Period=FQ","BEST_FPERIOD_OVERRIDE=FQ","FILING_STATUS=MR","SCALING_FORMAT=MLN","Sort=A","Dates=H","DateFormat=P","Fill=—","Direction=H","UseDPDF=Y")</f>
        <v>0</v>
      </c>
      <c r="F60" s="13" t="str">
        <f>_xll.BDH("ITCI US Equity","CF_NET_CASH_PAID_FOR_AQUIS","FQ3 2019","FQ3 2019","Currency=USD","Period=FQ","BEST_FPERIOD_OVERRIDE=FQ","FILING_STATUS=MR","SCALING_FORMAT=MLN","Sort=A","Dates=H","DateFormat=P","Fill=—","Direction=H","UseDPDF=Y")</f>
        <v>—</v>
      </c>
      <c r="G60" s="13" t="str">
        <f>_xll.BDH("ITCI US Equity","CF_NET_CASH_PAID_FOR_AQUIS","FQ4 2019","FQ4 2019","Currency=USD","Period=FQ","BEST_FPERIOD_OVERRIDE=FQ","FILING_STATUS=MR","SCALING_FORMAT=MLN","Sort=A","Dates=H","DateFormat=P","Fill=—","Direction=H","UseDPDF=Y")</f>
        <v>—</v>
      </c>
      <c r="H60" s="13" t="str">
        <f>_xll.BDH("ITCI US Equity","CF_NET_CASH_PAID_FOR_AQUIS","FQ1 2020","FQ1 2020","Currency=USD","Period=FQ","BEST_FPERIOD_OVERRIDE=FQ","FILING_STATUS=MR","SCALING_FORMAT=MLN","Sort=A","Dates=H","DateFormat=P","Fill=—","Direction=H","UseDPDF=Y")</f>
        <v>—</v>
      </c>
      <c r="I60" s="13" t="str">
        <f>_xll.BDH("ITCI US Equity","CF_NET_CASH_PAID_FOR_AQUIS","FQ2 2020","FQ2 2020","Currency=USD","Period=FQ","BEST_FPERIOD_OVERRIDE=FQ","FILING_STATUS=MR","SCALING_FORMAT=MLN","Sort=A","Dates=H","DateFormat=P","Fill=—","Direction=H","UseDPDF=Y")</f>
        <v>—</v>
      </c>
      <c r="J60" s="13" t="str">
        <f>_xll.BDH("ITCI US Equity","CF_NET_CASH_PAID_FOR_AQUIS","FQ3 2020","FQ3 2020","Currency=USD","Period=FQ","BEST_FPERIOD_OVERRIDE=FQ","FILING_STATUS=MR","SCALING_FORMAT=MLN","Sort=A","Dates=H","DateFormat=P","Fill=—","Direction=H","UseDPDF=Y")</f>
        <v>—</v>
      </c>
      <c r="K60" s="13" t="str">
        <f>_xll.BDH("ITCI US Equity","CF_NET_CASH_PAID_FOR_AQUIS","FQ4 2020","FQ4 2020","Currency=USD","Period=FQ","BEST_FPERIOD_OVERRIDE=FQ","FILING_STATUS=MR","SCALING_FORMAT=MLN","Sort=A","Dates=H","DateFormat=P","Fill=—","Direction=H","UseDPDF=Y")</f>
        <v>—</v>
      </c>
      <c r="L60" s="13" t="str">
        <f>_xll.BDH("ITCI US Equity","CF_NET_CASH_PAID_FOR_AQUIS","FQ1 2021","FQ1 2021","Currency=USD","Period=FQ","BEST_FPERIOD_OVERRIDE=FQ","FILING_STATUS=MR","SCALING_FORMAT=MLN","Sort=A","Dates=H","DateFormat=P","Fill=—","Direction=H","UseDPDF=Y")</f>
        <v>—</v>
      </c>
      <c r="M60" s="13" t="str">
        <f>_xll.BDH("ITCI US Equity","CF_NET_CASH_PAID_FOR_AQUIS","FQ2 2021","FQ2 2021","Currency=USD","Period=FQ","BEST_FPERIOD_OVERRIDE=FQ","FILING_STATUS=MR","SCALING_FORMAT=MLN","Sort=A","Dates=H","DateFormat=P","Fill=—","Direction=H","UseDPDF=Y")</f>
        <v>—</v>
      </c>
      <c r="N60" s="13" t="str">
        <f>_xll.BDH("ITCI US Equity","CF_NET_CASH_PAID_FOR_AQUIS","FQ3 2021","FQ3 2021","Currency=USD","Period=FQ","BEST_FPERIOD_OVERRIDE=FQ","FILING_STATUS=MR","SCALING_FORMAT=MLN","Sort=A","Dates=H","DateFormat=P","Fill=—","Direction=H","UseDPDF=Y")</f>
        <v>—</v>
      </c>
      <c r="O60" s="13" t="str">
        <f>_xll.BDH("ITCI US Equity","CF_NET_CASH_PAID_FOR_AQUIS","FQ4 2021","FQ4 2021","Currency=USD","Period=FQ","BEST_FPERIOD_OVERRIDE=FQ","FILING_STATUS=MR","SCALING_FORMAT=MLN","Sort=A","Dates=H","DateFormat=P","Fill=—","Direction=H","UseDPDF=Y")</f>
        <v>—</v>
      </c>
      <c r="P60" s="13" t="str">
        <f>_xll.BDH("ITCI US Equity","CF_NET_CASH_PAID_FOR_AQUIS","FQ1 2022","FQ1 2022","Currency=USD","Period=FQ","BEST_FPERIOD_OVERRIDE=FQ","FILING_STATUS=MR","SCALING_FORMAT=MLN","Sort=A","Dates=H","DateFormat=P","Fill=—","Direction=H","UseDPDF=Y")</f>
        <v>—</v>
      </c>
      <c r="Q60" s="13">
        <f>_xll.BDH("ITCI US Equity","CF_NET_CASH_PAID_FOR_AQUIS","FQ2 2022","FQ2 2022","Currency=USD","Period=FQ","BEST_FPERIOD_OVERRIDE=FQ","FILING_STATUS=MR","SCALING_FORMAT=MLN","Sort=A","Dates=H","DateFormat=P","Fill=—","Direction=H","UseDPDF=Y")</f>
        <v>0</v>
      </c>
      <c r="R60" s="13">
        <f>_xll.BDH("ITCI US Equity","CF_NET_CASH_PAID_FOR_AQUIS","FQ3 2022","FQ3 2022","Currency=USD","Period=FQ","BEST_FPERIOD_OVERRIDE=FQ","FILING_STATUS=MR","SCALING_FORMAT=MLN","Sort=A","Dates=H","DateFormat=P","Fill=—","Direction=H","UseDPDF=Y")</f>
        <v>0</v>
      </c>
      <c r="S60" s="13" t="str">
        <f>_xll.BDH("ITCI US Equity","CF_NET_CASH_PAID_FOR_AQUIS","FQ4 2022","FQ4 2022","Currency=USD","Period=FQ","BEST_FPERIOD_OVERRIDE=FQ","FILING_STATUS=MR","SCALING_FORMAT=MLN","Sort=A","Dates=H","DateFormat=P","Fill=—","Direction=H","UseDPDF=Y")</f>
        <v>—</v>
      </c>
      <c r="T60" s="13" t="str">
        <f>_xll.BDH("ITCI US Equity","CF_NET_CASH_PAID_FOR_AQUIS","FQ1 2023","FQ1 2023","Currency=USD","Period=FQ","BEST_FPERIOD_OVERRIDE=FQ","FILING_STATUS=MR","SCALING_FORMAT=MLN","Sort=A","Dates=H","DateFormat=P","Fill=—","Direction=H","UseDPDF=Y")</f>
        <v>—</v>
      </c>
      <c r="U60" s="13" t="str">
        <f>_xll.BDH("ITCI US Equity","CF_NET_CASH_PAID_FOR_AQUIS","FQ2 2023","FQ2 2023","Currency=USD","Period=FQ","BEST_FPERIOD_OVERRIDE=FQ","FILING_STATUS=MR","SCALING_FORMAT=MLN","Sort=A","Dates=H","DateFormat=P","Fill=—","Direction=H","UseDPDF=Y")</f>
        <v>—</v>
      </c>
      <c r="V60" s="13" t="str">
        <f>_xll.BDH("ITCI US Equity","CF_NET_CASH_PAID_FOR_AQUIS","FQ3 2023","FQ3 2023","Currency=USD","Period=FQ","BEST_FPERIOD_OVERRIDE=FQ","FILING_STATUS=MR","SCALING_FORMAT=MLN","Sort=A","Dates=H","DateFormat=P","Fill=—","Direction=H","UseDPDF=Y")</f>
        <v>—</v>
      </c>
      <c r="W60" s="13" t="str">
        <f>_xll.BDH("ITCI US Equity","CF_NET_CASH_PAID_FOR_AQUIS","FQ4 2023","FQ4 2023","Currency=USD","Period=FQ","BEST_FPERIOD_OVERRIDE=FQ","FILING_STATUS=MR","SCALING_FORMAT=MLN","Sort=A","Dates=H","DateFormat=P","Fill=—","Direction=H","UseDPDF=Y")</f>
        <v>—</v>
      </c>
      <c r="X60" s="13" t="str">
        <f>_xll.BDH("ITCI US Equity","CF_NET_CASH_PAID_FOR_AQUIS","FQ1 2024","FQ1 2024","Currency=USD","Period=FQ","BEST_FPERIOD_OVERRIDE=FQ","FILING_STATUS=MR","SCALING_FORMAT=MLN","Sort=A","Dates=H","DateFormat=P","Fill=—","Direction=H","UseDPDF=Y")</f>
        <v>—</v>
      </c>
      <c r="Y60" s="13" t="str">
        <f>_xll.BDH("ITCI US Equity","CF_NET_CASH_PAID_FOR_AQUIS","FQ2 2024","FQ2 2024","Currency=USD","Period=FQ","BEST_FPERIOD_OVERRIDE=FQ","FILING_STATUS=MR","SCALING_FORMAT=MLN","Sort=A","Dates=H","DateFormat=P","Fill=—","Direction=H","UseDPDF=Y")</f>
        <v>—</v>
      </c>
      <c r="Z60" s="13" t="str">
        <f>_xll.BDH("ITCI US Equity","CF_NET_CASH_PAID_FOR_AQUIS","FQ3 2024","FQ3 2024","Currency=USD","Period=FQ","BEST_FPERIOD_OVERRIDE=FQ","FILING_STATUS=MR","SCALING_FORMAT=MLN","Sort=A","Dates=H","DateFormat=P","Fill=—","Direction=H","UseDPDF=Y")</f>
        <v>—</v>
      </c>
      <c r="AA60" s="13" t="str">
        <f>_xll.BDH("ITCI US Equity","CF_NET_CASH_PAID_FOR_AQUIS","FQ4 2024","FQ4 2024","Currency=USD","Period=FQ","BEST_FPERIOD_OVERRIDE=FQ","FILING_STATUS=MR","SCALING_FORMAT=MLN","Sort=A","Dates=H","DateFormat=P","Fill=—","Direction=H","UseDPDF=Y")</f>
        <v>—</v>
      </c>
    </row>
    <row r="61" spans="1:27" x14ac:dyDescent="0.25">
      <c r="A61" s="10" t="s">
        <v>88</v>
      </c>
      <c r="B61" s="10" t="s">
        <v>89</v>
      </c>
      <c r="C61" s="13">
        <f>_xll.BDH("ITCI US Equity","CF_FREE_CASH_FLOW","FQ4 2018","FQ4 2018","Currency=USD","Period=FQ","BEST_FPERIOD_OVERRIDE=FQ","FILING_STATUS=MR","SCALING_FORMAT=MLN","Sort=A","Dates=H","DateFormat=P","Fill=—","Direction=H","UseDPDF=Y")</f>
        <v>-29.220300000000002</v>
      </c>
      <c r="D61" s="13">
        <f>_xll.BDH("ITCI US Equity","CF_FREE_CASH_FLOW","FQ1 2019","FQ1 2019","Currency=USD","Period=FQ","BEST_FPERIOD_OVERRIDE=FQ","FILING_STATUS=MR","SCALING_FORMAT=MLN","Sort=A","Dates=H","DateFormat=P","Fill=—","Direction=H","UseDPDF=Y")</f>
        <v>-35.6965</v>
      </c>
      <c r="E61" s="13">
        <f>_xll.BDH("ITCI US Equity","CF_FREE_CASH_FLOW","FQ2 2019","FQ2 2019","Currency=USD","Period=FQ","BEST_FPERIOD_OVERRIDE=FQ","FILING_STATUS=MR","SCALING_FORMAT=MLN","Sort=A","Dates=H","DateFormat=P","Fill=—","Direction=H","UseDPDF=Y")</f>
        <v>-28.371099999999998</v>
      </c>
      <c r="F61" s="13">
        <f>_xll.BDH("ITCI US Equity","CF_FREE_CASH_FLOW","FQ3 2019","FQ3 2019","Currency=USD","Period=FQ","BEST_FPERIOD_OVERRIDE=FQ","FILING_STATUS=MR","SCALING_FORMAT=MLN","Sort=A","Dates=H","DateFormat=P","Fill=—","Direction=H","UseDPDF=Y")</f>
        <v>-30.2104</v>
      </c>
      <c r="G61" s="13" t="str">
        <f>_xll.BDH("ITCI US Equity","CF_FREE_CASH_FLOW","FQ4 2019","FQ4 2019","Currency=USD","Period=FQ","BEST_FPERIOD_OVERRIDE=FQ","FILING_STATUS=MR","SCALING_FORMAT=MLN","Sort=A","Dates=H","DateFormat=P","Fill=—","Direction=H","UseDPDF=Y")</f>
        <v>—</v>
      </c>
      <c r="H61" s="13">
        <f>_xll.BDH("ITCI US Equity","CF_FREE_CASH_FLOW","FQ1 2020","FQ1 2020","Currency=USD","Period=FQ","BEST_FPERIOD_OVERRIDE=FQ","FILING_STATUS=MR","SCALING_FORMAT=MLN","Sort=A","Dates=H","DateFormat=P","Fill=—","Direction=H","UseDPDF=Y")</f>
        <v>-51.2483</v>
      </c>
      <c r="I61" s="13">
        <f>_xll.BDH("ITCI US Equity","CF_FREE_CASH_FLOW","FQ2 2020","FQ2 2020","Currency=USD","Period=FQ","BEST_FPERIOD_OVERRIDE=FQ","FILING_STATUS=MR","SCALING_FORMAT=MLN","Sort=A","Dates=H","DateFormat=P","Fill=—","Direction=H","UseDPDF=Y")</f>
        <v>-47.024799999999999</v>
      </c>
      <c r="J61" s="13">
        <f>_xll.BDH("ITCI US Equity","CF_FREE_CASH_FLOW","FQ3 2020","FQ3 2020","Currency=USD","Period=FQ","BEST_FPERIOD_OVERRIDE=FQ","FILING_STATUS=MR","SCALING_FORMAT=MLN","Sort=A","Dates=H","DateFormat=P","Fill=—","Direction=H","UseDPDF=Y")</f>
        <v>-63.749000000000002</v>
      </c>
      <c r="K61" s="13">
        <f>_xll.BDH("ITCI US Equity","CF_FREE_CASH_FLOW","FQ4 2020","FQ4 2020","Currency=USD","Period=FQ","BEST_FPERIOD_OVERRIDE=FQ","FILING_STATUS=MR","SCALING_FORMAT=MLN","Sort=A","Dates=H","DateFormat=P","Fill=—","Direction=H","UseDPDF=Y")</f>
        <v>-68.317499999999995</v>
      </c>
      <c r="L61" s="13">
        <f>_xll.BDH("ITCI US Equity","CF_FREE_CASH_FLOW","FQ1 2021","FQ1 2021","Currency=USD","Period=FQ","BEST_FPERIOD_OVERRIDE=FQ","FILING_STATUS=MR","SCALING_FORMAT=MLN","Sort=A","Dates=H","DateFormat=P","Fill=—","Direction=H","UseDPDF=Y")</f>
        <v>-47.767000000000003</v>
      </c>
      <c r="M61" s="13">
        <f>_xll.BDH("ITCI US Equity","CF_FREE_CASH_FLOW","FQ2 2021","FQ2 2021","Currency=USD","Period=FQ","BEST_FPERIOD_OVERRIDE=FQ","FILING_STATUS=MR","SCALING_FORMAT=MLN","Sort=A","Dates=H","DateFormat=P","Fill=—","Direction=H","UseDPDF=Y")</f>
        <v>-59.340499999999999</v>
      </c>
      <c r="N61" s="13">
        <f>_xll.BDH("ITCI US Equity","CF_FREE_CASH_FLOW","FQ3 2021","FQ3 2021","Currency=USD","Period=FQ","BEST_FPERIOD_OVERRIDE=FQ","FILING_STATUS=MR","SCALING_FORMAT=MLN","Sort=A","Dates=H","DateFormat=P","Fill=—","Direction=H","UseDPDF=Y")</f>
        <v>-79.575999999999993</v>
      </c>
      <c r="O61" s="13">
        <f>_xll.BDH("ITCI US Equity","CF_FREE_CASH_FLOW","FQ4 2021","FQ4 2021","Currency=USD","Period=FQ","BEST_FPERIOD_OVERRIDE=FQ","FILING_STATUS=MR","SCALING_FORMAT=MLN","Sort=A","Dates=H","DateFormat=P","Fill=—","Direction=H","UseDPDF=Y")</f>
        <v>-73.1858</v>
      </c>
      <c r="P61" s="13">
        <f>_xll.BDH("ITCI US Equity","CF_FREE_CASH_FLOW","FQ1 2022","FQ1 2022","Currency=USD","Period=FQ","BEST_FPERIOD_OVERRIDE=FQ","FILING_STATUS=MR","SCALING_FORMAT=MLN","Sort=A","Dates=H","DateFormat=P","Fill=—","Direction=H","UseDPDF=Y")</f>
        <v>-83.415000000000006</v>
      </c>
      <c r="Q61" s="13">
        <f>_xll.BDH("ITCI US Equity","CF_FREE_CASH_FLOW","FQ2 2022","FQ2 2022","Currency=USD","Period=FQ","BEST_FPERIOD_OVERRIDE=FQ","FILING_STATUS=MR","SCALING_FORMAT=MLN","Sort=A","Dates=H","DateFormat=P","Fill=—","Direction=H","UseDPDF=Y")</f>
        <v>-94.915999999999997</v>
      </c>
      <c r="R61" s="13">
        <f>_xll.BDH("ITCI US Equity","CF_FREE_CASH_FLOW","FQ3 2022","FQ3 2022","Currency=USD","Period=FQ","BEST_FPERIOD_OVERRIDE=FQ","FILING_STATUS=MR","SCALING_FORMAT=MLN","Sort=A","Dates=H","DateFormat=P","Fill=—","Direction=H","UseDPDF=Y")</f>
        <v>-53.468000000000004</v>
      </c>
      <c r="S61" s="13">
        <f>_xll.BDH("ITCI US Equity","CF_FREE_CASH_FLOW","FQ4 2022","FQ4 2022","Currency=USD","Period=FQ","BEST_FPERIOD_OVERRIDE=FQ","FILING_STATUS=MR","SCALING_FORMAT=MLN","Sort=A","Dates=H","DateFormat=P","Fill=—","Direction=H","UseDPDF=Y")</f>
        <v>-39.192999999999998</v>
      </c>
      <c r="T61" s="13">
        <f>_xll.BDH("ITCI US Equity","CF_FREE_CASH_FLOW","FQ1 2023","FQ1 2023","Currency=USD","Period=FQ","BEST_FPERIOD_OVERRIDE=FQ","FILING_STATUS=MR","SCALING_FORMAT=MLN","Sort=A","Dates=H","DateFormat=P","Fill=—","Direction=H","UseDPDF=Y")</f>
        <v>-60.066000000000003</v>
      </c>
      <c r="U61" s="13">
        <f>_xll.BDH("ITCI US Equity","CF_FREE_CASH_FLOW","FQ2 2023","FQ2 2023","Currency=USD","Period=FQ","BEST_FPERIOD_OVERRIDE=FQ","FILING_STATUS=MR","SCALING_FORMAT=MLN","Sort=A","Dates=H","DateFormat=P","Fill=—","Direction=H","UseDPDF=Y")</f>
        <v>-36.802</v>
      </c>
      <c r="V61" s="13">
        <f>_xll.BDH("ITCI US Equity","CF_FREE_CASH_FLOW","FQ3 2023","FQ3 2023","Currency=USD","Period=FQ","BEST_FPERIOD_OVERRIDE=FQ","FILING_STATUS=MR","SCALING_FORMAT=MLN","Sort=A","Dates=H","DateFormat=P","Fill=—","Direction=H","UseDPDF=Y")</f>
        <v>-25.538</v>
      </c>
      <c r="W61" s="13">
        <f>_xll.BDH("ITCI US Equity","CF_FREE_CASH_FLOW","FQ4 2023","FQ4 2023","Currency=USD","Period=FQ","BEST_FPERIOD_OVERRIDE=FQ","FILING_STATUS=MR","SCALING_FORMAT=MLN","Sort=A","Dates=H","DateFormat=P","Fill=—","Direction=H","UseDPDF=Y")</f>
        <v>-2.0619999999999998</v>
      </c>
      <c r="X61" s="13">
        <f>_xll.BDH("ITCI US Equity","CF_FREE_CASH_FLOW","FQ1 2024","FQ1 2024","Currency=USD","Period=FQ","BEST_FPERIOD_OVERRIDE=FQ","FILING_STATUS=MR","SCALING_FORMAT=MLN","Sort=A","Dates=H","DateFormat=P","Fill=—","Direction=H","UseDPDF=Y")</f>
        <v>-34.116</v>
      </c>
      <c r="Y61" s="13">
        <f>_xll.BDH("ITCI US Equity","CF_FREE_CASH_FLOW","FQ2 2024","FQ2 2024","Currency=USD","Period=FQ","BEST_FPERIOD_OVERRIDE=FQ","FILING_STATUS=MR","SCALING_FORMAT=MLN","Sort=A","Dates=H","DateFormat=P","Fill=—","Direction=H","UseDPDF=Y")</f>
        <v>0.48899999999999999</v>
      </c>
      <c r="Z61" s="13">
        <f>_xll.BDH("ITCI US Equity","CF_FREE_CASH_FLOW","FQ3 2024","FQ3 2024","Currency=USD","Period=FQ","BEST_FPERIOD_OVERRIDE=FQ","FILING_STATUS=MR","SCALING_FORMAT=MLN","Sort=A","Dates=H","DateFormat=P","Fill=—","Direction=H","UseDPDF=Y")</f>
        <v>-27.221</v>
      </c>
      <c r="AA61" s="13" t="str">
        <f>_xll.BDH("ITCI US Equity","CF_FREE_CASH_FLOW","FQ4 2024","FQ4 2024","Currency=USD","Period=FQ","BEST_FPERIOD_OVERRIDE=FQ","FILING_STATUS=MR","SCALING_FORMAT=MLN","Sort=A","Dates=H","DateFormat=P","Fill=—","Direction=H","UseDPDF=Y")</f>
        <v>—</v>
      </c>
    </row>
    <row r="62" spans="1:27" x14ac:dyDescent="0.25">
      <c r="A62" s="10" t="s">
        <v>1016</v>
      </c>
      <c r="B62" s="10" t="s">
        <v>1017</v>
      </c>
      <c r="C62" s="13">
        <f>_xll.BDH("ITCI US Equity","FREE_CASH_FLOW_EQUITY","FQ4 2018","FQ4 2018","Currency=USD","Period=FQ","BEST_FPERIOD_OVERRIDE=FQ","FILING_STATUS=MR","SCALING_FORMAT=MLN","Sort=A","Dates=H","DateFormat=P","Fill=—","Direction=H","UseDPDF=Y")</f>
        <v>-29.220300000000002</v>
      </c>
      <c r="D62" s="13">
        <f>_xll.BDH("ITCI US Equity","FREE_CASH_FLOW_EQUITY","FQ1 2019","FQ1 2019","Currency=USD","Period=FQ","BEST_FPERIOD_OVERRIDE=FQ","FILING_STATUS=MR","SCALING_FORMAT=MLN","Sort=A","Dates=H","DateFormat=P","Fill=—","Direction=H","UseDPDF=Y")</f>
        <v>-35.6965</v>
      </c>
      <c r="E62" s="13">
        <f>_xll.BDH("ITCI US Equity","FREE_CASH_FLOW_EQUITY","FQ2 2019","FQ2 2019","Currency=USD","Period=FQ","BEST_FPERIOD_OVERRIDE=FQ","FILING_STATUS=MR","SCALING_FORMAT=MLN","Sort=A","Dates=H","DateFormat=P","Fill=—","Direction=H","UseDPDF=Y")</f>
        <v>-28.371099999999998</v>
      </c>
      <c r="F62" s="13">
        <f>_xll.BDH("ITCI US Equity","FREE_CASH_FLOW_EQUITY","FQ3 2019","FQ3 2019","Currency=USD","Period=FQ","BEST_FPERIOD_OVERRIDE=FQ","FILING_STATUS=MR","SCALING_FORMAT=MLN","Sort=A","Dates=H","DateFormat=P","Fill=—","Direction=H","UseDPDF=Y")</f>
        <v>-30.2104</v>
      </c>
      <c r="G62" s="13" t="str">
        <f>_xll.BDH("ITCI US Equity","FREE_CASH_FLOW_EQUITY","FQ4 2019","FQ4 2019","Currency=USD","Period=FQ","BEST_FPERIOD_OVERRIDE=FQ","FILING_STATUS=MR","SCALING_FORMAT=MLN","Sort=A","Dates=H","DateFormat=P","Fill=—","Direction=H","UseDPDF=Y")</f>
        <v>—</v>
      </c>
      <c r="H62" s="13">
        <f>_xll.BDH("ITCI US Equity","FREE_CASH_FLOW_EQUITY","FQ1 2020","FQ1 2020","Currency=USD","Period=FQ","BEST_FPERIOD_OVERRIDE=FQ","FILING_STATUS=MR","SCALING_FORMAT=MLN","Sort=A","Dates=H","DateFormat=P","Fill=—","Direction=H","UseDPDF=Y")</f>
        <v>-51.2483</v>
      </c>
      <c r="I62" s="13">
        <f>_xll.BDH("ITCI US Equity","FREE_CASH_FLOW_EQUITY","FQ2 2020","FQ2 2020","Currency=USD","Period=FQ","BEST_FPERIOD_OVERRIDE=FQ","FILING_STATUS=MR","SCALING_FORMAT=MLN","Sort=A","Dates=H","DateFormat=P","Fill=—","Direction=H","UseDPDF=Y")</f>
        <v>-47.024799999999999</v>
      </c>
      <c r="J62" s="13">
        <f>_xll.BDH("ITCI US Equity","FREE_CASH_FLOW_EQUITY","FQ3 2020","FQ3 2020","Currency=USD","Period=FQ","BEST_FPERIOD_OVERRIDE=FQ","FILING_STATUS=MR","SCALING_FORMAT=MLN","Sort=A","Dates=H","DateFormat=P","Fill=—","Direction=H","UseDPDF=Y")</f>
        <v>-63.749000000000002</v>
      </c>
      <c r="K62" s="13">
        <f>_xll.BDH("ITCI US Equity","FREE_CASH_FLOW_EQUITY","FQ4 2020","FQ4 2020","Currency=USD","Period=FQ","BEST_FPERIOD_OVERRIDE=FQ","FILING_STATUS=MR","SCALING_FORMAT=MLN","Sort=A","Dates=H","DateFormat=P","Fill=—","Direction=H","UseDPDF=Y")</f>
        <v>-68.317499999999995</v>
      </c>
      <c r="L62" s="13">
        <f>_xll.BDH("ITCI US Equity","FREE_CASH_FLOW_EQUITY","FQ1 2021","FQ1 2021","Currency=USD","Period=FQ","BEST_FPERIOD_OVERRIDE=FQ","FILING_STATUS=MR","SCALING_FORMAT=MLN","Sort=A","Dates=H","DateFormat=P","Fill=—","Direction=H","UseDPDF=Y")</f>
        <v>-47.767000000000003</v>
      </c>
      <c r="M62" s="13">
        <f>_xll.BDH("ITCI US Equity","FREE_CASH_FLOW_EQUITY","FQ2 2021","FQ2 2021","Currency=USD","Period=FQ","BEST_FPERIOD_OVERRIDE=FQ","FILING_STATUS=MR","SCALING_FORMAT=MLN","Sort=A","Dates=H","DateFormat=P","Fill=—","Direction=H","UseDPDF=Y")</f>
        <v>-59.340499999999999</v>
      </c>
      <c r="N62" s="13">
        <f>_xll.BDH("ITCI US Equity","FREE_CASH_FLOW_EQUITY","FQ3 2021","FQ3 2021","Currency=USD","Period=FQ","BEST_FPERIOD_OVERRIDE=FQ","FILING_STATUS=MR","SCALING_FORMAT=MLN","Sort=A","Dates=H","DateFormat=P","Fill=—","Direction=H","UseDPDF=Y")</f>
        <v>-79.575999999999993</v>
      </c>
      <c r="O62" s="13">
        <f>_xll.BDH("ITCI US Equity","FREE_CASH_FLOW_EQUITY","FQ4 2021","FQ4 2021","Currency=USD","Period=FQ","BEST_FPERIOD_OVERRIDE=FQ","FILING_STATUS=MR","SCALING_FORMAT=MLN","Sort=A","Dates=H","DateFormat=P","Fill=—","Direction=H","UseDPDF=Y")</f>
        <v>-73.1858</v>
      </c>
      <c r="P62" s="13">
        <f>_xll.BDH("ITCI US Equity","FREE_CASH_FLOW_EQUITY","FQ1 2022","FQ1 2022","Currency=USD","Period=FQ","BEST_FPERIOD_OVERRIDE=FQ","FILING_STATUS=MR","SCALING_FORMAT=MLN","Sort=A","Dates=H","DateFormat=P","Fill=—","Direction=H","UseDPDF=Y")</f>
        <v>-83.415000000000006</v>
      </c>
      <c r="Q62" s="13">
        <f>_xll.BDH("ITCI US Equity","FREE_CASH_FLOW_EQUITY","FQ2 2022","FQ2 2022","Currency=USD","Period=FQ","BEST_FPERIOD_OVERRIDE=FQ","FILING_STATUS=MR","SCALING_FORMAT=MLN","Sort=A","Dates=H","DateFormat=P","Fill=—","Direction=H","UseDPDF=Y")</f>
        <v>-94.915999999999997</v>
      </c>
      <c r="R62" s="13">
        <f>_xll.BDH("ITCI US Equity","FREE_CASH_FLOW_EQUITY","FQ3 2022","FQ3 2022","Currency=USD","Period=FQ","BEST_FPERIOD_OVERRIDE=FQ","FILING_STATUS=MR","SCALING_FORMAT=MLN","Sort=A","Dates=H","DateFormat=P","Fill=—","Direction=H","UseDPDF=Y")</f>
        <v>-53.468000000000004</v>
      </c>
      <c r="S62" s="13">
        <f>_xll.BDH("ITCI US Equity","FREE_CASH_FLOW_EQUITY","FQ4 2022","FQ4 2022","Currency=USD","Period=FQ","BEST_FPERIOD_OVERRIDE=FQ","FILING_STATUS=MR","SCALING_FORMAT=MLN","Sort=A","Dates=H","DateFormat=P","Fill=—","Direction=H","UseDPDF=Y")</f>
        <v>-39.164999999999999</v>
      </c>
      <c r="T62" s="13">
        <f>_xll.BDH("ITCI US Equity","FREE_CASH_FLOW_EQUITY","FQ1 2023","FQ1 2023","Currency=USD","Period=FQ","BEST_FPERIOD_OVERRIDE=FQ","FILING_STATUS=MR","SCALING_FORMAT=MLN","Sort=A","Dates=H","DateFormat=P","Fill=—","Direction=H","UseDPDF=Y")</f>
        <v>-60.066000000000003</v>
      </c>
      <c r="U62" s="13">
        <f>_xll.BDH("ITCI US Equity","FREE_CASH_FLOW_EQUITY","FQ2 2023","FQ2 2023","Currency=USD","Period=FQ","BEST_FPERIOD_OVERRIDE=FQ","FILING_STATUS=MR","SCALING_FORMAT=MLN","Sort=A","Dates=H","DateFormat=P","Fill=—","Direction=H","UseDPDF=Y")</f>
        <v>-36.802</v>
      </c>
      <c r="V62" s="13">
        <f>_xll.BDH("ITCI US Equity","FREE_CASH_FLOW_EQUITY","FQ3 2023","FQ3 2023","Currency=USD","Period=FQ","BEST_FPERIOD_OVERRIDE=FQ","FILING_STATUS=MR","SCALING_FORMAT=MLN","Sort=A","Dates=H","DateFormat=P","Fill=—","Direction=H","UseDPDF=Y")</f>
        <v>-25.538</v>
      </c>
      <c r="W62" s="13">
        <f>_xll.BDH("ITCI US Equity","FREE_CASH_FLOW_EQUITY","FQ4 2023","FQ4 2023","Currency=USD","Period=FQ","BEST_FPERIOD_OVERRIDE=FQ","FILING_STATUS=MR","SCALING_FORMAT=MLN","Sort=A","Dates=H","DateFormat=P","Fill=—","Direction=H","UseDPDF=Y")</f>
        <v>-2.0619999999999998</v>
      </c>
      <c r="X62" s="13">
        <f>_xll.BDH("ITCI US Equity","FREE_CASH_FLOW_EQUITY","FQ1 2024","FQ1 2024","Currency=USD","Period=FQ","BEST_FPERIOD_OVERRIDE=FQ","FILING_STATUS=MR","SCALING_FORMAT=MLN","Sort=A","Dates=H","DateFormat=P","Fill=—","Direction=H","UseDPDF=Y")</f>
        <v>-34.116</v>
      </c>
      <c r="Y62" s="13">
        <f>_xll.BDH("ITCI US Equity","FREE_CASH_FLOW_EQUITY","FQ2 2024","FQ2 2024","Currency=USD","Period=FQ","BEST_FPERIOD_OVERRIDE=FQ","FILING_STATUS=MR","SCALING_FORMAT=MLN","Sort=A","Dates=H","DateFormat=P","Fill=—","Direction=H","UseDPDF=Y")</f>
        <v>0.48899999999999999</v>
      </c>
      <c r="Z62" s="13">
        <f>_xll.BDH("ITCI US Equity","FREE_CASH_FLOW_EQUITY","FQ3 2024","FQ3 2024","Currency=USD","Period=FQ","BEST_FPERIOD_OVERRIDE=FQ","FILING_STATUS=MR","SCALING_FORMAT=MLN","Sort=A","Dates=H","DateFormat=P","Fill=—","Direction=H","UseDPDF=Y")</f>
        <v>-27.221</v>
      </c>
      <c r="AA62" s="13" t="str">
        <f>_xll.BDH("ITCI US Equity","FREE_CASH_FLOW_EQUITY","FQ4 2024","FQ4 2024","Currency=USD","Period=FQ","BEST_FPERIOD_OVERRIDE=FQ","FILING_STATUS=MR","SCALING_FORMAT=MLN","Sort=A","Dates=H","DateFormat=P","Fill=—","Direction=H","UseDPDF=Y")</f>
        <v>—</v>
      </c>
    </row>
    <row r="63" spans="1:27" x14ac:dyDescent="0.25">
      <c r="A63" s="10" t="s">
        <v>1018</v>
      </c>
      <c r="B63" s="10" t="s">
        <v>247</v>
      </c>
      <c r="C63" s="14">
        <f>_xll.BDH("ITCI US Equity","FREE_CASH_FLOW_PER_SH","FQ4 2018","FQ4 2018","Currency=USD","Period=FQ","BEST_FPERIOD_OVERRIDE=FQ","FILING_STATUS=MR","Sort=A","Dates=H","DateFormat=P","Fill=—","Direction=H","UseDPDF=Y")</f>
        <v>-0.53369999999999995</v>
      </c>
      <c r="D63" s="14">
        <f>_xll.BDH("ITCI US Equity","FREE_CASH_FLOW_PER_SH","FQ1 2019","FQ1 2019","Currency=USD","Period=FQ","BEST_FPERIOD_OVERRIDE=FQ","FILING_STATUS=MR","Sort=A","Dates=H","DateFormat=P","Fill=—","Direction=H","UseDPDF=Y")</f>
        <v>-0.64770000000000005</v>
      </c>
      <c r="E63" s="14">
        <f>_xll.BDH("ITCI US Equity","FREE_CASH_FLOW_PER_SH","FQ2 2019","FQ2 2019","Currency=USD","Period=FQ","BEST_FPERIOD_OVERRIDE=FQ","FILING_STATUS=MR","Sort=A","Dates=H","DateFormat=P","Fill=—","Direction=H","UseDPDF=Y")</f>
        <v>-0.51449999999999996</v>
      </c>
      <c r="F63" s="14">
        <f>_xll.BDH("ITCI US Equity","FREE_CASH_FLOW_PER_SH","FQ3 2019","FQ3 2019","Currency=USD","Period=FQ","BEST_FPERIOD_OVERRIDE=FQ","FILING_STATUS=MR","Sort=A","Dates=H","DateFormat=P","Fill=—","Direction=H","UseDPDF=Y")</f>
        <v>-0.54720000000000002</v>
      </c>
      <c r="G63" s="14" t="str">
        <f>_xll.BDH("ITCI US Equity","FREE_CASH_FLOW_PER_SH","FQ4 2019","FQ4 2019","Currency=USD","Period=FQ","BEST_FPERIOD_OVERRIDE=FQ","FILING_STATUS=MR","Sort=A","Dates=H","DateFormat=P","Fill=—","Direction=H","UseDPDF=Y")</f>
        <v>—</v>
      </c>
      <c r="H63" s="14">
        <f>_xll.BDH("ITCI US Equity","FREE_CASH_FLOW_PER_SH","FQ1 2020","FQ1 2020","Currency=USD","Period=FQ","BEST_FPERIOD_OVERRIDE=FQ","FILING_STATUS=MR","Sort=A","Dates=H","DateFormat=P","Fill=—","Direction=H","UseDPDF=Y")</f>
        <v>-0.78710000000000002</v>
      </c>
      <c r="I63" s="14">
        <f>_xll.BDH("ITCI US Equity","FREE_CASH_FLOW_PER_SH","FQ2 2020","FQ2 2020","Currency=USD","Period=FQ","BEST_FPERIOD_OVERRIDE=FQ","FILING_STATUS=MR","Sort=A","Dates=H","DateFormat=P","Fill=—","Direction=H","UseDPDF=Y")</f>
        <v>-0.70789999999999997</v>
      </c>
      <c r="J63" s="14">
        <f>_xll.BDH("ITCI US Equity","FREE_CASH_FLOW_PER_SH","FQ3 2020","FQ3 2020","Currency=USD","Period=FQ","BEST_FPERIOD_OVERRIDE=FQ","FILING_STATUS=MR","Sort=A","Dates=H","DateFormat=P","Fill=—","Direction=H","UseDPDF=Y")</f>
        <v>-0.91690000000000005</v>
      </c>
      <c r="K63" s="14">
        <f>_xll.BDH("ITCI US Equity","FREE_CASH_FLOW_PER_SH","FQ4 2020","FQ4 2020","Currency=USD","Period=FQ","BEST_FPERIOD_OVERRIDE=FQ","FILING_STATUS=MR","Sort=A","Dates=H","DateFormat=P","Fill=—","Direction=H","UseDPDF=Y")</f>
        <v>-0.8508</v>
      </c>
      <c r="L63" s="14">
        <f>_xll.BDH("ITCI US Equity","FREE_CASH_FLOW_PER_SH","FQ1 2021","FQ1 2021","Currency=USD","Period=FQ","BEST_FPERIOD_OVERRIDE=FQ","FILING_STATUS=MR","Sort=A","Dates=H","DateFormat=P","Fill=—","Direction=H","UseDPDF=Y")</f>
        <v>-0.59009999999999996</v>
      </c>
      <c r="M63" s="14">
        <f>_xll.BDH("ITCI US Equity","FREE_CASH_FLOW_PER_SH","FQ2 2021","FQ2 2021","Currency=USD","Period=FQ","BEST_FPERIOD_OVERRIDE=FQ","FILING_STATUS=MR","Sort=A","Dates=H","DateFormat=P","Fill=—","Direction=H","UseDPDF=Y")</f>
        <v>-0.73050000000000004</v>
      </c>
      <c r="N63" s="14">
        <f>_xll.BDH("ITCI US Equity","FREE_CASH_FLOW_PER_SH","FQ3 2021","FQ3 2021","Currency=USD","Period=FQ","BEST_FPERIOD_OVERRIDE=FQ","FILING_STATUS=MR","Sort=A","Dates=H","DateFormat=P","Fill=—","Direction=H","UseDPDF=Y")</f>
        <v>-0.97809999999999997</v>
      </c>
      <c r="O63" s="14">
        <f>_xll.BDH("ITCI US Equity","FREE_CASH_FLOW_PER_SH","FQ4 2021","FQ4 2021","Currency=USD","Period=FQ","BEST_FPERIOD_OVERRIDE=FQ","FILING_STATUS=MR","Sort=A","Dates=H","DateFormat=P","Fill=—","Direction=H","UseDPDF=Y")</f>
        <v>-0.89829999999999999</v>
      </c>
      <c r="P63" s="14">
        <f>_xll.BDH("ITCI US Equity","FREE_CASH_FLOW_PER_SH","FQ1 2022","FQ1 2022","Currency=USD","Period=FQ","BEST_FPERIOD_OVERRIDE=FQ","FILING_STATUS=MR","Sort=A","Dates=H","DateFormat=P","Fill=—","Direction=H","UseDPDF=Y")</f>
        <v>-0.90080000000000005</v>
      </c>
      <c r="Q63" s="14">
        <f>_xll.BDH("ITCI US Equity","FREE_CASH_FLOW_PER_SH","FQ2 2022","FQ2 2022","Currency=USD","Period=FQ","BEST_FPERIOD_OVERRIDE=FQ","FILING_STATUS=MR","Sort=A","Dates=H","DateFormat=P","Fill=—","Direction=H","UseDPDF=Y")</f>
        <v>-1.0066999999999999</v>
      </c>
      <c r="R63" s="14">
        <f>_xll.BDH("ITCI US Equity","FREE_CASH_FLOW_PER_SH","FQ3 2022","FQ3 2022","Currency=USD","Period=FQ","BEST_FPERIOD_OVERRIDE=FQ","FILING_STATUS=MR","Sort=A","Dates=H","DateFormat=P","Fill=—","Direction=H","UseDPDF=Y")</f>
        <v>-0.56569999999999998</v>
      </c>
      <c r="S63" s="14">
        <f>_xll.BDH("ITCI US Equity","FREE_CASH_FLOW_PER_SH","FQ4 2022","FQ4 2022","Currency=USD","Period=FQ","BEST_FPERIOD_OVERRIDE=FQ","FILING_STATUS=MR","Sort=A","Dates=H","DateFormat=P","Fill=—","Direction=H","UseDPDF=Y")</f>
        <v>-0.41360000000000002</v>
      </c>
      <c r="T63" s="14">
        <f>_xll.BDH("ITCI US Equity","FREE_CASH_FLOW_PER_SH","FQ1 2023","FQ1 2023","Currency=USD","Period=FQ","BEST_FPERIOD_OVERRIDE=FQ","FILING_STATUS=MR","Sort=A","Dates=H","DateFormat=P","Fill=—","Direction=H","UseDPDF=Y")</f>
        <v>-0.63139999999999996</v>
      </c>
      <c r="U63" s="14">
        <f>_xll.BDH("ITCI US Equity","FREE_CASH_FLOW_PER_SH","FQ2 2023","FQ2 2023","Currency=USD","Period=FQ","BEST_FPERIOD_OVERRIDE=FQ","FILING_STATUS=MR","Sort=A","Dates=H","DateFormat=P","Fill=—","Direction=H","UseDPDF=Y")</f>
        <v>-0.3836</v>
      </c>
      <c r="V63" s="14">
        <f>_xll.BDH("ITCI US Equity","FREE_CASH_FLOW_PER_SH","FQ3 2023","FQ3 2023","Currency=USD","Period=FQ","BEST_FPERIOD_OVERRIDE=FQ","FILING_STATUS=MR","Sort=A","Dates=H","DateFormat=P","Fill=—","Direction=H","UseDPDF=Y")</f>
        <v>-0.2656</v>
      </c>
      <c r="W63" s="14">
        <f>_xll.BDH("ITCI US Equity","FREE_CASH_FLOW_PER_SH","FQ4 2023","FQ4 2023","Currency=USD","Period=FQ","BEST_FPERIOD_OVERRIDE=FQ","FILING_STATUS=MR","Sort=A","Dates=H","DateFormat=P","Fill=—","Direction=H","UseDPDF=Y")</f>
        <v>-2.1399999999999999E-2</v>
      </c>
      <c r="X63" s="14">
        <f>_xll.BDH("ITCI US Equity","FREE_CASH_FLOW_PER_SH","FQ1 2024","FQ1 2024","Currency=USD","Period=FQ","BEST_FPERIOD_OVERRIDE=FQ","FILING_STATUS=MR","Sort=A","Dates=H","DateFormat=P","Fill=—","Direction=H","UseDPDF=Y")</f>
        <v>-0.35220000000000001</v>
      </c>
      <c r="Y63" s="14">
        <f>_xll.BDH("ITCI US Equity","FREE_CASH_FLOW_PER_SH","FQ2 2024","FQ2 2024","Currency=USD","Period=FQ","BEST_FPERIOD_OVERRIDE=FQ","FILING_STATUS=MR","Sort=A","Dates=H","DateFormat=P","Fill=—","Direction=H","UseDPDF=Y")</f>
        <v>4.7000000000000002E-3</v>
      </c>
      <c r="Z63" s="14">
        <f>_xll.BDH("ITCI US Equity","FREE_CASH_FLOW_PER_SH","FQ3 2024","FQ3 2024","Currency=USD","Period=FQ","BEST_FPERIOD_OVERRIDE=FQ","FILING_STATUS=MR","Sort=A","Dates=H","DateFormat=P","Fill=—","Direction=H","UseDPDF=Y")</f>
        <v>-0.25740000000000002</v>
      </c>
      <c r="AA63" s="14" t="str">
        <f>_xll.BDH("ITCI US Equity","FREE_CASH_FLOW_PER_SH","FQ4 2024","FQ4 2024","Currency=USD","Period=FQ","BEST_FPERIOD_OVERRIDE=FQ","FILING_STATUS=MR","Sort=A","Dates=H","DateFormat=P","Fill=—","Direction=H","UseDPDF=Y")</f>
        <v>—</v>
      </c>
    </row>
    <row r="64" spans="1:27" x14ac:dyDescent="0.25">
      <c r="A64" s="7" t="s">
        <v>90</v>
      </c>
      <c r="B64" s="7"/>
      <c r="C64" s="7" t="s">
        <v>5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40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378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6" t="s">
        <v>245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1019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1020</v>
      </c>
      <c r="B8" s="10" t="s">
        <v>1021</v>
      </c>
      <c r="C8" s="13">
        <f>_xll.BDH("ITCI US Equity","ARD_NET_INCOME_CF","FQ4 2018","FQ4 2018","Currency=USD","Period=FQ","BEST_FPERIOD_OVERRIDE=FQ","FILING_STATUS=MR","SCALING_FORMAT=MLN","Sort=A","Dates=H","DateFormat=P","Fill=—","Direction=H","UseDPDF=Y")</f>
        <v>-155.12739999999999</v>
      </c>
      <c r="D8" s="13">
        <f>_xll.BDH("ITCI US Equity","ARD_NET_INCOME_CF","FQ1 2019","FQ1 2019","Currency=USD","Period=FQ","BEST_FPERIOD_OVERRIDE=FQ","FILING_STATUS=MR","SCALING_FORMAT=MLN","Sort=A","Dates=H","DateFormat=P","Fill=—","Direction=H","UseDPDF=Y")</f>
        <v>-34.835799999999999</v>
      </c>
      <c r="E8" s="13">
        <f>_xll.BDH("ITCI US Equity","ARD_NET_INCOME_CF","FQ2 2019","FQ2 2019","Currency=USD","Period=FQ","BEST_FPERIOD_OVERRIDE=FQ","FILING_STATUS=MR","SCALING_FORMAT=MLN","Sort=A","Dates=H","DateFormat=P","Fill=—","Direction=H","UseDPDF=Y")</f>
        <v>-72.276899999999998</v>
      </c>
      <c r="F8" s="13">
        <f>_xll.BDH("ITCI US Equity","ARD_NET_INCOME_CF","FQ3 2019","FQ3 2019","Currency=USD","Period=FQ","BEST_FPERIOD_OVERRIDE=FQ","FILING_STATUS=MR","SCALING_FORMAT=MLN","Sort=A","Dates=H","DateFormat=P","Fill=—","Direction=H","UseDPDF=Y")</f>
        <v>-107.13930000000001</v>
      </c>
      <c r="G8" s="13">
        <f>_xll.BDH("ITCI US Equity","ARD_NET_INCOME_CF","FQ4 2019","FQ4 2019","Currency=USD","Period=FQ","BEST_FPERIOD_OVERRIDE=FQ","FILING_STATUS=MR","SCALING_FORMAT=MLN","Sort=A","Dates=H","DateFormat=P","Fill=—","Direction=H","UseDPDF=Y")</f>
        <v>-147.72219999999999</v>
      </c>
      <c r="H8" s="13">
        <f>_xll.BDH("ITCI US Equity","ARD_NET_INCOME_CF","FQ1 2020","FQ1 2020","Currency=USD","Period=FQ","BEST_FPERIOD_OVERRIDE=FQ","FILING_STATUS=MR","SCALING_FORMAT=MLN","Sort=A","Dates=H","DateFormat=P","Fill=—","Direction=H","UseDPDF=Y")</f>
        <v>-47.410600000000002</v>
      </c>
      <c r="I8" s="13">
        <f>_xll.BDH("ITCI US Equity","ARD_NET_INCOME_CF","FQ2 2020","FQ2 2020","Currency=USD","Period=FQ","BEST_FPERIOD_OVERRIDE=FQ","FILING_STATUS=MR","SCALING_FORMAT=MLN","Sort=A","Dates=H","DateFormat=P","Fill=—","Direction=H","UseDPDF=Y")</f>
        <v>-111.1229</v>
      </c>
      <c r="J8" s="13">
        <f>_xll.BDH("ITCI US Equity","ARD_NET_INCOME_CF","FQ3 2020","FQ3 2020","Currency=USD","Period=FQ","BEST_FPERIOD_OVERRIDE=FQ","FILING_STATUS=MR","SCALING_FORMAT=MLN","Sort=A","Dates=H","DateFormat=P","Fill=—","Direction=H","UseDPDF=Y")</f>
        <v>-166.3065</v>
      </c>
      <c r="K8" s="13">
        <f>_xll.BDH("ITCI US Equity","ARD_NET_INCOME_CF","FQ4 2020","FQ4 2020","Currency=USD","Period=FQ","BEST_FPERIOD_OVERRIDE=FQ","FILING_STATUS=MR","SCALING_FORMAT=MLN","Sort=A","Dates=H","DateFormat=P","Fill=—","Direction=H","UseDPDF=Y")</f>
        <v>-227.00569999999999</v>
      </c>
      <c r="L8" s="13">
        <f>_xll.BDH("ITCI US Equity","ARD_NET_INCOME_CF","FQ1 2021","FQ1 2021","Currency=USD","Period=FQ","BEST_FPERIOD_OVERRIDE=FQ","FILING_STATUS=MR","SCALING_FORMAT=MLN","Sort=A","Dates=H","DateFormat=P","Fill=—","Direction=H","UseDPDF=Y")</f>
        <v>-52.739899999999999</v>
      </c>
      <c r="M8" s="13">
        <f>_xll.BDH("ITCI US Equity","ARD_NET_INCOME_CF","FQ2 2021","FQ2 2021","Currency=USD","Period=FQ","BEST_FPERIOD_OVERRIDE=FQ","FILING_STATUS=MR","SCALING_FORMAT=MLN","Sort=A","Dates=H","DateFormat=P","Fill=—","Direction=H","UseDPDF=Y")</f>
        <v>-121.4837</v>
      </c>
      <c r="N8" s="13">
        <f>_xll.BDH("ITCI US Equity","ARD_NET_INCOME_CF","FQ3 2021","FQ3 2021","Currency=USD","Period=FQ","BEST_FPERIOD_OVERRIDE=FQ","FILING_STATUS=MR","SCALING_FORMAT=MLN","Sort=A","Dates=H","DateFormat=P","Fill=—","Direction=H","UseDPDF=Y")</f>
        <v>-198.39169999999999</v>
      </c>
      <c r="O8" s="13">
        <f>_xll.BDH("ITCI US Equity","ARD_NET_INCOME_CF","FQ4 2021","FQ4 2021","Currency=USD","Period=FQ","BEST_FPERIOD_OVERRIDE=FQ","FILING_STATUS=MR","SCALING_FORMAT=MLN","Sort=A","Dates=H","DateFormat=P","Fill=—","Direction=H","UseDPDF=Y")</f>
        <v>-284.12569999999999</v>
      </c>
      <c r="P8" s="13">
        <f>_xll.BDH("ITCI US Equity","ARD_NET_INCOME_CF","FQ1 2022","FQ1 2022","Currency=USD","Period=FQ","BEST_FPERIOD_OVERRIDE=FQ","FILING_STATUS=MR","SCALING_FORMAT=MLN","Sort=A","Dates=H","DateFormat=P","Fill=—","Direction=H","UseDPDF=Y")</f>
        <v>-72.119</v>
      </c>
      <c r="Q8" s="13">
        <f>_xll.BDH("ITCI US Equity","ARD_NET_INCOME_CF","FQ2 2022","FQ2 2022","Currency=USD","Period=FQ","BEST_FPERIOD_OVERRIDE=FQ","FILING_STATUS=MR","SCALING_FORMAT=MLN","Sort=A","Dates=H","DateFormat=P","Fill=—","Direction=H","UseDPDF=Y")</f>
        <v>-158.72200000000001</v>
      </c>
      <c r="R8" s="13">
        <f>_xll.BDH("ITCI US Equity","ARD_NET_INCOME_CF","FQ3 2022","FQ3 2022","Currency=USD","Period=FQ","BEST_FPERIOD_OVERRIDE=FQ","FILING_STATUS=MR","SCALING_FORMAT=MLN","Sort=A","Dates=H","DateFormat=P","Fill=—","Direction=H","UseDPDF=Y")</f>
        <v>-212.23</v>
      </c>
      <c r="S8" s="13">
        <f>_xll.BDH("ITCI US Equity","ARD_NET_INCOME_CF","FQ4 2022","FQ4 2022","Currency=USD","Period=FQ","BEST_FPERIOD_OVERRIDE=FQ","FILING_STATUS=MR","SCALING_FORMAT=MLN","Sort=A","Dates=H","DateFormat=P","Fill=—","Direction=H","UseDPDF=Y")</f>
        <v>-256.25599999999997</v>
      </c>
      <c r="T8" s="13">
        <f>_xll.BDH("ITCI US Equity","ARD_NET_INCOME_CF","FQ1 2023","FQ1 2023","Currency=USD","Period=FQ","BEST_FPERIOD_OVERRIDE=FQ","FILING_STATUS=MR","SCALING_FORMAT=MLN","Sort=A","Dates=H","DateFormat=P","Fill=—","Direction=H","UseDPDF=Y")</f>
        <v>-44.052999999999997</v>
      </c>
      <c r="U8" s="13">
        <f>_xll.BDH("ITCI US Equity","ARD_NET_INCOME_CF","FQ2 2023","FQ2 2023","Currency=USD","Period=FQ","BEST_FPERIOD_OVERRIDE=FQ","FILING_STATUS=MR","SCALING_FORMAT=MLN","Sort=A","Dates=H","DateFormat=P","Fill=—","Direction=H","UseDPDF=Y")</f>
        <v>-86.837000000000003</v>
      </c>
      <c r="V8" s="13">
        <f>_xll.BDH("ITCI US Equity","ARD_NET_INCOME_CF","FQ3 2023","FQ3 2023","Currency=USD","Period=FQ","BEST_FPERIOD_OVERRIDE=FQ","FILING_STATUS=MR","SCALING_FORMAT=MLN","Sort=A","Dates=H","DateFormat=P","Fill=—","Direction=H","UseDPDF=Y")</f>
        <v>-111.095</v>
      </c>
      <c r="W8" s="13">
        <f>_xll.BDH("ITCI US Equity","ARD_NET_INCOME_CF","FQ4 2023","FQ4 2023","Currency=USD","Period=FQ","BEST_FPERIOD_OVERRIDE=FQ","FILING_STATUS=MR","SCALING_FORMAT=MLN","Sort=A","Dates=H","DateFormat=P","Fill=—","Direction=H","UseDPDF=Y")</f>
        <v>-139.67400000000001</v>
      </c>
      <c r="X8" s="13">
        <f>_xll.BDH("ITCI US Equity","ARD_NET_INCOME_CF","FQ1 2024","FQ1 2024","Currency=USD","Period=FQ","BEST_FPERIOD_OVERRIDE=FQ","FILING_STATUS=MR","SCALING_FORMAT=MLN","Sort=A","Dates=H","DateFormat=P","Fill=—","Direction=H","UseDPDF=Y")</f>
        <v>-15.247</v>
      </c>
      <c r="Y8" s="13">
        <f>_xll.BDH("ITCI US Equity","ARD_NET_INCOME_CF","FQ2 2024","FQ2 2024","Currency=USD","Period=FQ","BEST_FPERIOD_OVERRIDE=FQ","FILING_STATUS=MR","SCALING_FORMAT=MLN","Sort=A","Dates=H","DateFormat=P","Fill=—","Direction=H","UseDPDF=Y")</f>
        <v>-31.466999999999999</v>
      </c>
      <c r="Z8" s="13">
        <f>_xll.BDH("ITCI US Equity","ARD_NET_INCOME_CF","FQ3 2024","FQ3 2024","Currency=USD","Period=FQ","BEST_FPERIOD_OVERRIDE=FQ","FILING_STATUS=MR","SCALING_FORMAT=MLN","Sort=A","Dates=H","DateFormat=P","Fill=—","Direction=H","UseDPDF=Y")</f>
        <v>-57.790999999999997</v>
      </c>
      <c r="AA8" s="13">
        <f>_xll.BDH("ITCI US Equity","ARD_NET_INCOME_CF","FQ4 2024","FQ4 2024","Currency=USD","Period=FQ","BEST_FPERIOD_OVERRIDE=FQ","FILING_STATUS=MR","SCALING_FORMAT=MLN","Sort=A","Dates=H","DateFormat=P","Fill=—","Direction=H","UseDPDF=Y")</f>
        <v>-74.676000000000002</v>
      </c>
    </row>
    <row r="9" spans="1:27" x14ac:dyDescent="0.25">
      <c r="A9" s="10" t="s">
        <v>1022</v>
      </c>
      <c r="B9" s="10" t="s">
        <v>1023</v>
      </c>
      <c r="C9" s="13">
        <f>_xll.BDH("ITCI US Equity","ARD_DEPRECIATION_CF","FQ4 2018","FQ4 2018","Currency=USD","Period=FQ","BEST_FPERIOD_OVERRIDE=FQ","FILING_STATUS=MR","SCALING_FORMAT=MLN","Sort=A","Dates=H","DateFormat=P","Fill=—","Direction=H","UseDPDF=Y")</f>
        <v>0.36870000000000003</v>
      </c>
      <c r="D9" s="13">
        <f>_xll.BDH("ITCI US Equity","ARD_DEPRECIATION_CF","FQ1 2019","FQ1 2019","Currency=USD","Period=FQ","BEST_FPERIOD_OVERRIDE=FQ","FILING_STATUS=MR","SCALING_FORMAT=MLN","Sort=A","Dates=H","DateFormat=P","Fill=—","Direction=H","UseDPDF=Y")</f>
        <v>0.1014</v>
      </c>
      <c r="E9" s="13">
        <f>_xll.BDH("ITCI US Equity","ARD_DEPRECIATION_CF","FQ2 2019","FQ2 2019","Currency=USD","Period=FQ","BEST_FPERIOD_OVERRIDE=FQ","FILING_STATUS=MR","SCALING_FORMAT=MLN","Sort=A","Dates=H","DateFormat=P","Fill=—","Direction=H","UseDPDF=Y")</f>
        <v>0.2064</v>
      </c>
      <c r="F9" s="13">
        <f>_xll.BDH("ITCI US Equity","ARD_DEPRECIATION_CF","FQ3 2019","FQ3 2019","Currency=USD","Period=FQ","BEST_FPERIOD_OVERRIDE=FQ","FILING_STATUS=MR","SCALING_FORMAT=MLN","Sort=A","Dates=H","DateFormat=P","Fill=—","Direction=H","UseDPDF=Y")</f>
        <v>0.33550000000000002</v>
      </c>
      <c r="G9" s="13">
        <f>_xll.BDH("ITCI US Equity","ARD_DEPRECIATION_CF","FQ4 2019","FQ4 2019","Currency=USD","Period=FQ","BEST_FPERIOD_OVERRIDE=FQ","FILING_STATUS=MR","SCALING_FORMAT=MLN","Sort=A","Dates=H","DateFormat=P","Fill=—","Direction=H","UseDPDF=Y")</f>
        <v>0.47710000000000002</v>
      </c>
      <c r="H9" s="13">
        <f>_xll.BDH("ITCI US Equity","ARD_DEPRECIATION_CF","FQ1 2020","FQ1 2020","Currency=USD","Period=FQ","BEST_FPERIOD_OVERRIDE=FQ","FILING_STATUS=MR","SCALING_FORMAT=MLN","Sort=A","Dates=H","DateFormat=P","Fill=—","Direction=H","UseDPDF=Y")</f>
        <v>0.14879999999999999</v>
      </c>
      <c r="I9" s="13">
        <f>_xll.BDH("ITCI US Equity","ARD_DEPRECIATION_CF","FQ2 2020","FQ2 2020","Currency=USD","Period=FQ","BEST_FPERIOD_OVERRIDE=FQ","FILING_STATUS=MR","SCALING_FORMAT=MLN","Sort=A","Dates=H","DateFormat=P","Fill=—","Direction=H","UseDPDF=Y")</f>
        <v>0.28110000000000002</v>
      </c>
      <c r="J9" s="13">
        <f>_xll.BDH("ITCI US Equity","ARD_DEPRECIATION_CF","FQ3 2020","FQ3 2020","Currency=USD","Period=FQ","BEST_FPERIOD_OVERRIDE=FQ","FILING_STATUS=MR","SCALING_FORMAT=MLN","Sort=A","Dates=H","DateFormat=P","Fill=—","Direction=H","UseDPDF=Y")</f>
        <v>0.40210000000000001</v>
      </c>
      <c r="K9" s="13">
        <f>_xll.BDH("ITCI US Equity","ARD_DEPRECIATION_CF","FQ4 2020","FQ4 2020","Currency=USD","Period=FQ","BEST_FPERIOD_OVERRIDE=FQ","FILING_STATUS=MR","SCALING_FORMAT=MLN","Sort=A","Dates=H","DateFormat=P","Fill=—","Direction=H","UseDPDF=Y")</f>
        <v>0.52810000000000001</v>
      </c>
      <c r="L9" s="13">
        <f>_xll.BDH("ITCI US Equity","ARD_DEPRECIATION_CF","FQ1 2021","FQ1 2021","Currency=USD","Period=FQ","BEST_FPERIOD_OVERRIDE=FQ","FILING_STATUS=MR","SCALING_FORMAT=MLN","Sort=A","Dates=H","DateFormat=P","Fill=—","Direction=H","UseDPDF=Y")</f>
        <v>0.127</v>
      </c>
      <c r="M9" s="13">
        <f>_xll.BDH("ITCI US Equity","ARD_DEPRECIATION_CF","FQ2 2021","FQ2 2021","Currency=USD","Period=FQ","BEST_FPERIOD_OVERRIDE=FQ","FILING_STATUS=MR","SCALING_FORMAT=MLN","Sort=A","Dates=H","DateFormat=P","Fill=—","Direction=H","UseDPDF=Y")</f>
        <v>0.25259999999999999</v>
      </c>
      <c r="N9" s="13">
        <f>_xll.BDH("ITCI US Equity","ARD_DEPRECIATION_CF","FQ3 2021","FQ3 2021","Currency=USD","Period=FQ","BEST_FPERIOD_OVERRIDE=FQ","FILING_STATUS=MR","SCALING_FORMAT=MLN","Sort=A","Dates=H","DateFormat=P","Fill=—","Direction=H","UseDPDF=Y")</f>
        <v>0.38650000000000001</v>
      </c>
      <c r="O9" s="13">
        <f>_xll.BDH("ITCI US Equity","ARD_DEPRECIATION_CF","FQ4 2021","FQ4 2021","Currency=USD","Period=FQ","BEST_FPERIOD_OVERRIDE=FQ","FILING_STATUS=MR","SCALING_FORMAT=MLN","Sort=A","Dates=H","DateFormat=P","Fill=—","Direction=H","UseDPDF=Y")</f>
        <v>0.53339999999999999</v>
      </c>
      <c r="P9" s="13">
        <f>_xll.BDH("ITCI US Equity","ARD_DEPRECIATION_CF","FQ1 2022","FQ1 2022","Currency=USD","Period=FQ","BEST_FPERIOD_OVERRIDE=FQ","FILING_STATUS=MR","SCALING_FORMAT=MLN","Sort=A","Dates=H","DateFormat=P","Fill=—","Direction=H","UseDPDF=Y")</f>
        <v>0.17100000000000001</v>
      </c>
      <c r="Q9" s="13">
        <f>_xll.BDH("ITCI US Equity","ARD_DEPRECIATION_CF","FQ2 2022","FQ2 2022","Currency=USD","Period=FQ","BEST_FPERIOD_OVERRIDE=FQ","FILING_STATUS=MR","SCALING_FORMAT=MLN","Sort=A","Dates=H","DateFormat=P","Fill=—","Direction=H","UseDPDF=Y")</f>
        <v>0.34300000000000003</v>
      </c>
      <c r="R9" s="13">
        <f>_xll.BDH("ITCI US Equity","ARD_DEPRECIATION_CF","FQ3 2022","FQ3 2022","Currency=USD","Period=FQ","BEST_FPERIOD_OVERRIDE=FQ","FILING_STATUS=MR","SCALING_FORMAT=MLN","Sort=A","Dates=H","DateFormat=P","Fill=—","Direction=H","UseDPDF=Y")</f>
        <v>0.51300000000000001</v>
      </c>
      <c r="S9" s="13">
        <f>_xll.BDH("ITCI US Equity","ARD_DEPRECIATION_CF","FQ4 2022","FQ4 2022","Currency=USD","Period=FQ","BEST_FPERIOD_OVERRIDE=FQ","FILING_STATUS=MR","SCALING_FORMAT=MLN","Sort=A","Dates=H","DateFormat=P","Fill=—","Direction=H","UseDPDF=Y")</f>
        <v>0.65600000000000003</v>
      </c>
      <c r="T9" s="13">
        <f>_xll.BDH("ITCI US Equity","ARD_DEPRECIATION_CF","FQ1 2023","FQ1 2023","Currency=USD","Period=FQ","BEST_FPERIOD_OVERRIDE=FQ","FILING_STATUS=MR","SCALING_FORMAT=MLN","Sort=A","Dates=H","DateFormat=P","Fill=—","Direction=H","UseDPDF=Y")</f>
        <v>0.13400000000000001</v>
      </c>
      <c r="U9" s="13">
        <f>_xll.BDH("ITCI US Equity","ARD_DEPRECIATION_CF","FQ2 2023","FQ2 2023","Currency=USD","Period=FQ","BEST_FPERIOD_OVERRIDE=FQ","FILING_STATUS=MR","SCALING_FORMAT=MLN","Sort=A","Dates=H","DateFormat=P","Fill=—","Direction=H","UseDPDF=Y")</f>
        <v>0.25700000000000001</v>
      </c>
      <c r="V9" s="13">
        <f>_xll.BDH("ITCI US Equity","ARD_DEPRECIATION_CF","FQ3 2023","FQ3 2023","Currency=USD","Period=FQ","BEST_FPERIOD_OVERRIDE=FQ","FILING_STATUS=MR","SCALING_FORMAT=MLN","Sort=A","Dates=H","DateFormat=P","Fill=—","Direction=H","UseDPDF=Y")</f>
        <v>0.39200000000000002</v>
      </c>
      <c r="W9" s="13">
        <f>_xll.BDH("ITCI US Equity","ARD_DEPRECIATION_CF","FQ4 2023","FQ4 2023","Currency=USD","Period=FQ","BEST_FPERIOD_OVERRIDE=FQ","FILING_STATUS=MR","SCALING_FORMAT=MLN","Sort=A","Dates=H","DateFormat=P","Fill=—","Direction=H","UseDPDF=Y")</f>
        <v>0.52800000000000002</v>
      </c>
      <c r="X9" s="13">
        <f>_xll.BDH("ITCI US Equity","ARD_DEPRECIATION_CF","FQ1 2024","FQ1 2024","Currency=USD","Period=FQ","BEST_FPERIOD_OVERRIDE=FQ","FILING_STATUS=MR","SCALING_FORMAT=MLN","Sort=A","Dates=H","DateFormat=P","Fill=—","Direction=H","UseDPDF=Y")</f>
        <v>0.13200000000000001</v>
      </c>
      <c r="Y9" s="13">
        <f>_xll.BDH("ITCI US Equity","ARD_DEPRECIATION_CF","FQ2 2024","FQ2 2024","Currency=USD","Period=FQ","BEST_FPERIOD_OVERRIDE=FQ","FILING_STATUS=MR","SCALING_FORMAT=MLN","Sort=A","Dates=H","DateFormat=P","Fill=—","Direction=H","UseDPDF=Y")</f>
        <v>0.26100000000000001</v>
      </c>
      <c r="Z9" s="13">
        <f>_xll.BDH("ITCI US Equity","ARD_DEPRECIATION_CF","FQ3 2024","FQ3 2024","Currency=USD","Period=FQ","BEST_FPERIOD_OVERRIDE=FQ","FILING_STATUS=MR","SCALING_FORMAT=MLN","Sort=A","Dates=H","DateFormat=P","Fill=—","Direction=H","UseDPDF=Y")</f>
        <v>0.39900000000000002</v>
      </c>
      <c r="AA9" s="13">
        <f>_xll.BDH("ITCI US Equity","ARD_DEPRECIATION_CF","FQ4 2024","FQ4 2024","Currency=USD","Period=FQ","BEST_FPERIOD_OVERRIDE=FQ","FILING_STATUS=MR","SCALING_FORMAT=MLN","Sort=A","Dates=H","DateFormat=P","Fill=—","Direction=H","UseDPDF=Y")</f>
        <v>0.50800000000000001</v>
      </c>
    </row>
    <row r="10" spans="1:27" x14ac:dyDescent="0.25">
      <c r="A10" s="10" t="s">
        <v>1024</v>
      </c>
      <c r="B10" s="10" t="s">
        <v>1025</v>
      </c>
      <c r="C10" s="13">
        <f>_xll.BDH("ITCI US Equity","ARD_DEFERRED_INCOME_TAXES_CF","FQ4 2018","FQ4 2018","Currency=USD","Period=FQ","BEST_FPERIOD_OVERRIDE=FQ","FILING_STATUS=MR","SCALING_FORMAT=MLN","Sort=A","Dates=H","DateFormat=P","Fill=—","Direction=H","UseDPDF=Y")</f>
        <v>0.5292</v>
      </c>
      <c r="D10" s="13" t="str">
        <f>_xll.BDH("ITCI US Equity","ARD_DEFERRED_INCOME_TAXES_CF","FQ1 2019","FQ1 2019","Currency=USD","Period=FQ","BEST_FPERIOD_OVERRIDE=FQ","FILING_STATUS=MR","SCALING_FORMAT=MLN","Sort=A","Dates=H","DateFormat=P","Fill=—","Direction=H","UseDPDF=Y")</f>
        <v>—</v>
      </c>
      <c r="E10" s="13" t="str">
        <f>_xll.BDH("ITCI US Equity","ARD_DEFERRED_INCOME_TAXES_CF","FQ2 2019","FQ2 2019","Currency=USD","Period=FQ","BEST_FPERIOD_OVERRIDE=FQ","FILING_STATUS=MR","SCALING_FORMAT=MLN","Sort=A","Dates=H","DateFormat=P","Fill=—","Direction=H","UseDPDF=Y")</f>
        <v>—</v>
      </c>
      <c r="F10" s="13" t="str">
        <f>_xll.BDH("ITCI US Equity","ARD_DEFERRED_INCOME_TAXES_CF","FQ3 2019","FQ3 2019","Currency=USD","Period=FQ","BEST_FPERIOD_OVERRIDE=FQ","FILING_STATUS=MR","SCALING_FORMAT=MLN","Sort=A","Dates=H","DateFormat=P","Fill=—","Direction=H","UseDPDF=Y")</f>
        <v>—</v>
      </c>
      <c r="G10" s="13">
        <f>_xll.BDH("ITCI US Equity","ARD_DEFERRED_INCOME_TAXES_CF","FQ4 2019","FQ4 2019","Currency=USD","Period=FQ","BEST_FPERIOD_OVERRIDE=FQ","FILING_STATUS=MR","SCALING_FORMAT=MLN","Sort=A","Dates=H","DateFormat=P","Fill=—","Direction=H","UseDPDF=Y")</f>
        <v>0.2646</v>
      </c>
      <c r="H10" s="13" t="str">
        <f>_xll.BDH("ITCI US Equity","ARD_DEFERRED_INCOME_TAXES_CF","FQ1 2020","FQ1 2020","Currency=USD","Period=FQ","BEST_FPERIOD_OVERRIDE=FQ","FILING_STATUS=MR","SCALING_FORMAT=MLN","Sort=A","Dates=H","DateFormat=P","Fill=—","Direction=H","UseDPDF=Y")</f>
        <v>—</v>
      </c>
      <c r="I10" s="13" t="str">
        <f>_xll.BDH("ITCI US Equity","ARD_DEFERRED_INCOME_TAXES_CF","FQ2 2020","FQ2 2020","Currency=USD","Period=FQ","BEST_FPERIOD_OVERRIDE=FQ","FILING_STATUS=MR","SCALING_FORMAT=MLN","Sort=A","Dates=H","DateFormat=P","Fill=—","Direction=H","UseDPDF=Y")</f>
        <v>—</v>
      </c>
      <c r="J10" s="13" t="str">
        <f>_xll.BDH("ITCI US Equity","ARD_DEFERRED_INCOME_TAXES_CF","FQ3 2020","FQ3 2020","Currency=USD","Period=FQ","BEST_FPERIOD_OVERRIDE=FQ","FILING_STATUS=MR","SCALING_FORMAT=MLN","Sort=A","Dates=H","DateFormat=P","Fill=—","Direction=H","UseDPDF=Y")</f>
        <v>—</v>
      </c>
      <c r="K10" s="13" t="str">
        <f>_xll.BDH("ITCI US Equity","ARD_DEFERRED_INCOME_TAXES_CF","FQ4 2020","FQ4 2020","Currency=USD","Period=FQ","BEST_FPERIOD_OVERRIDE=FQ","FILING_STATUS=MR","SCALING_FORMAT=MLN","Sort=A","Dates=H","DateFormat=P","Fill=—","Direction=H","UseDPDF=Y")</f>
        <v>—</v>
      </c>
      <c r="L10" s="13" t="str">
        <f>_xll.BDH("ITCI US Equity","ARD_DEFERRED_INCOME_TAXES_CF","FQ1 2021","FQ1 2021","Currency=USD","Period=FQ","BEST_FPERIOD_OVERRIDE=FQ","FILING_STATUS=MR","SCALING_FORMAT=MLN","Sort=A","Dates=H","DateFormat=P","Fill=—","Direction=H","UseDPDF=Y")</f>
        <v>—</v>
      </c>
      <c r="M10" s="13" t="str">
        <f>_xll.BDH("ITCI US Equity","ARD_DEFERRED_INCOME_TAXES_CF","FQ2 2021","FQ2 2021","Currency=USD","Period=FQ","BEST_FPERIOD_OVERRIDE=FQ","FILING_STATUS=MR","SCALING_FORMAT=MLN","Sort=A","Dates=H","DateFormat=P","Fill=—","Direction=H","UseDPDF=Y")</f>
        <v>—</v>
      </c>
      <c r="N10" s="13" t="str">
        <f>_xll.BDH("ITCI US Equity","ARD_DEFERRED_INCOME_TAXES_CF","FQ3 2021","FQ3 2021","Currency=USD","Period=FQ","BEST_FPERIOD_OVERRIDE=FQ","FILING_STATUS=MR","SCALING_FORMAT=MLN","Sort=A","Dates=H","DateFormat=P","Fill=—","Direction=H","UseDPDF=Y")</f>
        <v>—</v>
      </c>
      <c r="O10" s="13" t="str">
        <f>_xll.BDH("ITCI US Equity","ARD_DEFERRED_INCOME_TAXES_CF","FQ4 2021","FQ4 2021","Currency=USD","Period=FQ","BEST_FPERIOD_OVERRIDE=FQ","FILING_STATUS=MR","SCALING_FORMAT=MLN","Sort=A","Dates=H","DateFormat=P","Fill=—","Direction=H","UseDPDF=Y")</f>
        <v>—</v>
      </c>
      <c r="P10" s="13" t="str">
        <f>_xll.BDH("ITCI US Equity","ARD_DEFERRED_INCOME_TAXES_CF","FQ1 2022","FQ1 2022","Currency=USD","Period=FQ","BEST_FPERIOD_OVERRIDE=FQ","FILING_STATUS=MR","SCALING_FORMAT=MLN","Sort=A","Dates=H","DateFormat=P","Fill=—","Direction=H","UseDPDF=Y")</f>
        <v>—</v>
      </c>
      <c r="Q10" s="13" t="str">
        <f>_xll.BDH("ITCI US Equity","ARD_DEFERRED_INCOME_TAXES_CF","FQ2 2022","FQ2 2022","Currency=USD","Period=FQ","BEST_FPERIOD_OVERRIDE=FQ","FILING_STATUS=MR","SCALING_FORMAT=MLN","Sort=A","Dates=H","DateFormat=P","Fill=—","Direction=H","UseDPDF=Y")</f>
        <v>—</v>
      </c>
      <c r="R10" s="13" t="str">
        <f>_xll.BDH("ITCI US Equity","ARD_DEFERRED_INCOME_TAXES_CF","FQ3 2022","FQ3 2022","Currency=USD","Period=FQ","BEST_FPERIOD_OVERRIDE=FQ","FILING_STATUS=MR","SCALING_FORMAT=MLN","Sort=A","Dates=H","DateFormat=P","Fill=—","Direction=H","UseDPDF=Y")</f>
        <v>—</v>
      </c>
      <c r="S10" s="13" t="str">
        <f>_xll.BDH("ITCI US Equity","ARD_DEFERRED_INCOME_TAXES_CF","FQ4 2022","FQ4 2022","Currency=USD","Period=FQ","BEST_FPERIOD_OVERRIDE=FQ","FILING_STATUS=MR","SCALING_FORMAT=MLN","Sort=A","Dates=H","DateFormat=P","Fill=—","Direction=H","UseDPDF=Y")</f>
        <v>—</v>
      </c>
      <c r="T10" s="13" t="str">
        <f>_xll.BDH("ITCI US Equity","ARD_DEFERRED_INCOME_TAXES_CF","FQ1 2023","FQ1 2023","Currency=USD","Period=FQ","BEST_FPERIOD_OVERRIDE=FQ","FILING_STATUS=MR","SCALING_FORMAT=MLN","Sort=A","Dates=H","DateFormat=P","Fill=—","Direction=H","UseDPDF=Y")</f>
        <v>—</v>
      </c>
      <c r="U10" s="13" t="str">
        <f>_xll.BDH("ITCI US Equity","ARD_DEFERRED_INCOME_TAXES_CF","FQ2 2023","FQ2 2023","Currency=USD","Period=FQ","BEST_FPERIOD_OVERRIDE=FQ","FILING_STATUS=MR","SCALING_FORMAT=MLN","Sort=A","Dates=H","DateFormat=P","Fill=—","Direction=H","UseDPDF=Y")</f>
        <v>—</v>
      </c>
      <c r="V10" s="13" t="str">
        <f>_xll.BDH("ITCI US Equity","ARD_DEFERRED_INCOME_TAXES_CF","FQ3 2023","FQ3 2023","Currency=USD","Period=FQ","BEST_FPERIOD_OVERRIDE=FQ","FILING_STATUS=MR","SCALING_FORMAT=MLN","Sort=A","Dates=H","DateFormat=P","Fill=—","Direction=H","UseDPDF=Y")</f>
        <v>—</v>
      </c>
      <c r="W10" s="13" t="str">
        <f>_xll.BDH("ITCI US Equity","ARD_DEFERRED_INCOME_TAXES_CF","FQ4 2023","FQ4 2023","Currency=USD","Period=FQ","BEST_FPERIOD_OVERRIDE=FQ","FILING_STATUS=MR","SCALING_FORMAT=MLN","Sort=A","Dates=H","DateFormat=P","Fill=—","Direction=H","UseDPDF=Y")</f>
        <v>—</v>
      </c>
      <c r="X10" s="13" t="str">
        <f>_xll.BDH("ITCI US Equity","ARD_DEFERRED_INCOME_TAXES_CF","FQ1 2024","FQ1 2024","Currency=USD","Period=FQ","BEST_FPERIOD_OVERRIDE=FQ","FILING_STATUS=MR","SCALING_FORMAT=MLN","Sort=A","Dates=H","DateFormat=P","Fill=—","Direction=H","UseDPDF=Y")</f>
        <v>—</v>
      </c>
      <c r="Y10" s="13" t="str">
        <f>_xll.BDH("ITCI US Equity","ARD_DEFERRED_INCOME_TAXES_CF","FQ2 2024","FQ2 2024","Currency=USD","Period=FQ","BEST_FPERIOD_OVERRIDE=FQ","FILING_STATUS=MR","SCALING_FORMAT=MLN","Sort=A","Dates=H","DateFormat=P","Fill=—","Direction=H","UseDPDF=Y")</f>
        <v>—</v>
      </c>
      <c r="Z10" s="13" t="str">
        <f>_xll.BDH("ITCI US Equity","ARD_DEFERRED_INCOME_TAXES_CF","FQ3 2024","FQ3 2024","Currency=USD","Period=FQ","BEST_FPERIOD_OVERRIDE=FQ","FILING_STATUS=MR","SCALING_FORMAT=MLN","Sort=A","Dates=H","DateFormat=P","Fill=—","Direction=H","UseDPDF=Y")</f>
        <v>—</v>
      </c>
      <c r="AA10" s="13" t="str">
        <f>_xll.BDH("ITCI US Equity","ARD_DEFERRED_INCOME_TAXES_CF","FQ4 2024","FQ4 2024","Currency=USD","Period=FQ","BEST_FPERIOD_OVERRIDE=FQ","FILING_STATUS=MR","SCALING_FORMAT=MLN","Sort=A","Dates=H","DateFormat=P","Fill=—","Direction=H","UseDPDF=Y")</f>
        <v>—</v>
      </c>
    </row>
    <row r="11" spans="1:27" x14ac:dyDescent="0.25">
      <c r="A11" s="10" t="s">
        <v>518</v>
      </c>
      <c r="B11" s="10" t="s">
        <v>1026</v>
      </c>
      <c r="C11" s="13">
        <f>_xll.BDH("ITCI US Equity","ARD_STOCK_BASED_COMPENSATION","FQ4 2018","FQ4 2018","Currency=USD","Period=FQ","BEST_FPERIOD_OVERRIDE=FQ","FILING_STATUS=MR","SCALING_FORMAT=MLN","Sort=A","Dates=H","DateFormat=P","Fill=—","Direction=H","UseDPDF=Y")</f>
        <v>17.396100000000001</v>
      </c>
      <c r="D11" s="13">
        <f>_xll.BDH("ITCI US Equity","ARD_STOCK_BASED_COMPENSATION","FQ1 2019","FQ1 2019","Currency=USD","Period=FQ","BEST_FPERIOD_OVERRIDE=FQ","FILING_STATUS=MR","SCALING_FORMAT=MLN","Sort=A","Dates=H","DateFormat=P","Fill=—","Direction=H","UseDPDF=Y")</f>
        <v>5.0552000000000001</v>
      </c>
      <c r="E11" s="13">
        <f>_xll.BDH("ITCI US Equity","ARD_STOCK_BASED_COMPENSATION","FQ2 2019","FQ2 2019","Currency=USD","Period=FQ","BEST_FPERIOD_OVERRIDE=FQ","FILING_STATUS=MR","SCALING_FORMAT=MLN","Sort=A","Dates=H","DateFormat=P","Fill=—","Direction=H","UseDPDF=Y")</f>
        <v>10.0426</v>
      </c>
      <c r="F11" s="13">
        <f>_xll.BDH("ITCI US Equity","ARD_STOCK_BASED_COMPENSATION","FQ3 2019","FQ3 2019","Currency=USD","Period=FQ","BEST_FPERIOD_OVERRIDE=FQ","FILING_STATUS=MR","SCALING_FORMAT=MLN","Sort=A","Dates=H","DateFormat=P","Fill=—","Direction=H","UseDPDF=Y")</f>
        <v>14.849399999999999</v>
      </c>
      <c r="G11" s="13">
        <f>_xll.BDH("ITCI US Equity","ARD_STOCK_BASED_COMPENSATION","FQ4 2019","FQ4 2019","Currency=USD","Period=FQ","BEST_FPERIOD_OVERRIDE=FQ","FILING_STATUS=MR","SCALING_FORMAT=MLN","Sort=A","Dates=H","DateFormat=P","Fill=—","Direction=H","UseDPDF=Y")</f>
        <v>20.788699999999999</v>
      </c>
      <c r="H11" s="13">
        <f>_xll.BDH("ITCI US Equity","ARD_STOCK_BASED_COMPENSATION","FQ1 2020","FQ1 2020","Currency=USD","Period=FQ","BEST_FPERIOD_OVERRIDE=FQ","FILING_STATUS=MR","SCALING_FORMAT=MLN","Sort=A","Dates=H","DateFormat=P","Fill=—","Direction=H","UseDPDF=Y")</f>
        <v>5.5042999999999997</v>
      </c>
      <c r="I11" s="13">
        <f>_xll.BDH("ITCI US Equity","ARD_STOCK_BASED_COMPENSATION","FQ2 2020","FQ2 2020","Currency=USD","Period=FQ","BEST_FPERIOD_OVERRIDE=FQ","FILING_STATUS=MR","SCALING_FORMAT=MLN","Sort=A","Dates=H","DateFormat=P","Fill=—","Direction=H","UseDPDF=Y")</f>
        <v>12.4514</v>
      </c>
      <c r="J11" s="13">
        <f>_xll.BDH("ITCI US Equity","ARD_STOCK_BASED_COMPENSATION","FQ3 2020","FQ3 2020","Currency=USD","Period=FQ","BEST_FPERIOD_OVERRIDE=FQ","FILING_STATUS=MR","SCALING_FORMAT=MLN","Sort=A","Dates=H","DateFormat=P","Fill=—","Direction=H","UseDPDF=Y")</f>
        <v>19.3522</v>
      </c>
      <c r="K11" s="13">
        <f>_xll.BDH("ITCI US Equity","ARD_STOCK_BASED_COMPENSATION","FQ4 2020","FQ4 2020","Currency=USD","Period=FQ","BEST_FPERIOD_OVERRIDE=FQ","FILING_STATUS=MR","SCALING_FORMAT=MLN","Sort=A","Dates=H","DateFormat=P","Fill=—","Direction=H","UseDPDF=Y")</f>
        <v>24.115200000000002</v>
      </c>
      <c r="L11" s="13">
        <f>_xll.BDH("ITCI US Equity","ARD_STOCK_BASED_COMPENSATION","FQ1 2021","FQ1 2021","Currency=USD","Period=FQ","BEST_FPERIOD_OVERRIDE=FQ","FILING_STATUS=MR","SCALING_FORMAT=MLN","Sort=A","Dates=H","DateFormat=P","Fill=—","Direction=H","UseDPDF=Y")</f>
        <v>6.7784000000000004</v>
      </c>
      <c r="M11" s="13">
        <f>_xll.BDH("ITCI US Equity","ARD_STOCK_BASED_COMPENSATION","FQ2 2021","FQ2 2021","Currency=USD","Period=FQ","BEST_FPERIOD_OVERRIDE=FQ","FILING_STATUS=MR","SCALING_FORMAT=MLN","Sort=A","Dates=H","DateFormat=P","Fill=—","Direction=H","UseDPDF=Y")</f>
        <v>15.395099999999999</v>
      </c>
      <c r="N11" s="13">
        <f>_xll.BDH("ITCI US Equity","ARD_STOCK_BASED_COMPENSATION","FQ3 2021","FQ3 2021","Currency=USD","Period=FQ","BEST_FPERIOD_OVERRIDE=FQ","FILING_STATUS=MR","SCALING_FORMAT=MLN","Sort=A","Dates=H","DateFormat=P","Fill=—","Direction=H","UseDPDF=Y")</f>
        <v>24.9254</v>
      </c>
      <c r="O11" s="13">
        <f>_xll.BDH("ITCI US Equity","ARD_STOCK_BASED_COMPENSATION","FQ4 2021","FQ4 2021","Currency=USD","Period=FQ","BEST_FPERIOD_OVERRIDE=FQ","FILING_STATUS=MR","SCALING_FORMAT=MLN","Sort=A","Dates=H","DateFormat=P","Fill=—","Direction=H","UseDPDF=Y")</f>
        <v>34.302999999999997</v>
      </c>
      <c r="P11" s="13">
        <f>_xll.BDH("ITCI US Equity","ARD_STOCK_BASED_COMPENSATION","FQ1 2022","FQ1 2022","Currency=USD","Period=FQ","BEST_FPERIOD_OVERRIDE=FQ","FILING_STATUS=MR","SCALING_FORMAT=MLN","Sort=A","Dates=H","DateFormat=P","Fill=—","Direction=H","UseDPDF=Y")</f>
        <v>8.1050000000000004</v>
      </c>
      <c r="Q11" s="13">
        <f>_xll.BDH("ITCI US Equity","ARD_STOCK_BASED_COMPENSATION","FQ2 2022","FQ2 2022","Currency=USD","Period=FQ","BEST_FPERIOD_OVERRIDE=FQ","FILING_STATUS=MR","SCALING_FORMAT=MLN","Sort=A","Dates=H","DateFormat=P","Fill=—","Direction=H","UseDPDF=Y")</f>
        <v>20.103000000000002</v>
      </c>
      <c r="R11" s="13">
        <f>_xll.BDH("ITCI US Equity","ARD_STOCK_BASED_COMPENSATION","FQ3 2022","FQ3 2022","Currency=USD","Period=FQ","BEST_FPERIOD_OVERRIDE=FQ","FILING_STATUS=MR","SCALING_FORMAT=MLN","Sort=A","Dates=H","DateFormat=P","Fill=—","Direction=H","UseDPDF=Y")</f>
        <v>31.853999999999999</v>
      </c>
      <c r="S11" s="13">
        <f>_xll.BDH("ITCI US Equity","ARD_STOCK_BASED_COMPENSATION","FQ4 2022","FQ4 2022","Currency=USD","Period=FQ","BEST_FPERIOD_OVERRIDE=FQ","FILING_STATUS=MR","SCALING_FORMAT=MLN","Sort=A","Dates=H","DateFormat=P","Fill=—","Direction=H","UseDPDF=Y")</f>
        <v>43.012999999999998</v>
      </c>
      <c r="T11" s="13">
        <f>_xll.BDH("ITCI US Equity","ARD_STOCK_BASED_COMPENSATION","FQ1 2023","FQ1 2023","Currency=USD","Period=FQ","BEST_FPERIOD_OVERRIDE=FQ","FILING_STATUS=MR","SCALING_FORMAT=MLN","Sort=A","Dates=H","DateFormat=P","Fill=—","Direction=H","UseDPDF=Y")</f>
        <v>10.439</v>
      </c>
      <c r="U11" s="13">
        <f>_xll.BDH("ITCI US Equity","ARD_STOCK_BASED_COMPENSATION","FQ2 2023","FQ2 2023","Currency=USD","Period=FQ","BEST_FPERIOD_OVERRIDE=FQ","FILING_STATUS=MR","SCALING_FORMAT=MLN","Sort=A","Dates=H","DateFormat=P","Fill=—","Direction=H","UseDPDF=Y")</f>
        <v>23.664999999999999</v>
      </c>
      <c r="V11" s="13">
        <f>_xll.BDH("ITCI US Equity","ARD_STOCK_BASED_COMPENSATION","FQ3 2023","FQ3 2023","Currency=USD","Period=FQ","BEST_FPERIOD_OVERRIDE=FQ","FILING_STATUS=MR","SCALING_FORMAT=MLN","Sort=A","Dates=H","DateFormat=P","Fill=—","Direction=H","UseDPDF=Y")</f>
        <v>37.975999999999999</v>
      </c>
      <c r="W11" s="13">
        <f>_xll.BDH("ITCI US Equity","ARD_STOCK_BASED_COMPENSATION","FQ4 2023","FQ4 2023","Currency=USD","Period=FQ","BEST_FPERIOD_OVERRIDE=FQ","FILING_STATUS=MR","SCALING_FORMAT=MLN","Sort=A","Dates=H","DateFormat=P","Fill=—","Direction=H","UseDPDF=Y")</f>
        <v>52.832000000000001</v>
      </c>
      <c r="X11" s="13">
        <f>_xll.BDH("ITCI US Equity","ARD_STOCK_BASED_COMPENSATION","FQ1 2024","FQ1 2024","Currency=USD","Period=FQ","BEST_FPERIOD_OVERRIDE=FQ","FILING_STATUS=MR","SCALING_FORMAT=MLN","Sort=A","Dates=H","DateFormat=P","Fill=—","Direction=H","UseDPDF=Y")</f>
        <v>13.843</v>
      </c>
      <c r="Y11" s="13">
        <f>_xll.BDH("ITCI US Equity","ARD_STOCK_BASED_COMPENSATION","FQ2 2024","FQ2 2024","Currency=USD","Period=FQ","BEST_FPERIOD_OVERRIDE=FQ","FILING_STATUS=MR","SCALING_FORMAT=MLN","Sort=A","Dates=H","DateFormat=P","Fill=—","Direction=H","UseDPDF=Y")</f>
        <v>30.213000000000001</v>
      </c>
      <c r="Z11" s="13">
        <f>_xll.BDH("ITCI US Equity","ARD_STOCK_BASED_COMPENSATION","FQ3 2024","FQ3 2024","Currency=USD","Period=FQ","BEST_FPERIOD_OVERRIDE=FQ","FILING_STATUS=MR","SCALING_FORMAT=MLN","Sort=A","Dates=H","DateFormat=P","Fill=—","Direction=H","UseDPDF=Y")</f>
        <v>47.701999999999998</v>
      </c>
      <c r="AA11" s="13">
        <f>_xll.BDH("ITCI US Equity","ARD_STOCK_BASED_COMPENSATION","FQ4 2024","FQ4 2024","Currency=USD","Period=FQ","BEST_FPERIOD_OVERRIDE=FQ","FILING_STATUS=MR","SCALING_FORMAT=MLN","Sort=A","Dates=H","DateFormat=P","Fill=—","Direction=H","UseDPDF=Y")</f>
        <v>64.034999999999997</v>
      </c>
    </row>
    <row r="12" spans="1:27" x14ac:dyDescent="0.25">
      <c r="A12" s="10" t="s">
        <v>1027</v>
      </c>
      <c r="B12" s="10" t="s">
        <v>1028</v>
      </c>
      <c r="C12" s="13">
        <f>_xll.BDH("ITCI US Equity","ARD_OTHER_NON_CASH_ITEMS","FQ4 2018","FQ4 2018","Currency=USD","Period=FQ","BEST_FPERIOD_OVERRIDE=FQ","FILING_STATUS=MR","SCALING_FORMAT=MLN","Sort=A","Dates=H","DateFormat=P","Fill=—","Direction=H","UseDPDF=Y")</f>
        <v>0.1925</v>
      </c>
      <c r="D12" s="13">
        <f>_xll.BDH("ITCI US Equity","ARD_OTHER_NON_CASH_ITEMS","FQ1 2019","FQ1 2019","Currency=USD","Period=FQ","BEST_FPERIOD_OVERRIDE=FQ","FILING_STATUS=MR","SCALING_FORMAT=MLN","Sort=A","Dates=H","DateFormat=P","Fill=—","Direction=H","UseDPDF=Y")</f>
        <v>4.8500000000000001E-2</v>
      </c>
      <c r="E12" s="13">
        <f>_xll.BDH("ITCI US Equity","ARD_OTHER_NON_CASH_ITEMS","FQ2 2019","FQ2 2019","Currency=USD","Period=FQ","BEST_FPERIOD_OVERRIDE=FQ","FILING_STATUS=MR","SCALING_FORMAT=MLN","Sort=A","Dates=H","DateFormat=P","Fill=—","Direction=H","UseDPDF=Y")</f>
        <v>-0.54949999999999999</v>
      </c>
      <c r="F12" s="13">
        <f>_xll.BDH("ITCI US Equity","ARD_OTHER_NON_CASH_ITEMS","FQ3 2019","FQ3 2019","Currency=USD","Period=FQ","BEST_FPERIOD_OVERRIDE=FQ","FILING_STATUS=MR","SCALING_FORMAT=MLN","Sort=A","Dates=H","DateFormat=P","Fill=—","Direction=H","UseDPDF=Y")</f>
        <v>0.1457</v>
      </c>
      <c r="G12" s="13">
        <f>_xll.BDH("ITCI US Equity","ARD_OTHER_NON_CASH_ITEMS","FQ4 2019","FQ4 2019","Currency=USD","Period=FQ","BEST_FPERIOD_OVERRIDE=FQ","FILING_STATUS=MR","SCALING_FORMAT=MLN","Sort=A","Dates=H","DateFormat=P","Fill=—","Direction=H","UseDPDF=Y")</f>
        <v>0.19420000000000001</v>
      </c>
      <c r="H12" s="13">
        <f>_xll.BDH("ITCI US Equity","ARD_OTHER_NON_CASH_ITEMS","FQ1 2020","FQ1 2020","Currency=USD","Period=FQ","BEST_FPERIOD_OVERRIDE=FQ","FILING_STATUS=MR","SCALING_FORMAT=MLN","Sort=A","Dates=H","DateFormat=P","Fill=—","Direction=H","UseDPDF=Y")</f>
        <v>5.3499999999999999E-2</v>
      </c>
      <c r="I12" s="13">
        <f>_xll.BDH("ITCI US Equity","ARD_OTHER_NON_CASH_ITEMS","FQ2 2020","FQ2 2020","Currency=USD","Period=FQ","BEST_FPERIOD_OVERRIDE=FQ","FILING_STATUS=MR","SCALING_FORMAT=MLN","Sort=A","Dates=H","DateFormat=P","Fill=—","Direction=H","UseDPDF=Y")</f>
        <v>0.1071</v>
      </c>
      <c r="J12" s="13">
        <f>_xll.BDH("ITCI US Equity","ARD_OTHER_NON_CASH_ITEMS","FQ3 2020","FQ3 2020","Currency=USD","Period=FQ","BEST_FPERIOD_OVERRIDE=FQ","FILING_STATUS=MR","SCALING_FORMAT=MLN","Sort=A","Dates=H","DateFormat=P","Fill=—","Direction=H","UseDPDF=Y")</f>
        <v>0.16059999999999999</v>
      </c>
      <c r="K12" s="13">
        <f>_xll.BDH("ITCI US Equity","ARD_OTHER_NON_CASH_ITEMS","FQ4 2020","FQ4 2020","Currency=USD","Period=FQ","BEST_FPERIOD_OVERRIDE=FQ","FILING_STATUS=MR","SCALING_FORMAT=MLN","Sort=A","Dates=H","DateFormat=P","Fill=—","Direction=H","UseDPDF=Y")</f>
        <v>0.21410000000000001</v>
      </c>
      <c r="L12" s="13">
        <f>_xll.BDH("ITCI US Equity","ARD_OTHER_NON_CASH_ITEMS","FQ1 2021","FQ1 2021","Currency=USD","Period=FQ","BEST_FPERIOD_OVERRIDE=FQ","FILING_STATUS=MR","SCALING_FORMAT=MLN","Sort=A","Dates=H","DateFormat=P","Fill=—","Direction=H","UseDPDF=Y")</f>
        <v>1.5800000000000002E-2</v>
      </c>
      <c r="M12" s="13">
        <f>_xll.BDH("ITCI US Equity","ARD_OTHER_NON_CASH_ITEMS","FQ2 2021","FQ2 2021","Currency=USD","Period=FQ","BEST_FPERIOD_OVERRIDE=FQ","FILING_STATUS=MR","SCALING_FORMAT=MLN","Sort=A","Dates=H","DateFormat=P","Fill=—","Direction=H","UseDPDF=Y")</f>
        <v>2.5700000000000001E-2</v>
      </c>
      <c r="N12" s="13">
        <f>_xll.BDH("ITCI US Equity","ARD_OTHER_NON_CASH_ITEMS","FQ3 2021","FQ3 2021","Currency=USD","Period=FQ","BEST_FPERIOD_OVERRIDE=FQ","FILING_STATUS=MR","SCALING_FORMAT=MLN","Sort=A","Dates=H","DateFormat=P","Fill=—","Direction=H","UseDPDF=Y")</f>
        <v>2.2100000000000002E-2</v>
      </c>
      <c r="O12" s="13">
        <f>_xll.BDH("ITCI US Equity","ARD_OTHER_NON_CASH_ITEMS","FQ4 2021","FQ4 2021","Currency=USD","Period=FQ","BEST_FPERIOD_OVERRIDE=FQ","FILING_STATUS=MR","SCALING_FORMAT=MLN","Sort=A","Dates=H","DateFormat=P","Fill=—","Direction=H","UseDPDF=Y")</f>
        <v>3.3999999999999998E-3</v>
      </c>
      <c r="P12" s="13">
        <f>_xll.BDH("ITCI US Equity","ARD_OTHER_NON_CASH_ITEMS","FQ1 2022","FQ1 2022","Currency=USD","Period=FQ","BEST_FPERIOD_OVERRIDE=FQ","FILING_STATUS=MR","SCALING_FORMAT=MLN","Sort=A","Dates=H","DateFormat=P","Fill=—","Direction=H","UseDPDF=Y")</f>
        <v>1.8080000000000001</v>
      </c>
      <c r="Q12" s="13">
        <f>_xll.BDH("ITCI US Equity","ARD_OTHER_NON_CASH_ITEMS","FQ2 2022","FQ2 2022","Currency=USD","Period=FQ","BEST_FPERIOD_OVERRIDE=FQ","FILING_STATUS=MR","SCALING_FORMAT=MLN","Sort=A","Dates=H","DateFormat=P","Fill=—","Direction=H","UseDPDF=Y")</f>
        <v>1.744</v>
      </c>
      <c r="R12" s="13">
        <f>_xll.BDH("ITCI US Equity","ARD_OTHER_NON_CASH_ITEMS","FQ3 2022","FQ3 2022","Currency=USD","Period=FQ","BEST_FPERIOD_OVERRIDE=FQ","FILING_STATUS=MR","SCALING_FORMAT=MLN","Sort=A","Dates=H","DateFormat=P","Fill=—","Direction=H","UseDPDF=Y")</f>
        <v>6.8000000000000005E-2</v>
      </c>
      <c r="S12" s="13">
        <f>_xll.BDH("ITCI US Equity","ARD_OTHER_NON_CASH_ITEMS","FQ4 2022","FQ4 2022","Currency=USD","Period=FQ","BEST_FPERIOD_OVERRIDE=FQ","FILING_STATUS=MR","SCALING_FORMAT=MLN","Sort=A","Dates=H","DateFormat=P","Fill=—","Direction=H","UseDPDF=Y")</f>
        <v>0.66400000000000003</v>
      </c>
      <c r="T12" s="13">
        <f>_xll.BDH("ITCI US Equity","ARD_OTHER_NON_CASH_ITEMS","FQ1 2023","FQ1 2023","Currency=USD","Period=FQ","BEST_FPERIOD_OVERRIDE=FQ","FILING_STATUS=MR","SCALING_FORMAT=MLN","Sort=A","Dates=H","DateFormat=P","Fill=—","Direction=H","UseDPDF=Y")</f>
        <v>2.1999999999999999E-2</v>
      </c>
      <c r="U12" s="13">
        <f>_xll.BDH("ITCI US Equity","ARD_OTHER_NON_CASH_ITEMS","FQ2 2023","FQ2 2023","Currency=USD","Period=FQ","BEST_FPERIOD_OVERRIDE=FQ","FILING_STATUS=MR","SCALING_FORMAT=MLN","Sort=A","Dates=H","DateFormat=P","Fill=—","Direction=H","UseDPDF=Y")</f>
        <v>-0.96899999999999997</v>
      </c>
      <c r="V12" s="13">
        <f>_xll.BDH("ITCI US Equity","ARD_OTHER_NON_CASH_ITEMS","FQ3 2023","FQ3 2023","Currency=USD","Period=FQ","BEST_FPERIOD_OVERRIDE=FQ","FILING_STATUS=MR","SCALING_FORMAT=MLN","Sort=A","Dates=H","DateFormat=P","Fill=—","Direction=H","UseDPDF=Y")</f>
        <v>6.9000000000000006E-2</v>
      </c>
      <c r="W12" s="13">
        <f>_xll.BDH("ITCI US Equity","ARD_OTHER_NON_CASH_ITEMS","FQ4 2023","FQ4 2023","Currency=USD","Period=FQ","BEST_FPERIOD_OVERRIDE=FQ","FILING_STATUS=MR","SCALING_FORMAT=MLN","Sort=A","Dates=H","DateFormat=P","Fill=—","Direction=H","UseDPDF=Y")</f>
        <v>-1.115</v>
      </c>
      <c r="X12" s="13">
        <f>_xll.BDH("ITCI US Equity","ARD_OTHER_NON_CASH_ITEMS","FQ1 2024","FQ1 2024","Currency=USD","Period=FQ","BEST_FPERIOD_OVERRIDE=FQ","FILING_STATUS=MR","SCALING_FORMAT=MLN","Sort=A","Dates=H","DateFormat=P","Fill=—","Direction=H","UseDPDF=Y")</f>
        <v>2.3E-2</v>
      </c>
      <c r="Y12" s="13">
        <f>_xll.BDH("ITCI US Equity","ARD_OTHER_NON_CASH_ITEMS","FQ2 2024","FQ2 2024","Currency=USD","Period=FQ","BEST_FPERIOD_OVERRIDE=FQ","FILING_STATUS=MR","SCALING_FORMAT=MLN","Sort=A","Dates=H","DateFormat=P","Fill=—","Direction=H","UseDPDF=Y")</f>
        <v>4.5999999999999999E-2</v>
      </c>
      <c r="Z12" s="13">
        <f>_xll.BDH("ITCI US Equity","ARD_OTHER_NON_CASH_ITEMS","FQ3 2024","FQ3 2024","Currency=USD","Period=FQ","BEST_FPERIOD_OVERRIDE=FQ","FILING_STATUS=MR","SCALING_FORMAT=MLN","Sort=A","Dates=H","DateFormat=P","Fill=—","Direction=H","UseDPDF=Y")</f>
        <v>6.4000000000000001E-2</v>
      </c>
      <c r="AA12" s="13">
        <f>_xll.BDH("ITCI US Equity","ARD_OTHER_NON_CASH_ITEMS","FQ4 2024","FQ4 2024","Currency=USD","Period=FQ","BEST_FPERIOD_OVERRIDE=FQ","FILING_STATUS=MR","SCALING_FORMAT=MLN","Sort=A","Dates=H","DateFormat=P","Fill=—","Direction=H","UseDPDF=Y")</f>
        <v>-0.375</v>
      </c>
    </row>
    <row r="13" spans="1:27" x14ac:dyDescent="0.25">
      <c r="A13" s="10" t="s">
        <v>1029</v>
      </c>
      <c r="B13" s="10" t="s">
        <v>1030</v>
      </c>
      <c r="C13" s="13" t="str">
        <f>_xll.BDH("ITCI US Equity","ARD_CHANGE_IN_INVENTORIES","FQ4 2018","FQ4 2018","Currency=USD","Period=FQ","BEST_FPERIOD_OVERRIDE=FQ","FILING_STATUS=MR","SCALING_FORMAT=MLN","Sort=A","Dates=H","DateFormat=P","Fill=—","Direction=H","UseDPDF=Y")</f>
        <v>—</v>
      </c>
      <c r="D13" s="13" t="str">
        <f>_xll.BDH("ITCI US Equity","ARD_CHANGE_IN_INVENTORIES","FQ1 2019","FQ1 2019","Currency=USD","Period=FQ","BEST_FPERIOD_OVERRIDE=FQ","FILING_STATUS=MR","SCALING_FORMAT=MLN","Sort=A","Dates=H","DateFormat=P","Fill=—","Direction=H","UseDPDF=Y")</f>
        <v>—</v>
      </c>
      <c r="E13" s="13" t="str">
        <f>_xll.BDH("ITCI US Equity","ARD_CHANGE_IN_INVENTORIES","FQ2 2019","FQ2 2019","Currency=USD","Period=FQ","BEST_FPERIOD_OVERRIDE=FQ","FILING_STATUS=MR","SCALING_FORMAT=MLN","Sort=A","Dates=H","DateFormat=P","Fill=—","Direction=H","UseDPDF=Y")</f>
        <v>—</v>
      </c>
      <c r="F13" s="13" t="str">
        <f>_xll.BDH("ITCI US Equity","ARD_CHANGE_IN_INVENTORIES","FQ3 2019","FQ3 2019","Currency=USD","Period=FQ","BEST_FPERIOD_OVERRIDE=FQ","FILING_STATUS=MR","SCALING_FORMAT=MLN","Sort=A","Dates=H","DateFormat=P","Fill=—","Direction=H","UseDPDF=Y")</f>
        <v>—</v>
      </c>
      <c r="G13" s="13" t="str">
        <f>_xll.BDH("ITCI US Equity","ARD_CHANGE_IN_INVENTORIES","FQ4 2019","FQ4 2019","Currency=USD","Period=FQ","BEST_FPERIOD_OVERRIDE=FQ","FILING_STATUS=MR","SCALING_FORMAT=MLN","Sort=A","Dates=H","DateFormat=P","Fill=—","Direction=H","UseDPDF=Y")</f>
        <v>—</v>
      </c>
      <c r="H13" s="13">
        <f>_xll.BDH("ITCI US Equity","ARD_CHANGE_IN_INVENTORIES","FQ1 2020","FQ1 2020","Currency=USD","Period=FQ","BEST_FPERIOD_OVERRIDE=FQ","FILING_STATUS=MR","SCALING_FORMAT=MLN","Sort=A","Dates=H","DateFormat=P","Fill=—","Direction=H","UseDPDF=Y")</f>
        <v>-1.3911</v>
      </c>
      <c r="I13" s="13">
        <f>_xll.BDH("ITCI US Equity","ARD_CHANGE_IN_INVENTORIES","FQ2 2020","FQ2 2020","Currency=USD","Period=FQ","BEST_FPERIOD_OVERRIDE=FQ","FILING_STATUS=MR","SCALING_FORMAT=MLN","Sort=A","Dates=H","DateFormat=P","Fill=—","Direction=H","UseDPDF=Y")</f>
        <v>-2.335</v>
      </c>
      <c r="J13" s="13">
        <f>_xll.BDH("ITCI US Equity","ARD_CHANGE_IN_INVENTORIES","FQ3 2020","FQ3 2020","Currency=USD","Period=FQ","BEST_FPERIOD_OVERRIDE=FQ","FILING_STATUS=MR","SCALING_FORMAT=MLN","Sort=A","Dates=H","DateFormat=P","Fill=—","Direction=H","UseDPDF=Y")</f>
        <v>-2.9470999999999998</v>
      </c>
      <c r="K13" s="13">
        <f>_xll.BDH("ITCI US Equity","ARD_CHANGE_IN_INVENTORIES","FQ4 2020","FQ4 2020","Currency=USD","Period=FQ","BEST_FPERIOD_OVERRIDE=FQ","FILING_STATUS=MR","SCALING_FORMAT=MLN","Sort=A","Dates=H","DateFormat=P","Fill=—","Direction=H","UseDPDF=Y")</f>
        <v>-7.0564</v>
      </c>
      <c r="L13" s="13">
        <f>_xll.BDH("ITCI US Equity","ARD_CHANGE_IN_INVENTORIES","FQ1 2021","FQ1 2021","Currency=USD","Period=FQ","BEST_FPERIOD_OVERRIDE=FQ","FILING_STATUS=MR","SCALING_FORMAT=MLN","Sort=A","Dates=H","DateFormat=P","Fill=—","Direction=H","UseDPDF=Y")</f>
        <v>-0.52300000000000002</v>
      </c>
      <c r="M13" s="13">
        <f>_xll.BDH("ITCI US Equity","ARD_CHANGE_IN_INVENTORIES","FQ2 2021","FQ2 2021","Currency=USD","Period=FQ","BEST_FPERIOD_OVERRIDE=FQ","FILING_STATUS=MR","SCALING_FORMAT=MLN","Sort=A","Dates=H","DateFormat=P","Fill=—","Direction=H","UseDPDF=Y")</f>
        <v>-0.71250000000000002</v>
      </c>
      <c r="N13" s="13">
        <f>_xll.BDH("ITCI US Equity","ARD_CHANGE_IN_INVENTORIES","FQ3 2021","FQ3 2021","Currency=USD","Period=FQ","BEST_FPERIOD_OVERRIDE=FQ","FILING_STATUS=MR","SCALING_FORMAT=MLN","Sort=A","Dates=H","DateFormat=P","Fill=—","Direction=H","UseDPDF=Y")</f>
        <v>-1.1106</v>
      </c>
      <c r="O13" s="13">
        <f>_xll.BDH("ITCI US Equity","ARD_CHANGE_IN_INVENTORIES","FQ4 2021","FQ4 2021","Currency=USD","Period=FQ","BEST_FPERIOD_OVERRIDE=FQ","FILING_STATUS=MR","SCALING_FORMAT=MLN","Sort=A","Dates=H","DateFormat=P","Fill=—","Direction=H","UseDPDF=Y")</f>
        <v>-0.89170000000000005</v>
      </c>
      <c r="P13" s="13">
        <f>_xll.BDH("ITCI US Equity","ARD_CHANGE_IN_INVENTORIES","FQ1 2022","FQ1 2022","Currency=USD","Period=FQ","BEST_FPERIOD_OVERRIDE=FQ","FILING_STATUS=MR","SCALING_FORMAT=MLN","Sort=A","Dates=H","DateFormat=P","Fill=—","Direction=H","UseDPDF=Y")</f>
        <v>5.5E-2</v>
      </c>
      <c r="Q13" s="13">
        <f>_xll.BDH("ITCI US Equity","ARD_CHANGE_IN_INVENTORIES","FQ2 2022","FQ2 2022","Currency=USD","Period=FQ","BEST_FPERIOD_OVERRIDE=FQ","FILING_STATUS=MR","SCALING_FORMAT=MLN","Sort=A","Dates=H","DateFormat=P","Fill=—","Direction=H","UseDPDF=Y")</f>
        <v>-17.074000000000002</v>
      </c>
      <c r="R13" s="13">
        <f>_xll.BDH("ITCI US Equity","ARD_CHANGE_IN_INVENTORIES","FQ3 2022","FQ3 2022","Currency=USD","Period=FQ","BEST_FPERIOD_OVERRIDE=FQ","FILING_STATUS=MR","SCALING_FORMAT=MLN","Sort=A","Dates=H","DateFormat=P","Fill=—","Direction=H","UseDPDF=Y")</f>
        <v>-15.648999999999999</v>
      </c>
      <c r="S13" s="13">
        <f>_xll.BDH("ITCI US Equity","ARD_CHANGE_IN_INVENTORIES","FQ4 2022","FQ4 2022","Currency=USD","Period=FQ","BEST_FPERIOD_OVERRIDE=FQ","FILING_STATUS=MR","SCALING_FORMAT=MLN","Sort=A","Dates=H","DateFormat=P","Fill=—","Direction=H","UseDPDF=Y")</f>
        <v>-15.972</v>
      </c>
      <c r="T13" s="13">
        <f>_xll.BDH("ITCI US Equity","ARD_CHANGE_IN_INVENTORIES","FQ1 2023","FQ1 2023","Currency=USD","Period=FQ","BEST_FPERIOD_OVERRIDE=FQ","FILING_STATUS=MR","SCALING_FORMAT=MLN","Sort=A","Dates=H","DateFormat=P","Fill=—","Direction=H","UseDPDF=Y")</f>
        <v>-4.4210000000000003</v>
      </c>
      <c r="U13" s="13">
        <f>_xll.BDH("ITCI US Equity","ARD_CHANGE_IN_INVENTORIES","FQ2 2023","FQ2 2023","Currency=USD","Period=FQ","BEST_FPERIOD_OVERRIDE=FQ","FILING_STATUS=MR","SCALING_FORMAT=MLN","Sort=A","Dates=H","DateFormat=P","Fill=—","Direction=H","UseDPDF=Y")</f>
        <v>-17.975000000000001</v>
      </c>
      <c r="V13" s="13">
        <f>_xll.BDH("ITCI US Equity","ARD_CHANGE_IN_INVENTORIES","FQ3 2023","FQ3 2023","Currency=USD","Period=FQ","BEST_FPERIOD_OVERRIDE=FQ","FILING_STATUS=MR","SCALING_FORMAT=MLN","Sort=A","Dates=H","DateFormat=P","Fill=—","Direction=H","UseDPDF=Y")</f>
        <v>-19.065999999999999</v>
      </c>
      <c r="W13" s="13">
        <f>_xll.BDH("ITCI US Equity","ARD_CHANGE_IN_INVENTORIES","FQ4 2023","FQ4 2023","Currency=USD","Period=FQ","BEST_FPERIOD_OVERRIDE=FQ","FILING_STATUS=MR","SCALING_FORMAT=MLN","Sort=A","Dates=H","DateFormat=P","Fill=—","Direction=H","UseDPDF=Y")</f>
        <v>-26.347999999999999</v>
      </c>
      <c r="X13" s="13">
        <f>_xll.BDH("ITCI US Equity","ARD_CHANGE_IN_INVENTORIES","FQ1 2024","FQ1 2024","Currency=USD","Period=FQ","BEST_FPERIOD_OVERRIDE=FQ","FILING_STATUS=MR","SCALING_FORMAT=MLN","Sort=A","Dates=H","DateFormat=P","Fill=—","Direction=H","UseDPDF=Y")</f>
        <v>-0.499</v>
      </c>
      <c r="Y13" s="13">
        <f>_xll.BDH("ITCI US Equity","ARD_CHANGE_IN_INVENTORIES","FQ2 2024","FQ2 2024","Currency=USD","Period=FQ","BEST_FPERIOD_OVERRIDE=FQ","FILING_STATUS=MR","SCALING_FORMAT=MLN","Sort=A","Dates=H","DateFormat=P","Fill=—","Direction=H","UseDPDF=Y")</f>
        <v>-2.3759999999999999</v>
      </c>
      <c r="Z13" s="13">
        <f>_xll.BDH("ITCI US Equity","ARD_CHANGE_IN_INVENTORIES","FQ3 2024","FQ3 2024","Currency=USD","Period=FQ","BEST_FPERIOD_OVERRIDE=FQ","FILING_STATUS=MR","SCALING_FORMAT=MLN","Sort=A","Dates=H","DateFormat=P","Fill=—","Direction=H","UseDPDF=Y")</f>
        <v>-3.75</v>
      </c>
      <c r="AA13" s="13">
        <f>_xll.BDH("ITCI US Equity","ARD_CHANGE_IN_INVENTORIES","FQ4 2024","FQ4 2024","Currency=USD","Period=FQ","BEST_FPERIOD_OVERRIDE=FQ","FILING_STATUS=MR","SCALING_FORMAT=MLN","Sort=A","Dates=H","DateFormat=P","Fill=—","Direction=H","UseDPDF=Y")</f>
        <v>-14.904999999999999</v>
      </c>
    </row>
    <row r="14" spans="1:27" x14ac:dyDescent="0.25">
      <c r="A14" s="10" t="s">
        <v>1031</v>
      </c>
      <c r="B14" s="10" t="s">
        <v>1032</v>
      </c>
      <c r="C14" s="13">
        <f>_xll.BDH("ITCI US Equity","ARD_CHANGE_IN_ACCOUNTS_PAYABLE","FQ4 2018","FQ4 2018","Currency=USD","Period=FQ","BEST_FPERIOD_OVERRIDE=FQ","FILING_STATUS=MR","SCALING_FORMAT=MLN","Sort=A","Dates=H","DateFormat=P","Fill=—","Direction=H","UseDPDF=Y")</f>
        <v>7.7874999999999996</v>
      </c>
      <c r="D14" s="13">
        <f>_xll.BDH("ITCI US Equity","ARD_CHANGE_IN_ACCOUNTS_PAYABLE","FQ1 2019","FQ1 2019","Currency=USD","Period=FQ","BEST_FPERIOD_OVERRIDE=FQ","FILING_STATUS=MR","SCALING_FORMAT=MLN","Sort=A","Dates=H","DateFormat=P","Fill=—","Direction=H","UseDPDF=Y")</f>
        <v>-5.3865999999999996</v>
      </c>
      <c r="E14" s="13">
        <f>_xll.BDH("ITCI US Equity","ARD_CHANGE_IN_ACCOUNTS_PAYABLE","FQ2 2019","FQ2 2019","Currency=USD","Period=FQ","BEST_FPERIOD_OVERRIDE=FQ","FILING_STATUS=MR","SCALING_FORMAT=MLN","Sort=A","Dates=H","DateFormat=P","Fill=—","Direction=H","UseDPDF=Y")</f>
        <v>-8.3283000000000005</v>
      </c>
      <c r="F14" s="13">
        <f>_xll.BDH("ITCI US Equity","ARD_CHANGE_IN_ACCOUNTS_PAYABLE","FQ3 2019","FQ3 2019","Currency=USD","Period=FQ","BEST_FPERIOD_OVERRIDE=FQ","FILING_STATUS=MR","SCALING_FORMAT=MLN","Sort=A","Dates=H","DateFormat=P","Fill=—","Direction=H","UseDPDF=Y")</f>
        <v>-7.7301000000000002</v>
      </c>
      <c r="G14" s="13">
        <f>_xll.BDH("ITCI US Equity","ARD_CHANGE_IN_ACCOUNTS_PAYABLE","FQ4 2019","FQ4 2019","Currency=USD","Period=FQ","BEST_FPERIOD_OVERRIDE=FQ","FILING_STATUS=MR","SCALING_FORMAT=MLN","Sort=A","Dates=H","DateFormat=P","Fill=—","Direction=H","UseDPDF=Y")</f>
        <v>-6.5359999999999996</v>
      </c>
      <c r="H14" s="13">
        <f>_xll.BDH("ITCI US Equity","ARD_CHANGE_IN_ACCOUNTS_PAYABLE","FQ1 2020","FQ1 2020","Currency=USD","Period=FQ","BEST_FPERIOD_OVERRIDE=FQ","FILING_STATUS=MR","SCALING_FORMAT=MLN","Sort=A","Dates=H","DateFormat=P","Fill=—","Direction=H","UseDPDF=Y")</f>
        <v>3.5691000000000002</v>
      </c>
      <c r="I14" s="13">
        <f>_xll.BDH("ITCI US Equity","ARD_CHANGE_IN_ACCOUNTS_PAYABLE","FQ2 2020","FQ2 2020","Currency=USD","Period=FQ","BEST_FPERIOD_OVERRIDE=FQ","FILING_STATUS=MR","SCALING_FORMAT=MLN","Sort=A","Dates=H","DateFormat=P","Fill=—","Direction=H","UseDPDF=Y")</f>
        <v>-1.952</v>
      </c>
      <c r="J14" s="13">
        <f>_xll.BDH("ITCI US Equity","ARD_CHANGE_IN_ACCOUNTS_PAYABLE","FQ3 2020","FQ3 2020","Currency=USD","Period=FQ","BEST_FPERIOD_OVERRIDE=FQ","FILING_STATUS=MR","SCALING_FORMAT=MLN","Sort=A","Dates=H","DateFormat=P","Fill=—","Direction=H","UseDPDF=Y")</f>
        <v>1.1440999999999999</v>
      </c>
      <c r="K14" s="13">
        <f>_xll.BDH("ITCI US Equity","ARD_CHANGE_IN_ACCOUNTS_PAYABLE","FQ4 2020","FQ4 2020","Currency=USD","Period=FQ","BEST_FPERIOD_OVERRIDE=FQ","FILING_STATUS=MR","SCALING_FORMAT=MLN","Sort=A","Dates=H","DateFormat=P","Fill=—","Direction=H","UseDPDF=Y")</f>
        <v>-1.9232</v>
      </c>
      <c r="L14" s="13">
        <f>_xll.BDH("ITCI US Equity","ARD_CHANGE_IN_ACCOUNTS_PAYABLE","FQ1 2021","FQ1 2021","Currency=USD","Period=FQ","BEST_FPERIOD_OVERRIDE=FQ","FILING_STATUS=MR","SCALING_FORMAT=MLN","Sort=A","Dates=H","DateFormat=P","Fill=—","Direction=H","UseDPDF=Y")</f>
        <v>3.2191000000000001</v>
      </c>
      <c r="M14" s="13">
        <f>_xll.BDH("ITCI US Equity","ARD_CHANGE_IN_ACCOUNTS_PAYABLE","FQ2 2021","FQ2 2021","Currency=USD","Period=FQ","BEST_FPERIOD_OVERRIDE=FQ","FILING_STATUS=MR","SCALING_FORMAT=MLN","Sort=A","Dates=H","DateFormat=P","Fill=—","Direction=H","UseDPDF=Y")</f>
        <v>10.4389</v>
      </c>
      <c r="N14" s="13">
        <f>_xll.BDH("ITCI US Equity","ARD_CHANGE_IN_ACCOUNTS_PAYABLE","FQ3 2021","FQ3 2021","Currency=USD","Period=FQ","BEST_FPERIOD_OVERRIDE=FQ","FILING_STATUS=MR","SCALING_FORMAT=MLN","Sort=A","Dates=H","DateFormat=P","Fill=—","Direction=H","UseDPDF=Y")</f>
        <v>6.5288000000000004</v>
      </c>
      <c r="O14" s="13">
        <f>_xll.BDH("ITCI US Equity","ARD_CHANGE_IN_ACCOUNTS_PAYABLE","FQ4 2021","FQ4 2021","Currency=USD","Period=FQ","BEST_FPERIOD_OVERRIDE=FQ","FILING_STATUS=MR","SCALING_FORMAT=MLN","Sort=A","Dates=H","DateFormat=P","Fill=—","Direction=H","UseDPDF=Y")</f>
        <v>3.1894</v>
      </c>
      <c r="P14" s="13">
        <f>_xll.BDH("ITCI US Equity","ARD_CHANGE_IN_ACCOUNTS_PAYABLE","FQ1 2022","FQ1 2022","Currency=USD","Period=FQ","BEST_FPERIOD_OVERRIDE=FQ","FILING_STATUS=MR","SCALING_FORMAT=MLN","Sort=A","Dates=H","DateFormat=P","Fill=—","Direction=H","UseDPDF=Y")</f>
        <v>2.9580000000000002</v>
      </c>
      <c r="Q14" s="13">
        <f>_xll.BDH("ITCI US Equity","ARD_CHANGE_IN_ACCOUNTS_PAYABLE","FQ2 2022","FQ2 2022","Currency=USD","Period=FQ","BEST_FPERIOD_OVERRIDE=FQ","FILING_STATUS=MR","SCALING_FORMAT=MLN","Sort=A","Dates=H","DateFormat=P","Fill=—","Direction=H","UseDPDF=Y")</f>
        <v>2.0579999999999998</v>
      </c>
      <c r="R14" s="13">
        <f>_xll.BDH("ITCI US Equity","ARD_CHANGE_IN_ACCOUNTS_PAYABLE","FQ3 2022","FQ3 2022","Currency=USD","Period=FQ","BEST_FPERIOD_OVERRIDE=FQ","FILING_STATUS=MR","SCALING_FORMAT=MLN","Sort=A","Dates=H","DateFormat=P","Fill=—","Direction=H","UseDPDF=Y")</f>
        <v>5.5279999999999996</v>
      </c>
      <c r="S14" s="13">
        <f>_xll.BDH("ITCI US Equity","ARD_CHANGE_IN_ACCOUNTS_PAYABLE","FQ4 2022","FQ4 2022","Currency=USD","Period=FQ","BEST_FPERIOD_OVERRIDE=FQ","FILING_STATUS=MR","SCALING_FORMAT=MLN","Sort=A","Dates=H","DateFormat=P","Fill=—","Direction=H","UseDPDF=Y")</f>
        <v>1.704</v>
      </c>
      <c r="T14" s="13">
        <f>_xll.BDH("ITCI US Equity","ARD_CHANGE_IN_ACCOUNTS_PAYABLE","FQ1 2023","FQ1 2023","Currency=USD","Period=FQ","BEST_FPERIOD_OVERRIDE=FQ","FILING_STATUS=MR","SCALING_FORMAT=MLN","Sort=A","Dates=H","DateFormat=P","Fill=—","Direction=H","UseDPDF=Y")</f>
        <v>-1.954</v>
      </c>
      <c r="U14" s="13">
        <f>_xll.BDH("ITCI US Equity","ARD_CHANGE_IN_ACCOUNTS_PAYABLE","FQ2 2023","FQ2 2023","Currency=USD","Period=FQ","BEST_FPERIOD_OVERRIDE=FQ","FILING_STATUS=MR","SCALING_FORMAT=MLN","Sort=A","Dates=H","DateFormat=P","Fill=—","Direction=H","UseDPDF=Y")</f>
        <v>-2.6619999999999999</v>
      </c>
      <c r="V14" s="13">
        <f>_xll.BDH("ITCI US Equity","ARD_CHANGE_IN_ACCOUNTS_PAYABLE","FQ3 2023","FQ3 2023","Currency=USD","Period=FQ","BEST_FPERIOD_OVERRIDE=FQ","FILING_STATUS=MR","SCALING_FORMAT=MLN","Sort=A","Dates=H","DateFormat=P","Fill=—","Direction=H","UseDPDF=Y")</f>
        <v>0.218</v>
      </c>
      <c r="W14" s="13">
        <f>_xll.BDH("ITCI US Equity","ARD_CHANGE_IN_ACCOUNTS_PAYABLE","FQ4 2023","FQ4 2023","Currency=USD","Period=FQ","BEST_FPERIOD_OVERRIDE=FQ","FILING_STATUS=MR","SCALING_FORMAT=MLN","Sort=A","Dates=H","DateFormat=P","Fill=—","Direction=H","UseDPDF=Y")</f>
        <v>1.0569999999999999</v>
      </c>
      <c r="X14" s="13">
        <f>_xll.BDH("ITCI US Equity","ARD_CHANGE_IN_ACCOUNTS_PAYABLE","FQ1 2024","FQ1 2024","Currency=USD","Period=FQ","BEST_FPERIOD_OVERRIDE=FQ","FILING_STATUS=MR","SCALING_FORMAT=MLN","Sort=A","Dates=H","DateFormat=P","Fill=—","Direction=H","UseDPDF=Y")</f>
        <v>0.08</v>
      </c>
      <c r="Y14" s="13">
        <f>_xll.BDH("ITCI US Equity","ARD_CHANGE_IN_ACCOUNTS_PAYABLE","FQ2 2024","FQ2 2024","Currency=USD","Period=FQ","BEST_FPERIOD_OVERRIDE=FQ","FILING_STATUS=MR","SCALING_FORMAT=MLN","Sort=A","Dates=H","DateFormat=P","Fill=—","Direction=H","UseDPDF=Y")</f>
        <v>6.0960000000000001</v>
      </c>
      <c r="Z14" s="13">
        <f>_xll.BDH("ITCI US Equity","ARD_CHANGE_IN_ACCOUNTS_PAYABLE","FQ3 2024","FQ3 2024","Currency=USD","Period=FQ","BEST_FPERIOD_OVERRIDE=FQ","FILING_STATUS=MR","SCALING_FORMAT=MLN","Sort=A","Dates=H","DateFormat=P","Fill=—","Direction=H","UseDPDF=Y")</f>
        <v>-1.1140000000000001</v>
      </c>
      <c r="AA14" s="13">
        <f>_xll.BDH("ITCI US Equity","ARD_CHANGE_IN_ACCOUNTS_PAYABLE","FQ4 2024","FQ4 2024","Currency=USD","Period=FQ","BEST_FPERIOD_OVERRIDE=FQ","FILING_STATUS=MR","SCALING_FORMAT=MLN","Sort=A","Dates=H","DateFormat=P","Fill=—","Direction=H","UseDPDF=Y")</f>
        <v>14.622</v>
      </c>
    </row>
    <row r="15" spans="1:27" x14ac:dyDescent="0.25">
      <c r="A15" s="10" t="s">
        <v>1033</v>
      </c>
      <c r="B15" s="10" t="s">
        <v>1034</v>
      </c>
      <c r="C15" s="13">
        <f>_xll.BDH("ITCI US Equity","ARD_CHG_IN_ACCOUNTS_RECEIVABLE","FQ4 2018","FQ4 2018","Currency=USD","Period=FQ","BEST_FPERIOD_OVERRIDE=FQ","FILING_STATUS=MR","SCALING_FORMAT=MLN","Sort=A","Dates=H","DateFormat=P","Fill=—","Direction=H","UseDPDF=Y")</f>
        <v>0</v>
      </c>
      <c r="D15" s="13" t="str">
        <f>_xll.BDH("ITCI US Equity","ARD_CHG_IN_ACCOUNTS_RECEIVABLE","FQ1 2019","FQ1 2019","Currency=USD","Period=FQ","BEST_FPERIOD_OVERRIDE=FQ","FILING_STATUS=MR","SCALING_FORMAT=MLN","Sort=A","Dates=H","DateFormat=P","Fill=—","Direction=H","UseDPDF=Y")</f>
        <v>—</v>
      </c>
      <c r="E15" s="13" t="str">
        <f>_xll.BDH("ITCI US Equity","ARD_CHG_IN_ACCOUNTS_RECEIVABLE","FQ2 2019","FQ2 2019","Currency=USD","Period=FQ","BEST_FPERIOD_OVERRIDE=FQ","FILING_STATUS=MR","SCALING_FORMAT=MLN","Sort=A","Dates=H","DateFormat=P","Fill=—","Direction=H","UseDPDF=Y")</f>
        <v>—</v>
      </c>
      <c r="F15" s="13" t="str">
        <f>_xll.BDH("ITCI US Equity","ARD_CHG_IN_ACCOUNTS_RECEIVABLE","FQ3 2019","FQ3 2019","Currency=USD","Period=FQ","BEST_FPERIOD_OVERRIDE=FQ","FILING_STATUS=MR","SCALING_FORMAT=MLN","Sort=A","Dates=H","DateFormat=P","Fill=—","Direction=H","UseDPDF=Y")</f>
        <v>—</v>
      </c>
      <c r="G15" s="13">
        <f>_xll.BDH("ITCI US Equity","ARD_CHG_IN_ACCOUNTS_RECEIVABLE","FQ4 2019","FQ4 2019","Currency=USD","Period=FQ","BEST_FPERIOD_OVERRIDE=FQ","FILING_STATUS=MR","SCALING_FORMAT=MLN","Sort=A","Dates=H","DateFormat=P","Fill=—","Direction=H","UseDPDF=Y")</f>
        <v>0</v>
      </c>
      <c r="H15" s="13">
        <f>_xll.BDH("ITCI US Equity","ARD_CHG_IN_ACCOUNTS_RECEIVABLE","FQ1 2020","FQ1 2020","Currency=USD","Period=FQ","BEST_FPERIOD_OVERRIDE=FQ","FILING_STATUS=MR","SCALING_FORMAT=MLN","Sort=A","Dates=H","DateFormat=P","Fill=—","Direction=H","UseDPDF=Y")</f>
        <v>-1.351</v>
      </c>
      <c r="I15" s="13">
        <f>_xll.BDH("ITCI US Equity","ARD_CHG_IN_ACCOUNTS_RECEIVABLE","FQ2 2020","FQ2 2020","Currency=USD","Period=FQ","BEST_FPERIOD_OVERRIDE=FQ","FILING_STATUS=MR","SCALING_FORMAT=MLN","Sort=A","Dates=H","DateFormat=P","Fill=—","Direction=H","UseDPDF=Y")</f>
        <v>-2.3532999999999999</v>
      </c>
      <c r="J15" s="13">
        <f>_xll.BDH("ITCI US Equity","ARD_CHG_IN_ACCOUNTS_RECEIVABLE","FQ3 2020","FQ3 2020","Currency=USD","Period=FQ","BEST_FPERIOD_OVERRIDE=FQ","FILING_STATUS=MR","SCALING_FORMAT=MLN","Sort=A","Dates=H","DateFormat=P","Fill=—","Direction=H","UseDPDF=Y")</f>
        <v>-7.4805999999999999</v>
      </c>
      <c r="K15" s="13">
        <f>_xll.BDH("ITCI US Equity","ARD_CHG_IN_ACCOUNTS_RECEIVABLE","FQ4 2020","FQ4 2020","Currency=USD","Period=FQ","BEST_FPERIOD_OVERRIDE=FQ","FILING_STATUS=MR","SCALING_FORMAT=MLN","Sort=A","Dates=H","DateFormat=P","Fill=—","Direction=H","UseDPDF=Y")</f>
        <v>-10.7646</v>
      </c>
      <c r="L15" s="13">
        <f>_xll.BDH("ITCI US Equity","ARD_CHG_IN_ACCOUNTS_RECEIVABLE","FQ1 2021","FQ1 2021","Currency=USD","Period=FQ","BEST_FPERIOD_OVERRIDE=FQ","FILING_STATUS=MR","SCALING_FORMAT=MLN","Sort=A","Dates=H","DateFormat=P","Fill=—","Direction=H","UseDPDF=Y")</f>
        <v>-2.8974000000000002</v>
      </c>
      <c r="M15" s="13">
        <f>_xll.BDH("ITCI US Equity","ARD_CHG_IN_ACCOUNTS_RECEIVABLE","FQ2 2021","FQ2 2021","Currency=USD","Period=FQ","BEST_FPERIOD_OVERRIDE=FQ","FILING_STATUS=MR","SCALING_FORMAT=MLN","Sort=A","Dates=H","DateFormat=P","Fill=—","Direction=H","UseDPDF=Y")</f>
        <v>-4.4231999999999996</v>
      </c>
      <c r="N15" s="13">
        <f>_xll.BDH("ITCI US Equity","ARD_CHG_IN_ACCOUNTS_RECEIVABLE","FQ3 2021","FQ3 2021","Currency=USD","Period=FQ","BEST_FPERIOD_OVERRIDE=FQ","FILING_STATUS=MR","SCALING_FORMAT=MLN","Sort=A","Dates=H","DateFormat=P","Fill=—","Direction=H","UseDPDF=Y")</f>
        <v>-6.1698000000000004</v>
      </c>
      <c r="O15" s="13">
        <f>_xll.BDH("ITCI US Equity","ARD_CHG_IN_ACCOUNTS_RECEIVABLE","FQ4 2021","FQ4 2021","Currency=USD","Period=FQ","BEST_FPERIOD_OVERRIDE=FQ","FILING_STATUS=MR","SCALING_FORMAT=MLN","Sort=A","Dates=H","DateFormat=P","Fill=—","Direction=H","UseDPDF=Y")</f>
        <v>-9.3914000000000009</v>
      </c>
      <c r="P15" s="13">
        <f>_xll.BDH("ITCI US Equity","ARD_CHG_IN_ACCOUNTS_RECEIVABLE","FQ1 2022","FQ1 2022","Currency=USD","Period=FQ","BEST_FPERIOD_OVERRIDE=FQ","FILING_STATUS=MR","SCALING_FORMAT=MLN","Sort=A","Dates=H","DateFormat=P","Fill=—","Direction=H","UseDPDF=Y")</f>
        <v>-12.676</v>
      </c>
      <c r="Q15" s="13">
        <f>_xll.BDH("ITCI US Equity","ARD_CHG_IN_ACCOUNTS_RECEIVABLE","FQ2 2022","FQ2 2022","Currency=USD","Period=FQ","BEST_FPERIOD_OVERRIDE=FQ","FILING_STATUS=MR","SCALING_FORMAT=MLN","Sort=A","Dates=H","DateFormat=P","Fill=—","Direction=H","UseDPDF=Y")</f>
        <v>-26.82</v>
      </c>
      <c r="R15" s="13">
        <f>_xll.BDH("ITCI US Equity","ARD_CHG_IN_ACCOUNTS_RECEIVABLE","FQ3 2022","FQ3 2022","Currency=USD","Period=FQ","BEST_FPERIOD_OVERRIDE=FQ","FILING_STATUS=MR","SCALING_FORMAT=MLN","Sort=A","Dates=H","DateFormat=P","Fill=—","Direction=H","UseDPDF=Y")</f>
        <v>-41.381999999999998</v>
      </c>
      <c r="S15" s="13">
        <f>_xll.BDH("ITCI US Equity","ARD_CHG_IN_ACCOUNTS_RECEIVABLE","FQ4 2022","FQ4 2022","Currency=USD","Period=FQ","BEST_FPERIOD_OVERRIDE=FQ","FILING_STATUS=MR","SCALING_FORMAT=MLN","Sort=A","Dates=H","DateFormat=P","Fill=—","Direction=H","UseDPDF=Y")</f>
        <v>-55.033000000000001</v>
      </c>
      <c r="T15" s="13">
        <f>_xll.BDH("ITCI US Equity","ARD_CHG_IN_ACCOUNTS_RECEIVABLE","FQ1 2023","FQ1 2023","Currency=USD","Period=FQ","BEST_FPERIOD_OVERRIDE=FQ","FILING_STATUS=MR","SCALING_FORMAT=MLN","Sort=A","Dates=H","DateFormat=P","Fill=—","Direction=H","UseDPDF=Y")</f>
        <v>-6.3559999999999999</v>
      </c>
      <c r="U15" s="13">
        <f>_xll.BDH("ITCI US Equity","ARD_CHG_IN_ACCOUNTS_RECEIVABLE","FQ2 2023","FQ2 2023","Currency=USD","Period=FQ","BEST_FPERIOD_OVERRIDE=FQ","FILING_STATUS=MR","SCALING_FORMAT=MLN","Sort=A","Dates=H","DateFormat=P","Fill=—","Direction=H","UseDPDF=Y")</f>
        <v>-20.774999999999999</v>
      </c>
      <c r="V15" s="13">
        <f>_xll.BDH("ITCI US Equity","ARD_CHG_IN_ACCOUNTS_RECEIVABLE","FQ3 2023","FQ3 2023","Currency=USD","Period=FQ","BEST_FPERIOD_OVERRIDE=FQ","FILING_STATUS=MR","SCALING_FORMAT=MLN","Sort=A","Dates=H","DateFormat=P","Fill=—","Direction=H","UseDPDF=Y")</f>
        <v>-27.481000000000002</v>
      </c>
      <c r="W15" s="13">
        <f>_xll.BDH("ITCI US Equity","ARD_CHG_IN_ACCOUNTS_RECEIVABLE","FQ4 2023","FQ4 2023","Currency=USD","Period=FQ","BEST_FPERIOD_OVERRIDE=FQ","FILING_STATUS=MR","SCALING_FORMAT=MLN","Sort=A","Dates=H","DateFormat=P","Fill=—","Direction=H","UseDPDF=Y")</f>
        <v>-38.829000000000001</v>
      </c>
      <c r="X15" s="13">
        <f>_xll.BDH("ITCI US Equity","ARD_CHG_IN_ACCOUNTS_RECEIVABLE","FQ1 2024","FQ1 2024","Currency=USD","Period=FQ","BEST_FPERIOD_OVERRIDE=FQ","FILING_STATUS=MR","SCALING_FORMAT=MLN","Sort=A","Dates=H","DateFormat=P","Fill=—","Direction=H","UseDPDF=Y")</f>
        <v>-17.138999999999999</v>
      </c>
      <c r="Y15" s="13">
        <f>_xll.BDH("ITCI US Equity","ARD_CHG_IN_ACCOUNTS_RECEIVABLE","FQ2 2024","FQ2 2024","Currency=USD","Period=FQ","BEST_FPERIOD_OVERRIDE=FQ","FILING_STATUS=MR","SCALING_FORMAT=MLN","Sort=A","Dates=H","DateFormat=P","Fill=—","Direction=H","UseDPDF=Y")</f>
        <v>-31.696000000000002</v>
      </c>
      <c r="Z15" s="13">
        <f>_xll.BDH("ITCI US Equity","ARD_CHG_IN_ACCOUNTS_RECEIVABLE","FQ3 2024","FQ3 2024","Currency=USD","Period=FQ","BEST_FPERIOD_OVERRIDE=FQ","FILING_STATUS=MR","SCALING_FORMAT=MLN","Sort=A","Dates=H","DateFormat=P","Fill=—","Direction=H","UseDPDF=Y")</f>
        <v>-31.59</v>
      </c>
      <c r="AA15" s="13">
        <f>_xll.BDH("ITCI US Equity","ARD_CHG_IN_ACCOUNTS_RECEIVABLE","FQ4 2024","FQ4 2024","Currency=USD","Period=FQ","BEST_FPERIOD_OVERRIDE=FQ","FILING_STATUS=MR","SCALING_FORMAT=MLN","Sort=A","Dates=H","DateFormat=P","Fill=—","Direction=H","UseDPDF=Y")</f>
        <v>-52.481999999999999</v>
      </c>
    </row>
    <row r="16" spans="1:27" x14ac:dyDescent="0.25">
      <c r="A16" s="10" t="s">
        <v>1035</v>
      </c>
      <c r="B16" s="10" t="s">
        <v>1036</v>
      </c>
      <c r="C16" s="13">
        <f>_xll.BDH("ITCI US Equity","ARD_CHANGE_IN_PREPAID_EXP","FQ4 2018","FQ4 2018","Currency=USD","Period=FQ","BEST_FPERIOD_OVERRIDE=FQ","FILING_STATUS=MR","SCALING_FORMAT=MLN","Sort=A","Dates=H","DateFormat=P","Fill=—","Direction=H","UseDPDF=Y")</f>
        <v>-3.0268999999999999</v>
      </c>
      <c r="D16" s="13">
        <f>_xll.BDH("ITCI US Equity","ARD_CHANGE_IN_PREPAID_EXP","FQ1 2019","FQ1 2019","Currency=USD","Period=FQ","BEST_FPERIOD_OVERRIDE=FQ","FILING_STATUS=MR","SCALING_FORMAT=MLN","Sort=A","Dates=H","DateFormat=P","Fill=—","Direction=H","UseDPDF=Y")</f>
        <v>-0.52610000000000001</v>
      </c>
      <c r="E16" s="13">
        <f>_xll.BDH("ITCI US Equity","ARD_CHANGE_IN_PREPAID_EXP","FQ2 2019","FQ2 2019","Currency=USD","Period=FQ","BEST_FPERIOD_OVERRIDE=FQ","FILING_STATUS=MR","SCALING_FORMAT=MLN","Sort=A","Dates=H","DateFormat=P","Fill=—","Direction=H","UseDPDF=Y")</f>
        <v>4.7374000000000001</v>
      </c>
      <c r="F16" s="13">
        <f>_xll.BDH("ITCI US Equity","ARD_CHANGE_IN_PREPAID_EXP","FQ3 2019","FQ3 2019","Currency=USD","Period=FQ","BEST_FPERIOD_OVERRIDE=FQ","FILING_STATUS=MR","SCALING_FORMAT=MLN","Sort=A","Dates=H","DateFormat=P","Fill=—","Direction=H","UseDPDF=Y")</f>
        <v>4.0204000000000004</v>
      </c>
      <c r="G16" s="13">
        <f>_xll.BDH("ITCI US Equity","ARD_CHANGE_IN_PREPAID_EXP","FQ4 2019","FQ4 2019","Currency=USD","Period=FQ","BEST_FPERIOD_OVERRIDE=FQ","FILING_STATUS=MR","SCALING_FORMAT=MLN","Sort=A","Dates=H","DateFormat=P","Fill=—","Direction=H","UseDPDF=Y")</f>
        <v>1.4654</v>
      </c>
      <c r="H16" s="13">
        <f>_xll.BDH("ITCI US Equity","ARD_CHANGE_IN_PREPAID_EXP","FQ1 2020","FQ1 2020","Currency=USD","Period=FQ","BEST_FPERIOD_OVERRIDE=FQ","FILING_STATUS=MR","SCALING_FORMAT=MLN","Sort=A","Dates=H","DateFormat=P","Fill=—","Direction=H","UseDPDF=Y")</f>
        <v>-1.5626</v>
      </c>
      <c r="I16" s="13">
        <f>_xll.BDH("ITCI US Equity","ARD_CHANGE_IN_PREPAID_EXP","FQ2 2020","FQ2 2020","Currency=USD","Period=FQ","BEST_FPERIOD_OVERRIDE=FQ","FILING_STATUS=MR","SCALING_FORMAT=MLN","Sort=A","Dates=H","DateFormat=P","Fill=—","Direction=H","UseDPDF=Y")</f>
        <v>1.5876999999999999</v>
      </c>
      <c r="J16" s="13">
        <f>_xll.BDH("ITCI US Equity","ARD_CHANGE_IN_PREPAID_EXP","FQ3 2020","FQ3 2020","Currency=USD","Period=FQ","BEST_FPERIOD_OVERRIDE=FQ","FILING_STATUS=MR","SCALING_FORMAT=MLN","Sort=A","Dates=H","DateFormat=P","Fill=—","Direction=H","UseDPDF=Y")</f>
        <v>-4.7770000000000001</v>
      </c>
      <c r="K16" s="13">
        <f>_xll.BDH("ITCI US Equity","ARD_CHANGE_IN_PREPAID_EXP","FQ4 2020","FQ4 2020","Currency=USD","Period=FQ","BEST_FPERIOD_OVERRIDE=FQ","FILING_STATUS=MR","SCALING_FORMAT=MLN","Sort=A","Dates=H","DateFormat=P","Fill=—","Direction=H","UseDPDF=Y")</f>
        <v>-7.9217000000000004</v>
      </c>
      <c r="L16" s="13">
        <f>_xll.BDH("ITCI US Equity","ARD_CHANGE_IN_PREPAID_EXP","FQ1 2021","FQ1 2021","Currency=USD","Period=FQ","BEST_FPERIOD_OVERRIDE=FQ","FILING_STATUS=MR","SCALING_FORMAT=MLN","Sort=A","Dates=H","DateFormat=P","Fill=—","Direction=H","UseDPDF=Y")</f>
        <v>-0.25890000000000002</v>
      </c>
      <c r="M16" s="13">
        <f>_xll.BDH("ITCI US Equity","ARD_CHANGE_IN_PREPAID_EXP","FQ2 2021","FQ2 2021","Currency=USD","Period=FQ","BEST_FPERIOD_OVERRIDE=FQ","FILING_STATUS=MR","SCALING_FORMAT=MLN","Sort=A","Dates=H","DateFormat=P","Fill=—","Direction=H","UseDPDF=Y")</f>
        <v>-7.9537000000000004</v>
      </c>
      <c r="N16" s="13">
        <f>_xll.BDH("ITCI US Equity","ARD_CHANGE_IN_PREPAID_EXP","FQ3 2021","FQ3 2021","Currency=USD","Period=FQ","BEST_FPERIOD_OVERRIDE=FQ","FILING_STATUS=MR","SCALING_FORMAT=MLN","Sort=A","Dates=H","DateFormat=P","Fill=—","Direction=H","UseDPDF=Y")</f>
        <v>-15.222</v>
      </c>
      <c r="O16" s="13">
        <f>_xll.BDH("ITCI US Equity","ARD_CHANGE_IN_PREPAID_EXP","FQ4 2021","FQ4 2021","Currency=USD","Period=FQ","BEST_FPERIOD_OVERRIDE=FQ","FILING_STATUS=MR","SCALING_FORMAT=MLN","Sort=A","Dates=H","DateFormat=P","Fill=—","Direction=H","UseDPDF=Y")</f>
        <v>-11.2079</v>
      </c>
      <c r="P16" s="13">
        <f>_xll.BDH("ITCI US Equity","ARD_CHANGE_IN_PREPAID_EXP","FQ1 2022","FQ1 2022","Currency=USD","Period=FQ","BEST_FPERIOD_OVERRIDE=FQ","FILING_STATUS=MR","SCALING_FORMAT=MLN","Sort=A","Dates=H","DateFormat=P","Fill=—","Direction=H","UseDPDF=Y")</f>
        <v>-8.9269999999999996</v>
      </c>
      <c r="Q16" s="13">
        <f>_xll.BDH("ITCI US Equity","ARD_CHANGE_IN_PREPAID_EXP","FQ2 2022","FQ2 2022","Currency=USD","Period=FQ","BEST_FPERIOD_OVERRIDE=FQ","FILING_STATUS=MR","SCALING_FORMAT=MLN","Sort=A","Dates=H","DateFormat=P","Fill=—","Direction=H","UseDPDF=Y")</f>
        <v>-12.535</v>
      </c>
      <c r="R16" s="13">
        <f>_xll.BDH("ITCI US Equity","ARD_CHANGE_IN_PREPAID_EXP","FQ3 2022","FQ3 2022","Currency=USD","Period=FQ","BEST_FPERIOD_OVERRIDE=FQ","FILING_STATUS=MR","SCALING_FORMAT=MLN","Sort=A","Dates=H","DateFormat=P","Fill=—","Direction=H","UseDPDF=Y")</f>
        <v>-18.686</v>
      </c>
      <c r="S16" s="13">
        <f>_xll.BDH("ITCI US Equity","ARD_CHANGE_IN_PREPAID_EXP","FQ4 2022","FQ4 2022","Currency=USD","Period=FQ","BEST_FPERIOD_OVERRIDE=FQ","FILING_STATUS=MR","SCALING_FORMAT=MLN","Sort=A","Dates=H","DateFormat=P","Fill=—","Direction=H","UseDPDF=Y")</f>
        <v>-19.748999999999999</v>
      </c>
      <c r="T16" s="13">
        <f>_xll.BDH("ITCI US Equity","ARD_CHANGE_IN_PREPAID_EXP","FQ1 2023","FQ1 2023","Currency=USD","Period=FQ","BEST_FPERIOD_OVERRIDE=FQ","FILING_STATUS=MR","SCALING_FORMAT=MLN","Sort=A","Dates=H","DateFormat=P","Fill=—","Direction=H","UseDPDF=Y")</f>
        <v>-10.557</v>
      </c>
      <c r="U16" s="13">
        <f>_xll.BDH("ITCI US Equity","ARD_CHANGE_IN_PREPAID_EXP","FQ2 2023","FQ2 2023","Currency=USD","Period=FQ","BEST_FPERIOD_OVERRIDE=FQ","FILING_STATUS=MR","SCALING_FORMAT=MLN","Sort=A","Dates=H","DateFormat=P","Fill=—","Direction=H","UseDPDF=Y")</f>
        <v>-0.41699999999999998</v>
      </c>
      <c r="V16" s="13">
        <f>_xll.BDH("ITCI US Equity","ARD_CHANGE_IN_PREPAID_EXP","FQ3 2023","FQ3 2023","Currency=USD","Period=FQ","BEST_FPERIOD_OVERRIDE=FQ","FILING_STATUS=MR","SCALING_FORMAT=MLN","Sort=A","Dates=H","DateFormat=P","Fill=—","Direction=H","UseDPDF=Y")</f>
        <v>-16.805</v>
      </c>
      <c r="W16" s="13">
        <f>_xll.BDH("ITCI US Equity","ARD_CHANGE_IN_PREPAID_EXP","FQ4 2023","FQ4 2023","Currency=USD","Period=FQ","BEST_FPERIOD_OVERRIDE=FQ","FILING_STATUS=MR","SCALING_FORMAT=MLN","Sort=A","Dates=H","DateFormat=P","Fill=—","Direction=H","UseDPDF=Y")</f>
        <v>-4.4569999999999999</v>
      </c>
      <c r="X16" s="13">
        <f>_xll.BDH("ITCI US Equity","ARD_CHANGE_IN_PREPAID_EXP","FQ1 2024","FQ1 2024","Currency=USD","Period=FQ","BEST_FPERIOD_OVERRIDE=FQ","FILING_STATUS=MR","SCALING_FORMAT=MLN","Sort=A","Dates=H","DateFormat=P","Fill=—","Direction=H","UseDPDF=Y")</f>
        <v>-24</v>
      </c>
      <c r="Y16" s="13">
        <f>_xll.BDH("ITCI US Equity","ARD_CHANGE_IN_PREPAID_EXP","FQ2 2024","FQ2 2024","Currency=USD","Period=FQ","BEST_FPERIOD_OVERRIDE=FQ","FILING_STATUS=MR","SCALING_FORMAT=MLN","Sort=A","Dates=H","DateFormat=P","Fill=—","Direction=H","UseDPDF=Y")</f>
        <v>-31.800999999999998</v>
      </c>
      <c r="Z16" s="13">
        <f>_xll.BDH("ITCI US Equity","ARD_CHANGE_IN_PREPAID_EXP","FQ3 2024","FQ3 2024","Currency=USD","Period=FQ","BEST_FPERIOD_OVERRIDE=FQ","FILING_STATUS=MR","SCALING_FORMAT=MLN","Sort=A","Dates=H","DateFormat=P","Fill=—","Direction=H","UseDPDF=Y")</f>
        <v>-50.755000000000003</v>
      </c>
      <c r="AA16" s="13">
        <f>_xll.BDH("ITCI US Equity","ARD_CHANGE_IN_PREPAID_EXP","FQ4 2024","FQ4 2024","Currency=USD","Period=FQ","BEST_FPERIOD_OVERRIDE=FQ","FILING_STATUS=MR","SCALING_FORMAT=MLN","Sort=A","Dates=H","DateFormat=P","Fill=—","Direction=H","UseDPDF=Y")</f>
        <v>-67.790999999999997</v>
      </c>
    </row>
    <row r="17" spans="1:27" x14ac:dyDescent="0.25">
      <c r="A17" s="10" t="s">
        <v>1037</v>
      </c>
      <c r="B17" s="10" t="s">
        <v>1038</v>
      </c>
      <c r="C17" s="13">
        <f>_xll.BDH("ITCI US Equity","ARD_CHANGE_IN_ACCRUED_EXP","FQ4 2018","FQ4 2018","Currency=USD","Period=FQ","BEST_FPERIOD_OVERRIDE=FQ","FILING_STATUS=MR","SCALING_FORMAT=MLN","Sort=A","Dates=H","DateFormat=P","Fill=—","Direction=H","UseDPDF=Y")</f>
        <v>14.386799999999999</v>
      </c>
      <c r="D17" s="13">
        <f>_xll.BDH("ITCI US Equity","ARD_CHANGE_IN_ACCRUED_EXP","FQ1 2019","FQ1 2019","Currency=USD","Period=FQ","BEST_FPERIOD_OVERRIDE=FQ","FILING_STATUS=MR","SCALING_FORMAT=MLN","Sort=A","Dates=H","DateFormat=P","Fill=—","Direction=H","UseDPDF=Y")</f>
        <v>0.27079999999999999</v>
      </c>
      <c r="E17" s="13">
        <f>_xll.BDH("ITCI US Equity","ARD_CHANGE_IN_ACCRUED_EXP","FQ2 2019","FQ2 2019","Currency=USD","Period=FQ","BEST_FPERIOD_OVERRIDE=FQ","FILING_STATUS=MR","SCALING_FORMAT=MLN","Sort=A","Dates=H","DateFormat=P","Fill=—","Direction=H","UseDPDF=Y")</f>
        <v>3.2301000000000002</v>
      </c>
      <c r="F17" s="13">
        <f>_xll.BDH("ITCI US Equity","ARD_CHANGE_IN_ACCRUED_EXP","FQ3 2019","FQ3 2019","Currency=USD","Period=FQ","BEST_FPERIOD_OVERRIDE=FQ","FILING_STATUS=MR","SCALING_FORMAT=MLN","Sort=A","Dates=H","DateFormat=P","Fill=—","Direction=H","UseDPDF=Y")</f>
        <v>3.4626000000000001</v>
      </c>
      <c r="G17" s="13">
        <f>_xll.BDH("ITCI US Equity","ARD_CHANGE_IN_ACCRUED_EXP","FQ4 2019","FQ4 2019","Currency=USD","Period=FQ","BEST_FPERIOD_OVERRIDE=FQ","FILING_STATUS=MR","SCALING_FORMAT=MLN","Sort=A","Dates=H","DateFormat=P","Fill=—","Direction=H","UseDPDF=Y")</f>
        <v>3.3271000000000002</v>
      </c>
      <c r="H17" s="13">
        <f>_xll.BDH("ITCI US Equity","ARD_CHANGE_IN_ACCRUED_EXP","FQ1 2020","FQ1 2020","Currency=USD","Period=FQ","BEST_FPERIOD_OVERRIDE=FQ","FILING_STATUS=MR","SCALING_FORMAT=MLN","Sort=A","Dates=H","DateFormat=P","Fill=—","Direction=H","UseDPDF=Y")</f>
        <v>-8.7405000000000008</v>
      </c>
      <c r="I17" s="13">
        <f>_xll.BDH("ITCI US Equity","ARD_CHANGE_IN_ACCRUED_EXP","FQ2 2020","FQ2 2020","Currency=USD","Period=FQ","BEST_FPERIOD_OVERRIDE=FQ","FILING_STATUS=MR","SCALING_FORMAT=MLN","Sort=A","Dates=H","DateFormat=P","Fill=—","Direction=H","UseDPDF=Y")</f>
        <v>5.1841999999999997</v>
      </c>
      <c r="J17" s="13">
        <f>_xll.BDH("ITCI US Equity","ARD_CHANGE_IN_ACCRUED_EXP","FQ3 2020","FQ3 2020","Currency=USD","Period=FQ","BEST_FPERIOD_OVERRIDE=FQ","FILING_STATUS=MR","SCALING_FORMAT=MLN","Sort=A","Dates=H","DateFormat=P","Fill=—","Direction=H","UseDPDF=Y")</f>
        <v>-1.4192</v>
      </c>
      <c r="K17" s="13">
        <f>_xll.BDH("ITCI US Equity","ARD_CHANGE_IN_ACCRUED_EXP","FQ4 2020","FQ4 2020","Currency=USD","Period=FQ","BEST_FPERIOD_OVERRIDE=FQ","FILING_STATUS=MR","SCALING_FORMAT=MLN","Sort=A","Dates=H","DateFormat=P","Fill=—","Direction=H","UseDPDF=Y")</f>
        <v>0.19800000000000001</v>
      </c>
      <c r="L17" s="13">
        <f>_xll.BDH("ITCI US Equity","ARD_CHANGE_IN_ACCRUED_EXP","FQ1 2021","FQ1 2021","Currency=USD","Period=FQ","BEST_FPERIOD_OVERRIDE=FQ","FILING_STATUS=MR","SCALING_FORMAT=MLN","Sort=A","Dates=H","DateFormat=P","Fill=—","Direction=H","UseDPDF=Y")</f>
        <v>-0.40210000000000001</v>
      </c>
      <c r="M17" s="13">
        <f>_xll.BDH("ITCI US Equity","ARD_CHANGE_IN_ACCRUED_EXP","FQ2 2021","FQ2 2021","Currency=USD","Period=FQ","BEST_FPERIOD_OVERRIDE=FQ","FILING_STATUS=MR","SCALING_FORMAT=MLN","Sort=A","Dates=H","DateFormat=P","Fill=—","Direction=H","UseDPDF=Y")</f>
        <v>3.0764999999999998</v>
      </c>
      <c r="N17" s="13">
        <f>_xll.BDH("ITCI US Equity","ARD_CHANGE_IN_ACCRUED_EXP","FQ3 2021","FQ3 2021","Currency=USD","Period=FQ","BEST_FPERIOD_OVERRIDE=FQ","FILING_STATUS=MR","SCALING_FORMAT=MLN","Sort=A","Dates=H","DateFormat=P","Fill=—","Direction=H","UseDPDF=Y")</f>
        <v>5.9733000000000001</v>
      </c>
      <c r="O17" s="13">
        <f>_xll.BDH("ITCI US Equity","ARD_CHANGE_IN_ACCRUED_EXP","FQ4 2021","FQ4 2021","Currency=USD","Period=FQ","BEST_FPERIOD_OVERRIDE=FQ","FILING_STATUS=MR","SCALING_FORMAT=MLN","Sort=A","Dates=H","DateFormat=P","Fill=—","Direction=H","UseDPDF=Y")</f>
        <v>12.123900000000001</v>
      </c>
      <c r="P17" s="13">
        <f>_xll.BDH("ITCI US Equity","ARD_CHANGE_IN_ACCRUED_EXP","FQ1 2022","FQ1 2022","Currency=USD","Period=FQ","BEST_FPERIOD_OVERRIDE=FQ","FILING_STATUS=MR","SCALING_FORMAT=MLN","Sort=A","Dates=H","DateFormat=P","Fill=—","Direction=H","UseDPDF=Y")</f>
        <v>1.855</v>
      </c>
      <c r="Q17" s="13">
        <f>_xll.BDH("ITCI US Equity","ARD_CHANGE_IN_ACCRUED_EXP","FQ2 2022","FQ2 2022","Currency=USD","Period=FQ","BEST_FPERIOD_OVERRIDE=FQ","FILING_STATUS=MR","SCALING_FORMAT=MLN","Sort=A","Dates=H","DateFormat=P","Fill=—","Direction=H","UseDPDF=Y")</f>
        <v>14.208</v>
      </c>
      <c r="R17" s="13">
        <f>_xll.BDH("ITCI US Equity","ARD_CHANGE_IN_ACCRUED_EXP","FQ3 2022","FQ3 2022","Currency=USD","Period=FQ","BEST_FPERIOD_OVERRIDE=FQ","FILING_STATUS=MR","SCALING_FORMAT=MLN","Sort=A","Dates=H","DateFormat=P","Fill=—","Direction=H","UseDPDF=Y")</f>
        <v>18.012</v>
      </c>
      <c r="S17" s="13">
        <f>_xll.BDH("ITCI US Equity","ARD_CHANGE_IN_ACCRUED_EXP","FQ4 2022","FQ4 2022","Currency=USD","Period=FQ","BEST_FPERIOD_OVERRIDE=FQ","FILING_STATUS=MR","SCALING_FORMAT=MLN","Sort=A","Dates=H","DateFormat=P","Fill=—","Direction=H","UseDPDF=Y")</f>
        <v>30.34</v>
      </c>
      <c r="T17" s="13">
        <f>_xll.BDH("ITCI US Equity","ARD_CHANGE_IN_ACCRUED_EXP","FQ1 2023","FQ1 2023","Currency=USD","Period=FQ","BEST_FPERIOD_OVERRIDE=FQ","FILING_STATUS=MR","SCALING_FORMAT=MLN","Sort=A","Dates=H","DateFormat=P","Fill=—","Direction=H","UseDPDF=Y")</f>
        <v>-0.65900000000000003</v>
      </c>
      <c r="U17" s="13">
        <f>_xll.BDH("ITCI US Equity","ARD_CHANGE_IN_ACCRUED_EXP","FQ2 2023","FQ2 2023","Currency=USD","Period=FQ","BEST_FPERIOD_OVERRIDE=FQ","FILING_STATUS=MR","SCALING_FORMAT=MLN","Sort=A","Dates=H","DateFormat=P","Fill=—","Direction=H","UseDPDF=Y")</f>
        <v>12.515000000000001</v>
      </c>
      <c r="V17" s="13">
        <f>_xll.BDH("ITCI US Equity","ARD_CHANGE_IN_ACCRUED_EXP","FQ3 2023","FQ3 2023","Currency=USD","Period=FQ","BEST_FPERIOD_OVERRIDE=FQ","FILING_STATUS=MR","SCALING_FORMAT=MLN","Sort=A","Dates=H","DateFormat=P","Fill=—","Direction=H","UseDPDF=Y")</f>
        <v>20.620999999999999</v>
      </c>
      <c r="W17" s="13">
        <f>_xll.BDH("ITCI US Equity","ARD_CHANGE_IN_ACCRUED_EXP","FQ4 2023","FQ4 2023","Currency=USD","Period=FQ","BEST_FPERIOD_OVERRIDE=FQ","FILING_STATUS=MR","SCALING_FORMAT=MLN","Sort=A","Dates=H","DateFormat=P","Fill=—","Direction=H","UseDPDF=Y")</f>
        <v>40.207000000000001</v>
      </c>
      <c r="X17" s="13">
        <f>_xll.BDH("ITCI US Equity","ARD_CHANGE_IN_ACCRUED_EXP","FQ1 2024","FQ1 2024","Currency=USD","Period=FQ","BEST_FPERIOD_OVERRIDE=FQ","FILING_STATUS=MR","SCALING_FORMAT=MLN","Sort=A","Dates=H","DateFormat=P","Fill=—","Direction=H","UseDPDF=Y")</f>
        <v>11.148999999999999</v>
      </c>
      <c r="Y17" s="13">
        <f>_xll.BDH("ITCI US Equity","ARD_CHANGE_IN_ACCRUED_EXP","FQ2 2024","FQ2 2024","Currency=USD","Period=FQ","BEST_FPERIOD_OVERRIDE=FQ","FILING_STATUS=MR","SCALING_FORMAT=MLN","Sort=A","Dates=H","DateFormat=P","Fill=—","Direction=H","UseDPDF=Y")</f>
        <v>31.574999999999999</v>
      </c>
      <c r="Z17" s="13">
        <f>_xll.BDH("ITCI US Equity","ARD_CHANGE_IN_ACCRUED_EXP","FQ3 2024","FQ3 2024","Currency=USD","Period=FQ","BEST_FPERIOD_OVERRIDE=FQ","FILING_STATUS=MR","SCALING_FORMAT=MLN","Sort=A","Dates=H","DateFormat=P","Fill=—","Direction=H","UseDPDF=Y")</f>
        <v>43.091000000000001</v>
      </c>
      <c r="AA17" s="13">
        <f>_xll.BDH("ITCI US Equity","ARD_CHANGE_IN_ACCRUED_EXP","FQ4 2024","FQ4 2024","Currency=USD","Period=FQ","BEST_FPERIOD_OVERRIDE=FQ","FILING_STATUS=MR","SCALING_FORMAT=MLN","Sort=A","Dates=H","DateFormat=P","Fill=—","Direction=H","UseDPDF=Y")</f>
        <v>66.915999999999997</v>
      </c>
    </row>
    <row r="18" spans="1:27" x14ac:dyDescent="0.25">
      <c r="A18" s="10" t="s">
        <v>1039</v>
      </c>
      <c r="B18" s="10" t="s">
        <v>1040</v>
      </c>
      <c r="C18" s="13">
        <f>_xll.BDH("ITCI US Equity","ARD_CHG_IN_DEF_UNEARN_REVENUE_ST","FQ4 2018","FQ4 2018","Currency=USD","Period=FQ","BEST_FPERIOD_OVERRIDE=FQ","FILING_STATUS=MR","SCALING_FORMAT=MLN","Sort=A","Dates=H","DateFormat=P","Fill=—","Direction=H","UseDPDF=Y")</f>
        <v>0.2676</v>
      </c>
      <c r="D18" s="13">
        <f>_xll.BDH("ITCI US Equity","ARD_CHG_IN_DEF_UNEARN_REVENUE_ST","FQ1 2019","FQ1 2019","Currency=USD","Period=FQ","BEST_FPERIOD_OVERRIDE=FQ","FILING_STATUS=MR","SCALING_FORMAT=MLN","Sort=A","Dates=H","DateFormat=P","Fill=—","Direction=H","UseDPDF=Y")</f>
        <v>0</v>
      </c>
      <c r="E18" s="13">
        <f>_xll.BDH("ITCI US Equity","ARD_CHG_IN_DEF_UNEARN_REVENUE_ST","FQ2 2019","FQ2 2019","Currency=USD","Period=FQ","BEST_FPERIOD_OVERRIDE=FQ","FILING_STATUS=MR","SCALING_FORMAT=MLN","Sort=A","Dates=H","DateFormat=P","Fill=—","Direction=H","UseDPDF=Y")</f>
        <v>0</v>
      </c>
      <c r="F18" s="13">
        <f>_xll.BDH("ITCI US Equity","ARD_CHG_IN_DEF_UNEARN_REVENUE_ST","FQ3 2019","FQ3 2019","Currency=USD","Period=FQ","BEST_FPERIOD_OVERRIDE=FQ","FILING_STATUS=MR","SCALING_FORMAT=MLN","Sort=A","Dates=H","DateFormat=P","Fill=—","Direction=H","UseDPDF=Y")</f>
        <v>0</v>
      </c>
      <c r="G18" s="13">
        <f>_xll.BDH("ITCI US Equity","ARD_CHG_IN_DEF_UNEARN_REVENUE_ST","FQ4 2019","FQ4 2019","Currency=USD","Period=FQ","BEST_FPERIOD_OVERRIDE=FQ","FILING_STATUS=MR","SCALING_FORMAT=MLN","Sort=A","Dates=H","DateFormat=P","Fill=—","Direction=H","UseDPDF=Y")</f>
        <v>0</v>
      </c>
      <c r="H18" s="13" t="str">
        <f>_xll.BDH("ITCI US Equity","ARD_CHG_IN_DEF_UNEARN_REVENUE_ST","FQ1 2020","FQ1 2020","Currency=USD","Period=FQ","BEST_FPERIOD_OVERRIDE=FQ","FILING_STATUS=MR","SCALING_FORMAT=MLN","Sort=A","Dates=H","DateFormat=P","Fill=—","Direction=H","UseDPDF=Y")</f>
        <v>—</v>
      </c>
      <c r="I18" s="13" t="str">
        <f>_xll.BDH("ITCI US Equity","ARD_CHG_IN_DEF_UNEARN_REVENUE_ST","FQ2 2020","FQ2 2020","Currency=USD","Period=FQ","BEST_FPERIOD_OVERRIDE=FQ","FILING_STATUS=MR","SCALING_FORMAT=MLN","Sort=A","Dates=H","DateFormat=P","Fill=—","Direction=H","UseDPDF=Y")</f>
        <v>—</v>
      </c>
      <c r="J18" s="13" t="str">
        <f>_xll.BDH("ITCI US Equity","ARD_CHG_IN_DEF_UNEARN_REVENUE_ST","FQ3 2020","FQ3 2020","Currency=USD","Period=FQ","BEST_FPERIOD_OVERRIDE=FQ","FILING_STATUS=MR","SCALING_FORMAT=MLN","Sort=A","Dates=H","DateFormat=P","Fill=—","Direction=H","UseDPDF=Y")</f>
        <v>—</v>
      </c>
      <c r="K18" s="13">
        <f>_xll.BDH("ITCI US Equity","ARD_CHG_IN_DEF_UNEARN_REVENUE_ST","FQ4 2020","FQ4 2020","Currency=USD","Period=FQ","BEST_FPERIOD_OVERRIDE=FQ","FILING_STATUS=MR","SCALING_FORMAT=MLN","Sort=A","Dates=H","DateFormat=P","Fill=—","Direction=H","UseDPDF=Y")</f>
        <v>0</v>
      </c>
      <c r="L18" s="13" t="str">
        <f>_xll.BDH("ITCI US Equity","ARD_CHG_IN_DEF_UNEARN_REVENUE_ST","FQ1 2021","FQ1 2021","Currency=USD","Period=FQ","BEST_FPERIOD_OVERRIDE=FQ","FILING_STATUS=MR","SCALING_FORMAT=MLN","Sort=A","Dates=H","DateFormat=P","Fill=—","Direction=H","UseDPDF=Y")</f>
        <v>—</v>
      </c>
      <c r="M18" s="13" t="str">
        <f>_xll.BDH("ITCI US Equity","ARD_CHG_IN_DEF_UNEARN_REVENUE_ST","FQ2 2021","FQ2 2021","Currency=USD","Period=FQ","BEST_FPERIOD_OVERRIDE=FQ","FILING_STATUS=MR","SCALING_FORMAT=MLN","Sort=A","Dates=H","DateFormat=P","Fill=—","Direction=H","UseDPDF=Y")</f>
        <v>—</v>
      </c>
      <c r="N18" s="13" t="str">
        <f>_xll.BDH("ITCI US Equity","ARD_CHG_IN_DEF_UNEARN_REVENUE_ST","FQ3 2021","FQ3 2021","Currency=USD","Period=FQ","BEST_FPERIOD_OVERRIDE=FQ","FILING_STATUS=MR","SCALING_FORMAT=MLN","Sort=A","Dates=H","DateFormat=P","Fill=—","Direction=H","UseDPDF=Y")</f>
        <v>—</v>
      </c>
      <c r="O18" s="13" t="str">
        <f>_xll.BDH("ITCI US Equity","ARD_CHG_IN_DEF_UNEARN_REVENUE_ST","FQ4 2021","FQ4 2021","Currency=USD","Period=FQ","BEST_FPERIOD_OVERRIDE=FQ","FILING_STATUS=MR","SCALING_FORMAT=MLN","Sort=A","Dates=H","DateFormat=P","Fill=—","Direction=H","UseDPDF=Y")</f>
        <v>—</v>
      </c>
      <c r="P18" s="13" t="str">
        <f>_xll.BDH("ITCI US Equity","ARD_CHG_IN_DEF_UNEARN_REVENUE_ST","FQ1 2022","FQ1 2022","Currency=USD","Period=FQ","BEST_FPERIOD_OVERRIDE=FQ","FILING_STATUS=MR","SCALING_FORMAT=MLN","Sort=A","Dates=H","DateFormat=P","Fill=—","Direction=H","UseDPDF=Y")</f>
        <v>—</v>
      </c>
      <c r="Q18" s="13" t="str">
        <f>_xll.BDH("ITCI US Equity","ARD_CHG_IN_DEF_UNEARN_REVENUE_ST","FQ2 2022","FQ2 2022","Currency=USD","Period=FQ","BEST_FPERIOD_OVERRIDE=FQ","FILING_STATUS=MR","SCALING_FORMAT=MLN","Sort=A","Dates=H","DateFormat=P","Fill=—","Direction=H","UseDPDF=Y")</f>
        <v>—</v>
      </c>
      <c r="R18" s="13" t="str">
        <f>_xll.BDH("ITCI US Equity","ARD_CHG_IN_DEF_UNEARN_REVENUE_ST","FQ3 2022","FQ3 2022","Currency=USD","Period=FQ","BEST_FPERIOD_OVERRIDE=FQ","FILING_STATUS=MR","SCALING_FORMAT=MLN","Sort=A","Dates=H","DateFormat=P","Fill=—","Direction=H","UseDPDF=Y")</f>
        <v>—</v>
      </c>
      <c r="S18" s="13" t="str">
        <f>_xll.BDH("ITCI US Equity","ARD_CHG_IN_DEF_UNEARN_REVENUE_ST","FQ4 2022","FQ4 2022","Currency=USD","Period=FQ","BEST_FPERIOD_OVERRIDE=FQ","FILING_STATUS=MR","SCALING_FORMAT=MLN","Sort=A","Dates=H","DateFormat=P","Fill=—","Direction=H","UseDPDF=Y")</f>
        <v>—</v>
      </c>
      <c r="T18" s="13" t="str">
        <f>_xll.BDH("ITCI US Equity","ARD_CHG_IN_DEF_UNEARN_REVENUE_ST","FQ1 2023","FQ1 2023","Currency=USD","Period=FQ","BEST_FPERIOD_OVERRIDE=FQ","FILING_STATUS=MR","SCALING_FORMAT=MLN","Sort=A","Dates=H","DateFormat=P","Fill=—","Direction=H","UseDPDF=Y")</f>
        <v>—</v>
      </c>
      <c r="U18" s="13" t="str">
        <f>_xll.BDH("ITCI US Equity","ARD_CHG_IN_DEF_UNEARN_REVENUE_ST","FQ2 2023","FQ2 2023","Currency=USD","Period=FQ","BEST_FPERIOD_OVERRIDE=FQ","FILING_STATUS=MR","SCALING_FORMAT=MLN","Sort=A","Dates=H","DateFormat=P","Fill=—","Direction=H","UseDPDF=Y")</f>
        <v>—</v>
      </c>
      <c r="V18" s="13" t="str">
        <f>_xll.BDH("ITCI US Equity","ARD_CHG_IN_DEF_UNEARN_REVENUE_ST","FQ3 2023","FQ3 2023","Currency=USD","Period=FQ","BEST_FPERIOD_OVERRIDE=FQ","FILING_STATUS=MR","SCALING_FORMAT=MLN","Sort=A","Dates=H","DateFormat=P","Fill=—","Direction=H","UseDPDF=Y")</f>
        <v>—</v>
      </c>
      <c r="W18" s="13" t="str">
        <f>_xll.BDH("ITCI US Equity","ARD_CHG_IN_DEF_UNEARN_REVENUE_ST","FQ4 2023","FQ4 2023","Currency=USD","Period=FQ","BEST_FPERIOD_OVERRIDE=FQ","FILING_STATUS=MR","SCALING_FORMAT=MLN","Sort=A","Dates=H","DateFormat=P","Fill=—","Direction=H","UseDPDF=Y")</f>
        <v>—</v>
      </c>
      <c r="X18" s="13" t="str">
        <f>_xll.BDH("ITCI US Equity","ARD_CHG_IN_DEF_UNEARN_REVENUE_ST","FQ1 2024","FQ1 2024","Currency=USD","Period=FQ","BEST_FPERIOD_OVERRIDE=FQ","FILING_STATUS=MR","SCALING_FORMAT=MLN","Sort=A","Dates=H","DateFormat=P","Fill=—","Direction=H","UseDPDF=Y")</f>
        <v>—</v>
      </c>
      <c r="Y18" s="13" t="str">
        <f>_xll.BDH("ITCI US Equity","ARD_CHG_IN_DEF_UNEARN_REVENUE_ST","FQ2 2024","FQ2 2024","Currency=USD","Period=FQ","BEST_FPERIOD_OVERRIDE=FQ","FILING_STATUS=MR","SCALING_FORMAT=MLN","Sort=A","Dates=H","DateFormat=P","Fill=—","Direction=H","UseDPDF=Y")</f>
        <v>—</v>
      </c>
      <c r="Z18" s="13" t="str">
        <f>_xll.BDH("ITCI US Equity","ARD_CHG_IN_DEF_UNEARN_REVENUE_ST","FQ3 2024","FQ3 2024","Currency=USD","Period=FQ","BEST_FPERIOD_OVERRIDE=FQ","FILING_STATUS=MR","SCALING_FORMAT=MLN","Sort=A","Dates=H","DateFormat=P","Fill=—","Direction=H","UseDPDF=Y")</f>
        <v>—</v>
      </c>
      <c r="AA18" s="13" t="str">
        <f>_xll.BDH("ITCI US Equity","ARD_CHG_IN_DEF_UNEARN_REVENUE_ST","FQ4 2024","FQ4 2024","Currency=USD","Period=FQ","BEST_FPERIOD_OVERRIDE=FQ","FILING_STATUS=MR","SCALING_FORMAT=MLN","Sort=A","Dates=H","DateFormat=P","Fill=—","Direction=H","UseDPDF=Y")</f>
        <v>—</v>
      </c>
    </row>
    <row r="19" spans="1:27" x14ac:dyDescent="0.25">
      <c r="A19" s="10" t="s">
        <v>1041</v>
      </c>
      <c r="B19" s="10" t="s">
        <v>1042</v>
      </c>
      <c r="C19" s="13">
        <f>_xll.BDH("ITCI US Equity","ARD_OTH_AMORT_NONCASH_EXP_GAINS","FQ4 2018","FQ4 2018","Currency=USD","Period=FQ","BEST_FPERIOD_OVERRIDE=FQ","FILING_STATUS=MR","SCALING_FORMAT=MLN","Sort=A","Dates=H","DateFormat=P","Fill=—","Direction=H","UseDPDF=Y")</f>
        <v>-0.94320000000000004</v>
      </c>
      <c r="D19" s="13">
        <f>_xll.BDH("ITCI US Equity","ARD_OTH_AMORT_NONCASH_EXP_GAINS","FQ1 2019","FQ1 2019","Currency=USD","Period=FQ","BEST_FPERIOD_OVERRIDE=FQ","FILING_STATUS=MR","SCALING_FORMAT=MLN","Sort=A","Dates=H","DateFormat=P","Fill=—","Direction=H","UseDPDF=Y")</f>
        <v>-0.35680000000000001</v>
      </c>
      <c r="E19" s="13" t="str">
        <f>_xll.BDH("ITCI US Equity","ARD_OTH_AMORT_NONCASH_EXP_GAINS","FQ2 2019","FQ2 2019","Currency=USD","Period=FQ","BEST_FPERIOD_OVERRIDE=FQ","FILING_STATUS=MR","SCALING_FORMAT=MLN","Sort=A","Dates=H","DateFormat=P","Fill=—","Direction=H","UseDPDF=Y")</f>
        <v>—</v>
      </c>
      <c r="F19" s="13">
        <f>_xll.BDH("ITCI US Equity","ARD_OTH_AMORT_NONCASH_EXP_GAINS","FQ3 2019","FQ3 2019","Currency=USD","Period=FQ","BEST_FPERIOD_OVERRIDE=FQ","FILING_STATUS=MR","SCALING_FORMAT=MLN","Sort=A","Dates=H","DateFormat=P","Fill=—","Direction=H","UseDPDF=Y")</f>
        <v>-0.87139999999999995</v>
      </c>
      <c r="G19" s="13">
        <f>_xll.BDH("ITCI US Equity","ARD_OTH_AMORT_NONCASH_EXP_GAINS","FQ4 2019","FQ4 2019","Currency=USD","Period=FQ","BEST_FPERIOD_OVERRIDE=FQ","FILING_STATUS=MR","SCALING_FORMAT=MLN","Sort=A","Dates=H","DateFormat=P","Fill=—","Direction=H","UseDPDF=Y")</f>
        <v>-1.1315999999999999</v>
      </c>
      <c r="H19" s="13">
        <f>_xll.BDH("ITCI US Equity","ARD_OTH_AMORT_NONCASH_EXP_GAINS","FQ1 2020","FQ1 2020","Currency=USD","Period=FQ","BEST_FPERIOD_OVERRIDE=FQ","FILING_STATUS=MR","SCALING_FORMAT=MLN","Sort=A","Dates=H","DateFormat=P","Fill=—","Direction=H","UseDPDF=Y")</f>
        <v>-0.29820000000000002</v>
      </c>
      <c r="I19" s="13">
        <f>_xll.BDH("ITCI US Equity","ARD_OTH_AMORT_NONCASH_EXP_GAINS","FQ2 2020","FQ2 2020","Currency=USD","Period=FQ","BEST_FPERIOD_OVERRIDE=FQ","FILING_STATUS=MR","SCALING_FORMAT=MLN","Sort=A","Dates=H","DateFormat=P","Fill=—","Direction=H","UseDPDF=Y")</f>
        <v>-0.33489999999999998</v>
      </c>
      <c r="J19" s="13">
        <f>_xll.BDH("ITCI US Equity","ARD_OTH_AMORT_NONCASH_EXP_GAINS","FQ3 2020","FQ3 2020","Currency=USD","Period=FQ","BEST_FPERIOD_OVERRIDE=FQ","FILING_STATUS=MR","SCALING_FORMAT=MLN","Sort=A","Dates=H","DateFormat=P","Fill=—","Direction=H","UseDPDF=Y")</f>
        <v>-0.1774</v>
      </c>
      <c r="K19" s="13">
        <f>_xll.BDH("ITCI US Equity","ARD_OTH_AMORT_NONCASH_EXP_GAINS","FQ4 2020","FQ4 2020","Currency=USD","Period=FQ","BEST_FPERIOD_OVERRIDE=FQ","FILING_STATUS=MR","SCALING_FORMAT=MLN","Sort=A","Dates=H","DateFormat=P","Fill=—","Direction=H","UseDPDF=Y")</f>
        <v>-0.6482</v>
      </c>
      <c r="L19" s="13">
        <f>_xll.BDH("ITCI US Equity","ARD_OTH_AMORT_NONCASH_EXP_GAINS","FQ1 2021","FQ1 2021","Currency=USD","Period=FQ","BEST_FPERIOD_OVERRIDE=FQ","FILING_STATUS=MR","SCALING_FORMAT=MLN","Sort=A","Dates=H","DateFormat=P","Fill=—","Direction=H","UseDPDF=Y")</f>
        <v>-1.0859000000000001</v>
      </c>
      <c r="M19" s="13">
        <f>_xll.BDH("ITCI US Equity","ARD_OTH_AMORT_NONCASH_EXP_GAINS","FQ2 2021","FQ2 2021","Currency=USD","Period=FQ","BEST_FPERIOD_OVERRIDE=FQ","FILING_STATUS=MR","SCALING_FORMAT=MLN","Sort=A","Dates=H","DateFormat=P","Fill=—","Direction=H","UseDPDF=Y")</f>
        <v>-1.7079</v>
      </c>
      <c r="N19" s="13">
        <f>_xll.BDH("ITCI US Equity","ARD_OTH_AMORT_NONCASH_EXP_GAINS","FQ3 2021","FQ3 2021","Currency=USD","Period=FQ","BEST_FPERIOD_OVERRIDE=FQ","FILING_STATUS=MR","SCALING_FORMAT=MLN","Sort=A","Dates=H","DateFormat=P","Fill=—","Direction=H","UseDPDF=Y")</f>
        <v>-3.3010999999999999</v>
      </c>
      <c r="O19" s="13">
        <f>_xll.BDH("ITCI US Equity","ARD_OTH_AMORT_NONCASH_EXP_GAINS","FQ4 2021","FQ4 2021","Currency=USD","Period=FQ","BEST_FPERIOD_OVERRIDE=FQ","FILING_STATUS=MR","SCALING_FORMAT=MLN","Sort=A","Dates=H","DateFormat=P","Fill=—","Direction=H","UseDPDF=Y")</f>
        <v>-4.0797999999999996</v>
      </c>
      <c r="P19" s="13">
        <f>_xll.BDH("ITCI US Equity","ARD_OTH_AMORT_NONCASH_EXP_GAINS","FQ1 2022","FQ1 2022","Currency=USD","Period=FQ","BEST_FPERIOD_OVERRIDE=FQ","FILING_STATUS=MR","SCALING_FORMAT=MLN","Sort=A","Dates=H","DateFormat=P","Fill=—","Direction=H","UseDPDF=Y")</f>
        <v>-4.0789999999999997</v>
      </c>
      <c r="Q19" s="13">
        <f>_xll.BDH("ITCI US Equity","ARD_OTH_AMORT_NONCASH_EXP_GAINS","FQ2 2022","FQ2 2022","Currency=USD","Period=FQ","BEST_FPERIOD_OVERRIDE=FQ","FILING_STATUS=MR","SCALING_FORMAT=MLN","Sort=A","Dates=H","DateFormat=P","Fill=—","Direction=H","UseDPDF=Y")</f>
        <v>-0.94699999999999995</v>
      </c>
      <c r="R19" s="13">
        <f>_xll.BDH("ITCI US Equity","ARD_OTH_AMORT_NONCASH_EXP_GAINS","FQ3 2022","FQ3 2022","Currency=USD","Period=FQ","BEST_FPERIOD_OVERRIDE=FQ","FILING_STATUS=MR","SCALING_FORMAT=MLN","Sort=A","Dates=H","DateFormat=P","Fill=—","Direction=H","UseDPDF=Y")</f>
        <v>-0.71699999999999997</v>
      </c>
      <c r="S19" s="13">
        <f>_xll.BDH("ITCI US Equity","ARD_OTH_AMORT_NONCASH_EXP_GAINS","FQ4 2022","FQ4 2022","Currency=USD","Period=FQ","BEST_FPERIOD_OVERRIDE=FQ","FILING_STATUS=MR","SCALING_FORMAT=MLN","Sort=A","Dates=H","DateFormat=P","Fill=—","Direction=H","UseDPDF=Y")</f>
        <v>0.44700000000000001</v>
      </c>
      <c r="T19" s="13">
        <f>_xll.BDH("ITCI US Equity","ARD_OTH_AMORT_NONCASH_EXP_GAINS","FQ1 2023","FQ1 2023","Currency=USD","Period=FQ","BEST_FPERIOD_OVERRIDE=FQ","FILING_STATUS=MR","SCALING_FORMAT=MLN","Sort=A","Dates=H","DateFormat=P","Fill=—","Direction=H","UseDPDF=Y")</f>
        <v>-1.7370000000000001</v>
      </c>
      <c r="U19" s="13">
        <f>_xll.BDH("ITCI US Equity","ARD_OTH_AMORT_NONCASH_EXP_GAINS","FQ2 2023","FQ2 2023","Currency=USD","Period=FQ","BEST_FPERIOD_OVERRIDE=FQ","FILING_STATUS=MR","SCALING_FORMAT=MLN","Sort=A","Dates=H","DateFormat=P","Fill=—","Direction=H","UseDPDF=Y")</f>
        <v>-3.67</v>
      </c>
      <c r="V19" s="13">
        <f>_xll.BDH("ITCI US Equity","ARD_OTH_AMORT_NONCASH_EXP_GAINS","FQ3 2023","FQ3 2023","Currency=USD","Period=FQ","BEST_FPERIOD_OVERRIDE=FQ","FILING_STATUS=MR","SCALING_FORMAT=MLN","Sort=A","Dates=H","DateFormat=P","Fill=—","Direction=H","UseDPDF=Y")</f>
        <v>-5.8609999999999998</v>
      </c>
      <c r="W19" s="13">
        <f>_xll.BDH("ITCI US Equity","ARD_OTH_AMORT_NONCASH_EXP_GAINS","FQ4 2023","FQ4 2023","Currency=USD","Period=FQ","BEST_FPERIOD_OVERRIDE=FQ","FILING_STATUS=MR","SCALING_FORMAT=MLN","Sort=A","Dates=H","DateFormat=P","Fill=—","Direction=H","UseDPDF=Y")</f>
        <v>-8.4</v>
      </c>
      <c r="X19" s="13">
        <f>_xll.BDH("ITCI US Equity","ARD_OTH_AMORT_NONCASH_EXP_GAINS","FQ1 2024","FQ1 2024","Currency=USD","Period=FQ","BEST_FPERIOD_OVERRIDE=FQ","FILING_STATUS=MR","SCALING_FORMAT=MLN","Sort=A","Dates=H","DateFormat=P","Fill=—","Direction=H","UseDPDF=Y")</f>
        <v>-2.343</v>
      </c>
      <c r="Y19" s="13">
        <f>_xll.BDH("ITCI US Equity","ARD_OTH_AMORT_NONCASH_EXP_GAINS","FQ2 2024","FQ2 2024","Currency=USD","Period=FQ","BEST_FPERIOD_OVERRIDE=FQ","FILING_STATUS=MR","SCALING_FORMAT=MLN","Sort=A","Dates=H","DateFormat=P","Fill=—","Direction=H","UseDPDF=Y")</f>
        <v>-4.1959999999999997</v>
      </c>
      <c r="Z19" s="13">
        <f>_xll.BDH("ITCI US Equity","ARD_OTH_AMORT_NONCASH_EXP_GAINS","FQ3 2024","FQ3 2024","Currency=USD","Period=FQ","BEST_FPERIOD_OVERRIDE=FQ","FILING_STATUS=MR","SCALING_FORMAT=MLN","Sort=A","Dates=H","DateFormat=P","Fill=—","Direction=H","UseDPDF=Y")</f>
        <v>-6.0430000000000001</v>
      </c>
      <c r="AA19" s="13">
        <f>_xll.BDH("ITCI US Equity","ARD_OTH_AMORT_NONCASH_EXP_GAINS","FQ4 2024","FQ4 2024","Currency=USD","Period=FQ","BEST_FPERIOD_OVERRIDE=FQ","FILING_STATUS=MR","SCALING_FORMAT=MLN","Sort=A","Dates=H","DateFormat=P","Fill=—","Direction=H","UseDPDF=Y")</f>
        <v>-9.0289999999999999</v>
      </c>
    </row>
    <row r="20" spans="1:27" x14ac:dyDescent="0.25">
      <c r="A20" s="10" t="s">
        <v>1043</v>
      </c>
      <c r="B20" s="10" t="s">
        <v>1044</v>
      </c>
      <c r="C20" s="13" t="str">
        <f>_xll.BDH("ITCI US Equity","ARD_CHANGE_IN_OTHER_ASSETS","FQ4 2018","FQ4 2018","Currency=USD","Period=FQ","BEST_FPERIOD_OVERRIDE=FQ","FILING_STATUS=MR","SCALING_FORMAT=MLN","Sort=A","Dates=H","DateFormat=P","Fill=—","Direction=H","UseDPDF=Y")</f>
        <v>—</v>
      </c>
      <c r="D20" s="13" t="str">
        <f>_xll.BDH("ITCI US Equity","ARD_CHANGE_IN_OTHER_ASSETS","FQ1 2019","FQ1 2019","Currency=USD","Period=FQ","BEST_FPERIOD_OVERRIDE=FQ","FILING_STATUS=MR","SCALING_FORMAT=MLN","Sort=A","Dates=H","DateFormat=P","Fill=—","Direction=H","UseDPDF=Y")</f>
        <v>—</v>
      </c>
      <c r="E20" s="13" t="str">
        <f>_xll.BDH("ITCI US Equity","ARD_CHANGE_IN_OTHER_ASSETS","FQ2 2019","FQ2 2019","Currency=USD","Period=FQ","BEST_FPERIOD_OVERRIDE=FQ","FILING_STATUS=MR","SCALING_FORMAT=MLN","Sort=A","Dates=H","DateFormat=P","Fill=—","Direction=H","UseDPDF=Y")</f>
        <v>—</v>
      </c>
      <c r="F20" s="13" t="str">
        <f>_xll.BDH("ITCI US Equity","ARD_CHANGE_IN_OTHER_ASSETS","FQ3 2019","FQ3 2019","Currency=USD","Period=FQ","BEST_FPERIOD_OVERRIDE=FQ","FILING_STATUS=MR","SCALING_FORMAT=MLN","Sort=A","Dates=H","DateFormat=P","Fill=—","Direction=H","UseDPDF=Y")</f>
        <v>—</v>
      </c>
      <c r="G20" s="13">
        <f>_xll.BDH("ITCI US Equity","ARD_CHANGE_IN_OTHER_ASSETS","FQ4 2019","FQ4 2019","Currency=USD","Period=FQ","BEST_FPERIOD_OVERRIDE=FQ","FILING_STATUS=MR","SCALING_FORMAT=MLN","Sort=A","Dates=H","DateFormat=P","Fill=—","Direction=H","UseDPDF=Y")</f>
        <v>0.88949999999999996</v>
      </c>
      <c r="H20" s="13">
        <f>_xll.BDH("ITCI US Equity","ARD_CHANGE_IN_OTHER_ASSETS","FQ1 2020","FQ1 2020","Currency=USD","Period=FQ","BEST_FPERIOD_OVERRIDE=FQ","FILING_STATUS=MR","SCALING_FORMAT=MLN","Sort=A","Dates=H","DateFormat=P","Fill=—","Direction=H","UseDPDF=Y")</f>
        <v>0.2646</v>
      </c>
      <c r="I20" s="13">
        <f>_xll.BDH("ITCI US Equity","ARD_CHANGE_IN_OTHER_ASSETS","FQ2 2020","FQ2 2020","Currency=USD","Period=FQ","BEST_FPERIOD_OVERRIDE=FQ","FILING_STATUS=MR","SCALING_FORMAT=MLN","Sort=A","Dates=H","DateFormat=P","Fill=—","Direction=H","UseDPDF=Y")</f>
        <v>0.2646</v>
      </c>
      <c r="J20" s="13">
        <f>_xll.BDH("ITCI US Equity","ARD_CHANGE_IN_OTHER_ASSETS","FQ3 2020","FQ3 2020","Currency=USD","Period=FQ","BEST_FPERIOD_OVERRIDE=FQ","FILING_STATUS=MR","SCALING_FORMAT=MLN","Sort=A","Dates=H","DateFormat=P","Fill=—","Direction=H","UseDPDF=Y")</f>
        <v>0.2646</v>
      </c>
      <c r="K20" s="13">
        <f>_xll.BDH("ITCI US Equity","ARD_CHANGE_IN_OTHER_ASSETS","FQ4 2020","FQ4 2020","Currency=USD","Period=FQ","BEST_FPERIOD_OVERRIDE=FQ","FILING_STATUS=MR","SCALING_FORMAT=MLN","Sort=A","Dates=H","DateFormat=P","Fill=—","Direction=H","UseDPDF=Y")</f>
        <v>0.2646</v>
      </c>
      <c r="L20" s="13">
        <f>_xll.BDH("ITCI US Equity","ARD_CHANGE_IN_OTHER_ASSETS","FQ1 2021","FQ1 2021","Currency=USD","Period=FQ","BEST_FPERIOD_OVERRIDE=FQ","FILING_STATUS=MR","SCALING_FORMAT=MLN","Sort=A","Dates=H","DateFormat=P","Fill=—","Direction=H","UseDPDF=Y")</f>
        <v>0</v>
      </c>
      <c r="M20" s="13">
        <f>_xll.BDH("ITCI US Equity","ARD_CHANGE_IN_OTHER_ASSETS","FQ2 2021","FQ2 2021","Currency=USD","Period=FQ","BEST_FPERIOD_OVERRIDE=FQ","FILING_STATUS=MR","SCALING_FORMAT=MLN","Sort=A","Dates=H","DateFormat=P","Fill=—","Direction=H","UseDPDF=Y")</f>
        <v>0</v>
      </c>
      <c r="N20" s="13">
        <f>_xll.BDH("ITCI US Equity","ARD_CHANGE_IN_OTHER_ASSETS","FQ3 2021","FQ3 2021","Currency=USD","Period=FQ","BEST_FPERIOD_OVERRIDE=FQ","FILING_STATUS=MR","SCALING_FORMAT=MLN","Sort=A","Dates=H","DateFormat=P","Fill=—","Direction=H","UseDPDF=Y")</f>
        <v>0</v>
      </c>
      <c r="O20" s="13">
        <f>_xll.BDH("ITCI US Equity","ARD_CHANGE_IN_OTHER_ASSETS","FQ4 2021","FQ4 2021","Currency=USD","Period=FQ","BEST_FPERIOD_OVERRIDE=FQ","FILING_STATUS=MR","SCALING_FORMAT=MLN","Sort=A","Dates=H","DateFormat=P","Fill=—","Direction=H","UseDPDF=Y")</f>
        <v>0</v>
      </c>
      <c r="P20" s="13" t="str">
        <f>_xll.BDH("ITCI US Equity","ARD_CHANGE_IN_OTHER_ASSETS","FQ1 2022","FQ1 2022","Currency=USD","Period=FQ","BEST_FPERIOD_OVERRIDE=FQ","FILING_STATUS=MR","SCALING_FORMAT=MLN","Sort=A","Dates=H","DateFormat=P","Fill=—","Direction=H","UseDPDF=Y")</f>
        <v>—</v>
      </c>
      <c r="Q20" s="13" t="str">
        <f>_xll.BDH("ITCI US Equity","ARD_CHANGE_IN_OTHER_ASSETS","FQ2 2022","FQ2 2022","Currency=USD","Period=FQ","BEST_FPERIOD_OVERRIDE=FQ","FILING_STATUS=MR","SCALING_FORMAT=MLN","Sort=A","Dates=H","DateFormat=P","Fill=—","Direction=H","UseDPDF=Y")</f>
        <v>—</v>
      </c>
      <c r="R20" s="13" t="str">
        <f>_xll.BDH("ITCI US Equity","ARD_CHANGE_IN_OTHER_ASSETS","FQ3 2022","FQ3 2022","Currency=USD","Period=FQ","BEST_FPERIOD_OVERRIDE=FQ","FILING_STATUS=MR","SCALING_FORMAT=MLN","Sort=A","Dates=H","DateFormat=P","Fill=—","Direction=H","UseDPDF=Y")</f>
        <v>—</v>
      </c>
      <c r="S20" s="13">
        <f>_xll.BDH("ITCI US Equity","ARD_CHANGE_IN_OTHER_ASSETS","FQ4 2022","FQ4 2022","Currency=USD","Period=FQ","BEST_FPERIOD_OVERRIDE=FQ","FILING_STATUS=MR","SCALING_FORMAT=MLN","Sort=A","Dates=H","DateFormat=P","Fill=—","Direction=H","UseDPDF=Y")</f>
        <v>0</v>
      </c>
      <c r="T20" s="13" t="str">
        <f>_xll.BDH("ITCI US Equity","ARD_CHANGE_IN_OTHER_ASSETS","FQ1 2023","FQ1 2023","Currency=USD","Period=FQ","BEST_FPERIOD_OVERRIDE=FQ","FILING_STATUS=MR","SCALING_FORMAT=MLN","Sort=A","Dates=H","DateFormat=P","Fill=—","Direction=H","UseDPDF=Y")</f>
        <v>—</v>
      </c>
      <c r="U20" s="13" t="str">
        <f>_xll.BDH("ITCI US Equity","ARD_CHANGE_IN_OTHER_ASSETS","FQ2 2023","FQ2 2023","Currency=USD","Period=FQ","BEST_FPERIOD_OVERRIDE=FQ","FILING_STATUS=MR","SCALING_FORMAT=MLN","Sort=A","Dates=H","DateFormat=P","Fill=—","Direction=H","UseDPDF=Y")</f>
        <v>—</v>
      </c>
      <c r="V20" s="13" t="str">
        <f>_xll.BDH("ITCI US Equity","ARD_CHANGE_IN_OTHER_ASSETS","FQ3 2023","FQ3 2023","Currency=USD","Period=FQ","BEST_FPERIOD_OVERRIDE=FQ","FILING_STATUS=MR","SCALING_FORMAT=MLN","Sort=A","Dates=H","DateFormat=P","Fill=—","Direction=H","UseDPDF=Y")</f>
        <v>—</v>
      </c>
      <c r="W20" s="13" t="str">
        <f>_xll.BDH("ITCI US Equity","ARD_CHANGE_IN_OTHER_ASSETS","FQ4 2023","FQ4 2023","Currency=USD","Period=FQ","BEST_FPERIOD_OVERRIDE=FQ","FILING_STATUS=MR","SCALING_FORMAT=MLN","Sort=A","Dates=H","DateFormat=P","Fill=—","Direction=H","UseDPDF=Y")</f>
        <v>—</v>
      </c>
      <c r="X20" s="13" t="str">
        <f>_xll.BDH("ITCI US Equity","ARD_CHANGE_IN_OTHER_ASSETS","FQ1 2024","FQ1 2024","Currency=USD","Period=FQ","BEST_FPERIOD_OVERRIDE=FQ","FILING_STATUS=MR","SCALING_FORMAT=MLN","Sort=A","Dates=H","DateFormat=P","Fill=—","Direction=H","UseDPDF=Y")</f>
        <v>—</v>
      </c>
      <c r="Y20" s="13" t="str">
        <f>_xll.BDH("ITCI US Equity","ARD_CHANGE_IN_OTHER_ASSETS","FQ2 2024","FQ2 2024","Currency=USD","Period=FQ","BEST_FPERIOD_OVERRIDE=FQ","FILING_STATUS=MR","SCALING_FORMAT=MLN","Sort=A","Dates=H","DateFormat=P","Fill=—","Direction=H","UseDPDF=Y")</f>
        <v>—</v>
      </c>
      <c r="Z20" s="13" t="str">
        <f>_xll.BDH("ITCI US Equity","ARD_CHANGE_IN_OTHER_ASSETS","FQ3 2024","FQ3 2024","Currency=USD","Period=FQ","BEST_FPERIOD_OVERRIDE=FQ","FILING_STATUS=MR","SCALING_FORMAT=MLN","Sort=A","Dates=H","DateFormat=P","Fill=—","Direction=H","UseDPDF=Y")</f>
        <v>—</v>
      </c>
      <c r="AA20" s="13" t="str">
        <f>_xll.BDH("ITCI US Equity","ARD_CHANGE_IN_OTHER_ASSETS","FQ4 2024","FQ4 2024","Currency=USD","Period=FQ","BEST_FPERIOD_OVERRIDE=FQ","FILING_STATUS=MR","SCALING_FORMAT=MLN","Sort=A","Dates=H","DateFormat=P","Fill=—","Direction=H","UseDPDF=Y")</f>
        <v>—</v>
      </c>
    </row>
    <row r="21" spans="1:27" x14ac:dyDescent="0.25">
      <c r="A21" s="10" t="s">
        <v>1045</v>
      </c>
      <c r="B21" s="10" t="s">
        <v>1046</v>
      </c>
      <c r="C21" s="13">
        <f>_xll.BDH("ITCI US Equity","ARD_TOT_CASH_FLOWS_FROM_OPS","FQ4 2018","FQ4 2018","Currency=USD","Period=FQ","BEST_FPERIOD_OVERRIDE=FQ","FILING_STATUS=MR","SCALING_FORMAT=MLN","Sort=A","Dates=H","DateFormat=P","Fill=—","Direction=H","UseDPDF=Y")</f>
        <v>-118.1691</v>
      </c>
      <c r="D21" s="13">
        <f>_xll.BDH("ITCI US Equity","ARD_TOT_CASH_FLOWS_FROM_OPS","FQ1 2019","FQ1 2019","Currency=USD","Period=FQ","BEST_FPERIOD_OVERRIDE=FQ","FILING_STATUS=MR","SCALING_FORMAT=MLN","Sort=A","Dates=H","DateFormat=P","Fill=—","Direction=H","UseDPDF=Y")</f>
        <v>-35.629300000000001</v>
      </c>
      <c r="E21" s="13">
        <f>_xll.BDH("ITCI US Equity","ARD_TOT_CASH_FLOWS_FROM_OPS","FQ2 2019","FQ2 2019","Currency=USD","Period=FQ","BEST_FPERIOD_OVERRIDE=FQ","FILING_STATUS=MR","SCALING_FORMAT=MLN","Sort=A","Dates=H","DateFormat=P","Fill=—","Direction=H","UseDPDF=Y")</f>
        <v>-62.938000000000002</v>
      </c>
      <c r="F21" s="13">
        <f>_xll.BDH("ITCI US Equity","ARD_TOT_CASH_FLOWS_FROM_OPS","FQ3 2019","FQ3 2019","Currency=USD","Period=FQ","BEST_FPERIOD_OVERRIDE=FQ","FILING_STATUS=MR","SCALING_FORMAT=MLN","Sort=A","Dates=H","DateFormat=P","Fill=—","Direction=H","UseDPDF=Y")</f>
        <v>-92.927300000000002</v>
      </c>
      <c r="G21" s="13">
        <f>_xll.BDH("ITCI US Equity","ARD_TOT_CASH_FLOWS_FROM_OPS","FQ4 2019","FQ4 2019","Currency=USD","Period=FQ","BEST_FPERIOD_OVERRIDE=FQ","FILING_STATUS=MR","SCALING_FORMAT=MLN","Sort=A","Dates=H","DateFormat=P","Fill=—","Direction=H","UseDPDF=Y")</f>
        <v>-127.9832</v>
      </c>
      <c r="H21" s="13">
        <f>_xll.BDH("ITCI US Equity","ARD_TOT_CASH_FLOWS_FROM_OPS","FQ1 2020","FQ1 2020","Currency=USD","Period=FQ","BEST_FPERIOD_OVERRIDE=FQ","FILING_STATUS=MR","SCALING_FORMAT=MLN","Sort=A","Dates=H","DateFormat=P","Fill=—","Direction=H","UseDPDF=Y")</f>
        <v>-51.226199999999999</v>
      </c>
      <c r="I21" s="13">
        <f>_xll.BDH("ITCI US Equity","ARD_TOT_CASH_FLOWS_FROM_OPS","FQ2 2020","FQ2 2020","Currency=USD","Period=FQ","BEST_FPERIOD_OVERRIDE=FQ","FILING_STATUS=MR","SCALING_FORMAT=MLN","Sort=A","Dates=H","DateFormat=P","Fill=—","Direction=H","UseDPDF=Y")</f>
        <v>-98.251000000000005</v>
      </c>
      <c r="J21" s="13">
        <f>_xll.BDH("ITCI US Equity","ARD_TOT_CASH_FLOWS_FROM_OPS","FQ3 2020","FQ3 2020","Currency=USD","Period=FQ","BEST_FPERIOD_OVERRIDE=FQ","FILING_STATUS=MR","SCALING_FORMAT=MLN","Sort=A","Dates=H","DateFormat=P","Fill=—","Direction=H","UseDPDF=Y")</f>
        <v>-161.83009999999999</v>
      </c>
      <c r="K21" s="13">
        <f>_xll.BDH("ITCI US Equity","ARD_TOT_CASH_FLOWS_FROM_OPS","FQ4 2020","FQ4 2020","Currency=USD","Period=FQ","BEST_FPERIOD_OVERRIDE=FQ","FILING_STATUS=MR","SCALING_FORMAT=MLN","Sort=A","Dates=H","DateFormat=P","Fill=—","Direction=H","UseDPDF=Y")</f>
        <v>-230.0728</v>
      </c>
      <c r="L21" s="13">
        <f>_xll.BDH("ITCI US Equity","ARD_TOT_CASH_FLOWS_FROM_OPS","FQ1 2021","FQ1 2021","Currency=USD","Period=FQ","BEST_FPERIOD_OVERRIDE=FQ","FILING_STATUS=MR","SCALING_FORMAT=MLN","Sort=A","Dates=H","DateFormat=P","Fill=—","Direction=H","UseDPDF=Y")</f>
        <v>-47.767000000000003</v>
      </c>
      <c r="M21" s="13">
        <f>_xll.BDH("ITCI US Equity","ARD_TOT_CASH_FLOWS_FROM_OPS","FQ2 2021","FQ2 2021","Currency=USD","Period=FQ","BEST_FPERIOD_OVERRIDE=FQ","FILING_STATUS=MR","SCALING_FORMAT=MLN","Sort=A","Dates=H","DateFormat=P","Fill=—","Direction=H","UseDPDF=Y")</f>
        <v>-107.09220000000001</v>
      </c>
      <c r="N21" s="13">
        <f>_xll.BDH("ITCI US Equity","ARD_TOT_CASH_FLOWS_FROM_OPS","FQ3 2021","FQ3 2021","Currency=USD","Period=FQ","BEST_FPERIOD_OVERRIDE=FQ","FILING_STATUS=MR","SCALING_FORMAT=MLN","Sort=A","Dates=H","DateFormat=P","Fill=—","Direction=H","UseDPDF=Y")</f>
        <v>-186.35900000000001</v>
      </c>
      <c r="O21" s="13">
        <f>_xll.BDH("ITCI US Equity","ARD_TOT_CASH_FLOWS_FROM_OPS","FQ4 2021","FQ4 2021","Currency=USD","Period=FQ","BEST_FPERIOD_OVERRIDE=FQ","FILING_STATUS=MR","SCALING_FORMAT=MLN","Sort=A","Dates=H","DateFormat=P","Fill=—","Direction=H","UseDPDF=Y")</f>
        <v>-259.54349999999999</v>
      </c>
      <c r="P21" s="13">
        <f>_xll.BDH("ITCI US Equity","ARD_TOT_CASH_FLOWS_FROM_OPS","FQ1 2022","FQ1 2022","Currency=USD","Period=FQ","BEST_FPERIOD_OVERRIDE=FQ","FILING_STATUS=MR","SCALING_FORMAT=MLN","Sort=A","Dates=H","DateFormat=P","Fill=—","Direction=H","UseDPDF=Y")</f>
        <v>-82.849000000000004</v>
      </c>
      <c r="Q21" s="13">
        <f>_xll.BDH("ITCI US Equity","ARD_TOT_CASH_FLOWS_FROM_OPS","FQ2 2022","FQ2 2022","Currency=USD","Period=FQ","BEST_FPERIOD_OVERRIDE=FQ","FILING_STATUS=MR","SCALING_FORMAT=MLN","Sort=A","Dates=H","DateFormat=P","Fill=—","Direction=H","UseDPDF=Y")</f>
        <v>-177.642</v>
      </c>
      <c r="R21" s="13">
        <f>_xll.BDH("ITCI US Equity","ARD_TOT_CASH_FLOWS_FROM_OPS","FQ3 2022","FQ3 2022","Currency=USD","Period=FQ","BEST_FPERIOD_OVERRIDE=FQ","FILING_STATUS=MR","SCALING_FORMAT=MLN","Sort=A","Dates=H","DateFormat=P","Fill=—","Direction=H","UseDPDF=Y")</f>
        <v>-230.99299999999999</v>
      </c>
      <c r="S21" s="13">
        <f>_xll.BDH("ITCI US Equity","ARD_TOT_CASH_FLOWS_FROM_OPS","FQ4 2022","FQ4 2022","Currency=USD","Period=FQ","BEST_FPERIOD_OVERRIDE=FQ","FILING_STATUS=MR","SCALING_FORMAT=MLN","Sort=A","Dates=H","DateFormat=P","Fill=—","Direction=H","UseDPDF=Y")</f>
        <v>-270.18599999999998</v>
      </c>
      <c r="T21" s="13">
        <f>_xll.BDH("ITCI US Equity","ARD_TOT_CASH_FLOWS_FROM_OPS","FQ1 2023","FQ1 2023","Currency=USD","Period=FQ","BEST_FPERIOD_OVERRIDE=FQ","FILING_STATUS=MR","SCALING_FORMAT=MLN","Sort=A","Dates=H","DateFormat=P","Fill=—","Direction=H","UseDPDF=Y")</f>
        <v>-60.066000000000003</v>
      </c>
      <c r="U21" s="13">
        <f>_xll.BDH("ITCI US Equity","ARD_TOT_CASH_FLOWS_FROM_OPS","FQ2 2023","FQ2 2023","Currency=USD","Period=FQ","BEST_FPERIOD_OVERRIDE=FQ","FILING_STATUS=MR","SCALING_FORMAT=MLN","Sort=A","Dates=H","DateFormat=P","Fill=—","Direction=H","UseDPDF=Y")</f>
        <v>-96.867999999999995</v>
      </c>
      <c r="V21" s="13">
        <f>_xll.BDH("ITCI US Equity","ARD_TOT_CASH_FLOWS_FROM_OPS","FQ3 2023","FQ3 2023","Currency=USD","Period=FQ","BEST_FPERIOD_OVERRIDE=FQ","FILING_STATUS=MR","SCALING_FORMAT=MLN","Sort=A","Dates=H","DateFormat=P","Fill=—","Direction=H","UseDPDF=Y")</f>
        <v>-122.13800000000001</v>
      </c>
      <c r="W21" s="13">
        <f>_xll.BDH("ITCI US Equity","ARD_TOT_CASH_FLOWS_FROM_OPS","FQ4 2023","FQ4 2023","Currency=USD","Period=FQ","BEST_FPERIOD_OVERRIDE=FQ","FILING_STATUS=MR","SCALING_FORMAT=MLN","Sort=A","Dates=H","DateFormat=P","Fill=—","Direction=H","UseDPDF=Y")</f>
        <v>-124.199</v>
      </c>
      <c r="X21" s="13">
        <f>_xll.BDH("ITCI US Equity","ARD_TOT_CASH_FLOWS_FROM_OPS","FQ1 2024","FQ1 2024","Currency=USD","Period=FQ","BEST_FPERIOD_OVERRIDE=FQ","FILING_STATUS=MR","SCALING_FORMAT=MLN","Sort=A","Dates=H","DateFormat=P","Fill=—","Direction=H","UseDPDF=Y")</f>
        <v>-34.116</v>
      </c>
      <c r="Y21" s="13">
        <f>_xll.BDH("ITCI US Equity","ARD_TOT_CASH_FLOWS_FROM_OPS","FQ2 2024","FQ2 2024","Currency=USD","Period=FQ","BEST_FPERIOD_OVERRIDE=FQ","FILING_STATUS=MR","SCALING_FORMAT=MLN","Sort=A","Dates=H","DateFormat=P","Fill=—","Direction=H","UseDPDF=Y")</f>
        <v>-33.573999999999998</v>
      </c>
      <c r="Z21" s="13">
        <f>_xll.BDH("ITCI US Equity","ARD_TOT_CASH_FLOWS_FROM_OPS","FQ3 2024","FQ3 2024","Currency=USD","Period=FQ","BEST_FPERIOD_OVERRIDE=FQ","FILING_STATUS=MR","SCALING_FORMAT=MLN","Sort=A","Dates=H","DateFormat=P","Fill=—","Direction=H","UseDPDF=Y")</f>
        <v>-60.098999999999997</v>
      </c>
      <c r="AA21" s="13">
        <f>_xll.BDH("ITCI US Equity","ARD_TOT_CASH_FLOWS_FROM_OPS","FQ4 2024","FQ4 2024","Currency=USD","Period=FQ","BEST_FPERIOD_OVERRIDE=FQ","FILING_STATUS=MR","SCALING_FORMAT=MLN","Sort=A","Dates=H","DateFormat=P","Fill=—","Direction=H","UseDPDF=Y")</f>
        <v>-73.177000000000007</v>
      </c>
    </row>
    <row r="22" spans="1:27" x14ac:dyDescent="0.25">
      <c r="A22" s="10" t="s">
        <v>1047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5">
      <c r="A23" s="10" t="s">
        <v>86</v>
      </c>
      <c r="B23" s="10" t="s">
        <v>1048</v>
      </c>
      <c r="C23" s="13">
        <f>_xll.BDH("ITCI US Equity","ARD_CAPITAL_EXPENDITURES","FQ4 2018","FQ4 2018","Currency=USD","Period=FQ","BEST_FPERIOD_OVERRIDE=FQ","FILING_STATUS=MR","SCALING_FORMAT=MLN","Sort=A","Dates=H","DateFormat=P","Fill=—","Direction=H","UseDPDF=Y")</f>
        <v>-0.39129999999999998</v>
      </c>
      <c r="D23" s="13">
        <f>_xll.BDH("ITCI US Equity","ARD_CAPITAL_EXPENDITURES","FQ1 2019","FQ1 2019","Currency=USD","Period=FQ","BEST_FPERIOD_OVERRIDE=FQ","FILING_STATUS=MR","SCALING_FORMAT=MLN","Sort=A","Dates=H","DateFormat=P","Fill=—","Direction=H","UseDPDF=Y")</f>
        <v>-6.7199999999999996E-2</v>
      </c>
      <c r="E23" s="13">
        <f>_xll.BDH("ITCI US Equity","ARD_CAPITAL_EXPENDITURES","FQ2 2019","FQ2 2019","Currency=USD","Period=FQ","BEST_FPERIOD_OVERRIDE=FQ","FILING_STATUS=MR","SCALING_FORMAT=MLN","Sort=A","Dates=H","DateFormat=P","Fill=—","Direction=H","UseDPDF=Y")</f>
        <v>-1.1295999999999999</v>
      </c>
      <c r="F23" s="13">
        <f>_xll.BDH("ITCI US Equity","ARD_CAPITAL_EXPENDITURES","FQ3 2019","FQ3 2019","Currency=USD","Period=FQ","BEST_FPERIOD_OVERRIDE=FQ","FILING_STATUS=MR","SCALING_FORMAT=MLN","Sort=A","Dates=H","DateFormat=P","Fill=—","Direction=H","UseDPDF=Y")</f>
        <v>-1.3507</v>
      </c>
      <c r="G23" s="13">
        <f>_xll.BDH("ITCI US Equity","ARD_CAPITAL_EXPENDITURES","FQ4 2019","FQ4 2019","Currency=USD","Period=FQ","BEST_FPERIOD_OVERRIDE=FQ","FILING_STATUS=MR","SCALING_FORMAT=MLN","Sort=A","Dates=H","DateFormat=P","Fill=—","Direction=H","UseDPDF=Y")</f>
        <v>-0.70040000000000002</v>
      </c>
      <c r="H23" s="13">
        <f>_xll.BDH("ITCI US Equity","ARD_CAPITAL_EXPENDITURES","FQ1 2020","FQ1 2020","Currency=USD","Period=FQ","BEST_FPERIOD_OVERRIDE=FQ","FILING_STATUS=MR","SCALING_FORMAT=MLN","Sort=A","Dates=H","DateFormat=P","Fill=—","Direction=H","UseDPDF=Y")</f>
        <v>-2.1999999999999999E-2</v>
      </c>
      <c r="I23" s="13">
        <f>_xll.BDH("ITCI US Equity","ARD_CAPITAL_EXPENDITURES","FQ2 2020","FQ2 2020","Currency=USD","Period=FQ","BEST_FPERIOD_OVERRIDE=FQ","FILING_STATUS=MR","SCALING_FORMAT=MLN","Sort=A","Dates=H","DateFormat=P","Fill=—","Direction=H","UseDPDF=Y")</f>
        <v>-2.1999999999999999E-2</v>
      </c>
      <c r="J23" s="13">
        <f>_xll.BDH("ITCI US Equity","ARD_CAPITAL_EXPENDITURES","FQ3 2020","FQ3 2020","Currency=USD","Period=FQ","BEST_FPERIOD_OVERRIDE=FQ","FILING_STATUS=MR","SCALING_FORMAT=MLN","Sort=A","Dates=H","DateFormat=P","Fill=—","Direction=H","UseDPDF=Y")</f>
        <v>-0.192</v>
      </c>
      <c r="K23" s="13">
        <f>_xll.BDH("ITCI US Equity","ARD_CAPITAL_EXPENDITURES","FQ4 2020","FQ4 2020","Currency=USD","Period=FQ","BEST_FPERIOD_OVERRIDE=FQ","FILING_STATUS=MR","SCALING_FORMAT=MLN","Sort=A","Dates=H","DateFormat=P","Fill=—","Direction=H","UseDPDF=Y")</f>
        <v>-0.26669999999999999</v>
      </c>
      <c r="L23" s="13">
        <f>_xll.BDH("ITCI US Equity","ARD_CAPITAL_EXPENDITURES","FQ1 2021","FQ1 2021","Currency=USD","Period=FQ","BEST_FPERIOD_OVERRIDE=FQ","FILING_STATUS=MR","SCALING_FORMAT=MLN","Sort=A","Dates=H","DateFormat=P","Fill=—","Direction=H","UseDPDF=Y")</f>
        <v>0</v>
      </c>
      <c r="M23" s="13">
        <f>_xll.BDH("ITCI US Equity","ARD_CAPITAL_EXPENDITURES","FQ2 2021","FQ2 2021","Currency=USD","Period=FQ","BEST_FPERIOD_OVERRIDE=FQ","FILING_STATUS=MR","SCALING_FORMAT=MLN","Sort=A","Dates=H","DateFormat=P","Fill=—","Direction=H","UseDPDF=Y")</f>
        <v>-1.52E-2</v>
      </c>
      <c r="N23" s="13">
        <f>_xll.BDH("ITCI US Equity","ARD_CAPITAL_EXPENDITURES","FQ3 2021","FQ3 2021","Currency=USD","Period=FQ","BEST_FPERIOD_OVERRIDE=FQ","FILING_STATUS=MR","SCALING_FORMAT=MLN","Sort=A","Dates=H","DateFormat=P","Fill=—","Direction=H","UseDPDF=Y")</f>
        <v>-0.32450000000000001</v>
      </c>
      <c r="O23" s="13">
        <f>_xll.BDH("ITCI US Equity","ARD_CAPITAL_EXPENDITURES","FQ4 2021","FQ4 2021","Currency=USD","Period=FQ","BEST_FPERIOD_OVERRIDE=FQ","FILING_STATUS=MR","SCALING_FORMAT=MLN","Sort=A","Dates=H","DateFormat=P","Fill=—","Direction=H","UseDPDF=Y")</f>
        <v>-0.32569999999999999</v>
      </c>
      <c r="P23" s="13">
        <f>_xll.BDH("ITCI US Equity","ARD_CAPITAL_EXPENDITURES","FQ1 2022","FQ1 2022","Currency=USD","Period=FQ","BEST_FPERIOD_OVERRIDE=FQ","FILING_STATUS=MR","SCALING_FORMAT=MLN","Sort=A","Dates=H","DateFormat=P","Fill=—","Direction=H","UseDPDF=Y")</f>
        <v>-0.56599999999999995</v>
      </c>
      <c r="Q23" s="13">
        <f>_xll.BDH("ITCI US Equity","ARD_CAPITAL_EXPENDITURES","FQ2 2022","FQ2 2022","Currency=USD","Period=FQ","BEST_FPERIOD_OVERRIDE=FQ","FILING_STATUS=MR","SCALING_FORMAT=MLN","Sort=A","Dates=H","DateFormat=P","Fill=—","Direction=H","UseDPDF=Y")</f>
        <v>-0.68899999999999995</v>
      </c>
      <c r="R23" s="13">
        <f>_xll.BDH("ITCI US Equity","ARD_CAPITAL_EXPENDITURES","FQ3 2022","FQ3 2022","Currency=USD","Period=FQ","BEST_FPERIOD_OVERRIDE=FQ","FILING_STATUS=MR","SCALING_FORMAT=MLN","Sort=A","Dates=H","DateFormat=P","Fill=—","Direction=H","UseDPDF=Y")</f>
        <v>-0.80600000000000005</v>
      </c>
      <c r="S23" s="13">
        <f>_xll.BDH("ITCI US Equity","ARD_CAPITAL_EXPENDITURES","FQ4 2022","FQ4 2022","Currency=USD","Period=FQ","BEST_FPERIOD_OVERRIDE=FQ","FILING_STATUS=MR","SCALING_FORMAT=MLN","Sort=A","Dates=H","DateFormat=P","Fill=—","Direction=H","UseDPDF=Y")</f>
        <v>-0.77800000000000002</v>
      </c>
      <c r="T23" s="13">
        <f>_xll.BDH("ITCI US Equity","ARD_CAPITAL_EXPENDITURES","FQ1 2023","FQ1 2023","Currency=USD","Period=FQ","BEST_FPERIOD_OVERRIDE=FQ","FILING_STATUS=MR","SCALING_FORMAT=MLN","Sort=A","Dates=H","DateFormat=P","Fill=—","Direction=H","UseDPDF=Y")</f>
        <v>0</v>
      </c>
      <c r="U23" s="13">
        <f>_xll.BDH("ITCI US Equity","ARD_CAPITAL_EXPENDITURES","FQ2 2023","FQ2 2023","Currency=USD","Period=FQ","BEST_FPERIOD_OVERRIDE=FQ","FILING_STATUS=MR","SCALING_FORMAT=MLN","Sort=A","Dates=H","DateFormat=P","Fill=—","Direction=H","UseDPDF=Y")</f>
        <v>0</v>
      </c>
      <c r="V23" s="13">
        <f>_xll.BDH("ITCI US Equity","ARD_CAPITAL_EXPENDITURES","FQ3 2023","FQ3 2023","Currency=USD","Period=FQ","BEST_FPERIOD_OVERRIDE=FQ","FILING_STATUS=MR","SCALING_FORMAT=MLN","Sort=A","Dates=H","DateFormat=P","Fill=—","Direction=H","UseDPDF=Y")</f>
        <v>-0.26800000000000002</v>
      </c>
      <c r="W23" s="13">
        <f>_xll.BDH("ITCI US Equity","ARD_CAPITAL_EXPENDITURES","FQ4 2023","FQ4 2023","Currency=USD","Period=FQ","BEST_FPERIOD_OVERRIDE=FQ","FILING_STATUS=MR","SCALING_FORMAT=MLN","Sort=A","Dates=H","DateFormat=P","Fill=—","Direction=H","UseDPDF=Y")</f>
        <v>-0.26900000000000002</v>
      </c>
      <c r="X23" s="13" t="str">
        <f>_xll.BDH("ITCI US Equity","ARD_CAPITAL_EXPENDITURES","FQ1 2024","FQ1 2024","Currency=USD","Period=FQ","BEST_FPERIOD_OVERRIDE=FQ","FILING_STATUS=MR","SCALING_FORMAT=MLN","Sort=A","Dates=H","DateFormat=P","Fill=—","Direction=H","UseDPDF=Y")</f>
        <v>—</v>
      </c>
      <c r="Y23" s="13">
        <f>_xll.BDH("ITCI US Equity","ARD_CAPITAL_EXPENDITURES","FQ2 2024","FQ2 2024","Currency=USD","Period=FQ","BEST_FPERIOD_OVERRIDE=FQ","FILING_STATUS=MR","SCALING_FORMAT=MLN","Sort=A","Dates=H","DateFormat=P","Fill=—","Direction=H","UseDPDF=Y")</f>
        <v>-5.2999999999999999E-2</v>
      </c>
      <c r="Z23" s="13">
        <f>_xll.BDH("ITCI US Equity","ARD_CAPITAL_EXPENDITURES","FQ3 2024","FQ3 2024","Currency=USD","Period=FQ","BEST_FPERIOD_OVERRIDE=FQ","FILING_STATUS=MR","SCALING_FORMAT=MLN","Sort=A","Dates=H","DateFormat=P","Fill=—","Direction=H","UseDPDF=Y")</f>
        <v>-0.749</v>
      </c>
      <c r="AA23" s="13">
        <f>_xll.BDH("ITCI US Equity","ARD_CAPITAL_EXPENDITURES","FQ4 2024","FQ4 2024","Currency=USD","Period=FQ","BEST_FPERIOD_OVERRIDE=FQ","FILING_STATUS=MR","SCALING_FORMAT=MLN","Sort=A","Dates=H","DateFormat=P","Fill=—","Direction=H","UseDPDF=Y")</f>
        <v>-0.32200000000000001</v>
      </c>
    </row>
    <row r="24" spans="1:27" x14ac:dyDescent="0.25">
      <c r="A24" s="10" t="s">
        <v>1049</v>
      </c>
      <c r="B24" s="10" t="s">
        <v>1050</v>
      </c>
      <c r="C24" s="13">
        <f>_xll.BDH("ITCI US Equity","ARD_PROCEEDS_FROM_INVESTMENTS","FQ4 2018","FQ4 2018","Currency=USD","Period=FQ","BEST_FPERIOD_OVERRIDE=FQ","FILING_STATUS=MR","SCALING_FORMAT=MLN","Sort=A","Dates=H","DateFormat=P","Fill=—","Direction=H","UseDPDF=Y")</f>
        <v>406.1893</v>
      </c>
      <c r="D24" s="13">
        <f>_xll.BDH("ITCI US Equity","ARD_PROCEEDS_FROM_INVESTMENTS","FQ1 2019","FQ1 2019","Currency=USD","Period=FQ","BEST_FPERIOD_OVERRIDE=FQ","FILING_STATUS=MR","SCALING_FORMAT=MLN","Sort=A","Dates=H","DateFormat=P","Fill=—","Direction=H","UseDPDF=Y")</f>
        <v>59.136499999999998</v>
      </c>
      <c r="E24" s="13">
        <f>_xll.BDH("ITCI US Equity","ARD_PROCEEDS_FROM_INVESTMENTS","FQ2 2019","FQ2 2019","Currency=USD","Period=FQ","BEST_FPERIOD_OVERRIDE=FQ","FILING_STATUS=MR","SCALING_FORMAT=MLN","Sort=A","Dates=H","DateFormat=P","Fill=—","Direction=H","UseDPDF=Y")</f>
        <v>126.37090000000001</v>
      </c>
      <c r="F24" s="13">
        <f>_xll.BDH("ITCI US Equity","ARD_PROCEEDS_FROM_INVESTMENTS","FQ3 2019","FQ3 2019","Currency=USD","Period=FQ","BEST_FPERIOD_OVERRIDE=FQ","FILING_STATUS=MR","SCALING_FORMAT=MLN","Sort=A","Dates=H","DateFormat=P","Fill=—","Direction=H","UseDPDF=Y")</f>
        <v>199.3836</v>
      </c>
      <c r="G24" s="13">
        <f>_xll.BDH("ITCI US Equity","ARD_PROCEEDS_FROM_INVESTMENTS","FQ4 2019","FQ4 2019","Currency=USD","Period=FQ","BEST_FPERIOD_OVERRIDE=FQ","FILING_STATUS=MR","SCALING_FORMAT=MLN","Sort=A","Dates=H","DateFormat=P","Fill=—","Direction=H","UseDPDF=Y")</f>
        <v>258.85770000000002</v>
      </c>
      <c r="H24" s="13">
        <f>_xll.BDH("ITCI US Equity","ARD_PROCEEDS_FROM_INVESTMENTS","FQ1 2020","FQ1 2020","Currency=USD","Period=FQ","BEST_FPERIOD_OVERRIDE=FQ","FILING_STATUS=MR","SCALING_FORMAT=MLN","Sort=A","Dates=H","DateFormat=P","Fill=—","Direction=H","UseDPDF=Y")</f>
        <v>57.503700000000002</v>
      </c>
      <c r="I24" s="13">
        <f>_xll.BDH("ITCI US Equity","ARD_PROCEEDS_FROM_INVESTMENTS","FQ2 2020","FQ2 2020","Currency=USD","Period=FQ","BEST_FPERIOD_OVERRIDE=FQ","FILING_STATUS=MR","SCALING_FORMAT=MLN","Sort=A","Dates=H","DateFormat=P","Fill=—","Direction=H","UseDPDF=Y")</f>
        <v>123.8796</v>
      </c>
      <c r="J24" s="13">
        <f>_xll.BDH("ITCI US Equity","ARD_PROCEEDS_FROM_INVESTMENTS","FQ3 2020","FQ3 2020","Currency=USD","Period=FQ","BEST_FPERIOD_OVERRIDE=FQ","FILING_STATUS=MR","SCALING_FORMAT=MLN","Sort=A","Dates=H","DateFormat=P","Fill=—","Direction=H","UseDPDF=Y")</f>
        <v>184.75720000000001</v>
      </c>
      <c r="K24" s="13">
        <f>_xll.BDH("ITCI US Equity","ARD_PROCEEDS_FROM_INVESTMENTS","FQ4 2020","FQ4 2020","Currency=USD","Period=FQ","BEST_FPERIOD_OVERRIDE=FQ","FILING_STATUS=MR","SCALING_FORMAT=MLN","Sort=A","Dates=H","DateFormat=P","Fill=—","Direction=H","UseDPDF=Y")</f>
        <v>275.60129999999998</v>
      </c>
      <c r="L24" s="13">
        <f>_xll.BDH("ITCI US Equity","ARD_PROCEEDS_FROM_INVESTMENTS","FQ1 2021","FQ1 2021","Currency=USD","Period=FQ","BEST_FPERIOD_OVERRIDE=FQ","FILING_STATUS=MR","SCALING_FORMAT=MLN","Sort=A","Dates=H","DateFormat=P","Fill=—","Direction=H","UseDPDF=Y")</f>
        <v>150.4169</v>
      </c>
      <c r="M24" s="13">
        <f>_xll.BDH("ITCI US Equity","ARD_PROCEEDS_FROM_INVESTMENTS","FQ2 2021","FQ2 2021","Currency=USD","Period=FQ","BEST_FPERIOD_OVERRIDE=FQ","FILING_STATUS=MR","SCALING_FORMAT=MLN","Sort=A","Dates=H","DateFormat=P","Fill=—","Direction=H","UseDPDF=Y")</f>
        <v>284.9769</v>
      </c>
      <c r="N24" s="13">
        <f>_xll.BDH("ITCI US Equity","ARD_PROCEEDS_FROM_INVESTMENTS","FQ3 2021","FQ3 2021","Currency=USD","Period=FQ","BEST_FPERIOD_OVERRIDE=FQ","FILING_STATUS=MR","SCALING_FORMAT=MLN","Sort=A","Dates=H","DateFormat=P","Fill=—","Direction=H","UseDPDF=Y")</f>
        <v>384.3526</v>
      </c>
      <c r="O24" s="13">
        <f>_xll.BDH("ITCI US Equity","ARD_PROCEEDS_FROM_INVESTMENTS","FQ4 2021","FQ4 2021","Currency=USD","Period=FQ","BEST_FPERIOD_OVERRIDE=FQ","FILING_STATUS=MR","SCALING_FORMAT=MLN","Sort=A","Dates=H","DateFormat=P","Fill=—","Direction=H","UseDPDF=Y")</f>
        <v>505.2441</v>
      </c>
      <c r="P24" s="13">
        <f>_xll.BDH("ITCI US Equity","ARD_PROCEEDS_FROM_INVESTMENTS","FQ1 2022","FQ1 2022","Currency=USD","Period=FQ","BEST_FPERIOD_OVERRIDE=FQ","FILING_STATUS=MR","SCALING_FORMAT=MLN","Sort=A","Dates=H","DateFormat=P","Fill=—","Direction=H","UseDPDF=Y")</f>
        <v>505.24400000000003</v>
      </c>
      <c r="Q24" s="13">
        <f>_xll.BDH("ITCI US Equity","ARD_PROCEEDS_FROM_INVESTMENTS","FQ2 2022","FQ2 2022","Currency=USD","Period=FQ","BEST_FPERIOD_OVERRIDE=FQ","FILING_STATUS=MR","SCALING_FORMAT=MLN","Sort=A","Dates=H","DateFormat=P","Fill=—","Direction=H","UseDPDF=Y")</f>
        <v>268.66500000000002</v>
      </c>
      <c r="R24" s="13">
        <f>_xll.BDH("ITCI US Equity","ARD_PROCEEDS_FROM_INVESTMENTS","FQ3 2022","FQ3 2022","Currency=USD","Period=FQ","BEST_FPERIOD_OVERRIDE=FQ","FILING_STATUS=MR","SCALING_FORMAT=MLN","Sort=A","Dates=H","DateFormat=P","Fill=—","Direction=H","UseDPDF=Y")</f>
        <v>465.87700000000001</v>
      </c>
      <c r="S24" s="13">
        <f>_xll.BDH("ITCI US Equity","ARD_PROCEEDS_FROM_INVESTMENTS","FQ4 2022","FQ4 2022","Currency=USD","Period=FQ","BEST_FPERIOD_OVERRIDE=FQ","FILING_STATUS=MR","SCALING_FORMAT=MLN","Sort=A","Dates=H","DateFormat=P","Fill=—","Direction=H","UseDPDF=Y")</f>
        <v>631.61400000000003</v>
      </c>
      <c r="T24" s="13">
        <f>_xll.BDH("ITCI US Equity","ARD_PROCEEDS_FROM_INVESTMENTS","FQ1 2023","FQ1 2023","Currency=USD","Period=FQ","BEST_FPERIOD_OVERRIDE=FQ","FILING_STATUS=MR","SCALING_FORMAT=MLN","Sort=A","Dates=H","DateFormat=P","Fill=—","Direction=H","UseDPDF=Y")</f>
        <v>91.995000000000005</v>
      </c>
      <c r="U24" s="13">
        <f>_xll.BDH("ITCI US Equity","ARD_PROCEEDS_FROM_INVESTMENTS","FQ2 2023","FQ2 2023","Currency=USD","Period=FQ","BEST_FPERIOD_OVERRIDE=FQ","FILING_STATUS=MR","SCALING_FORMAT=MLN","Sort=A","Dates=H","DateFormat=P","Fill=—","Direction=H","UseDPDF=Y")</f>
        <v>252.697</v>
      </c>
      <c r="V24" s="13">
        <f>_xll.BDH("ITCI US Equity","ARD_PROCEEDS_FROM_INVESTMENTS","FQ3 2023","FQ3 2023","Currency=USD","Period=FQ","BEST_FPERIOD_OVERRIDE=FQ","FILING_STATUS=MR","SCALING_FORMAT=MLN","Sort=A","Dates=H","DateFormat=P","Fill=—","Direction=H","UseDPDF=Y")</f>
        <v>369.19200000000001</v>
      </c>
      <c r="W24" s="13">
        <f>_xll.BDH("ITCI US Equity","ARD_PROCEEDS_FROM_INVESTMENTS","FQ4 2023","FQ4 2023","Currency=USD","Period=FQ","BEST_FPERIOD_OVERRIDE=FQ","FILING_STATUS=MR","SCALING_FORMAT=MLN","Sort=A","Dates=H","DateFormat=P","Fill=—","Direction=H","UseDPDF=Y")</f>
        <v>521.07899999999995</v>
      </c>
      <c r="X24" s="13">
        <f>_xll.BDH("ITCI US Equity","ARD_PROCEEDS_FROM_INVESTMENTS","FQ1 2024","FQ1 2024","Currency=USD","Period=FQ","BEST_FPERIOD_OVERRIDE=FQ","FILING_STATUS=MR","SCALING_FORMAT=MLN","Sort=A","Dates=H","DateFormat=P","Fill=—","Direction=H","UseDPDF=Y")</f>
        <v>97.224999999999994</v>
      </c>
      <c r="Y24" s="13">
        <f>_xll.BDH("ITCI US Equity","ARD_PROCEEDS_FROM_INVESTMENTS","FQ2 2024","FQ2 2024","Currency=USD","Period=FQ","BEST_FPERIOD_OVERRIDE=FQ","FILING_STATUS=MR","SCALING_FORMAT=MLN","Sort=A","Dates=H","DateFormat=P","Fill=—","Direction=H","UseDPDF=Y")</f>
        <v>193.56800000000001</v>
      </c>
      <c r="Z24" s="13">
        <f>_xll.BDH("ITCI US Equity","ARD_PROCEEDS_FROM_INVESTMENTS","FQ3 2024","FQ3 2024","Currency=USD","Period=FQ","BEST_FPERIOD_OVERRIDE=FQ","FILING_STATUS=MR","SCALING_FORMAT=MLN","Sort=A","Dates=H","DateFormat=P","Fill=—","Direction=H","UseDPDF=Y")</f>
        <v>297.56799999999998</v>
      </c>
      <c r="AA24" s="13">
        <f>_xll.BDH("ITCI US Equity","ARD_PROCEEDS_FROM_INVESTMENTS","FQ4 2024","FQ4 2024","Currency=USD","Period=FQ","BEST_FPERIOD_OVERRIDE=FQ","FILING_STATUS=MR","SCALING_FORMAT=MLN","Sort=A","Dates=H","DateFormat=P","Fill=—","Direction=H","UseDPDF=Y")</f>
        <v>404.851</v>
      </c>
    </row>
    <row r="25" spans="1:27" x14ac:dyDescent="0.25">
      <c r="A25" s="10" t="s">
        <v>1051</v>
      </c>
      <c r="B25" s="10" t="s">
        <v>1052</v>
      </c>
      <c r="C25" s="13">
        <f>_xll.BDH("ITCI US Equity","ARD_PURCHASES_OF_INVESTMENTS","FQ4 2018","FQ4 2018","Currency=USD","Period=FQ","BEST_FPERIOD_OVERRIDE=FQ","FILING_STATUS=MR","SCALING_FORMAT=MLN","Sort=A","Dates=H","DateFormat=P","Fill=—","Direction=H","UseDPDF=Y")</f>
        <v>-271.1567</v>
      </c>
      <c r="D25" s="13">
        <f>_xll.BDH("ITCI US Equity","ARD_PURCHASES_OF_INVESTMENTS","FQ1 2019","FQ1 2019","Currency=USD","Period=FQ","BEST_FPERIOD_OVERRIDE=FQ","FILING_STATUS=MR","SCALING_FORMAT=MLN","Sort=A","Dates=H","DateFormat=P","Fill=—","Direction=H","UseDPDF=Y")</f>
        <v>-14.3277</v>
      </c>
      <c r="E25" s="13">
        <f>_xll.BDH("ITCI US Equity","ARD_PURCHASES_OF_INVESTMENTS","FQ2 2019","FQ2 2019","Currency=USD","Period=FQ","BEST_FPERIOD_OVERRIDE=FQ","FILING_STATUS=MR","SCALING_FORMAT=MLN","Sort=A","Dates=H","DateFormat=P","Fill=—","Direction=H","UseDPDF=Y")</f>
        <v>-25.777899999999999</v>
      </c>
      <c r="F25" s="13">
        <f>_xll.BDH("ITCI US Equity","ARD_PURCHASES_OF_INVESTMENTS","FQ3 2019","FQ3 2019","Currency=USD","Period=FQ","BEST_FPERIOD_OVERRIDE=FQ","FILING_STATUS=MR","SCALING_FORMAT=MLN","Sort=A","Dates=H","DateFormat=P","Fill=—","Direction=H","UseDPDF=Y")</f>
        <v>-58.332900000000002</v>
      </c>
      <c r="G25" s="13">
        <f>_xll.BDH("ITCI US Equity","ARD_PURCHASES_OF_INVESTMENTS","FQ4 2019","FQ4 2019","Currency=USD","Period=FQ","BEST_FPERIOD_OVERRIDE=FQ","FILING_STATUS=MR","SCALING_FORMAT=MLN","Sort=A","Dates=H","DateFormat=P","Fill=—","Direction=H","UseDPDF=Y")</f>
        <v>-80.720299999999995</v>
      </c>
      <c r="H25" s="13">
        <f>_xll.BDH("ITCI US Equity","ARD_PURCHASES_OF_INVESTMENTS","FQ1 2020","FQ1 2020","Currency=USD","Period=FQ","BEST_FPERIOD_OVERRIDE=FQ","FILING_STATUS=MR","SCALING_FORMAT=MLN","Sort=A","Dates=H","DateFormat=P","Fill=—","Direction=H","UseDPDF=Y")</f>
        <v>-210.4666</v>
      </c>
      <c r="I25" s="13">
        <f>_xll.BDH("ITCI US Equity","ARD_PURCHASES_OF_INVESTMENTS","FQ2 2020","FQ2 2020","Currency=USD","Period=FQ","BEST_FPERIOD_OVERRIDE=FQ","FILING_STATUS=MR","SCALING_FORMAT=MLN","Sort=A","Dates=H","DateFormat=P","Fill=—","Direction=H","UseDPDF=Y")</f>
        <v>-284.60019999999997</v>
      </c>
      <c r="J25" s="13">
        <f>_xll.BDH("ITCI US Equity","ARD_PURCHASES_OF_INVESTMENTS","FQ3 2020","FQ3 2020","Currency=USD","Period=FQ","BEST_FPERIOD_OVERRIDE=FQ","FILING_STATUS=MR","SCALING_FORMAT=MLN","Sort=A","Dates=H","DateFormat=P","Fill=—","Direction=H","UseDPDF=Y")</f>
        <v>-488.52449999999999</v>
      </c>
      <c r="K25" s="13">
        <f>_xll.BDH("ITCI US Equity","ARD_PURCHASES_OF_INVESTMENTS","FQ4 2020","FQ4 2020","Currency=USD","Period=FQ","BEST_FPERIOD_OVERRIDE=FQ","FILING_STATUS=MR","SCALING_FORMAT=MLN","Sort=A","Dates=H","DateFormat=P","Fill=—","Direction=H","UseDPDF=Y")</f>
        <v>-755.62950000000001</v>
      </c>
      <c r="L25" s="13">
        <f>_xll.BDH("ITCI US Equity","ARD_PURCHASES_OF_INVESTMENTS","FQ1 2021","FQ1 2021","Currency=USD","Period=FQ","BEST_FPERIOD_OVERRIDE=FQ","FILING_STATUS=MR","SCALING_FORMAT=MLN","Sort=A","Dates=H","DateFormat=P","Fill=—","Direction=H","UseDPDF=Y")</f>
        <v>-34.1477</v>
      </c>
      <c r="M25" s="13">
        <f>_xll.BDH("ITCI US Equity","ARD_PURCHASES_OF_INVESTMENTS","FQ2 2021","FQ2 2021","Currency=USD","Period=FQ","BEST_FPERIOD_OVERRIDE=FQ","FILING_STATUS=MR","SCALING_FORMAT=MLN","Sort=A","Dates=H","DateFormat=P","Fill=—","Direction=H","UseDPDF=Y")</f>
        <v>-119.8986</v>
      </c>
      <c r="N25" s="13">
        <f>_xll.BDH("ITCI US Equity","ARD_PURCHASES_OF_INVESTMENTS","FQ3 2021","FQ3 2021","Currency=USD","Period=FQ","BEST_FPERIOD_OVERRIDE=FQ","FILING_STATUS=MR","SCALING_FORMAT=MLN","Sort=A","Dates=H","DateFormat=P","Fill=—","Direction=H","UseDPDF=Y")</f>
        <v>-155.19380000000001</v>
      </c>
      <c r="O25" s="13">
        <f>_xll.BDH("ITCI US Equity","ARD_PURCHASES_OF_INVESTMENTS","FQ4 2021","FQ4 2021","Currency=USD","Period=FQ","BEST_FPERIOD_OVERRIDE=FQ","FILING_STATUS=MR","SCALING_FORMAT=MLN","Sort=A","Dates=H","DateFormat=P","Fill=—","Direction=H","UseDPDF=Y")</f>
        <v>-224.57470000000001</v>
      </c>
      <c r="P25" s="13">
        <f>_xll.BDH("ITCI US Equity","ARD_PURCHASES_OF_INVESTMENTS","FQ1 2022","FQ1 2022","Currency=USD","Period=FQ","BEST_FPERIOD_OVERRIDE=FQ","FILING_STATUS=MR","SCALING_FORMAT=MLN","Sort=A","Dates=H","DateFormat=P","Fill=—","Direction=H","UseDPDF=Y")</f>
        <v>-826.71299999999997</v>
      </c>
      <c r="Q25" s="13">
        <f>_xll.BDH("ITCI US Equity","ARD_PURCHASES_OF_INVESTMENTS","FQ2 2022","FQ2 2022","Currency=USD","Period=FQ","BEST_FPERIOD_OVERRIDE=FQ","FILING_STATUS=MR","SCALING_FORMAT=MLN","Sort=A","Dates=H","DateFormat=P","Fill=—","Direction=H","UseDPDF=Y")</f>
        <v>-552.78200000000004</v>
      </c>
      <c r="R25" s="13">
        <f>_xll.BDH("ITCI US Equity","ARD_PURCHASES_OF_INVESTMENTS","FQ3 2022","FQ3 2022","Currency=USD","Period=FQ","BEST_FPERIOD_OVERRIDE=FQ","FILING_STATUS=MR","SCALING_FORMAT=MLN","Sort=A","Dates=H","DateFormat=P","Fill=—","Direction=H","UseDPDF=Y")</f>
        <v>-643.70699999999999</v>
      </c>
      <c r="S25" s="13">
        <f>_xll.BDH("ITCI US Equity","ARD_PURCHASES_OF_INVESTMENTS","FQ4 2022","FQ4 2022","Currency=USD","Period=FQ","BEST_FPERIOD_OVERRIDE=FQ","FILING_STATUS=MR","SCALING_FORMAT=MLN","Sort=A","Dates=H","DateFormat=P","Fill=—","Direction=H","UseDPDF=Y")</f>
        <v>-759.20899999999995</v>
      </c>
      <c r="T25" s="13">
        <f>_xll.BDH("ITCI US Equity","ARD_PURCHASES_OF_INVESTMENTS","FQ1 2023","FQ1 2023","Currency=USD","Period=FQ","BEST_FPERIOD_OVERRIDE=FQ","FILING_STATUS=MR","SCALING_FORMAT=MLN","Sort=A","Dates=H","DateFormat=P","Fill=—","Direction=H","UseDPDF=Y")</f>
        <v>-108.45699999999999</v>
      </c>
      <c r="U25" s="13">
        <f>_xll.BDH("ITCI US Equity","ARD_PURCHASES_OF_INVESTMENTS","FQ2 2023","FQ2 2023","Currency=USD","Period=FQ","BEST_FPERIOD_OVERRIDE=FQ","FILING_STATUS=MR","SCALING_FORMAT=MLN","Sort=A","Dates=H","DateFormat=P","Fill=—","Direction=H","UseDPDF=Y")</f>
        <v>-174.411</v>
      </c>
      <c r="V25" s="13">
        <f>_xll.BDH("ITCI US Equity","ARD_PURCHASES_OF_INVESTMENTS","FQ3 2023","FQ3 2023","Currency=USD","Period=FQ","BEST_FPERIOD_OVERRIDE=FQ","FILING_STATUS=MR","SCALING_FORMAT=MLN","Sort=A","Dates=H","DateFormat=P","Fill=—","Direction=H","UseDPDF=Y")</f>
        <v>-310.80500000000001</v>
      </c>
      <c r="W25" s="13">
        <f>_xll.BDH("ITCI US Equity","ARD_PURCHASES_OF_INVESTMENTS","FQ4 2023","FQ4 2023","Currency=USD","Period=FQ","BEST_FPERIOD_OVERRIDE=FQ","FILING_STATUS=MR","SCALING_FORMAT=MLN","Sort=A","Dates=H","DateFormat=P","Fill=—","Direction=H","UseDPDF=Y")</f>
        <v>-415.26900000000001</v>
      </c>
      <c r="X25" s="13">
        <f>_xll.BDH("ITCI US Equity","ARD_PURCHASES_OF_INVESTMENTS","FQ1 2024","FQ1 2024","Currency=USD","Period=FQ","BEST_FPERIOD_OVERRIDE=FQ","FILING_STATUS=MR","SCALING_FORMAT=MLN","Sort=A","Dates=H","DateFormat=P","Fill=—","Direction=H","UseDPDF=Y")</f>
        <v>-81.046000000000006</v>
      </c>
      <c r="Y25" s="13">
        <f>_xll.BDH("ITCI US Equity","ARD_PURCHASES_OF_INVESTMENTS","FQ2 2024","FQ2 2024","Currency=USD","Period=FQ","BEST_FPERIOD_OVERRIDE=FQ","FILING_STATUS=MR","SCALING_FORMAT=MLN","Sort=A","Dates=H","DateFormat=P","Fill=—","Direction=H","UseDPDF=Y")</f>
        <v>-169.57</v>
      </c>
      <c r="Z25" s="13">
        <f>_xll.BDH("ITCI US Equity","ARD_PURCHASES_OF_INVESTMENTS","FQ3 2024","FQ3 2024","Currency=USD","Period=FQ","BEST_FPERIOD_OVERRIDE=FQ","FILING_STATUS=MR","SCALING_FORMAT=MLN","Sort=A","Dates=H","DateFormat=P","Fill=—","Direction=H","UseDPDF=Y")</f>
        <v>-482.077</v>
      </c>
      <c r="AA25" s="13">
        <f>_xll.BDH("ITCI US Equity","ARD_PURCHASES_OF_INVESTMENTS","FQ4 2024","FQ4 2024","Currency=USD","Period=FQ","BEST_FPERIOD_OVERRIDE=FQ","FILING_STATUS=MR","SCALING_FORMAT=MLN","Sort=A","Dates=H","DateFormat=P","Fill=—","Direction=H","UseDPDF=Y")</f>
        <v>-739.67899999999997</v>
      </c>
    </row>
    <row r="26" spans="1:27" x14ac:dyDescent="0.25">
      <c r="A26" s="6" t="s">
        <v>1053</v>
      </c>
      <c r="B26" s="6" t="s">
        <v>1054</v>
      </c>
      <c r="C26" s="19">
        <f>_xll.BDH("ITCI US Equity","ARD_TOT_CASHFLOWS_FROM_INVESTING","FQ4 2018","FQ4 2018","Currency=USD","Period=FQ","BEST_FPERIOD_OVERRIDE=FQ","FILING_STATUS=MR","SCALING_FORMAT=MLN","Sort=A","Dates=H","DateFormat=P","Fill=—","Direction=H","UseDPDF=Y")</f>
        <v>134.6413</v>
      </c>
      <c r="D26" s="19">
        <f>_xll.BDH("ITCI US Equity","ARD_TOT_CASHFLOWS_FROM_INVESTING","FQ1 2019","FQ1 2019","Currency=USD","Period=FQ","BEST_FPERIOD_OVERRIDE=FQ","FILING_STATUS=MR","SCALING_FORMAT=MLN","Sort=A","Dates=H","DateFormat=P","Fill=—","Direction=H","UseDPDF=Y")</f>
        <v>44.741700000000002</v>
      </c>
      <c r="E26" s="19">
        <f>_xll.BDH("ITCI US Equity","ARD_TOT_CASHFLOWS_FROM_INVESTING","FQ2 2019","FQ2 2019","Currency=USD","Period=FQ","BEST_FPERIOD_OVERRIDE=FQ","FILING_STATUS=MR","SCALING_FORMAT=MLN","Sort=A","Dates=H","DateFormat=P","Fill=—","Direction=H","UseDPDF=Y")</f>
        <v>99.463499999999996</v>
      </c>
      <c r="F26" s="19">
        <f>_xll.BDH("ITCI US Equity","ARD_TOT_CASHFLOWS_FROM_INVESTING","FQ3 2019","FQ3 2019","Currency=USD","Period=FQ","BEST_FPERIOD_OVERRIDE=FQ","FILING_STATUS=MR","SCALING_FORMAT=MLN","Sort=A","Dates=H","DateFormat=P","Fill=—","Direction=H","UseDPDF=Y")</f>
        <v>139.69999999999999</v>
      </c>
      <c r="G26" s="19">
        <f>_xll.BDH("ITCI US Equity","ARD_TOT_CASHFLOWS_FROM_INVESTING","FQ4 2019","FQ4 2019","Currency=USD","Period=FQ","BEST_FPERIOD_OVERRIDE=FQ","FILING_STATUS=MR","SCALING_FORMAT=MLN","Sort=A","Dates=H","DateFormat=P","Fill=—","Direction=H","UseDPDF=Y")</f>
        <v>177.43700000000001</v>
      </c>
      <c r="H26" s="19">
        <f>_xll.BDH("ITCI US Equity","ARD_TOT_CASHFLOWS_FROM_INVESTING","FQ1 2020","FQ1 2020","Currency=USD","Period=FQ","BEST_FPERIOD_OVERRIDE=FQ","FILING_STATUS=MR","SCALING_FORMAT=MLN","Sort=A","Dates=H","DateFormat=P","Fill=—","Direction=H","UseDPDF=Y")</f>
        <v>-152.98490000000001</v>
      </c>
      <c r="I26" s="19">
        <f>_xll.BDH("ITCI US Equity","ARD_TOT_CASHFLOWS_FROM_INVESTING","FQ2 2020","FQ2 2020","Currency=USD","Period=FQ","BEST_FPERIOD_OVERRIDE=FQ","FILING_STATUS=MR","SCALING_FORMAT=MLN","Sort=A","Dates=H","DateFormat=P","Fill=—","Direction=H","UseDPDF=Y")</f>
        <v>-160.74260000000001</v>
      </c>
      <c r="J26" s="19">
        <f>_xll.BDH("ITCI US Equity","ARD_TOT_CASHFLOWS_FROM_INVESTING","FQ3 2020","FQ3 2020","Currency=USD","Period=FQ","BEST_FPERIOD_OVERRIDE=FQ","FILING_STATUS=MR","SCALING_FORMAT=MLN","Sort=A","Dates=H","DateFormat=P","Fill=—","Direction=H","UseDPDF=Y")</f>
        <v>-303.95929999999998</v>
      </c>
      <c r="K26" s="19">
        <f>_xll.BDH("ITCI US Equity","ARD_TOT_CASHFLOWS_FROM_INVESTING","FQ4 2020","FQ4 2020","Currency=USD","Period=FQ","BEST_FPERIOD_OVERRIDE=FQ","FILING_STATUS=MR","SCALING_FORMAT=MLN","Sort=A","Dates=H","DateFormat=P","Fill=—","Direction=H","UseDPDF=Y")</f>
        <v>-480.29500000000002</v>
      </c>
      <c r="L26" s="19">
        <f>_xll.BDH("ITCI US Equity","ARD_TOT_CASHFLOWS_FROM_INVESTING","FQ1 2021","FQ1 2021","Currency=USD","Period=FQ","BEST_FPERIOD_OVERRIDE=FQ","FILING_STATUS=MR","SCALING_FORMAT=MLN","Sort=A","Dates=H","DateFormat=P","Fill=—","Direction=H","UseDPDF=Y")</f>
        <v>116.2692</v>
      </c>
      <c r="M26" s="19">
        <f>_xll.BDH("ITCI US Equity","ARD_TOT_CASHFLOWS_FROM_INVESTING","FQ2 2021","FQ2 2021","Currency=USD","Period=FQ","BEST_FPERIOD_OVERRIDE=FQ","FILING_STATUS=MR","SCALING_FORMAT=MLN","Sort=A","Dates=H","DateFormat=P","Fill=—","Direction=H","UseDPDF=Y")</f>
        <v>165.06309999999999</v>
      </c>
      <c r="N26" s="19">
        <f>_xll.BDH("ITCI US Equity","ARD_TOT_CASHFLOWS_FROM_INVESTING","FQ3 2021","FQ3 2021","Currency=USD","Period=FQ","BEST_FPERIOD_OVERRIDE=FQ","FILING_STATUS=MR","SCALING_FORMAT=MLN","Sort=A","Dates=H","DateFormat=P","Fill=—","Direction=H","UseDPDF=Y")</f>
        <v>228.83430000000001</v>
      </c>
      <c r="O26" s="19">
        <f>_xll.BDH("ITCI US Equity","ARD_TOT_CASHFLOWS_FROM_INVESTING","FQ4 2021","FQ4 2021","Currency=USD","Period=FQ","BEST_FPERIOD_OVERRIDE=FQ","FILING_STATUS=MR","SCALING_FORMAT=MLN","Sort=A","Dates=H","DateFormat=P","Fill=—","Direction=H","UseDPDF=Y")</f>
        <v>280.34359999999998</v>
      </c>
      <c r="P26" s="19">
        <f>_xll.BDH("ITCI US Equity","ARD_TOT_CASHFLOWS_FROM_INVESTING","FQ1 2022","FQ1 2022","Currency=USD","Period=FQ","BEST_FPERIOD_OVERRIDE=FQ","FILING_STATUS=MR","SCALING_FORMAT=MLN","Sort=A","Dates=H","DateFormat=P","Fill=—","Direction=H","UseDPDF=Y")</f>
        <v>-322.03500000000003</v>
      </c>
      <c r="Q26" s="19">
        <f>_xll.BDH("ITCI US Equity","ARD_TOT_CASHFLOWS_FROM_INVESTING","FQ2 2022","FQ2 2022","Currency=USD","Period=FQ","BEST_FPERIOD_OVERRIDE=FQ","FILING_STATUS=MR","SCALING_FORMAT=MLN","Sort=A","Dates=H","DateFormat=P","Fill=—","Direction=H","UseDPDF=Y")</f>
        <v>-284.80599999999998</v>
      </c>
      <c r="R26" s="19">
        <f>_xll.BDH("ITCI US Equity","ARD_TOT_CASHFLOWS_FROM_INVESTING","FQ3 2022","FQ3 2022","Currency=USD","Period=FQ","BEST_FPERIOD_OVERRIDE=FQ","FILING_STATUS=MR","SCALING_FORMAT=MLN","Sort=A","Dates=H","DateFormat=P","Fill=—","Direction=H","UseDPDF=Y")</f>
        <v>-178.636</v>
      </c>
      <c r="S26" s="19">
        <f>_xll.BDH("ITCI US Equity","ARD_TOT_CASHFLOWS_FROM_INVESTING","FQ4 2022","FQ4 2022","Currency=USD","Period=FQ","BEST_FPERIOD_OVERRIDE=FQ","FILING_STATUS=MR","SCALING_FORMAT=MLN","Sort=A","Dates=H","DateFormat=P","Fill=—","Direction=H","UseDPDF=Y")</f>
        <v>-128.37299999999999</v>
      </c>
      <c r="T26" s="19">
        <f>_xll.BDH("ITCI US Equity","ARD_TOT_CASHFLOWS_FROM_INVESTING","FQ1 2023","FQ1 2023","Currency=USD","Period=FQ","BEST_FPERIOD_OVERRIDE=FQ","FILING_STATUS=MR","SCALING_FORMAT=MLN","Sort=A","Dates=H","DateFormat=P","Fill=—","Direction=H","UseDPDF=Y")</f>
        <v>-16.462</v>
      </c>
      <c r="U26" s="19">
        <f>_xll.BDH("ITCI US Equity","ARD_TOT_CASHFLOWS_FROM_INVESTING","FQ2 2023","FQ2 2023","Currency=USD","Period=FQ","BEST_FPERIOD_OVERRIDE=FQ","FILING_STATUS=MR","SCALING_FORMAT=MLN","Sort=A","Dates=H","DateFormat=P","Fill=—","Direction=H","UseDPDF=Y")</f>
        <v>78.286000000000001</v>
      </c>
      <c r="V26" s="19">
        <f>_xll.BDH("ITCI US Equity","ARD_TOT_CASHFLOWS_FROM_INVESTING","FQ3 2023","FQ3 2023","Currency=USD","Period=FQ","BEST_FPERIOD_OVERRIDE=FQ","FILING_STATUS=MR","SCALING_FORMAT=MLN","Sort=A","Dates=H","DateFormat=P","Fill=—","Direction=H","UseDPDF=Y")</f>
        <v>58.119</v>
      </c>
      <c r="W26" s="19">
        <f>_xll.BDH("ITCI US Equity","ARD_TOT_CASHFLOWS_FROM_INVESTING","FQ4 2023","FQ4 2023","Currency=USD","Period=FQ","BEST_FPERIOD_OVERRIDE=FQ","FILING_STATUS=MR","SCALING_FORMAT=MLN","Sort=A","Dates=H","DateFormat=P","Fill=—","Direction=H","UseDPDF=Y")</f>
        <v>105.541</v>
      </c>
      <c r="X26" s="19">
        <f>_xll.BDH("ITCI US Equity","ARD_TOT_CASHFLOWS_FROM_INVESTING","FQ1 2024","FQ1 2024","Currency=USD","Period=FQ","BEST_FPERIOD_OVERRIDE=FQ","FILING_STATUS=MR","SCALING_FORMAT=MLN","Sort=A","Dates=H","DateFormat=P","Fill=—","Direction=H","UseDPDF=Y")</f>
        <v>16.178999999999998</v>
      </c>
      <c r="Y26" s="19">
        <f>_xll.BDH("ITCI US Equity","ARD_TOT_CASHFLOWS_FROM_INVESTING","FQ2 2024","FQ2 2024","Currency=USD","Period=FQ","BEST_FPERIOD_OVERRIDE=FQ","FILING_STATUS=MR","SCALING_FORMAT=MLN","Sort=A","Dates=H","DateFormat=P","Fill=—","Direction=H","UseDPDF=Y")</f>
        <v>23.945</v>
      </c>
      <c r="Z26" s="19">
        <f>_xll.BDH("ITCI US Equity","ARD_TOT_CASHFLOWS_FROM_INVESTING","FQ3 2024","FQ3 2024","Currency=USD","Period=FQ","BEST_FPERIOD_OVERRIDE=FQ","FILING_STATUS=MR","SCALING_FORMAT=MLN","Sort=A","Dates=H","DateFormat=P","Fill=—","Direction=H","UseDPDF=Y")</f>
        <v>-185.25800000000001</v>
      </c>
      <c r="AA26" s="19">
        <f>_xll.BDH("ITCI US Equity","ARD_TOT_CASHFLOWS_FROM_INVESTING","FQ4 2024","FQ4 2024","Currency=USD","Period=FQ","BEST_FPERIOD_OVERRIDE=FQ","FILING_STATUS=MR","SCALING_FORMAT=MLN","Sort=A","Dates=H","DateFormat=P","Fill=—","Direction=H","UseDPDF=Y")</f>
        <v>-335.15</v>
      </c>
    </row>
    <row r="27" spans="1:27" x14ac:dyDescent="0.25">
      <c r="A27" s="10" t="s">
        <v>1055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x14ac:dyDescent="0.25">
      <c r="A28" s="10" t="s">
        <v>1056</v>
      </c>
      <c r="B28" s="10" t="s">
        <v>1057</v>
      </c>
      <c r="C28" s="13">
        <f>_xll.BDH("ITCI US Equity","ARD_INCR_IN_ST_BORROW","FQ4 2018","FQ4 2018","Currency=USD","Period=FQ","BEST_FPERIOD_OVERRIDE=FQ","FILING_STATUS=MR","SCALING_FORMAT=MLN","Sort=A","Dates=H","DateFormat=P","Fill=—","Direction=H","UseDPDF=Y")</f>
        <v>0</v>
      </c>
      <c r="D28" s="13" t="str">
        <f>_xll.BDH("ITCI US Equity","ARD_INCR_IN_ST_BORROW","FQ1 2019","FQ1 2019","Currency=USD","Period=FQ","BEST_FPERIOD_OVERRIDE=FQ","FILING_STATUS=MR","SCALING_FORMAT=MLN","Sort=A","Dates=H","DateFormat=P","Fill=—","Direction=H","UseDPDF=Y")</f>
        <v>—</v>
      </c>
      <c r="E28" s="13" t="str">
        <f>_xll.BDH("ITCI US Equity","ARD_INCR_IN_ST_BORROW","FQ2 2019","FQ2 2019","Currency=USD","Period=FQ","BEST_FPERIOD_OVERRIDE=FQ","FILING_STATUS=MR","SCALING_FORMAT=MLN","Sort=A","Dates=H","DateFormat=P","Fill=—","Direction=H","UseDPDF=Y")</f>
        <v>—</v>
      </c>
      <c r="F28" s="13" t="str">
        <f>_xll.BDH("ITCI US Equity","ARD_INCR_IN_ST_BORROW","FQ3 2019","FQ3 2019","Currency=USD","Period=FQ","BEST_FPERIOD_OVERRIDE=FQ","FILING_STATUS=MR","SCALING_FORMAT=MLN","Sort=A","Dates=H","DateFormat=P","Fill=—","Direction=H","UseDPDF=Y")</f>
        <v>—</v>
      </c>
      <c r="G28" s="13" t="str">
        <f>_xll.BDH("ITCI US Equity","ARD_INCR_IN_ST_BORROW","FQ4 2019","FQ4 2019","Currency=USD","Period=FQ","BEST_FPERIOD_OVERRIDE=FQ","FILING_STATUS=MR","SCALING_FORMAT=MLN","Sort=A","Dates=H","DateFormat=P","Fill=—","Direction=H","UseDPDF=Y")</f>
        <v>—</v>
      </c>
      <c r="H28" s="13" t="str">
        <f>_xll.BDH("ITCI US Equity","ARD_INCR_IN_ST_BORROW","FQ1 2020","FQ1 2020","Currency=USD","Period=FQ","BEST_FPERIOD_OVERRIDE=FQ","FILING_STATUS=MR","SCALING_FORMAT=MLN","Sort=A","Dates=H","DateFormat=P","Fill=—","Direction=H","UseDPDF=Y")</f>
        <v>—</v>
      </c>
      <c r="I28" s="13" t="str">
        <f>_xll.BDH("ITCI US Equity","ARD_INCR_IN_ST_BORROW","FQ2 2020","FQ2 2020","Currency=USD","Period=FQ","BEST_FPERIOD_OVERRIDE=FQ","FILING_STATUS=MR","SCALING_FORMAT=MLN","Sort=A","Dates=H","DateFormat=P","Fill=—","Direction=H","UseDPDF=Y")</f>
        <v>—</v>
      </c>
      <c r="J28" s="13" t="str">
        <f>_xll.BDH("ITCI US Equity","ARD_INCR_IN_ST_BORROW","FQ3 2020","FQ3 2020","Currency=USD","Period=FQ","BEST_FPERIOD_OVERRIDE=FQ","FILING_STATUS=MR","SCALING_FORMAT=MLN","Sort=A","Dates=H","DateFormat=P","Fill=—","Direction=H","UseDPDF=Y")</f>
        <v>—</v>
      </c>
      <c r="K28" s="13" t="str">
        <f>_xll.BDH("ITCI US Equity","ARD_INCR_IN_ST_BORROW","FQ4 2020","FQ4 2020","Currency=USD","Period=FQ","BEST_FPERIOD_OVERRIDE=FQ","FILING_STATUS=MR","SCALING_FORMAT=MLN","Sort=A","Dates=H","DateFormat=P","Fill=—","Direction=H","UseDPDF=Y")</f>
        <v>—</v>
      </c>
      <c r="L28" s="13" t="str">
        <f>_xll.BDH("ITCI US Equity","ARD_INCR_IN_ST_BORROW","FQ1 2021","FQ1 2021","Currency=USD","Period=FQ","BEST_FPERIOD_OVERRIDE=FQ","FILING_STATUS=MR","SCALING_FORMAT=MLN","Sort=A","Dates=H","DateFormat=P","Fill=—","Direction=H","UseDPDF=Y")</f>
        <v>—</v>
      </c>
      <c r="M28" s="13" t="str">
        <f>_xll.BDH("ITCI US Equity","ARD_INCR_IN_ST_BORROW","FQ2 2021","FQ2 2021","Currency=USD","Period=FQ","BEST_FPERIOD_OVERRIDE=FQ","FILING_STATUS=MR","SCALING_FORMAT=MLN","Sort=A","Dates=H","DateFormat=P","Fill=—","Direction=H","UseDPDF=Y")</f>
        <v>—</v>
      </c>
      <c r="N28" s="13" t="str">
        <f>_xll.BDH("ITCI US Equity","ARD_INCR_IN_ST_BORROW","FQ3 2021","FQ3 2021","Currency=USD","Period=FQ","BEST_FPERIOD_OVERRIDE=FQ","FILING_STATUS=MR","SCALING_FORMAT=MLN","Sort=A","Dates=H","DateFormat=P","Fill=—","Direction=H","UseDPDF=Y")</f>
        <v>—</v>
      </c>
      <c r="O28" s="13" t="str">
        <f>_xll.BDH("ITCI US Equity","ARD_INCR_IN_ST_BORROW","FQ4 2021","FQ4 2021","Currency=USD","Period=FQ","BEST_FPERIOD_OVERRIDE=FQ","FILING_STATUS=MR","SCALING_FORMAT=MLN","Sort=A","Dates=H","DateFormat=P","Fill=—","Direction=H","UseDPDF=Y")</f>
        <v>—</v>
      </c>
      <c r="P28" s="13" t="str">
        <f>_xll.BDH("ITCI US Equity","ARD_INCR_IN_ST_BORROW","FQ1 2022","FQ1 2022","Currency=USD","Period=FQ","BEST_FPERIOD_OVERRIDE=FQ","FILING_STATUS=MR","SCALING_FORMAT=MLN","Sort=A","Dates=H","DateFormat=P","Fill=—","Direction=H","UseDPDF=Y")</f>
        <v>—</v>
      </c>
      <c r="Q28" s="13" t="str">
        <f>_xll.BDH("ITCI US Equity","ARD_INCR_IN_ST_BORROW","FQ2 2022","FQ2 2022","Currency=USD","Period=FQ","BEST_FPERIOD_OVERRIDE=FQ","FILING_STATUS=MR","SCALING_FORMAT=MLN","Sort=A","Dates=H","DateFormat=P","Fill=—","Direction=H","UseDPDF=Y")</f>
        <v>—</v>
      </c>
      <c r="R28" s="13" t="str">
        <f>_xll.BDH("ITCI US Equity","ARD_INCR_IN_ST_BORROW","FQ3 2022","FQ3 2022","Currency=USD","Period=FQ","BEST_FPERIOD_OVERRIDE=FQ","FILING_STATUS=MR","SCALING_FORMAT=MLN","Sort=A","Dates=H","DateFormat=P","Fill=—","Direction=H","UseDPDF=Y")</f>
        <v>—</v>
      </c>
      <c r="S28" s="13" t="str">
        <f>_xll.BDH("ITCI US Equity","ARD_INCR_IN_ST_BORROW","FQ4 2022","FQ4 2022","Currency=USD","Period=FQ","BEST_FPERIOD_OVERRIDE=FQ","FILING_STATUS=MR","SCALING_FORMAT=MLN","Sort=A","Dates=H","DateFormat=P","Fill=—","Direction=H","UseDPDF=Y")</f>
        <v>—</v>
      </c>
      <c r="T28" s="13" t="str">
        <f>_xll.BDH("ITCI US Equity","ARD_INCR_IN_ST_BORROW","FQ1 2023","FQ1 2023","Currency=USD","Period=FQ","BEST_FPERIOD_OVERRIDE=FQ","FILING_STATUS=MR","SCALING_FORMAT=MLN","Sort=A","Dates=H","DateFormat=P","Fill=—","Direction=H","UseDPDF=Y")</f>
        <v>—</v>
      </c>
      <c r="U28" s="13" t="str">
        <f>_xll.BDH("ITCI US Equity","ARD_INCR_IN_ST_BORROW","FQ2 2023","FQ2 2023","Currency=USD","Period=FQ","BEST_FPERIOD_OVERRIDE=FQ","FILING_STATUS=MR","SCALING_FORMAT=MLN","Sort=A","Dates=H","DateFormat=P","Fill=—","Direction=H","UseDPDF=Y")</f>
        <v>—</v>
      </c>
      <c r="V28" s="13" t="str">
        <f>_xll.BDH("ITCI US Equity","ARD_INCR_IN_ST_BORROW","FQ3 2023","FQ3 2023","Currency=USD","Period=FQ","BEST_FPERIOD_OVERRIDE=FQ","FILING_STATUS=MR","SCALING_FORMAT=MLN","Sort=A","Dates=H","DateFormat=P","Fill=—","Direction=H","UseDPDF=Y")</f>
        <v>—</v>
      </c>
      <c r="W28" s="13" t="str">
        <f>_xll.BDH("ITCI US Equity","ARD_INCR_IN_ST_BORROW","FQ4 2023","FQ4 2023","Currency=USD","Period=FQ","BEST_FPERIOD_OVERRIDE=FQ","FILING_STATUS=MR","SCALING_FORMAT=MLN","Sort=A","Dates=H","DateFormat=P","Fill=—","Direction=H","UseDPDF=Y")</f>
        <v>—</v>
      </c>
      <c r="X28" s="13" t="str">
        <f>_xll.BDH("ITCI US Equity","ARD_INCR_IN_ST_BORROW","FQ1 2024","FQ1 2024","Currency=USD","Period=FQ","BEST_FPERIOD_OVERRIDE=FQ","FILING_STATUS=MR","SCALING_FORMAT=MLN","Sort=A","Dates=H","DateFormat=P","Fill=—","Direction=H","UseDPDF=Y")</f>
        <v>—</v>
      </c>
      <c r="Y28" s="13" t="str">
        <f>_xll.BDH("ITCI US Equity","ARD_INCR_IN_ST_BORROW","FQ2 2024","FQ2 2024","Currency=USD","Period=FQ","BEST_FPERIOD_OVERRIDE=FQ","FILING_STATUS=MR","SCALING_FORMAT=MLN","Sort=A","Dates=H","DateFormat=P","Fill=—","Direction=H","UseDPDF=Y")</f>
        <v>—</v>
      </c>
      <c r="Z28" s="13" t="str">
        <f>_xll.BDH("ITCI US Equity","ARD_INCR_IN_ST_BORROW","FQ3 2024","FQ3 2024","Currency=USD","Period=FQ","BEST_FPERIOD_OVERRIDE=FQ","FILING_STATUS=MR","SCALING_FORMAT=MLN","Sort=A","Dates=H","DateFormat=P","Fill=—","Direction=H","UseDPDF=Y")</f>
        <v>—</v>
      </c>
      <c r="AA28" s="13" t="str">
        <f>_xll.BDH("ITCI US Equity","ARD_INCR_IN_ST_BORROW","FQ4 2024","FQ4 2024","Currency=USD","Period=FQ","BEST_FPERIOD_OVERRIDE=FQ","FILING_STATUS=MR","SCALING_FORMAT=MLN","Sort=A","Dates=H","DateFormat=P","Fill=—","Direction=H","UseDPDF=Y")</f>
        <v>—</v>
      </c>
    </row>
    <row r="29" spans="1:27" x14ac:dyDescent="0.25">
      <c r="A29" s="10" t="s">
        <v>1058</v>
      </c>
      <c r="B29" s="10" t="s">
        <v>1059</v>
      </c>
      <c r="C29" s="13">
        <f>_xll.BDH("ITCI US Equity","ARD_DECR_IN_ST_BORROW","FQ4 2018","FQ4 2018","Currency=USD","Period=FQ","BEST_FPERIOD_OVERRIDE=FQ","FILING_STATUS=MR","SCALING_FORMAT=MLN","Sort=A","Dates=H","DateFormat=P","Fill=—","Direction=H","UseDPDF=Y")</f>
        <v>0</v>
      </c>
      <c r="D29" s="13" t="str">
        <f>_xll.BDH("ITCI US Equity","ARD_DECR_IN_ST_BORROW","FQ1 2019","FQ1 2019","Currency=USD","Period=FQ","BEST_FPERIOD_OVERRIDE=FQ","FILING_STATUS=MR","SCALING_FORMAT=MLN","Sort=A","Dates=H","DateFormat=P","Fill=—","Direction=H","UseDPDF=Y")</f>
        <v>—</v>
      </c>
      <c r="E29" s="13" t="str">
        <f>_xll.BDH("ITCI US Equity","ARD_DECR_IN_ST_BORROW","FQ2 2019","FQ2 2019","Currency=USD","Period=FQ","BEST_FPERIOD_OVERRIDE=FQ","FILING_STATUS=MR","SCALING_FORMAT=MLN","Sort=A","Dates=H","DateFormat=P","Fill=—","Direction=H","UseDPDF=Y")</f>
        <v>—</v>
      </c>
      <c r="F29" s="13" t="str">
        <f>_xll.BDH("ITCI US Equity","ARD_DECR_IN_ST_BORROW","FQ3 2019","FQ3 2019","Currency=USD","Period=FQ","BEST_FPERIOD_OVERRIDE=FQ","FILING_STATUS=MR","SCALING_FORMAT=MLN","Sort=A","Dates=H","DateFormat=P","Fill=—","Direction=H","UseDPDF=Y")</f>
        <v>—</v>
      </c>
      <c r="G29" s="13" t="str">
        <f>_xll.BDH("ITCI US Equity","ARD_DECR_IN_ST_BORROW","FQ4 2019","FQ4 2019","Currency=USD","Period=FQ","BEST_FPERIOD_OVERRIDE=FQ","FILING_STATUS=MR","SCALING_FORMAT=MLN","Sort=A","Dates=H","DateFormat=P","Fill=—","Direction=H","UseDPDF=Y")</f>
        <v>—</v>
      </c>
      <c r="H29" s="13" t="str">
        <f>_xll.BDH("ITCI US Equity","ARD_DECR_IN_ST_BORROW","FQ1 2020","FQ1 2020","Currency=USD","Period=FQ","BEST_FPERIOD_OVERRIDE=FQ","FILING_STATUS=MR","SCALING_FORMAT=MLN","Sort=A","Dates=H","DateFormat=P","Fill=—","Direction=H","UseDPDF=Y")</f>
        <v>—</v>
      </c>
      <c r="I29" s="13" t="str">
        <f>_xll.BDH("ITCI US Equity","ARD_DECR_IN_ST_BORROW","FQ2 2020","FQ2 2020","Currency=USD","Period=FQ","BEST_FPERIOD_OVERRIDE=FQ","FILING_STATUS=MR","SCALING_FORMAT=MLN","Sort=A","Dates=H","DateFormat=P","Fill=—","Direction=H","UseDPDF=Y")</f>
        <v>—</v>
      </c>
      <c r="J29" s="13" t="str">
        <f>_xll.BDH("ITCI US Equity","ARD_DECR_IN_ST_BORROW","FQ3 2020","FQ3 2020","Currency=USD","Period=FQ","BEST_FPERIOD_OVERRIDE=FQ","FILING_STATUS=MR","SCALING_FORMAT=MLN","Sort=A","Dates=H","DateFormat=P","Fill=—","Direction=H","UseDPDF=Y")</f>
        <v>—</v>
      </c>
      <c r="K29" s="13" t="str">
        <f>_xll.BDH("ITCI US Equity","ARD_DECR_IN_ST_BORROW","FQ4 2020","FQ4 2020","Currency=USD","Period=FQ","BEST_FPERIOD_OVERRIDE=FQ","FILING_STATUS=MR","SCALING_FORMAT=MLN","Sort=A","Dates=H","DateFormat=P","Fill=—","Direction=H","UseDPDF=Y")</f>
        <v>—</v>
      </c>
      <c r="L29" s="13" t="str">
        <f>_xll.BDH("ITCI US Equity","ARD_DECR_IN_ST_BORROW","FQ1 2021","FQ1 2021","Currency=USD","Period=FQ","BEST_FPERIOD_OVERRIDE=FQ","FILING_STATUS=MR","SCALING_FORMAT=MLN","Sort=A","Dates=H","DateFormat=P","Fill=—","Direction=H","UseDPDF=Y")</f>
        <v>—</v>
      </c>
      <c r="M29" s="13" t="str">
        <f>_xll.BDH("ITCI US Equity","ARD_DECR_IN_ST_BORROW","FQ2 2021","FQ2 2021","Currency=USD","Period=FQ","BEST_FPERIOD_OVERRIDE=FQ","FILING_STATUS=MR","SCALING_FORMAT=MLN","Sort=A","Dates=H","DateFormat=P","Fill=—","Direction=H","UseDPDF=Y")</f>
        <v>—</v>
      </c>
      <c r="N29" s="13" t="str">
        <f>_xll.BDH("ITCI US Equity","ARD_DECR_IN_ST_BORROW","FQ3 2021","FQ3 2021","Currency=USD","Period=FQ","BEST_FPERIOD_OVERRIDE=FQ","FILING_STATUS=MR","SCALING_FORMAT=MLN","Sort=A","Dates=H","DateFormat=P","Fill=—","Direction=H","UseDPDF=Y")</f>
        <v>—</v>
      </c>
      <c r="O29" s="13" t="str">
        <f>_xll.BDH("ITCI US Equity","ARD_DECR_IN_ST_BORROW","FQ4 2021","FQ4 2021","Currency=USD","Period=FQ","BEST_FPERIOD_OVERRIDE=FQ","FILING_STATUS=MR","SCALING_FORMAT=MLN","Sort=A","Dates=H","DateFormat=P","Fill=—","Direction=H","UseDPDF=Y")</f>
        <v>—</v>
      </c>
      <c r="P29" s="13" t="str">
        <f>_xll.BDH("ITCI US Equity","ARD_DECR_IN_ST_BORROW","FQ1 2022","FQ1 2022","Currency=USD","Period=FQ","BEST_FPERIOD_OVERRIDE=FQ","FILING_STATUS=MR","SCALING_FORMAT=MLN","Sort=A","Dates=H","DateFormat=P","Fill=—","Direction=H","UseDPDF=Y")</f>
        <v>—</v>
      </c>
      <c r="Q29" s="13" t="str">
        <f>_xll.BDH("ITCI US Equity","ARD_DECR_IN_ST_BORROW","FQ2 2022","FQ2 2022","Currency=USD","Period=FQ","BEST_FPERIOD_OVERRIDE=FQ","FILING_STATUS=MR","SCALING_FORMAT=MLN","Sort=A","Dates=H","DateFormat=P","Fill=—","Direction=H","UseDPDF=Y")</f>
        <v>—</v>
      </c>
      <c r="R29" s="13" t="str">
        <f>_xll.BDH("ITCI US Equity","ARD_DECR_IN_ST_BORROW","FQ3 2022","FQ3 2022","Currency=USD","Period=FQ","BEST_FPERIOD_OVERRIDE=FQ","FILING_STATUS=MR","SCALING_FORMAT=MLN","Sort=A","Dates=H","DateFormat=P","Fill=—","Direction=H","UseDPDF=Y")</f>
        <v>—</v>
      </c>
      <c r="S29" s="13" t="str">
        <f>_xll.BDH("ITCI US Equity","ARD_DECR_IN_ST_BORROW","FQ4 2022","FQ4 2022","Currency=USD","Period=FQ","BEST_FPERIOD_OVERRIDE=FQ","FILING_STATUS=MR","SCALING_FORMAT=MLN","Sort=A","Dates=H","DateFormat=P","Fill=—","Direction=H","UseDPDF=Y")</f>
        <v>—</v>
      </c>
      <c r="T29" s="13" t="str">
        <f>_xll.BDH("ITCI US Equity","ARD_DECR_IN_ST_BORROW","FQ1 2023","FQ1 2023","Currency=USD","Period=FQ","BEST_FPERIOD_OVERRIDE=FQ","FILING_STATUS=MR","SCALING_FORMAT=MLN","Sort=A","Dates=H","DateFormat=P","Fill=—","Direction=H","UseDPDF=Y")</f>
        <v>—</v>
      </c>
      <c r="U29" s="13" t="str">
        <f>_xll.BDH("ITCI US Equity","ARD_DECR_IN_ST_BORROW","FQ2 2023","FQ2 2023","Currency=USD","Period=FQ","BEST_FPERIOD_OVERRIDE=FQ","FILING_STATUS=MR","SCALING_FORMAT=MLN","Sort=A","Dates=H","DateFormat=P","Fill=—","Direction=H","UseDPDF=Y")</f>
        <v>—</v>
      </c>
      <c r="V29" s="13" t="str">
        <f>_xll.BDH("ITCI US Equity","ARD_DECR_IN_ST_BORROW","FQ3 2023","FQ3 2023","Currency=USD","Period=FQ","BEST_FPERIOD_OVERRIDE=FQ","FILING_STATUS=MR","SCALING_FORMAT=MLN","Sort=A","Dates=H","DateFormat=P","Fill=—","Direction=H","UseDPDF=Y")</f>
        <v>—</v>
      </c>
      <c r="W29" s="13" t="str">
        <f>_xll.BDH("ITCI US Equity","ARD_DECR_IN_ST_BORROW","FQ4 2023","FQ4 2023","Currency=USD","Period=FQ","BEST_FPERIOD_OVERRIDE=FQ","FILING_STATUS=MR","SCALING_FORMAT=MLN","Sort=A","Dates=H","DateFormat=P","Fill=—","Direction=H","UseDPDF=Y")</f>
        <v>—</v>
      </c>
      <c r="X29" s="13" t="str">
        <f>_xll.BDH("ITCI US Equity","ARD_DECR_IN_ST_BORROW","FQ1 2024","FQ1 2024","Currency=USD","Period=FQ","BEST_FPERIOD_OVERRIDE=FQ","FILING_STATUS=MR","SCALING_FORMAT=MLN","Sort=A","Dates=H","DateFormat=P","Fill=—","Direction=H","UseDPDF=Y")</f>
        <v>—</v>
      </c>
      <c r="Y29" s="13" t="str">
        <f>_xll.BDH("ITCI US Equity","ARD_DECR_IN_ST_BORROW","FQ2 2024","FQ2 2024","Currency=USD","Period=FQ","BEST_FPERIOD_OVERRIDE=FQ","FILING_STATUS=MR","SCALING_FORMAT=MLN","Sort=A","Dates=H","DateFormat=P","Fill=—","Direction=H","UseDPDF=Y")</f>
        <v>—</v>
      </c>
      <c r="Z29" s="13" t="str">
        <f>_xll.BDH("ITCI US Equity","ARD_DECR_IN_ST_BORROW","FQ3 2024","FQ3 2024","Currency=USD","Period=FQ","BEST_FPERIOD_OVERRIDE=FQ","FILING_STATUS=MR","SCALING_FORMAT=MLN","Sort=A","Dates=H","DateFormat=P","Fill=—","Direction=H","UseDPDF=Y")</f>
        <v>—</v>
      </c>
      <c r="AA29" s="13" t="str">
        <f>_xll.BDH("ITCI US Equity","ARD_DECR_IN_ST_BORROW","FQ4 2024","FQ4 2024","Currency=USD","Period=FQ","BEST_FPERIOD_OVERRIDE=FQ","FILING_STATUS=MR","SCALING_FORMAT=MLN","Sort=A","Dates=H","DateFormat=P","Fill=—","Direction=H","UseDPDF=Y")</f>
        <v>—</v>
      </c>
    </row>
    <row r="30" spans="1:27" x14ac:dyDescent="0.25">
      <c r="A30" s="10" t="s">
        <v>1060</v>
      </c>
      <c r="B30" s="10" t="s">
        <v>1061</v>
      </c>
      <c r="C30" s="13">
        <f>_xll.BDH("ITCI US Equity","ARD_ISSUANCE_OF_COMMON_STOCK","FQ4 2018","FQ4 2018","Currency=USD","Period=FQ","BEST_FPERIOD_OVERRIDE=FQ","FILING_STATUS=MR","SCALING_FORMAT=MLN","Sort=A","Dates=H","DateFormat=P","Fill=—","Direction=H","UseDPDF=Y")</f>
        <v>0</v>
      </c>
      <c r="D30" s="13" t="str">
        <f>_xll.BDH("ITCI US Equity","ARD_ISSUANCE_OF_COMMON_STOCK","FQ1 2019","FQ1 2019","Currency=USD","Period=FQ","BEST_FPERIOD_OVERRIDE=FQ","FILING_STATUS=MR","SCALING_FORMAT=MLN","Sort=A","Dates=H","DateFormat=P","Fill=—","Direction=H","UseDPDF=Y")</f>
        <v>—</v>
      </c>
      <c r="E30" s="13" t="str">
        <f>_xll.BDH("ITCI US Equity","ARD_ISSUANCE_OF_COMMON_STOCK","FQ2 2019","FQ2 2019","Currency=USD","Period=FQ","BEST_FPERIOD_OVERRIDE=FQ","FILING_STATUS=MR","SCALING_FORMAT=MLN","Sort=A","Dates=H","DateFormat=P","Fill=—","Direction=H","UseDPDF=Y")</f>
        <v>—</v>
      </c>
      <c r="F30" s="13" t="str">
        <f>_xll.BDH("ITCI US Equity","ARD_ISSUANCE_OF_COMMON_STOCK","FQ3 2019","FQ3 2019","Currency=USD","Period=FQ","BEST_FPERIOD_OVERRIDE=FQ","FILING_STATUS=MR","SCALING_FORMAT=MLN","Sort=A","Dates=H","DateFormat=P","Fill=—","Direction=H","UseDPDF=Y")</f>
        <v>—</v>
      </c>
      <c r="G30" s="13">
        <f>_xll.BDH("ITCI US Equity","ARD_ISSUANCE_OF_COMMON_STOCK","FQ4 2019","FQ4 2019","Currency=USD","Period=FQ","BEST_FPERIOD_OVERRIDE=FQ","FILING_STATUS=MR","SCALING_FORMAT=MLN","Sort=A","Dates=H","DateFormat=P","Fill=—","Direction=H","UseDPDF=Y")</f>
        <v>0</v>
      </c>
      <c r="H30" s="13">
        <f>_xll.BDH("ITCI US Equity","ARD_ISSUANCE_OF_COMMON_STOCK","FQ1 2020","FQ1 2020","Currency=USD","Period=FQ","BEST_FPERIOD_OVERRIDE=FQ","FILING_STATUS=MR","SCALING_FORMAT=MLN","Sort=A","Dates=H","DateFormat=P","Fill=—","Direction=H","UseDPDF=Y")</f>
        <v>276.97820000000002</v>
      </c>
      <c r="I30" s="13">
        <f>_xll.BDH("ITCI US Equity","ARD_ISSUANCE_OF_COMMON_STOCK","FQ2 2020","FQ2 2020","Currency=USD","Period=FQ","BEST_FPERIOD_OVERRIDE=FQ","FILING_STATUS=MR","SCALING_FORMAT=MLN","Sort=A","Dates=H","DateFormat=P","Fill=—","Direction=H","UseDPDF=Y")</f>
        <v>276.8682</v>
      </c>
      <c r="J30" s="13">
        <f>_xll.BDH("ITCI US Equity","ARD_ISSUANCE_OF_COMMON_STOCK","FQ3 2020","FQ3 2020","Currency=USD","Period=FQ","BEST_FPERIOD_OVERRIDE=FQ","FILING_STATUS=MR","SCALING_FORMAT=MLN","Sort=A","Dates=H","DateFormat=P","Fill=—","Direction=H","UseDPDF=Y")</f>
        <v>652.71199999999999</v>
      </c>
      <c r="K30" s="13">
        <f>_xll.BDH("ITCI US Equity","ARD_ISSUANCE_OF_COMMON_STOCK","FQ4 2020","FQ4 2020","Currency=USD","Period=FQ","BEST_FPERIOD_OVERRIDE=FQ","FILING_STATUS=MR","SCALING_FORMAT=MLN","Sort=A","Dates=H","DateFormat=P","Fill=—","Direction=H","UseDPDF=Y")</f>
        <v>652.71199999999999</v>
      </c>
      <c r="L30" s="13">
        <f>_xll.BDH("ITCI US Equity","ARD_ISSUANCE_OF_COMMON_STOCK","FQ1 2021","FQ1 2021","Currency=USD","Period=FQ","BEST_FPERIOD_OVERRIDE=FQ","FILING_STATUS=MR","SCALING_FORMAT=MLN","Sort=A","Dates=H","DateFormat=P","Fill=—","Direction=H","UseDPDF=Y")</f>
        <v>0</v>
      </c>
      <c r="M30" s="13">
        <f>_xll.BDH("ITCI US Equity","ARD_ISSUANCE_OF_COMMON_STOCK","FQ2 2021","FQ2 2021","Currency=USD","Period=FQ","BEST_FPERIOD_OVERRIDE=FQ","FILING_STATUS=MR","SCALING_FORMAT=MLN","Sort=A","Dates=H","DateFormat=P","Fill=—","Direction=H","UseDPDF=Y")</f>
        <v>0</v>
      </c>
      <c r="N30" s="13">
        <f>_xll.BDH("ITCI US Equity","ARD_ISSUANCE_OF_COMMON_STOCK","FQ3 2021","FQ3 2021","Currency=USD","Period=FQ","BEST_FPERIOD_OVERRIDE=FQ","FILING_STATUS=MR","SCALING_FORMAT=MLN","Sort=A","Dates=H","DateFormat=P","Fill=—","Direction=H","UseDPDF=Y")</f>
        <v>0</v>
      </c>
      <c r="O30" s="13">
        <f>_xll.BDH("ITCI US Equity","ARD_ISSUANCE_OF_COMMON_STOCK","FQ4 2021","FQ4 2021","Currency=USD","Period=FQ","BEST_FPERIOD_OVERRIDE=FQ","FILING_STATUS=MR","SCALING_FORMAT=MLN","Sort=A","Dates=H","DateFormat=P","Fill=—","Direction=H","UseDPDF=Y")</f>
        <v>0</v>
      </c>
      <c r="P30" s="13">
        <f>_xll.BDH("ITCI US Equity","ARD_ISSUANCE_OF_COMMON_STOCK","FQ1 2022","FQ1 2022","Currency=USD","Period=FQ","BEST_FPERIOD_OVERRIDE=FQ","FILING_STATUS=MR","SCALING_FORMAT=MLN","Sort=A","Dates=H","DateFormat=P","Fill=—","Direction=H","UseDPDF=Y")</f>
        <v>433.72500000000002</v>
      </c>
      <c r="Q30" s="13">
        <f>_xll.BDH("ITCI US Equity","ARD_ISSUANCE_OF_COMMON_STOCK","FQ2 2022","FQ2 2022","Currency=USD","Period=FQ","BEST_FPERIOD_OVERRIDE=FQ","FILING_STATUS=MR","SCALING_FORMAT=MLN","Sort=A","Dates=H","DateFormat=P","Fill=—","Direction=H","UseDPDF=Y")</f>
        <v>433.72500000000002</v>
      </c>
      <c r="R30" s="13">
        <f>_xll.BDH("ITCI US Equity","ARD_ISSUANCE_OF_COMMON_STOCK","FQ3 2022","FQ3 2022","Currency=USD","Period=FQ","BEST_FPERIOD_OVERRIDE=FQ","FILING_STATUS=MR","SCALING_FORMAT=MLN","Sort=A","Dates=H","DateFormat=P","Fill=—","Direction=H","UseDPDF=Y")</f>
        <v>433.72500000000002</v>
      </c>
      <c r="S30" s="13">
        <f>_xll.BDH("ITCI US Equity","ARD_ISSUANCE_OF_COMMON_STOCK","FQ4 2022","FQ4 2022","Currency=USD","Period=FQ","BEST_FPERIOD_OVERRIDE=FQ","FILING_STATUS=MR","SCALING_FORMAT=MLN","Sort=A","Dates=H","DateFormat=P","Fill=—","Direction=H","UseDPDF=Y")</f>
        <v>433.71800000000002</v>
      </c>
      <c r="T30" s="13">
        <f>_xll.BDH("ITCI US Equity","ARD_ISSUANCE_OF_COMMON_STOCK","FQ1 2023","FQ1 2023","Currency=USD","Period=FQ","BEST_FPERIOD_OVERRIDE=FQ","FILING_STATUS=MR","SCALING_FORMAT=MLN","Sort=A","Dates=H","DateFormat=P","Fill=—","Direction=H","UseDPDF=Y")</f>
        <v>0</v>
      </c>
      <c r="U30" s="13">
        <f>_xll.BDH("ITCI US Equity","ARD_ISSUANCE_OF_COMMON_STOCK","FQ2 2023","FQ2 2023","Currency=USD","Period=FQ","BEST_FPERIOD_OVERRIDE=FQ","FILING_STATUS=MR","SCALING_FORMAT=MLN","Sort=A","Dates=H","DateFormat=P","Fill=—","Direction=H","UseDPDF=Y")</f>
        <v>0</v>
      </c>
      <c r="V30" s="13">
        <f>_xll.BDH("ITCI US Equity","ARD_ISSUANCE_OF_COMMON_STOCK","FQ3 2023","FQ3 2023","Currency=USD","Period=FQ","BEST_FPERIOD_OVERRIDE=FQ","FILING_STATUS=MR","SCALING_FORMAT=MLN","Sort=A","Dates=H","DateFormat=P","Fill=—","Direction=H","UseDPDF=Y")</f>
        <v>0</v>
      </c>
      <c r="W30" s="13">
        <f>_xll.BDH("ITCI US Equity","ARD_ISSUANCE_OF_COMMON_STOCK","FQ4 2023","FQ4 2023","Currency=USD","Period=FQ","BEST_FPERIOD_OVERRIDE=FQ","FILING_STATUS=MR","SCALING_FORMAT=MLN","Sort=A","Dates=H","DateFormat=P","Fill=—","Direction=H","UseDPDF=Y")</f>
        <v>0</v>
      </c>
      <c r="X30" s="13" t="str">
        <f>_xll.BDH("ITCI US Equity","ARD_ISSUANCE_OF_COMMON_STOCK","FQ1 2024","FQ1 2024","Currency=USD","Period=FQ","BEST_FPERIOD_OVERRIDE=FQ","FILING_STATUS=MR","SCALING_FORMAT=MLN","Sort=A","Dates=H","DateFormat=P","Fill=—","Direction=H","UseDPDF=Y")</f>
        <v>—</v>
      </c>
      <c r="Y30" s="13">
        <f>_xll.BDH("ITCI US Equity","ARD_ISSUANCE_OF_COMMON_STOCK","FQ2 2024","FQ2 2024","Currency=USD","Period=FQ","BEST_FPERIOD_OVERRIDE=FQ","FILING_STATUS=MR","SCALING_FORMAT=MLN","Sort=A","Dates=H","DateFormat=P","Fill=—","Direction=H","UseDPDF=Y")</f>
        <v>543.08600000000001</v>
      </c>
      <c r="Z30" s="13">
        <f>_xll.BDH("ITCI US Equity","ARD_ISSUANCE_OF_COMMON_STOCK","FQ3 2024","FQ3 2024","Currency=USD","Period=FQ","BEST_FPERIOD_OVERRIDE=FQ","FILING_STATUS=MR","SCALING_FORMAT=MLN","Sort=A","Dates=H","DateFormat=P","Fill=—","Direction=H","UseDPDF=Y")</f>
        <v>543.08600000000001</v>
      </c>
      <c r="AA30" s="13">
        <f>_xll.BDH("ITCI US Equity","ARD_ISSUANCE_OF_COMMON_STOCK","FQ4 2024","FQ4 2024","Currency=USD","Period=FQ","BEST_FPERIOD_OVERRIDE=FQ","FILING_STATUS=MR","SCALING_FORMAT=MLN","Sort=A","Dates=H","DateFormat=P","Fill=—","Direction=H","UseDPDF=Y")</f>
        <v>543.08600000000001</v>
      </c>
    </row>
    <row r="31" spans="1:27" x14ac:dyDescent="0.25">
      <c r="A31" s="10" t="s">
        <v>1062</v>
      </c>
      <c r="B31" s="10" t="s">
        <v>1063</v>
      </c>
      <c r="C31" s="13">
        <f>_xll.BDH("ITCI US Equity","ARD_OTHER_FINANCING_ACTIVITIES","FQ4 2018","FQ4 2018","Currency=USD","Period=FQ","BEST_FPERIOD_OVERRIDE=FQ","FILING_STATUS=MR","SCALING_FORMAT=MLN","Sort=A","Dates=H","DateFormat=P","Fill=—","Direction=H","UseDPDF=Y")</f>
        <v>1.0999999999999999E-2</v>
      </c>
      <c r="D31" s="13" t="str">
        <f>_xll.BDH("ITCI US Equity","ARD_OTHER_FINANCING_ACTIVITIES","FQ1 2019","FQ1 2019","Currency=USD","Period=FQ","BEST_FPERIOD_OVERRIDE=FQ","FILING_STATUS=MR","SCALING_FORMAT=MLN","Sort=A","Dates=H","DateFormat=P","Fill=—","Direction=H","UseDPDF=Y")</f>
        <v>—</v>
      </c>
      <c r="E31" s="13" t="str">
        <f>_xll.BDH("ITCI US Equity","ARD_OTHER_FINANCING_ACTIVITIES","FQ2 2019","FQ2 2019","Currency=USD","Period=FQ","BEST_FPERIOD_OVERRIDE=FQ","FILING_STATUS=MR","SCALING_FORMAT=MLN","Sort=A","Dates=H","DateFormat=P","Fill=—","Direction=H","UseDPDF=Y")</f>
        <v>—</v>
      </c>
      <c r="F31" s="13" t="str">
        <f>_xll.BDH("ITCI US Equity","ARD_OTHER_FINANCING_ACTIVITIES","FQ3 2019","FQ3 2019","Currency=USD","Period=FQ","BEST_FPERIOD_OVERRIDE=FQ","FILING_STATUS=MR","SCALING_FORMAT=MLN","Sort=A","Dates=H","DateFormat=P","Fill=—","Direction=H","UseDPDF=Y")</f>
        <v>—</v>
      </c>
      <c r="G31" s="13" t="str">
        <f>_xll.BDH("ITCI US Equity","ARD_OTHER_FINANCING_ACTIVITIES","FQ4 2019","FQ4 2019","Currency=USD","Period=FQ","BEST_FPERIOD_OVERRIDE=FQ","FILING_STATUS=MR","SCALING_FORMAT=MLN","Sort=A","Dates=H","DateFormat=P","Fill=—","Direction=H","UseDPDF=Y")</f>
        <v>—</v>
      </c>
      <c r="H31" s="13" t="str">
        <f>_xll.BDH("ITCI US Equity","ARD_OTHER_FINANCING_ACTIVITIES","FQ1 2020","FQ1 2020","Currency=USD","Period=FQ","BEST_FPERIOD_OVERRIDE=FQ","FILING_STATUS=MR","SCALING_FORMAT=MLN","Sort=A","Dates=H","DateFormat=P","Fill=—","Direction=H","UseDPDF=Y")</f>
        <v>—</v>
      </c>
      <c r="I31" s="13" t="str">
        <f>_xll.BDH("ITCI US Equity","ARD_OTHER_FINANCING_ACTIVITIES","FQ2 2020","FQ2 2020","Currency=USD","Period=FQ","BEST_FPERIOD_OVERRIDE=FQ","FILING_STATUS=MR","SCALING_FORMAT=MLN","Sort=A","Dates=H","DateFormat=P","Fill=—","Direction=H","UseDPDF=Y")</f>
        <v>—</v>
      </c>
      <c r="J31" s="13" t="str">
        <f>_xll.BDH("ITCI US Equity","ARD_OTHER_FINANCING_ACTIVITIES","FQ3 2020","FQ3 2020","Currency=USD","Period=FQ","BEST_FPERIOD_OVERRIDE=FQ","FILING_STATUS=MR","SCALING_FORMAT=MLN","Sort=A","Dates=H","DateFormat=P","Fill=—","Direction=H","UseDPDF=Y")</f>
        <v>—</v>
      </c>
      <c r="K31" s="13" t="str">
        <f>_xll.BDH("ITCI US Equity","ARD_OTHER_FINANCING_ACTIVITIES","FQ4 2020","FQ4 2020","Currency=USD","Period=FQ","BEST_FPERIOD_OVERRIDE=FQ","FILING_STATUS=MR","SCALING_FORMAT=MLN","Sort=A","Dates=H","DateFormat=P","Fill=—","Direction=H","UseDPDF=Y")</f>
        <v>—</v>
      </c>
      <c r="L31" s="13" t="str">
        <f>_xll.BDH("ITCI US Equity","ARD_OTHER_FINANCING_ACTIVITIES","FQ1 2021","FQ1 2021","Currency=USD","Period=FQ","BEST_FPERIOD_OVERRIDE=FQ","FILING_STATUS=MR","SCALING_FORMAT=MLN","Sort=A","Dates=H","DateFormat=P","Fill=—","Direction=H","UseDPDF=Y")</f>
        <v>—</v>
      </c>
      <c r="M31" s="13" t="str">
        <f>_xll.BDH("ITCI US Equity","ARD_OTHER_FINANCING_ACTIVITIES","FQ2 2021","FQ2 2021","Currency=USD","Period=FQ","BEST_FPERIOD_OVERRIDE=FQ","FILING_STATUS=MR","SCALING_FORMAT=MLN","Sort=A","Dates=H","DateFormat=P","Fill=—","Direction=H","UseDPDF=Y")</f>
        <v>—</v>
      </c>
      <c r="N31" s="13" t="str">
        <f>_xll.BDH("ITCI US Equity","ARD_OTHER_FINANCING_ACTIVITIES","FQ3 2021","FQ3 2021","Currency=USD","Period=FQ","BEST_FPERIOD_OVERRIDE=FQ","FILING_STATUS=MR","SCALING_FORMAT=MLN","Sort=A","Dates=H","DateFormat=P","Fill=—","Direction=H","UseDPDF=Y")</f>
        <v>—</v>
      </c>
      <c r="O31" s="13" t="str">
        <f>_xll.BDH("ITCI US Equity","ARD_OTHER_FINANCING_ACTIVITIES","FQ4 2021","FQ4 2021","Currency=USD","Period=FQ","BEST_FPERIOD_OVERRIDE=FQ","FILING_STATUS=MR","SCALING_FORMAT=MLN","Sort=A","Dates=H","DateFormat=P","Fill=—","Direction=H","UseDPDF=Y")</f>
        <v>—</v>
      </c>
      <c r="P31" s="13" t="str">
        <f>_xll.BDH("ITCI US Equity","ARD_OTHER_FINANCING_ACTIVITIES","FQ1 2022","FQ1 2022","Currency=USD","Period=FQ","BEST_FPERIOD_OVERRIDE=FQ","FILING_STATUS=MR","SCALING_FORMAT=MLN","Sort=A","Dates=H","DateFormat=P","Fill=—","Direction=H","UseDPDF=Y")</f>
        <v>—</v>
      </c>
      <c r="Q31" s="13" t="str">
        <f>_xll.BDH("ITCI US Equity","ARD_OTHER_FINANCING_ACTIVITIES","FQ2 2022","FQ2 2022","Currency=USD","Period=FQ","BEST_FPERIOD_OVERRIDE=FQ","FILING_STATUS=MR","SCALING_FORMAT=MLN","Sort=A","Dates=H","DateFormat=P","Fill=—","Direction=H","UseDPDF=Y")</f>
        <v>—</v>
      </c>
      <c r="R31" s="13" t="str">
        <f>_xll.BDH("ITCI US Equity","ARD_OTHER_FINANCING_ACTIVITIES","FQ3 2022","FQ3 2022","Currency=USD","Period=FQ","BEST_FPERIOD_OVERRIDE=FQ","FILING_STATUS=MR","SCALING_FORMAT=MLN","Sort=A","Dates=H","DateFormat=P","Fill=—","Direction=H","UseDPDF=Y")</f>
        <v>—</v>
      </c>
      <c r="S31" s="13" t="str">
        <f>_xll.BDH("ITCI US Equity","ARD_OTHER_FINANCING_ACTIVITIES","FQ4 2022","FQ4 2022","Currency=USD","Period=FQ","BEST_FPERIOD_OVERRIDE=FQ","FILING_STATUS=MR","SCALING_FORMAT=MLN","Sort=A","Dates=H","DateFormat=P","Fill=—","Direction=H","UseDPDF=Y")</f>
        <v>—</v>
      </c>
      <c r="T31" s="13" t="str">
        <f>_xll.BDH("ITCI US Equity","ARD_OTHER_FINANCING_ACTIVITIES","FQ1 2023","FQ1 2023","Currency=USD","Period=FQ","BEST_FPERIOD_OVERRIDE=FQ","FILING_STATUS=MR","SCALING_FORMAT=MLN","Sort=A","Dates=H","DateFormat=P","Fill=—","Direction=H","UseDPDF=Y")</f>
        <v>—</v>
      </c>
      <c r="U31" s="13" t="str">
        <f>_xll.BDH("ITCI US Equity","ARD_OTHER_FINANCING_ACTIVITIES","FQ2 2023","FQ2 2023","Currency=USD","Period=FQ","BEST_FPERIOD_OVERRIDE=FQ","FILING_STATUS=MR","SCALING_FORMAT=MLN","Sort=A","Dates=H","DateFormat=P","Fill=—","Direction=H","UseDPDF=Y")</f>
        <v>—</v>
      </c>
      <c r="V31" s="13" t="str">
        <f>_xll.BDH("ITCI US Equity","ARD_OTHER_FINANCING_ACTIVITIES","FQ3 2023","FQ3 2023","Currency=USD","Period=FQ","BEST_FPERIOD_OVERRIDE=FQ","FILING_STATUS=MR","SCALING_FORMAT=MLN","Sort=A","Dates=H","DateFormat=P","Fill=—","Direction=H","UseDPDF=Y")</f>
        <v>—</v>
      </c>
      <c r="W31" s="13" t="str">
        <f>_xll.BDH("ITCI US Equity","ARD_OTHER_FINANCING_ACTIVITIES","FQ4 2023","FQ4 2023","Currency=USD","Period=FQ","BEST_FPERIOD_OVERRIDE=FQ","FILING_STATUS=MR","SCALING_FORMAT=MLN","Sort=A","Dates=H","DateFormat=P","Fill=—","Direction=H","UseDPDF=Y")</f>
        <v>—</v>
      </c>
      <c r="X31" s="13" t="str">
        <f>_xll.BDH("ITCI US Equity","ARD_OTHER_FINANCING_ACTIVITIES","FQ1 2024","FQ1 2024","Currency=USD","Period=FQ","BEST_FPERIOD_OVERRIDE=FQ","FILING_STATUS=MR","SCALING_FORMAT=MLN","Sort=A","Dates=H","DateFormat=P","Fill=—","Direction=H","UseDPDF=Y")</f>
        <v>—</v>
      </c>
      <c r="Y31" s="13" t="str">
        <f>_xll.BDH("ITCI US Equity","ARD_OTHER_FINANCING_ACTIVITIES","FQ2 2024","FQ2 2024","Currency=USD","Period=FQ","BEST_FPERIOD_OVERRIDE=FQ","FILING_STATUS=MR","SCALING_FORMAT=MLN","Sort=A","Dates=H","DateFormat=P","Fill=—","Direction=H","UseDPDF=Y")</f>
        <v>—</v>
      </c>
      <c r="Z31" s="13" t="str">
        <f>_xll.BDH("ITCI US Equity","ARD_OTHER_FINANCING_ACTIVITIES","FQ3 2024","FQ3 2024","Currency=USD","Period=FQ","BEST_FPERIOD_OVERRIDE=FQ","FILING_STATUS=MR","SCALING_FORMAT=MLN","Sort=A","Dates=H","DateFormat=P","Fill=—","Direction=H","UseDPDF=Y")</f>
        <v>—</v>
      </c>
      <c r="AA31" s="13" t="str">
        <f>_xll.BDH("ITCI US Equity","ARD_OTHER_FINANCING_ACTIVITIES","FQ4 2024","FQ4 2024","Currency=USD","Period=FQ","BEST_FPERIOD_OVERRIDE=FQ","FILING_STATUS=MR","SCALING_FORMAT=MLN","Sort=A","Dates=H","DateFormat=P","Fill=—","Direction=H","UseDPDF=Y")</f>
        <v>—</v>
      </c>
    </row>
    <row r="32" spans="1:27" x14ac:dyDescent="0.25">
      <c r="A32" s="10" t="s">
        <v>1064</v>
      </c>
      <c r="B32" s="10" t="s">
        <v>1065</v>
      </c>
      <c r="C32" s="13">
        <f>_xll.BDH("ITCI US Equity","ARD_CASH_PAID_FOR_TAXES","FQ4 2018","FQ4 2018","Currency=USD","Period=FQ","BEST_FPERIOD_OVERRIDE=FQ","FILING_STATUS=MR","SCALING_FORMAT=MLN","Sort=A","Dates=H","DateFormat=P","Fill=—","Direction=H","UseDPDF=Y")</f>
        <v>1.6000000000000001E-3</v>
      </c>
      <c r="D32" s="13" t="str">
        <f>_xll.BDH("ITCI US Equity","ARD_CASH_PAID_FOR_TAXES","FQ1 2019","FQ1 2019","Currency=USD","Period=FQ","BEST_FPERIOD_OVERRIDE=FQ","FILING_STATUS=MR","SCALING_FORMAT=MLN","Sort=A","Dates=H","DateFormat=P","Fill=—","Direction=H","UseDPDF=Y")</f>
        <v>—</v>
      </c>
      <c r="E32" s="13" t="str">
        <f>_xll.BDH("ITCI US Equity","ARD_CASH_PAID_FOR_TAXES","FQ2 2019","FQ2 2019","Currency=USD","Period=FQ","BEST_FPERIOD_OVERRIDE=FQ","FILING_STATUS=MR","SCALING_FORMAT=MLN","Sort=A","Dates=H","DateFormat=P","Fill=—","Direction=H","UseDPDF=Y")</f>
        <v>—</v>
      </c>
      <c r="F32" s="13" t="str">
        <f>_xll.BDH("ITCI US Equity","ARD_CASH_PAID_FOR_TAXES","FQ3 2019","FQ3 2019","Currency=USD","Period=FQ","BEST_FPERIOD_OVERRIDE=FQ","FILING_STATUS=MR","SCALING_FORMAT=MLN","Sort=A","Dates=H","DateFormat=P","Fill=—","Direction=H","UseDPDF=Y")</f>
        <v>—</v>
      </c>
      <c r="G32" s="13">
        <f>_xll.BDH("ITCI US Equity","ARD_CASH_PAID_FOR_TAXES","FQ4 2019","FQ4 2019","Currency=USD","Period=FQ","BEST_FPERIOD_OVERRIDE=FQ","FILING_STATUS=MR","SCALING_FORMAT=MLN","Sort=A","Dates=H","DateFormat=P","Fill=—","Direction=H","UseDPDF=Y")</f>
        <v>1.6000000000000001E-3</v>
      </c>
      <c r="H32" s="13" t="str">
        <f>_xll.BDH("ITCI US Equity","ARD_CASH_PAID_FOR_TAXES","FQ1 2020","FQ1 2020","Currency=USD","Period=FQ","BEST_FPERIOD_OVERRIDE=FQ","FILING_STATUS=MR","SCALING_FORMAT=MLN","Sort=A","Dates=H","DateFormat=P","Fill=—","Direction=H","UseDPDF=Y")</f>
        <v>—</v>
      </c>
      <c r="I32" s="13" t="str">
        <f>_xll.BDH("ITCI US Equity","ARD_CASH_PAID_FOR_TAXES","FQ2 2020","FQ2 2020","Currency=USD","Period=FQ","BEST_FPERIOD_OVERRIDE=FQ","FILING_STATUS=MR","SCALING_FORMAT=MLN","Sort=A","Dates=H","DateFormat=P","Fill=—","Direction=H","UseDPDF=Y")</f>
        <v>—</v>
      </c>
      <c r="J32" s="13" t="str">
        <f>_xll.BDH("ITCI US Equity","ARD_CASH_PAID_FOR_TAXES","FQ3 2020","FQ3 2020","Currency=USD","Period=FQ","BEST_FPERIOD_OVERRIDE=FQ","FILING_STATUS=MR","SCALING_FORMAT=MLN","Sort=A","Dates=H","DateFormat=P","Fill=—","Direction=H","UseDPDF=Y")</f>
        <v>—</v>
      </c>
      <c r="K32" s="13">
        <f>_xll.BDH("ITCI US Equity","ARD_CASH_PAID_FOR_TAXES","FQ4 2020","FQ4 2020","Currency=USD","Period=FQ","BEST_FPERIOD_OVERRIDE=FQ","FILING_STATUS=MR","SCALING_FORMAT=MLN","Sort=A","Dates=H","DateFormat=P","Fill=—","Direction=H","UseDPDF=Y")</f>
        <v>1.6000000000000001E-3</v>
      </c>
      <c r="L32" s="13" t="str">
        <f>_xll.BDH("ITCI US Equity","ARD_CASH_PAID_FOR_TAXES","FQ1 2021","FQ1 2021","Currency=USD","Period=FQ","BEST_FPERIOD_OVERRIDE=FQ","FILING_STATUS=MR","SCALING_FORMAT=MLN","Sort=A","Dates=H","DateFormat=P","Fill=—","Direction=H","UseDPDF=Y")</f>
        <v>—</v>
      </c>
      <c r="M32" s="13" t="str">
        <f>_xll.BDH("ITCI US Equity","ARD_CASH_PAID_FOR_TAXES","FQ2 2021","FQ2 2021","Currency=USD","Period=FQ","BEST_FPERIOD_OVERRIDE=FQ","FILING_STATUS=MR","SCALING_FORMAT=MLN","Sort=A","Dates=H","DateFormat=P","Fill=—","Direction=H","UseDPDF=Y")</f>
        <v>—</v>
      </c>
      <c r="N32" s="13" t="str">
        <f>_xll.BDH("ITCI US Equity","ARD_CASH_PAID_FOR_TAXES","FQ3 2021","FQ3 2021","Currency=USD","Period=FQ","BEST_FPERIOD_OVERRIDE=FQ","FILING_STATUS=MR","SCALING_FORMAT=MLN","Sort=A","Dates=H","DateFormat=P","Fill=—","Direction=H","UseDPDF=Y")</f>
        <v>—</v>
      </c>
      <c r="O32" s="13">
        <f>_xll.BDH("ITCI US Equity","ARD_CASH_PAID_FOR_TAXES","FQ4 2021","FQ4 2021","Currency=USD","Period=FQ","BEST_FPERIOD_OVERRIDE=FQ","FILING_STATUS=MR","SCALING_FORMAT=MLN","Sort=A","Dates=H","DateFormat=P","Fill=—","Direction=H","UseDPDF=Y")</f>
        <v>5.5999999999999999E-3</v>
      </c>
      <c r="P32" s="13" t="str">
        <f>_xll.BDH("ITCI US Equity","ARD_CASH_PAID_FOR_TAXES","FQ1 2022","FQ1 2022","Currency=USD","Period=FQ","BEST_FPERIOD_OVERRIDE=FQ","FILING_STATUS=MR","SCALING_FORMAT=MLN","Sort=A","Dates=H","DateFormat=P","Fill=—","Direction=H","UseDPDF=Y")</f>
        <v>—</v>
      </c>
      <c r="Q32" s="13" t="str">
        <f>_xll.BDH("ITCI US Equity","ARD_CASH_PAID_FOR_TAXES","FQ2 2022","FQ2 2022","Currency=USD","Period=FQ","BEST_FPERIOD_OVERRIDE=FQ","FILING_STATUS=MR","SCALING_FORMAT=MLN","Sort=A","Dates=H","DateFormat=P","Fill=—","Direction=H","UseDPDF=Y")</f>
        <v>—</v>
      </c>
      <c r="R32" s="13" t="str">
        <f>_xll.BDH("ITCI US Equity","ARD_CASH_PAID_FOR_TAXES","FQ3 2022","FQ3 2022","Currency=USD","Period=FQ","BEST_FPERIOD_OVERRIDE=FQ","FILING_STATUS=MR","SCALING_FORMAT=MLN","Sort=A","Dates=H","DateFormat=P","Fill=—","Direction=H","UseDPDF=Y")</f>
        <v>—</v>
      </c>
      <c r="S32" s="13">
        <f>_xll.BDH("ITCI US Equity","ARD_CASH_PAID_FOR_TAXES","FQ4 2022","FQ4 2022","Currency=USD","Period=FQ","BEST_FPERIOD_OVERRIDE=FQ","FILING_STATUS=MR","SCALING_FORMAT=MLN","Sort=A","Dates=H","DateFormat=P","Fill=—","Direction=H","UseDPDF=Y")</f>
        <v>6.0000000000000001E-3</v>
      </c>
      <c r="T32" s="13" t="str">
        <f>_xll.BDH("ITCI US Equity","ARD_CASH_PAID_FOR_TAXES","FQ1 2023","FQ1 2023","Currency=USD","Period=FQ","BEST_FPERIOD_OVERRIDE=FQ","FILING_STATUS=MR","SCALING_FORMAT=MLN","Sort=A","Dates=H","DateFormat=P","Fill=—","Direction=H","UseDPDF=Y")</f>
        <v>—</v>
      </c>
      <c r="U32" s="13" t="str">
        <f>_xll.BDH("ITCI US Equity","ARD_CASH_PAID_FOR_TAXES","FQ2 2023","FQ2 2023","Currency=USD","Period=FQ","BEST_FPERIOD_OVERRIDE=FQ","FILING_STATUS=MR","SCALING_FORMAT=MLN","Sort=A","Dates=H","DateFormat=P","Fill=—","Direction=H","UseDPDF=Y")</f>
        <v>—</v>
      </c>
      <c r="V32" s="13" t="str">
        <f>_xll.BDH("ITCI US Equity","ARD_CASH_PAID_FOR_TAXES","FQ3 2023","FQ3 2023","Currency=USD","Period=FQ","BEST_FPERIOD_OVERRIDE=FQ","FILING_STATUS=MR","SCALING_FORMAT=MLN","Sort=A","Dates=H","DateFormat=P","Fill=—","Direction=H","UseDPDF=Y")</f>
        <v>—</v>
      </c>
      <c r="W32" s="13">
        <f>_xll.BDH("ITCI US Equity","ARD_CASH_PAID_FOR_TAXES","FQ4 2023","FQ4 2023","Currency=USD","Period=FQ","BEST_FPERIOD_OVERRIDE=FQ","FILING_STATUS=MR","SCALING_FORMAT=MLN","Sort=A","Dates=H","DateFormat=P","Fill=—","Direction=H","UseDPDF=Y")</f>
        <v>0.16200000000000001</v>
      </c>
      <c r="X32" s="13" t="str">
        <f>_xll.BDH("ITCI US Equity","ARD_CASH_PAID_FOR_TAXES","FQ1 2024","FQ1 2024","Currency=USD","Period=FQ","BEST_FPERIOD_OVERRIDE=FQ","FILING_STATUS=MR","SCALING_FORMAT=MLN","Sort=A","Dates=H","DateFormat=P","Fill=—","Direction=H","UseDPDF=Y")</f>
        <v>—</v>
      </c>
      <c r="Y32" s="13">
        <f>_xll.BDH("ITCI US Equity","ARD_CASH_PAID_FOR_TAXES","FQ2 2024","FQ2 2024","Currency=USD","Period=FQ","BEST_FPERIOD_OVERRIDE=FQ","FILING_STATUS=MR","SCALING_FORMAT=MLN","Sort=A","Dates=H","DateFormat=P","Fill=—","Direction=H","UseDPDF=Y")</f>
        <v>1.3640000000000001</v>
      </c>
      <c r="Z32" s="13">
        <f>_xll.BDH("ITCI US Equity","ARD_CASH_PAID_FOR_TAXES","FQ3 2024","FQ3 2024","Currency=USD","Period=FQ","BEST_FPERIOD_OVERRIDE=FQ","FILING_STATUS=MR","SCALING_FORMAT=MLN","Sort=A","Dates=H","DateFormat=P","Fill=—","Direction=H","UseDPDF=Y")</f>
        <v>1.3640000000000001</v>
      </c>
      <c r="AA32" s="13">
        <f>_xll.BDH("ITCI US Equity","ARD_CASH_PAID_FOR_TAXES","FQ4 2024","FQ4 2024","Currency=USD","Period=FQ","BEST_FPERIOD_OVERRIDE=FQ","FILING_STATUS=MR","SCALING_FORMAT=MLN","Sort=A","Dates=H","DateFormat=P","Fill=—","Direction=H","UseDPDF=Y")</f>
        <v>1.8240000000000001</v>
      </c>
    </row>
    <row r="33" spans="1:27" x14ac:dyDescent="0.25">
      <c r="A33" s="10" t="s">
        <v>1066</v>
      </c>
      <c r="B33" s="10" t="s">
        <v>1067</v>
      </c>
      <c r="C33" s="13">
        <f>_xll.BDH("ITCI US Equity","ARD_CASH_PAID_FOR_INTEREST","FQ4 2018","FQ4 2018","Currency=USD","Period=FQ","BEST_FPERIOD_OVERRIDE=FQ","FILING_STATUS=MR","SCALING_FORMAT=MLN","Sort=A","Dates=H","DateFormat=P","Fill=—","Direction=H","UseDPDF=Y")</f>
        <v>0</v>
      </c>
      <c r="D33" s="13" t="str">
        <f>_xll.BDH("ITCI US Equity","ARD_CASH_PAID_FOR_INTEREST","FQ1 2019","FQ1 2019","Currency=USD","Period=FQ","BEST_FPERIOD_OVERRIDE=FQ","FILING_STATUS=MR","SCALING_FORMAT=MLN","Sort=A","Dates=H","DateFormat=P","Fill=—","Direction=H","UseDPDF=Y")</f>
        <v>—</v>
      </c>
      <c r="E33" s="13" t="str">
        <f>_xll.BDH("ITCI US Equity","ARD_CASH_PAID_FOR_INTEREST","FQ2 2019","FQ2 2019","Currency=USD","Period=FQ","BEST_FPERIOD_OVERRIDE=FQ","FILING_STATUS=MR","SCALING_FORMAT=MLN","Sort=A","Dates=H","DateFormat=P","Fill=—","Direction=H","UseDPDF=Y")</f>
        <v>—</v>
      </c>
      <c r="F33" s="13" t="str">
        <f>_xll.BDH("ITCI US Equity","ARD_CASH_PAID_FOR_INTEREST","FQ3 2019","FQ3 2019","Currency=USD","Period=FQ","BEST_FPERIOD_OVERRIDE=FQ","FILING_STATUS=MR","SCALING_FORMAT=MLN","Sort=A","Dates=H","DateFormat=P","Fill=—","Direction=H","UseDPDF=Y")</f>
        <v>—</v>
      </c>
      <c r="G33" s="13" t="str">
        <f>_xll.BDH("ITCI US Equity","ARD_CASH_PAID_FOR_INTEREST","FQ4 2019","FQ4 2019","Currency=USD","Period=FQ","BEST_FPERIOD_OVERRIDE=FQ","FILING_STATUS=MR","SCALING_FORMAT=MLN","Sort=A","Dates=H","DateFormat=P","Fill=—","Direction=H","UseDPDF=Y")</f>
        <v>—</v>
      </c>
      <c r="H33" s="13" t="str">
        <f>_xll.BDH("ITCI US Equity","ARD_CASH_PAID_FOR_INTEREST","FQ1 2020","FQ1 2020","Currency=USD","Period=FQ","BEST_FPERIOD_OVERRIDE=FQ","FILING_STATUS=MR","SCALING_FORMAT=MLN","Sort=A","Dates=H","DateFormat=P","Fill=—","Direction=H","UseDPDF=Y")</f>
        <v>—</v>
      </c>
      <c r="I33" s="13" t="str">
        <f>_xll.BDH("ITCI US Equity","ARD_CASH_PAID_FOR_INTEREST","FQ2 2020","FQ2 2020","Currency=USD","Period=FQ","BEST_FPERIOD_OVERRIDE=FQ","FILING_STATUS=MR","SCALING_FORMAT=MLN","Sort=A","Dates=H","DateFormat=P","Fill=—","Direction=H","UseDPDF=Y")</f>
        <v>—</v>
      </c>
      <c r="J33" s="13" t="str">
        <f>_xll.BDH("ITCI US Equity","ARD_CASH_PAID_FOR_INTEREST","FQ3 2020","FQ3 2020","Currency=USD","Period=FQ","BEST_FPERIOD_OVERRIDE=FQ","FILING_STATUS=MR","SCALING_FORMAT=MLN","Sort=A","Dates=H","DateFormat=P","Fill=—","Direction=H","UseDPDF=Y")</f>
        <v>—</v>
      </c>
      <c r="K33" s="13" t="str">
        <f>_xll.BDH("ITCI US Equity","ARD_CASH_PAID_FOR_INTEREST","FQ4 2020","FQ4 2020","Currency=USD","Period=FQ","BEST_FPERIOD_OVERRIDE=FQ","FILING_STATUS=MR","SCALING_FORMAT=MLN","Sort=A","Dates=H","DateFormat=P","Fill=—","Direction=H","UseDPDF=Y")</f>
        <v>—</v>
      </c>
      <c r="L33" s="13" t="str">
        <f>_xll.BDH("ITCI US Equity","ARD_CASH_PAID_FOR_INTEREST","FQ1 2021","FQ1 2021","Currency=USD","Period=FQ","BEST_FPERIOD_OVERRIDE=FQ","FILING_STATUS=MR","SCALING_FORMAT=MLN","Sort=A","Dates=H","DateFormat=P","Fill=—","Direction=H","UseDPDF=Y")</f>
        <v>—</v>
      </c>
      <c r="M33" s="13" t="str">
        <f>_xll.BDH("ITCI US Equity","ARD_CASH_PAID_FOR_INTEREST","FQ2 2021","FQ2 2021","Currency=USD","Period=FQ","BEST_FPERIOD_OVERRIDE=FQ","FILING_STATUS=MR","SCALING_FORMAT=MLN","Sort=A","Dates=H","DateFormat=P","Fill=—","Direction=H","UseDPDF=Y")</f>
        <v>—</v>
      </c>
      <c r="N33" s="13" t="str">
        <f>_xll.BDH("ITCI US Equity","ARD_CASH_PAID_FOR_INTEREST","FQ3 2021","FQ3 2021","Currency=USD","Period=FQ","BEST_FPERIOD_OVERRIDE=FQ","FILING_STATUS=MR","SCALING_FORMAT=MLN","Sort=A","Dates=H","DateFormat=P","Fill=—","Direction=H","UseDPDF=Y")</f>
        <v>—</v>
      </c>
      <c r="O33" s="13" t="str">
        <f>_xll.BDH("ITCI US Equity","ARD_CASH_PAID_FOR_INTEREST","FQ4 2021","FQ4 2021","Currency=USD","Period=FQ","BEST_FPERIOD_OVERRIDE=FQ","FILING_STATUS=MR","SCALING_FORMAT=MLN","Sort=A","Dates=H","DateFormat=P","Fill=—","Direction=H","UseDPDF=Y")</f>
        <v>—</v>
      </c>
      <c r="P33" s="13" t="str">
        <f>_xll.BDH("ITCI US Equity","ARD_CASH_PAID_FOR_INTEREST","FQ1 2022","FQ1 2022","Currency=USD","Period=FQ","BEST_FPERIOD_OVERRIDE=FQ","FILING_STATUS=MR","SCALING_FORMAT=MLN","Sort=A","Dates=H","DateFormat=P","Fill=—","Direction=H","UseDPDF=Y")</f>
        <v>—</v>
      </c>
      <c r="Q33" s="13" t="str">
        <f>_xll.BDH("ITCI US Equity","ARD_CASH_PAID_FOR_INTEREST","FQ2 2022","FQ2 2022","Currency=USD","Period=FQ","BEST_FPERIOD_OVERRIDE=FQ","FILING_STATUS=MR","SCALING_FORMAT=MLN","Sort=A","Dates=H","DateFormat=P","Fill=—","Direction=H","UseDPDF=Y")</f>
        <v>—</v>
      </c>
      <c r="R33" s="13" t="str">
        <f>_xll.BDH("ITCI US Equity","ARD_CASH_PAID_FOR_INTEREST","FQ3 2022","FQ3 2022","Currency=USD","Period=FQ","BEST_FPERIOD_OVERRIDE=FQ","FILING_STATUS=MR","SCALING_FORMAT=MLN","Sort=A","Dates=H","DateFormat=P","Fill=—","Direction=H","UseDPDF=Y")</f>
        <v>—</v>
      </c>
      <c r="S33" s="13" t="str">
        <f>_xll.BDH("ITCI US Equity","ARD_CASH_PAID_FOR_INTEREST","FQ4 2022","FQ4 2022","Currency=USD","Period=FQ","BEST_FPERIOD_OVERRIDE=FQ","FILING_STATUS=MR","SCALING_FORMAT=MLN","Sort=A","Dates=H","DateFormat=P","Fill=—","Direction=H","UseDPDF=Y")</f>
        <v>—</v>
      </c>
      <c r="T33" s="13" t="str">
        <f>_xll.BDH("ITCI US Equity","ARD_CASH_PAID_FOR_INTEREST","FQ1 2023","FQ1 2023","Currency=USD","Period=FQ","BEST_FPERIOD_OVERRIDE=FQ","FILING_STATUS=MR","SCALING_FORMAT=MLN","Sort=A","Dates=H","DateFormat=P","Fill=—","Direction=H","UseDPDF=Y")</f>
        <v>—</v>
      </c>
      <c r="U33" s="13" t="str">
        <f>_xll.BDH("ITCI US Equity","ARD_CASH_PAID_FOR_INTEREST","FQ2 2023","FQ2 2023","Currency=USD","Period=FQ","BEST_FPERIOD_OVERRIDE=FQ","FILING_STATUS=MR","SCALING_FORMAT=MLN","Sort=A","Dates=H","DateFormat=P","Fill=—","Direction=H","UseDPDF=Y")</f>
        <v>—</v>
      </c>
      <c r="V33" s="13" t="str">
        <f>_xll.BDH("ITCI US Equity","ARD_CASH_PAID_FOR_INTEREST","FQ3 2023","FQ3 2023","Currency=USD","Period=FQ","BEST_FPERIOD_OVERRIDE=FQ","FILING_STATUS=MR","SCALING_FORMAT=MLN","Sort=A","Dates=H","DateFormat=P","Fill=—","Direction=H","UseDPDF=Y")</f>
        <v>—</v>
      </c>
      <c r="W33" s="13" t="str">
        <f>_xll.BDH("ITCI US Equity","ARD_CASH_PAID_FOR_INTEREST","FQ4 2023","FQ4 2023","Currency=USD","Period=FQ","BEST_FPERIOD_OVERRIDE=FQ","FILING_STATUS=MR","SCALING_FORMAT=MLN","Sort=A","Dates=H","DateFormat=P","Fill=—","Direction=H","UseDPDF=Y")</f>
        <v>—</v>
      </c>
      <c r="X33" s="13" t="str">
        <f>_xll.BDH("ITCI US Equity","ARD_CASH_PAID_FOR_INTEREST","FQ1 2024","FQ1 2024","Currency=USD","Period=FQ","BEST_FPERIOD_OVERRIDE=FQ","FILING_STATUS=MR","SCALING_FORMAT=MLN","Sort=A","Dates=H","DateFormat=P","Fill=—","Direction=H","UseDPDF=Y")</f>
        <v>—</v>
      </c>
      <c r="Y33" s="13" t="str">
        <f>_xll.BDH("ITCI US Equity","ARD_CASH_PAID_FOR_INTEREST","FQ2 2024","FQ2 2024","Currency=USD","Period=FQ","BEST_FPERIOD_OVERRIDE=FQ","FILING_STATUS=MR","SCALING_FORMAT=MLN","Sort=A","Dates=H","DateFormat=P","Fill=—","Direction=H","UseDPDF=Y")</f>
        <v>—</v>
      </c>
      <c r="Z33" s="13" t="str">
        <f>_xll.BDH("ITCI US Equity","ARD_CASH_PAID_FOR_INTEREST","FQ3 2024","FQ3 2024","Currency=USD","Period=FQ","BEST_FPERIOD_OVERRIDE=FQ","FILING_STATUS=MR","SCALING_FORMAT=MLN","Sort=A","Dates=H","DateFormat=P","Fill=—","Direction=H","UseDPDF=Y")</f>
        <v>—</v>
      </c>
      <c r="AA33" s="13" t="str">
        <f>_xll.BDH("ITCI US Equity","ARD_CASH_PAID_FOR_INTEREST","FQ4 2024","FQ4 2024","Currency=USD","Period=FQ","BEST_FPERIOD_OVERRIDE=FQ","FILING_STATUS=MR","SCALING_FORMAT=MLN","Sort=A","Dates=H","DateFormat=P","Fill=—","Direction=H","UseDPDF=Y")</f>
        <v>—</v>
      </c>
    </row>
    <row r="34" spans="1:27" x14ac:dyDescent="0.25">
      <c r="A34" s="10" t="s">
        <v>1068</v>
      </c>
      <c r="B34" s="10" t="s">
        <v>1069</v>
      </c>
      <c r="C34" s="13">
        <f>_xll.BDH("ITCI US Equity","ARD_EXERCISE_OF_STOCK_OPTIONS","FQ4 2018","FQ4 2018","Currency=USD","Period=FQ","BEST_FPERIOD_OVERRIDE=FQ","FILING_STATUS=MR","SCALING_FORMAT=MLN","Sort=A","Dates=H","DateFormat=P","Fill=—","Direction=H","UseDPDF=Y")</f>
        <v>0.67420000000000002</v>
      </c>
      <c r="D34" s="13">
        <f>_xll.BDH("ITCI US Equity","ARD_EXERCISE_OF_STOCK_OPTIONS","FQ1 2019","FQ1 2019","Currency=USD","Period=FQ","BEST_FPERIOD_OVERRIDE=FQ","FILING_STATUS=MR","SCALING_FORMAT=MLN","Sort=A","Dates=H","DateFormat=P","Fill=—","Direction=H","UseDPDF=Y")</f>
        <v>3.1199999999999999E-2</v>
      </c>
      <c r="E34" s="13">
        <f>_xll.BDH("ITCI US Equity","ARD_EXERCISE_OF_STOCK_OPTIONS","FQ2 2019","FQ2 2019","Currency=USD","Period=FQ","BEST_FPERIOD_OVERRIDE=FQ","FILING_STATUS=MR","SCALING_FORMAT=MLN","Sort=A","Dates=H","DateFormat=P","Fill=—","Direction=H","UseDPDF=Y")</f>
        <v>0.29039999999999999</v>
      </c>
      <c r="F34" s="13">
        <f>_xll.BDH("ITCI US Equity","ARD_EXERCISE_OF_STOCK_OPTIONS","FQ3 2019","FQ3 2019","Currency=USD","Period=FQ","BEST_FPERIOD_OVERRIDE=FQ","FILING_STATUS=MR","SCALING_FORMAT=MLN","Sort=A","Dates=H","DateFormat=P","Fill=—","Direction=H","UseDPDF=Y")</f>
        <v>0.44280000000000003</v>
      </c>
      <c r="G34" s="13">
        <f>_xll.BDH("ITCI US Equity","ARD_EXERCISE_OF_STOCK_OPTIONS","FQ4 2019","FQ4 2019","Currency=USD","Period=FQ","BEST_FPERIOD_OVERRIDE=FQ","FILING_STATUS=MR","SCALING_FORMAT=MLN","Sort=A","Dates=H","DateFormat=P","Fill=—","Direction=H","UseDPDF=Y")</f>
        <v>3.2355999999999998</v>
      </c>
      <c r="H34" s="13">
        <f>_xll.BDH("ITCI US Equity","ARD_EXERCISE_OF_STOCK_OPTIONS","FQ1 2020","FQ1 2020","Currency=USD","Period=FQ","BEST_FPERIOD_OVERRIDE=FQ","FILING_STATUS=MR","SCALING_FORMAT=MLN","Sort=A","Dates=H","DateFormat=P","Fill=—","Direction=H","UseDPDF=Y")</f>
        <v>0.58919999999999995</v>
      </c>
      <c r="I34" s="13">
        <f>_xll.BDH("ITCI US Equity","ARD_EXERCISE_OF_STOCK_OPTIONS","FQ2 2020","FQ2 2020","Currency=USD","Period=FQ","BEST_FPERIOD_OVERRIDE=FQ","FILING_STATUS=MR","SCALING_FORMAT=MLN","Sort=A","Dates=H","DateFormat=P","Fill=—","Direction=H","UseDPDF=Y")</f>
        <v>5.1790000000000003</v>
      </c>
      <c r="J34" s="13">
        <f>_xll.BDH("ITCI US Equity","ARD_EXERCISE_OF_STOCK_OPTIONS","FQ3 2020","FQ3 2020","Currency=USD","Period=FQ","BEST_FPERIOD_OVERRIDE=FQ","FILING_STATUS=MR","SCALING_FORMAT=MLN","Sort=A","Dates=H","DateFormat=P","Fill=—","Direction=H","UseDPDF=Y")</f>
        <v>7.8296000000000001</v>
      </c>
      <c r="K34" s="13">
        <f>_xll.BDH("ITCI US Equity","ARD_EXERCISE_OF_STOCK_OPTIONS","FQ4 2020","FQ4 2020","Currency=USD","Period=FQ","BEST_FPERIOD_OVERRIDE=FQ","FILING_STATUS=MR","SCALING_FORMAT=MLN","Sort=A","Dates=H","DateFormat=P","Fill=—","Direction=H","UseDPDF=Y")</f>
        <v>11.4649</v>
      </c>
      <c r="L34" s="13">
        <f>_xll.BDH("ITCI US Equity","ARD_EXERCISE_OF_STOCK_OPTIONS","FQ1 2021","FQ1 2021","Currency=USD","Period=FQ","BEST_FPERIOD_OVERRIDE=FQ","FILING_STATUS=MR","SCALING_FORMAT=MLN","Sort=A","Dates=H","DateFormat=P","Fill=—","Direction=H","UseDPDF=Y")</f>
        <v>1.4317</v>
      </c>
      <c r="M34" s="13">
        <f>_xll.BDH("ITCI US Equity","ARD_EXERCISE_OF_STOCK_OPTIONS","FQ2 2021","FQ2 2021","Currency=USD","Period=FQ","BEST_FPERIOD_OVERRIDE=FQ","FILING_STATUS=MR","SCALING_FORMAT=MLN","Sort=A","Dates=H","DateFormat=P","Fill=—","Direction=H","UseDPDF=Y")</f>
        <v>3.0133999999999999</v>
      </c>
      <c r="N34" s="13">
        <f>_xll.BDH("ITCI US Equity","ARD_EXERCISE_OF_STOCK_OPTIONS","FQ3 2021","FQ3 2021","Currency=USD","Period=FQ","BEST_FPERIOD_OVERRIDE=FQ","FILING_STATUS=MR","SCALING_FORMAT=MLN","Sort=A","Dates=H","DateFormat=P","Fill=—","Direction=H","UseDPDF=Y")</f>
        <v>3.6046999999999998</v>
      </c>
      <c r="O34" s="13">
        <f>_xll.BDH("ITCI US Equity","ARD_EXERCISE_OF_STOCK_OPTIONS","FQ4 2021","FQ4 2021","Currency=USD","Period=FQ","BEST_FPERIOD_OVERRIDE=FQ","FILING_STATUS=MR","SCALING_FORMAT=MLN","Sort=A","Dates=H","DateFormat=P","Fill=—","Direction=H","UseDPDF=Y")</f>
        <v>11.5189</v>
      </c>
      <c r="P34" s="13">
        <f>_xll.BDH("ITCI US Equity","ARD_EXERCISE_OF_STOCK_OPTIONS","FQ1 2022","FQ1 2022","Currency=USD","Period=FQ","BEST_FPERIOD_OVERRIDE=FQ","FILING_STATUS=MR","SCALING_FORMAT=MLN","Sort=A","Dates=H","DateFormat=P","Fill=—","Direction=H","UseDPDF=Y")</f>
        <v>8.0890000000000004</v>
      </c>
      <c r="Q34" s="13">
        <f>_xll.BDH("ITCI US Equity","ARD_EXERCISE_OF_STOCK_OPTIONS","FQ2 2022","FQ2 2022","Currency=USD","Period=FQ","BEST_FPERIOD_OVERRIDE=FQ","FILING_STATUS=MR","SCALING_FORMAT=MLN","Sort=A","Dates=H","DateFormat=P","Fill=—","Direction=H","UseDPDF=Y")</f>
        <v>13.593</v>
      </c>
      <c r="R34" s="13">
        <f>_xll.BDH("ITCI US Equity","ARD_EXERCISE_OF_STOCK_OPTIONS","FQ3 2022","FQ3 2022","Currency=USD","Period=FQ","BEST_FPERIOD_OVERRIDE=FQ","FILING_STATUS=MR","SCALING_FORMAT=MLN","Sort=A","Dates=H","DateFormat=P","Fill=—","Direction=H","UseDPDF=Y")</f>
        <v>19.247</v>
      </c>
      <c r="S34" s="13">
        <f>_xll.BDH("ITCI US Equity","ARD_EXERCISE_OF_STOCK_OPTIONS","FQ4 2022","FQ4 2022","Currency=USD","Period=FQ","BEST_FPERIOD_OVERRIDE=FQ","FILING_STATUS=MR","SCALING_FORMAT=MLN","Sort=A","Dates=H","DateFormat=P","Fill=—","Direction=H","UseDPDF=Y")</f>
        <v>21.440999999999999</v>
      </c>
      <c r="T34" s="13">
        <f>_xll.BDH("ITCI US Equity","ARD_EXERCISE_OF_STOCK_OPTIONS","FQ1 2023","FQ1 2023","Currency=USD","Period=FQ","BEST_FPERIOD_OVERRIDE=FQ","FILING_STATUS=MR","SCALING_FORMAT=MLN","Sort=A","Dates=H","DateFormat=P","Fill=—","Direction=H","UseDPDF=Y")</f>
        <v>3.64</v>
      </c>
      <c r="U34" s="13">
        <f>_xll.BDH("ITCI US Equity","ARD_EXERCISE_OF_STOCK_OPTIONS","FQ2 2023","FQ2 2023","Currency=USD","Period=FQ","BEST_FPERIOD_OVERRIDE=FQ","FILING_STATUS=MR","SCALING_FORMAT=MLN","Sort=A","Dates=H","DateFormat=P","Fill=—","Direction=H","UseDPDF=Y")</f>
        <v>12.225</v>
      </c>
      <c r="V34" s="13">
        <f>_xll.BDH("ITCI US Equity","ARD_EXERCISE_OF_STOCK_OPTIONS","FQ3 2023","FQ3 2023","Currency=USD","Period=FQ","BEST_FPERIOD_OVERRIDE=FQ","FILING_STATUS=MR","SCALING_FORMAT=MLN","Sort=A","Dates=H","DateFormat=P","Fill=—","Direction=H","UseDPDF=Y")</f>
        <v>14.805999999999999</v>
      </c>
      <c r="W34" s="13">
        <f>_xll.BDH("ITCI US Equity","ARD_EXERCISE_OF_STOCK_OPTIONS","FQ4 2023","FQ4 2023","Currency=USD","Period=FQ","BEST_FPERIOD_OVERRIDE=FQ","FILING_STATUS=MR","SCALING_FORMAT=MLN","Sort=A","Dates=H","DateFormat=P","Fill=—","Direction=H","UseDPDF=Y")</f>
        <v>17.809999999999999</v>
      </c>
      <c r="X34" s="13">
        <f>_xll.BDH("ITCI US Equity","ARD_EXERCISE_OF_STOCK_OPTIONS","FQ1 2024","FQ1 2024","Currency=USD","Period=FQ","BEST_FPERIOD_OVERRIDE=FQ","FILING_STATUS=MR","SCALING_FORMAT=MLN","Sort=A","Dates=H","DateFormat=P","Fill=—","Direction=H","UseDPDF=Y")</f>
        <v>9.9890000000000008</v>
      </c>
      <c r="Y34" s="13">
        <f>_xll.BDH("ITCI US Equity","ARD_EXERCISE_OF_STOCK_OPTIONS","FQ2 2024","FQ2 2024","Currency=USD","Period=FQ","BEST_FPERIOD_OVERRIDE=FQ","FILING_STATUS=MR","SCALING_FORMAT=MLN","Sort=A","Dates=H","DateFormat=P","Fill=—","Direction=H","UseDPDF=Y")</f>
        <v>12.082000000000001</v>
      </c>
      <c r="Z34" s="13">
        <f>_xll.BDH("ITCI US Equity","ARD_EXERCISE_OF_STOCK_OPTIONS","FQ3 2024","FQ3 2024","Currency=USD","Period=FQ","BEST_FPERIOD_OVERRIDE=FQ","FILING_STATUS=MR","SCALING_FORMAT=MLN","Sort=A","Dates=H","DateFormat=P","Fill=—","Direction=H","UseDPDF=Y")</f>
        <v>18.815999999999999</v>
      </c>
      <c r="AA34" s="13">
        <f>_xll.BDH("ITCI US Equity","ARD_EXERCISE_OF_STOCK_OPTIONS","FQ4 2024","FQ4 2024","Currency=USD","Period=FQ","BEST_FPERIOD_OVERRIDE=FQ","FILING_STATUS=MR","SCALING_FORMAT=MLN","Sort=A","Dates=H","DateFormat=P","Fill=—","Direction=H","UseDPDF=Y")</f>
        <v>24.422000000000001</v>
      </c>
    </row>
    <row r="35" spans="1:27" x14ac:dyDescent="0.25">
      <c r="A35" s="10" t="s">
        <v>1070</v>
      </c>
      <c r="B35" s="10" t="s">
        <v>1071</v>
      </c>
      <c r="C35" s="13">
        <f>_xll.BDH("ITCI US Equity","ARD_NET_CHANGE_IN_CASH","FQ4 2018","FQ4 2018","Currency=USD","Period=FQ","BEST_FPERIOD_OVERRIDE=FQ","FILING_STATUS=MR","SCALING_FORMAT=MLN","Sort=A","Dates=H","DateFormat=P","Fill=—","Direction=H","UseDPDF=Y")</f>
        <v>17.157399999999999</v>
      </c>
      <c r="D35" s="13">
        <f>_xll.BDH("ITCI US Equity","ARD_NET_CHANGE_IN_CASH","FQ1 2019","FQ1 2019","Currency=USD","Period=FQ","BEST_FPERIOD_OVERRIDE=FQ","FILING_STATUS=MR","SCALING_FORMAT=MLN","Sort=A","Dates=H","DateFormat=P","Fill=—","Direction=H","UseDPDF=Y")</f>
        <v>9.1435999999999993</v>
      </c>
      <c r="E35" s="13">
        <f>_xll.BDH("ITCI US Equity","ARD_NET_CHANGE_IN_CASH","FQ2 2019","FQ2 2019","Currency=USD","Period=FQ","BEST_FPERIOD_OVERRIDE=FQ","FILING_STATUS=MR","SCALING_FORMAT=MLN","Sort=A","Dates=H","DateFormat=P","Fill=—","Direction=H","UseDPDF=Y")</f>
        <v>36.815899999999999</v>
      </c>
      <c r="F35" s="13">
        <f>_xll.BDH("ITCI US Equity","ARD_NET_CHANGE_IN_CASH","FQ3 2019","FQ3 2019","Currency=USD","Period=FQ","BEST_FPERIOD_OVERRIDE=FQ","FILING_STATUS=MR","SCALING_FORMAT=MLN","Sort=A","Dates=H","DateFormat=P","Fill=—","Direction=H","UseDPDF=Y")</f>
        <v>47.215499999999999</v>
      </c>
      <c r="G35" s="13">
        <f>_xll.BDH("ITCI US Equity","ARD_NET_CHANGE_IN_CASH","FQ4 2019","FQ4 2019","Currency=USD","Period=FQ","BEST_FPERIOD_OVERRIDE=FQ","FILING_STATUS=MR","SCALING_FORMAT=MLN","Sort=A","Dates=H","DateFormat=P","Fill=—","Direction=H","UseDPDF=Y")</f>
        <v>52.689300000000003</v>
      </c>
      <c r="H35" s="13">
        <f>_xll.BDH("ITCI US Equity","ARD_NET_CHANGE_IN_CASH","FQ1 2020","FQ1 2020","Currency=USD","Period=FQ","BEST_FPERIOD_OVERRIDE=FQ","FILING_STATUS=MR","SCALING_FORMAT=MLN","Sort=A","Dates=H","DateFormat=P","Fill=—","Direction=H","UseDPDF=Y")</f>
        <v>73.356200000000001</v>
      </c>
      <c r="I35" s="13">
        <f>_xll.BDH("ITCI US Equity","ARD_NET_CHANGE_IN_CASH","FQ2 2020","FQ2 2020","Currency=USD","Period=FQ","BEST_FPERIOD_OVERRIDE=FQ","FILING_STATUS=MR","SCALING_FORMAT=MLN","Sort=A","Dates=H","DateFormat=P","Fill=—","Direction=H","UseDPDF=Y")</f>
        <v>23.053599999999999</v>
      </c>
      <c r="J35" s="13">
        <f>_xll.BDH("ITCI US Equity","ARD_NET_CHANGE_IN_CASH","FQ3 2020","FQ3 2020","Currency=USD","Period=FQ","BEST_FPERIOD_OVERRIDE=FQ","FILING_STATUS=MR","SCALING_FORMAT=MLN","Sort=A","Dates=H","DateFormat=P","Fill=—","Direction=H","UseDPDF=Y")</f>
        <v>194.75210000000001</v>
      </c>
      <c r="K35" s="13">
        <f>_xll.BDH("ITCI US Equity","ARD_NET_CHANGE_IN_CASH","FQ4 2020","FQ4 2020","Currency=USD","Period=FQ","BEST_FPERIOD_OVERRIDE=FQ","FILING_STATUS=MR","SCALING_FORMAT=MLN","Sort=A","Dates=H","DateFormat=P","Fill=—","Direction=H","UseDPDF=Y")</f>
        <v>-46.190899999999999</v>
      </c>
      <c r="L35" s="13">
        <f>_xll.BDH("ITCI US Equity","ARD_NET_CHANGE_IN_CASH","FQ1 2021","FQ1 2021","Currency=USD","Period=FQ","BEST_FPERIOD_OVERRIDE=FQ","FILING_STATUS=MR","SCALING_FORMAT=MLN","Sort=A","Dates=H","DateFormat=P","Fill=—","Direction=H","UseDPDF=Y")</f>
        <v>69.933999999999997</v>
      </c>
      <c r="M35" s="13">
        <f>_xll.BDH("ITCI US Equity","ARD_NET_CHANGE_IN_CASH","FQ2 2021","FQ2 2021","Currency=USD","Period=FQ","BEST_FPERIOD_OVERRIDE=FQ","FILING_STATUS=MR","SCALING_FORMAT=MLN","Sort=A","Dates=H","DateFormat=P","Fill=—","Direction=H","UseDPDF=Y")</f>
        <v>60.984200000000001</v>
      </c>
      <c r="N35" s="13">
        <f>_xll.BDH("ITCI US Equity","ARD_NET_CHANGE_IN_CASH","FQ3 2021","FQ3 2021","Currency=USD","Period=FQ","BEST_FPERIOD_OVERRIDE=FQ","FILING_STATUS=MR","SCALING_FORMAT=MLN","Sort=A","Dates=H","DateFormat=P","Fill=—","Direction=H","UseDPDF=Y")</f>
        <v>46.08</v>
      </c>
      <c r="O35" s="13">
        <f>_xll.BDH("ITCI US Equity","ARD_NET_CHANGE_IN_CASH","FQ4 2021","FQ4 2021","Currency=USD","Period=FQ","BEST_FPERIOD_OVERRIDE=FQ","FILING_STATUS=MR","SCALING_FORMAT=MLN","Sort=A","Dates=H","DateFormat=P","Fill=—","Direction=H","UseDPDF=Y")</f>
        <v>32.319099999999999</v>
      </c>
      <c r="P35" s="13">
        <f>_xll.BDH("ITCI US Equity","ARD_NET_CHANGE_IN_CASH","FQ1 2022","FQ1 2022","Currency=USD","Period=FQ","BEST_FPERIOD_OVERRIDE=FQ","FILING_STATUS=MR","SCALING_FORMAT=MLN","Sort=A","Dates=H","DateFormat=P","Fill=—","Direction=H","UseDPDF=Y")</f>
        <v>36.93</v>
      </c>
      <c r="Q35" s="13">
        <f>_xll.BDH("ITCI US Equity","ARD_NET_CHANGE_IN_CASH","FQ2 2022","FQ2 2022","Currency=USD","Period=FQ","BEST_FPERIOD_OVERRIDE=FQ","FILING_STATUS=MR","SCALING_FORMAT=MLN","Sort=A","Dates=H","DateFormat=P","Fill=—","Direction=H","UseDPDF=Y")</f>
        <v>-15.13</v>
      </c>
      <c r="R35" s="13">
        <f>_xll.BDH("ITCI US Equity","ARD_NET_CHANGE_IN_CASH","FQ3 2022","FQ3 2022","Currency=USD","Period=FQ","BEST_FPERIOD_OVERRIDE=FQ","FILING_STATUS=MR","SCALING_FORMAT=MLN","Sort=A","Dates=H","DateFormat=P","Fill=—","Direction=H","UseDPDF=Y")</f>
        <v>43.343000000000004</v>
      </c>
      <c r="S35" s="13">
        <f>_xll.BDH("ITCI US Equity","ARD_NET_CHANGE_IN_CASH","FQ4 2022","FQ4 2022","Currency=USD","Period=FQ","BEST_FPERIOD_OVERRIDE=FQ","FILING_STATUS=MR","SCALING_FORMAT=MLN","Sort=A","Dates=H","DateFormat=P","Fill=—","Direction=H","UseDPDF=Y")</f>
        <v>56.6</v>
      </c>
      <c r="T35" s="13">
        <f>_xll.BDH("ITCI US Equity","ARD_NET_CHANGE_IN_CASH","FQ1 2023","FQ1 2023","Currency=USD","Period=FQ","BEST_FPERIOD_OVERRIDE=FQ","FILING_STATUS=MR","SCALING_FORMAT=MLN","Sort=A","Dates=H","DateFormat=P","Fill=—","Direction=H","UseDPDF=Y")</f>
        <v>-72.888000000000005</v>
      </c>
      <c r="U35" s="13">
        <f>_xll.BDH("ITCI US Equity","ARD_NET_CHANGE_IN_CASH","FQ2 2023","FQ2 2023","Currency=USD","Period=FQ","BEST_FPERIOD_OVERRIDE=FQ","FILING_STATUS=MR","SCALING_FORMAT=MLN","Sort=A","Dates=H","DateFormat=P","Fill=—","Direction=H","UseDPDF=Y")</f>
        <v>-6.3570000000000002</v>
      </c>
      <c r="V35" s="13">
        <f>_xll.BDH("ITCI US Equity","ARD_NET_CHANGE_IN_CASH","FQ3 2023","FQ3 2023","Currency=USD","Period=FQ","BEST_FPERIOD_OVERRIDE=FQ","FILING_STATUS=MR","SCALING_FORMAT=MLN","Sort=A","Dates=H","DateFormat=P","Fill=—","Direction=H","UseDPDF=Y")</f>
        <v>-49.213000000000001</v>
      </c>
      <c r="W35" s="13">
        <f>_xll.BDH("ITCI US Equity","ARD_NET_CHANGE_IN_CASH","FQ4 2023","FQ4 2023","Currency=USD","Period=FQ","BEST_FPERIOD_OVERRIDE=FQ","FILING_STATUS=MR","SCALING_FORMAT=MLN","Sort=A","Dates=H","DateFormat=P","Fill=—","Direction=H","UseDPDF=Y")</f>
        <v>-0.84799999999999998</v>
      </c>
      <c r="X35" s="13">
        <f>_xll.BDH("ITCI US Equity","ARD_NET_CHANGE_IN_CASH","FQ1 2024","FQ1 2024","Currency=USD","Period=FQ","BEST_FPERIOD_OVERRIDE=FQ","FILING_STATUS=MR","SCALING_FORMAT=MLN","Sort=A","Dates=H","DateFormat=P","Fill=—","Direction=H","UseDPDF=Y")</f>
        <v>-7.9480000000000004</v>
      </c>
      <c r="Y35" s="13">
        <f>_xll.BDH("ITCI US Equity","ARD_NET_CHANGE_IN_CASH","FQ2 2024","FQ2 2024","Currency=USD","Period=FQ","BEST_FPERIOD_OVERRIDE=FQ","FILING_STATUS=MR","SCALING_FORMAT=MLN","Sort=A","Dates=H","DateFormat=P","Fill=—","Direction=H","UseDPDF=Y")</f>
        <v>545.53899999999999</v>
      </c>
      <c r="Z35" s="13">
        <f>_xll.BDH("ITCI US Equity","ARD_NET_CHANGE_IN_CASH","FQ3 2024","FQ3 2024","Currency=USD","Period=FQ","BEST_FPERIOD_OVERRIDE=FQ","FILING_STATUS=MR","SCALING_FORMAT=MLN","Sort=A","Dates=H","DateFormat=P","Fill=—","Direction=H","UseDPDF=Y")</f>
        <v>316.54500000000002</v>
      </c>
      <c r="AA35" s="13">
        <f>_xll.BDH("ITCI US Equity","ARD_NET_CHANGE_IN_CASH","FQ4 2024","FQ4 2024","Currency=USD","Period=FQ","BEST_FPERIOD_OVERRIDE=FQ","FILING_STATUS=MR","SCALING_FORMAT=MLN","Sort=A","Dates=H","DateFormat=P","Fill=—","Direction=H","UseDPDF=Y")</f>
        <v>159.18100000000001</v>
      </c>
    </row>
    <row r="36" spans="1:27" x14ac:dyDescent="0.25">
      <c r="A36" s="10" t="s">
        <v>1072</v>
      </c>
      <c r="B36" s="10" t="s">
        <v>1073</v>
      </c>
      <c r="C36" s="13" t="str">
        <f>_xll.BDH("ITCI US Equity","ARD_PRO_FROM_EXER_ISSU_OF_WRT","FQ4 2018","FQ4 2018","Currency=USD","Period=FQ","BEST_FPERIOD_OVERRIDE=FQ","FILING_STATUS=MR","SCALING_FORMAT=MLN","Sort=A","Dates=H","DateFormat=P","Fill=—","Direction=H","UseDPDF=Y")</f>
        <v>—</v>
      </c>
      <c r="D36" s="13" t="str">
        <f>_xll.BDH("ITCI US Equity","ARD_PRO_FROM_EXER_ISSU_OF_WRT","FQ1 2019","FQ1 2019","Currency=USD","Period=FQ","BEST_FPERIOD_OVERRIDE=FQ","FILING_STATUS=MR","SCALING_FORMAT=MLN","Sort=A","Dates=H","DateFormat=P","Fill=—","Direction=H","UseDPDF=Y")</f>
        <v>—</v>
      </c>
      <c r="E36" s="13" t="str">
        <f>_xll.BDH("ITCI US Equity","ARD_PRO_FROM_EXER_ISSU_OF_WRT","FQ2 2019","FQ2 2019","Currency=USD","Period=FQ","BEST_FPERIOD_OVERRIDE=FQ","FILING_STATUS=MR","SCALING_FORMAT=MLN","Sort=A","Dates=H","DateFormat=P","Fill=—","Direction=H","UseDPDF=Y")</f>
        <v>—</v>
      </c>
      <c r="F36" s="13">
        <f>_xll.BDH("ITCI US Equity","ARD_PRO_FROM_EXER_ISSU_OF_WRT","FQ3 2019","FQ3 2019","Currency=USD","Period=FQ","BEST_FPERIOD_OVERRIDE=FQ","FILING_STATUS=MR","SCALING_FORMAT=MLN","Sort=A","Dates=H","DateFormat=P","Fill=—","Direction=H","UseDPDF=Y")</f>
        <v>0</v>
      </c>
      <c r="G36" s="13">
        <f>_xll.BDH("ITCI US Equity","ARD_PRO_FROM_EXER_ISSU_OF_WRT","FQ4 2019","FQ4 2019","Currency=USD","Period=FQ","BEST_FPERIOD_OVERRIDE=FQ","FILING_STATUS=MR","SCALING_FORMAT=MLN","Sort=A","Dates=H","DateFormat=P","Fill=—","Direction=H","UseDPDF=Y")</f>
        <v>0</v>
      </c>
      <c r="H36" s="13" t="str">
        <f>_xll.BDH("ITCI US Equity","ARD_PRO_FROM_EXER_ISSU_OF_WRT","FQ1 2020","FQ1 2020","Currency=USD","Period=FQ","BEST_FPERIOD_OVERRIDE=FQ","FILING_STATUS=MR","SCALING_FORMAT=MLN","Sort=A","Dates=H","DateFormat=P","Fill=—","Direction=H","UseDPDF=Y")</f>
        <v>—</v>
      </c>
      <c r="I36" s="13" t="str">
        <f>_xll.BDH("ITCI US Equity","ARD_PRO_FROM_EXER_ISSU_OF_WRT","FQ2 2020","FQ2 2020","Currency=USD","Period=FQ","BEST_FPERIOD_OVERRIDE=FQ","FILING_STATUS=MR","SCALING_FORMAT=MLN","Sort=A","Dates=H","DateFormat=P","Fill=—","Direction=H","UseDPDF=Y")</f>
        <v>—</v>
      </c>
      <c r="J36" s="13" t="str">
        <f>_xll.BDH("ITCI US Equity","ARD_PRO_FROM_EXER_ISSU_OF_WRT","FQ3 2020","FQ3 2020","Currency=USD","Period=FQ","BEST_FPERIOD_OVERRIDE=FQ","FILING_STATUS=MR","SCALING_FORMAT=MLN","Sort=A","Dates=H","DateFormat=P","Fill=—","Direction=H","UseDPDF=Y")</f>
        <v>—</v>
      </c>
      <c r="K36" s="13">
        <f>_xll.BDH("ITCI US Equity","ARD_PRO_FROM_EXER_ISSU_OF_WRT","FQ4 2020","FQ4 2020","Currency=USD","Period=FQ","BEST_FPERIOD_OVERRIDE=FQ","FILING_STATUS=MR","SCALING_FORMAT=MLN","Sort=A","Dates=H","DateFormat=P","Fill=—","Direction=H","UseDPDF=Y")</f>
        <v>0</v>
      </c>
      <c r="L36" s="13" t="str">
        <f>_xll.BDH("ITCI US Equity","ARD_PRO_FROM_EXER_ISSU_OF_WRT","FQ1 2021","FQ1 2021","Currency=USD","Period=FQ","BEST_FPERIOD_OVERRIDE=FQ","FILING_STATUS=MR","SCALING_FORMAT=MLN","Sort=A","Dates=H","DateFormat=P","Fill=—","Direction=H","UseDPDF=Y")</f>
        <v>—</v>
      </c>
      <c r="M36" s="13" t="str">
        <f>_xll.BDH("ITCI US Equity","ARD_PRO_FROM_EXER_ISSU_OF_WRT","FQ2 2021","FQ2 2021","Currency=USD","Period=FQ","BEST_FPERIOD_OVERRIDE=FQ","FILING_STATUS=MR","SCALING_FORMAT=MLN","Sort=A","Dates=H","DateFormat=P","Fill=—","Direction=H","UseDPDF=Y")</f>
        <v>—</v>
      </c>
      <c r="N36" s="13" t="str">
        <f>_xll.BDH("ITCI US Equity","ARD_PRO_FROM_EXER_ISSU_OF_WRT","FQ3 2021","FQ3 2021","Currency=USD","Period=FQ","BEST_FPERIOD_OVERRIDE=FQ","FILING_STATUS=MR","SCALING_FORMAT=MLN","Sort=A","Dates=H","DateFormat=P","Fill=—","Direction=H","UseDPDF=Y")</f>
        <v>—</v>
      </c>
      <c r="O36" s="13" t="str">
        <f>_xll.BDH("ITCI US Equity","ARD_PRO_FROM_EXER_ISSU_OF_WRT","FQ4 2021","FQ4 2021","Currency=USD","Period=FQ","BEST_FPERIOD_OVERRIDE=FQ","FILING_STATUS=MR","SCALING_FORMAT=MLN","Sort=A","Dates=H","DateFormat=P","Fill=—","Direction=H","UseDPDF=Y")</f>
        <v>—</v>
      </c>
      <c r="P36" s="13" t="str">
        <f>_xll.BDH("ITCI US Equity","ARD_PRO_FROM_EXER_ISSU_OF_WRT","FQ1 2022","FQ1 2022","Currency=USD","Period=FQ","BEST_FPERIOD_OVERRIDE=FQ","FILING_STATUS=MR","SCALING_FORMAT=MLN","Sort=A","Dates=H","DateFormat=P","Fill=—","Direction=H","UseDPDF=Y")</f>
        <v>—</v>
      </c>
      <c r="Q36" s="13" t="str">
        <f>_xll.BDH("ITCI US Equity","ARD_PRO_FROM_EXER_ISSU_OF_WRT","FQ2 2022","FQ2 2022","Currency=USD","Period=FQ","BEST_FPERIOD_OVERRIDE=FQ","FILING_STATUS=MR","SCALING_FORMAT=MLN","Sort=A","Dates=H","DateFormat=P","Fill=—","Direction=H","UseDPDF=Y")</f>
        <v>—</v>
      </c>
      <c r="R36" s="13" t="str">
        <f>_xll.BDH("ITCI US Equity","ARD_PRO_FROM_EXER_ISSU_OF_WRT","FQ3 2022","FQ3 2022","Currency=USD","Period=FQ","BEST_FPERIOD_OVERRIDE=FQ","FILING_STATUS=MR","SCALING_FORMAT=MLN","Sort=A","Dates=H","DateFormat=P","Fill=—","Direction=H","UseDPDF=Y")</f>
        <v>—</v>
      </c>
      <c r="S36" s="13" t="str">
        <f>_xll.BDH("ITCI US Equity","ARD_PRO_FROM_EXER_ISSU_OF_WRT","FQ4 2022","FQ4 2022","Currency=USD","Period=FQ","BEST_FPERIOD_OVERRIDE=FQ","FILING_STATUS=MR","SCALING_FORMAT=MLN","Sort=A","Dates=H","DateFormat=P","Fill=—","Direction=H","UseDPDF=Y")</f>
        <v>—</v>
      </c>
      <c r="T36" s="13" t="str">
        <f>_xll.BDH("ITCI US Equity","ARD_PRO_FROM_EXER_ISSU_OF_WRT","FQ1 2023","FQ1 2023","Currency=USD","Period=FQ","BEST_FPERIOD_OVERRIDE=FQ","FILING_STATUS=MR","SCALING_FORMAT=MLN","Sort=A","Dates=H","DateFormat=P","Fill=—","Direction=H","UseDPDF=Y")</f>
        <v>—</v>
      </c>
      <c r="U36" s="13" t="str">
        <f>_xll.BDH("ITCI US Equity","ARD_PRO_FROM_EXER_ISSU_OF_WRT","FQ2 2023","FQ2 2023","Currency=USD","Period=FQ","BEST_FPERIOD_OVERRIDE=FQ","FILING_STATUS=MR","SCALING_FORMAT=MLN","Sort=A","Dates=H","DateFormat=P","Fill=—","Direction=H","UseDPDF=Y")</f>
        <v>—</v>
      </c>
      <c r="V36" s="13" t="str">
        <f>_xll.BDH("ITCI US Equity","ARD_PRO_FROM_EXER_ISSU_OF_WRT","FQ3 2023","FQ3 2023","Currency=USD","Period=FQ","BEST_FPERIOD_OVERRIDE=FQ","FILING_STATUS=MR","SCALING_FORMAT=MLN","Sort=A","Dates=H","DateFormat=P","Fill=—","Direction=H","UseDPDF=Y")</f>
        <v>—</v>
      </c>
      <c r="W36" s="13" t="str">
        <f>_xll.BDH("ITCI US Equity","ARD_PRO_FROM_EXER_ISSU_OF_WRT","FQ4 2023","FQ4 2023","Currency=USD","Period=FQ","BEST_FPERIOD_OVERRIDE=FQ","FILING_STATUS=MR","SCALING_FORMAT=MLN","Sort=A","Dates=H","DateFormat=P","Fill=—","Direction=H","UseDPDF=Y")</f>
        <v>—</v>
      </c>
      <c r="X36" s="13" t="str">
        <f>_xll.BDH("ITCI US Equity","ARD_PRO_FROM_EXER_ISSU_OF_WRT","FQ1 2024","FQ1 2024","Currency=USD","Period=FQ","BEST_FPERIOD_OVERRIDE=FQ","FILING_STATUS=MR","SCALING_FORMAT=MLN","Sort=A","Dates=H","DateFormat=P","Fill=—","Direction=H","UseDPDF=Y")</f>
        <v>—</v>
      </c>
      <c r="Y36" s="13" t="str">
        <f>_xll.BDH("ITCI US Equity","ARD_PRO_FROM_EXER_ISSU_OF_WRT","FQ2 2024","FQ2 2024","Currency=USD","Period=FQ","BEST_FPERIOD_OVERRIDE=FQ","FILING_STATUS=MR","SCALING_FORMAT=MLN","Sort=A","Dates=H","DateFormat=P","Fill=—","Direction=H","UseDPDF=Y")</f>
        <v>—</v>
      </c>
      <c r="Z36" s="13" t="str">
        <f>_xll.BDH("ITCI US Equity","ARD_PRO_FROM_EXER_ISSU_OF_WRT","FQ3 2024","FQ3 2024","Currency=USD","Period=FQ","BEST_FPERIOD_OVERRIDE=FQ","FILING_STATUS=MR","SCALING_FORMAT=MLN","Sort=A","Dates=H","DateFormat=P","Fill=—","Direction=H","UseDPDF=Y")</f>
        <v>—</v>
      </c>
      <c r="AA36" s="13" t="str">
        <f>_xll.BDH("ITCI US Equity","ARD_PRO_FROM_EXER_ISSU_OF_WRT","FQ4 2024","FQ4 2024","Currency=USD","Period=FQ","BEST_FPERIOD_OVERRIDE=FQ","FILING_STATUS=MR","SCALING_FORMAT=MLN","Sort=A","Dates=H","DateFormat=P","Fill=—","Direction=H","UseDPDF=Y")</f>
        <v>—</v>
      </c>
    </row>
    <row r="37" spans="1:27" x14ac:dyDescent="0.25">
      <c r="A37" s="10" t="s">
        <v>1074</v>
      </c>
      <c r="B37" s="10" t="s">
        <v>1075</v>
      </c>
      <c r="C37" s="13">
        <f>_xll.BDH("ITCI US Equity","ARD_CASH_CASH_EQUIV_END_OF_PER","FQ4 2018","FQ4 2018","Currency=USD","Period=FQ","BEST_FPERIOD_OVERRIDE=FQ","FILING_STATUS=MR","SCALING_FORMAT=MLN","Sort=A","Dates=H","DateFormat=P","Fill=—","Direction=H","UseDPDF=Y")</f>
        <v>54.947499999999998</v>
      </c>
      <c r="D37" s="13">
        <f>_xll.BDH("ITCI US Equity","ARD_CASH_CASH_EQUIV_END_OF_PER","FQ1 2019","FQ1 2019","Currency=USD","Period=FQ","BEST_FPERIOD_OVERRIDE=FQ","FILING_STATUS=MR","SCALING_FORMAT=MLN","Sort=A","Dates=H","DateFormat=P","Fill=—","Direction=H","UseDPDF=Y")</f>
        <v>64.091099999999997</v>
      </c>
      <c r="E37" s="13">
        <f>_xll.BDH("ITCI US Equity","ARD_CASH_CASH_EQUIV_END_OF_PER","FQ2 2019","FQ2 2019","Currency=USD","Period=FQ","BEST_FPERIOD_OVERRIDE=FQ","FILING_STATUS=MR","SCALING_FORMAT=MLN","Sort=A","Dates=H","DateFormat=P","Fill=—","Direction=H","UseDPDF=Y")</f>
        <v>91.763400000000004</v>
      </c>
      <c r="F37" s="13">
        <f>_xll.BDH("ITCI US Equity","ARD_CASH_CASH_EQUIV_END_OF_PER","FQ3 2019","FQ3 2019","Currency=USD","Period=FQ","BEST_FPERIOD_OVERRIDE=FQ","FILING_STATUS=MR","SCALING_FORMAT=MLN","Sort=A","Dates=H","DateFormat=P","Fill=—","Direction=H","UseDPDF=Y")</f>
        <v>102.163</v>
      </c>
      <c r="G37" s="13">
        <f>_xll.BDH("ITCI US Equity","ARD_CASH_CASH_EQUIV_END_OF_PER","FQ4 2019","FQ4 2019","Currency=USD","Period=FQ","BEST_FPERIOD_OVERRIDE=FQ","FILING_STATUS=MR","SCALING_FORMAT=MLN","Sort=A","Dates=H","DateFormat=P","Fill=—","Direction=H","UseDPDF=Y")</f>
        <v>107.63679999999999</v>
      </c>
      <c r="H37" s="13">
        <f>_xll.BDH("ITCI US Equity","ARD_CASH_CASH_EQUIV_END_OF_PER","FQ1 2020","FQ1 2020","Currency=USD","Period=FQ","BEST_FPERIOD_OVERRIDE=FQ","FILING_STATUS=MR","SCALING_FORMAT=MLN","Sort=A","Dates=H","DateFormat=P","Fill=—","Direction=H","UseDPDF=Y")</f>
        <v>180.99299999999999</v>
      </c>
      <c r="I37" s="13">
        <f>_xll.BDH("ITCI US Equity","ARD_CASH_CASH_EQUIV_END_OF_PER","FQ2 2020","FQ2 2020","Currency=USD","Period=FQ","BEST_FPERIOD_OVERRIDE=FQ","FILING_STATUS=MR","SCALING_FORMAT=MLN","Sort=A","Dates=H","DateFormat=P","Fill=—","Direction=H","UseDPDF=Y")</f>
        <v>130.69040000000001</v>
      </c>
      <c r="J37" s="13">
        <f>_xll.BDH("ITCI US Equity","ARD_CASH_CASH_EQUIV_END_OF_PER","FQ3 2020","FQ3 2020","Currency=USD","Period=FQ","BEST_FPERIOD_OVERRIDE=FQ","FILING_STATUS=MR","SCALING_FORMAT=MLN","Sort=A","Dates=H","DateFormat=P","Fill=—","Direction=H","UseDPDF=Y")</f>
        <v>302.38900000000001</v>
      </c>
      <c r="K37" s="13">
        <f>_xll.BDH("ITCI US Equity","ARD_CASH_CASH_EQUIV_END_OF_PER","FQ4 2020","FQ4 2020","Currency=USD","Period=FQ","BEST_FPERIOD_OVERRIDE=FQ","FILING_STATUS=MR","SCALING_FORMAT=MLN","Sort=A","Dates=H","DateFormat=P","Fill=—","Direction=H","UseDPDF=Y")</f>
        <v>61.445900000000002</v>
      </c>
      <c r="L37" s="13">
        <f>_xll.BDH("ITCI US Equity","ARD_CASH_CASH_EQUIV_END_OF_PER","FQ1 2021","FQ1 2021","Currency=USD","Period=FQ","BEST_FPERIOD_OVERRIDE=FQ","FILING_STATUS=MR","SCALING_FORMAT=MLN","Sort=A","Dates=H","DateFormat=P","Fill=—","Direction=H","UseDPDF=Y")</f>
        <v>131.37989999999999</v>
      </c>
      <c r="M37" s="13">
        <f>_xll.BDH("ITCI US Equity","ARD_CASH_CASH_EQUIV_END_OF_PER","FQ2 2021","FQ2 2021","Currency=USD","Period=FQ","BEST_FPERIOD_OVERRIDE=FQ","FILING_STATUS=MR","SCALING_FORMAT=MLN","Sort=A","Dates=H","DateFormat=P","Fill=—","Direction=H","UseDPDF=Y")</f>
        <v>122.4302</v>
      </c>
      <c r="N37" s="13">
        <f>_xll.BDH("ITCI US Equity","ARD_CASH_CASH_EQUIV_END_OF_PER","FQ3 2021","FQ3 2021","Currency=USD","Period=FQ","BEST_FPERIOD_OVERRIDE=FQ","FILING_STATUS=MR","SCALING_FORMAT=MLN","Sort=A","Dates=H","DateFormat=P","Fill=—","Direction=H","UseDPDF=Y")</f>
        <v>107.526</v>
      </c>
      <c r="O37" s="13">
        <f>_xll.BDH("ITCI US Equity","ARD_CASH_CASH_EQUIV_END_OF_PER","FQ4 2021","FQ4 2021","Currency=USD","Period=FQ","BEST_FPERIOD_OVERRIDE=FQ","FILING_STATUS=MR","SCALING_FORMAT=MLN","Sort=A","Dates=H","DateFormat=P","Fill=—","Direction=H","UseDPDF=Y")</f>
        <v>93.765000000000001</v>
      </c>
      <c r="P37" s="13">
        <f>_xll.BDH("ITCI US Equity","ARD_CASH_CASH_EQUIV_END_OF_PER","FQ1 2022","FQ1 2022","Currency=USD","Period=FQ","BEST_FPERIOD_OVERRIDE=FQ","FILING_STATUS=MR","SCALING_FORMAT=MLN","Sort=A","Dates=H","DateFormat=P","Fill=—","Direction=H","UseDPDF=Y")</f>
        <v>130.69499999999999</v>
      </c>
      <c r="Q37" s="13">
        <f>_xll.BDH("ITCI US Equity","ARD_CASH_CASH_EQUIV_END_OF_PER","FQ2 2022","FQ2 2022","Currency=USD","Period=FQ","BEST_FPERIOD_OVERRIDE=FQ","FILING_STATUS=MR","SCALING_FORMAT=MLN","Sort=A","Dates=H","DateFormat=P","Fill=—","Direction=H","UseDPDF=Y")</f>
        <v>78.635000000000005</v>
      </c>
      <c r="R37" s="13">
        <f>_xll.BDH("ITCI US Equity","ARD_CASH_CASH_EQUIV_END_OF_PER","FQ3 2022","FQ3 2022","Currency=USD","Period=FQ","BEST_FPERIOD_OVERRIDE=FQ","FILING_STATUS=MR","SCALING_FORMAT=MLN","Sort=A","Dates=H","DateFormat=P","Fill=—","Direction=H","UseDPDF=Y")</f>
        <v>137.108</v>
      </c>
      <c r="S37" s="13">
        <f>_xll.BDH("ITCI US Equity","ARD_CASH_CASH_EQUIV_END_OF_PER","FQ4 2022","FQ4 2022","Currency=USD","Period=FQ","BEST_FPERIOD_OVERRIDE=FQ","FILING_STATUS=MR","SCALING_FORMAT=MLN","Sort=A","Dates=H","DateFormat=P","Fill=—","Direction=H","UseDPDF=Y")</f>
        <v>150.36500000000001</v>
      </c>
      <c r="T37" s="13">
        <f>_xll.BDH("ITCI US Equity","ARD_CASH_CASH_EQUIV_END_OF_PER","FQ1 2023","FQ1 2023","Currency=USD","Period=FQ","BEST_FPERIOD_OVERRIDE=FQ","FILING_STATUS=MR","SCALING_FORMAT=MLN","Sort=A","Dates=H","DateFormat=P","Fill=—","Direction=H","UseDPDF=Y")</f>
        <v>77.477000000000004</v>
      </c>
      <c r="U37" s="13">
        <f>_xll.BDH("ITCI US Equity","ARD_CASH_CASH_EQUIV_END_OF_PER","FQ2 2023","FQ2 2023","Currency=USD","Period=FQ","BEST_FPERIOD_OVERRIDE=FQ","FILING_STATUS=MR","SCALING_FORMAT=MLN","Sort=A","Dates=H","DateFormat=P","Fill=—","Direction=H","UseDPDF=Y")</f>
        <v>144.00800000000001</v>
      </c>
      <c r="V37" s="13">
        <f>_xll.BDH("ITCI US Equity","ARD_CASH_CASH_EQUIV_END_OF_PER","FQ3 2023","FQ3 2023","Currency=USD","Period=FQ","BEST_FPERIOD_OVERRIDE=FQ","FILING_STATUS=MR","SCALING_FORMAT=MLN","Sort=A","Dates=H","DateFormat=P","Fill=—","Direction=H","UseDPDF=Y")</f>
        <v>101.152</v>
      </c>
      <c r="W37" s="13">
        <f>_xll.BDH("ITCI US Equity","ARD_CASH_CASH_EQUIV_END_OF_PER","FQ4 2023","FQ4 2023","Currency=USD","Period=FQ","BEST_FPERIOD_OVERRIDE=FQ","FILING_STATUS=MR","SCALING_FORMAT=MLN","Sort=A","Dates=H","DateFormat=P","Fill=—","Direction=H","UseDPDF=Y")</f>
        <v>149.517</v>
      </c>
      <c r="X37" s="13">
        <f>_xll.BDH("ITCI US Equity","ARD_CASH_CASH_EQUIV_END_OF_PER","FQ1 2024","FQ1 2024","Currency=USD","Period=FQ","BEST_FPERIOD_OVERRIDE=FQ","FILING_STATUS=MR","SCALING_FORMAT=MLN","Sort=A","Dates=H","DateFormat=P","Fill=—","Direction=H","UseDPDF=Y")</f>
        <v>141.56899999999999</v>
      </c>
      <c r="Y37" s="13">
        <f>_xll.BDH("ITCI US Equity","ARD_CASH_CASH_EQUIV_END_OF_PER","FQ2 2024","FQ2 2024","Currency=USD","Period=FQ","BEST_FPERIOD_OVERRIDE=FQ","FILING_STATUS=MR","SCALING_FORMAT=MLN","Sort=A","Dates=H","DateFormat=P","Fill=—","Direction=H","UseDPDF=Y")</f>
        <v>695.05600000000004</v>
      </c>
      <c r="Z37" s="13">
        <f>_xll.BDH("ITCI US Equity","ARD_CASH_CASH_EQUIV_END_OF_PER","FQ3 2024","FQ3 2024","Currency=USD","Period=FQ","BEST_FPERIOD_OVERRIDE=FQ","FILING_STATUS=MR","SCALING_FORMAT=MLN","Sort=A","Dates=H","DateFormat=P","Fill=—","Direction=H","UseDPDF=Y")</f>
        <v>466.06200000000001</v>
      </c>
      <c r="AA37" s="13">
        <f>_xll.BDH("ITCI US Equity","ARD_CASH_CASH_EQUIV_END_OF_PER","FQ4 2024","FQ4 2024","Currency=USD","Period=FQ","BEST_FPERIOD_OVERRIDE=FQ","FILING_STATUS=MR","SCALING_FORMAT=MLN","Sort=A","Dates=H","DateFormat=P","Fill=—","Direction=H","UseDPDF=Y")</f>
        <v>308.69799999999998</v>
      </c>
    </row>
    <row r="38" spans="1:27" x14ac:dyDescent="0.25">
      <c r="A38" s="10" t="s">
        <v>1076</v>
      </c>
      <c r="B38" s="10" t="s">
        <v>1077</v>
      </c>
      <c r="C38" s="13">
        <f>_xll.BDH("ITCI US Equity","ARD_CASH_CASH_EQUIV_BEG_OF_PER","FQ4 2018","FQ4 2018","Currency=USD","Period=FQ","BEST_FPERIOD_OVERRIDE=FQ","FILING_STATUS=MR","SCALING_FORMAT=MLN","Sort=A","Dates=H","DateFormat=P","Fill=—","Direction=H","UseDPDF=Y")</f>
        <v>37.790100000000002</v>
      </c>
      <c r="D38" s="13">
        <f>_xll.BDH("ITCI US Equity","ARD_CASH_CASH_EQUIV_BEG_OF_PER","FQ1 2019","FQ1 2019","Currency=USD","Period=FQ","BEST_FPERIOD_OVERRIDE=FQ","FILING_STATUS=MR","SCALING_FORMAT=MLN","Sort=A","Dates=H","DateFormat=P","Fill=—","Direction=H","UseDPDF=Y")</f>
        <v>54.947499999999998</v>
      </c>
      <c r="E38" s="13">
        <f>_xll.BDH("ITCI US Equity","ARD_CASH_CASH_EQUIV_BEG_OF_PER","FQ2 2019","FQ2 2019","Currency=USD","Period=FQ","BEST_FPERIOD_OVERRIDE=FQ","FILING_STATUS=MR","SCALING_FORMAT=MLN","Sort=A","Dates=H","DateFormat=P","Fill=—","Direction=H","UseDPDF=Y")</f>
        <v>54.947499999999998</v>
      </c>
      <c r="F38" s="13">
        <f>_xll.BDH("ITCI US Equity","ARD_CASH_CASH_EQUIV_BEG_OF_PER","FQ3 2019","FQ3 2019","Currency=USD","Period=FQ","BEST_FPERIOD_OVERRIDE=FQ","FILING_STATUS=MR","SCALING_FORMAT=MLN","Sort=A","Dates=H","DateFormat=P","Fill=—","Direction=H","UseDPDF=Y")</f>
        <v>54.947499999999998</v>
      </c>
      <c r="G38" s="13">
        <f>_xll.BDH("ITCI US Equity","ARD_CASH_CASH_EQUIV_BEG_OF_PER","FQ4 2019","FQ4 2019","Currency=USD","Period=FQ","BEST_FPERIOD_OVERRIDE=FQ","FILING_STATUS=MR","SCALING_FORMAT=MLN","Sort=A","Dates=H","DateFormat=P","Fill=—","Direction=H","UseDPDF=Y")</f>
        <v>54.947499999999998</v>
      </c>
      <c r="H38" s="13">
        <f>_xll.BDH("ITCI US Equity","ARD_CASH_CASH_EQUIV_BEG_OF_PER","FQ1 2020","FQ1 2020","Currency=USD","Period=FQ","BEST_FPERIOD_OVERRIDE=FQ","FILING_STATUS=MR","SCALING_FORMAT=MLN","Sort=A","Dates=H","DateFormat=P","Fill=—","Direction=H","UseDPDF=Y")</f>
        <v>107.63679999999999</v>
      </c>
      <c r="I38" s="13">
        <f>_xll.BDH("ITCI US Equity","ARD_CASH_CASH_EQUIV_BEG_OF_PER","FQ2 2020","FQ2 2020","Currency=USD","Period=FQ","BEST_FPERIOD_OVERRIDE=FQ","FILING_STATUS=MR","SCALING_FORMAT=MLN","Sort=A","Dates=H","DateFormat=P","Fill=—","Direction=H","UseDPDF=Y")</f>
        <v>107.63679999999999</v>
      </c>
      <c r="J38" s="13">
        <f>_xll.BDH("ITCI US Equity","ARD_CASH_CASH_EQUIV_BEG_OF_PER","FQ3 2020","FQ3 2020","Currency=USD","Period=FQ","BEST_FPERIOD_OVERRIDE=FQ","FILING_STATUS=MR","SCALING_FORMAT=MLN","Sort=A","Dates=H","DateFormat=P","Fill=—","Direction=H","UseDPDF=Y")</f>
        <v>107.63679999999999</v>
      </c>
      <c r="K38" s="13">
        <f>_xll.BDH("ITCI US Equity","ARD_CASH_CASH_EQUIV_BEG_OF_PER","FQ4 2020","FQ4 2020","Currency=USD","Period=FQ","BEST_FPERIOD_OVERRIDE=FQ","FILING_STATUS=MR","SCALING_FORMAT=MLN","Sort=A","Dates=H","DateFormat=P","Fill=—","Direction=H","UseDPDF=Y")</f>
        <v>107.63679999999999</v>
      </c>
      <c r="L38" s="13">
        <f>_xll.BDH("ITCI US Equity","ARD_CASH_CASH_EQUIV_BEG_OF_PER","FQ1 2021","FQ1 2021","Currency=USD","Period=FQ","BEST_FPERIOD_OVERRIDE=FQ","FILING_STATUS=MR","SCALING_FORMAT=MLN","Sort=A","Dates=H","DateFormat=P","Fill=—","Direction=H","UseDPDF=Y")</f>
        <v>61.445900000000002</v>
      </c>
      <c r="M38" s="13">
        <f>_xll.BDH("ITCI US Equity","ARD_CASH_CASH_EQUIV_BEG_OF_PER","FQ2 2021","FQ2 2021","Currency=USD","Period=FQ","BEST_FPERIOD_OVERRIDE=FQ","FILING_STATUS=MR","SCALING_FORMAT=MLN","Sort=A","Dates=H","DateFormat=P","Fill=—","Direction=H","UseDPDF=Y")</f>
        <v>61.445900000000002</v>
      </c>
      <c r="N38" s="13">
        <f>_xll.BDH("ITCI US Equity","ARD_CASH_CASH_EQUIV_BEG_OF_PER","FQ3 2021","FQ3 2021","Currency=USD","Period=FQ","BEST_FPERIOD_OVERRIDE=FQ","FILING_STATUS=MR","SCALING_FORMAT=MLN","Sort=A","Dates=H","DateFormat=P","Fill=—","Direction=H","UseDPDF=Y")</f>
        <v>61.445900000000002</v>
      </c>
      <c r="O38" s="13">
        <f>_xll.BDH("ITCI US Equity","ARD_CASH_CASH_EQUIV_BEG_OF_PER","FQ4 2021","FQ4 2021","Currency=USD","Period=FQ","BEST_FPERIOD_OVERRIDE=FQ","FILING_STATUS=MR","SCALING_FORMAT=MLN","Sort=A","Dates=H","DateFormat=P","Fill=—","Direction=H","UseDPDF=Y")</f>
        <v>61.445900000000002</v>
      </c>
      <c r="P38" s="13">
        <f>_xll.BDH("ITCI US Equity","ARD_CASH_CASH_EQUIV_BEG_OF_PER","FQ1 2022","FQ1 2022","Currency=USD","Period=FQ","BEST_FPERIOD_OVERRIDE=FQ","FILING_STATUS=MR","SCALING_FORMAT=MLN","Sort=A","Dates=H","DateFormat=P","Fill=—","Direction=H","UseDPDF=Y")</f>
        <v>93.765000000000001</v>
      </c>
      <c r="Q38" s="13">
        <f>_xll.BDH("ITCI US Equity","ARD_CASH_CASH_EQUIV_BEG_OF_PER","FQ2 2022","FQ2 2022","Currency=USD","Period=FQ","BEST_FPERIOD_OVERRIDE=FQ","FILING_STATUS=MR","SCALING_FORMAT=MLN","Sort=A","Dates=H","DateFormat=P","Fill=—","Direction=H","UseDPDF=Y")</f>
        <v>93.765000000000001</v>
      </c>
      <c r="R38" s="13">
        <f>_xll.BDH("ITCI US Equity","ARD_CASH_CASH_EQUIV_BEG_OF_PER","FQ3 2022","FQ3 2022","Currency=USD","Period=FQ","BEST_FPERIOD_OVERRIDE=FQ","FILING_STATUS=MR","SCALING_FORMAT=MLN","Sort=A","Dates=H","DateFormat=P","Fill=—","Direction=H","UseDPDF=Y")</f>
        <v>93.765000000000001</v>
      </c>
      <c r="S38" s="13">
        <f>_xll.BDH("ITCI US Equity","ARD_CASH_CASH_EQUIV_BEG_OF_PER","FQ4 2022","FQ4 2022","Currency=USD","Period=FQ","BEST_FPERIOD_OVERRIDE=FQ","FILING_STATUS=MR","SCALING_FORMAT=MLN","Sort=A","Dates=H","DateFormat=P","Fill=—","Direction=H","UseDPDF=Y")</f>
        <v>93.765000000000001</v>
      </c>
      <c r="T38" s="13">
        <f>_xll.BDH("ITCI US Equity","ARD_CASH_CASH_EQUIV_BEG_OF_PER","FQ1 2023","FQ1 2023","Currency=USD","Period=FQ","BEST_FPERIOD_OVERRIDE=FQ","FILING_STATUS=MR","SCALING_FORMAT=MLN","Sort=A","Dates=H","DateFormat=P","Fill=—","Direction=H","UseDPDF=Y")</f>
        <v>150.36500000000001</v>
      </c>
      <c r="U38" s="13">
        <f>_xll.BDH("ITCI US Equity","ARD_CASH_CASH_EQUIV_BEG_OF_PER","FQ2 2023","FQ2 2023","Currency=USD","Period=FQ","BEST_FPERIOD_OVERRIDE=FQ","FILING_STATUS=MR","SCALING_FORMAT=MLN","Sort=A","Dates=H","DateFormat=P","Fill=—","Direction=H","UseDPDF=Y")</f>
        <v>150.36500000000001</v>
      </c>
      <c r="V38" s="13">
        <f>_xll.BDH("ITCI US Equity","ARD_CASH_CASH_EQUIV_BEG_OF_PER","FQ3 2023","FQ3 2023","Currency=USD","Period=FQ","BEST_FPERIOD_OVERRIDE=FQ","FILING_STATUS=MR","SCALING_FORMAT=MLN","Sort=A","Dates=H","DateFormat=P","Fill=—","Direction=H","UseDPDF=Y")</f>
        <v>150.36500000000001</v>
      </c>
      <c r="W38" s="13">
        <f>_xll.BDH("ITCI US Equity","ARD_CASH_CASH_EQUIV_BEG_OF_PER","FQ4 2023","FQ4 2023","Currency=USD","Period=FQ","BEST_FPERIOD_OVERRIDE=FQ","FILING_STATUS=MR","SCALING_FORMAT=MLN","Sort=A","Dates=H","DateFormat=P","Fill=—","Direction=H","UseDPDF=Y")</f>
        <v>150.36500000000001</v>
      </c>
      <c r="X38" s="13">
        <f>_xll.BDH("ITCI US Equity","ARD_CASH_CASH_EQUIV_BEG_OF_PER","FQ1 2024","FQ1 2024","Currency=USD","Period=FQ","BEST_FPERIOD_OVERRIDE=FQ","FILING_STATUS=MR","SCALING_FORMAT=MLN","Sort=A","Dates=H","DateFormat=P","Fill=—","Direction=H","UseDPDF=Y")</f>
        <v>149.517</v>
      </c>
      <c r="Y38" s="13">
        <f>_xll.BDH("ITCI US Equity","ARD_CASH_CASH_EQUIV_BEG_OF_PER","FQ2 2024","FQ2 2024","Currency=USD","Period=FQ","BEST_FPERIOD_OVERRIDE=FQ","FILING_STATUS=MR","SCALING_FORMAT=MLN","Sort=A","Dates=H","DateFormat=P","Fill=—","Direction=H","UseDPDF=Y")</f>
        <v>149.517</v>
      </c>
      <c r="Z38" s="13">
        <f>_xll.BDH("ITCI US Equity","ARD_CASH_CASH_EQUIV_BEG_OF_PER","FQ3 2024","FQ3 2024","Currency=USD","Period=FQ","BEST_FPERIOD_OVERRIDE=FQ","FILING_STATUS=MR","SCALING_FORMAT=MLN","Sort=A","Dates=H","DateFormat=P","Fill=—","Direction=H","UseDPDF=Y")</f>
        <v>149.517</v>
      </c>
      <c r="AA38" s="13">
        <f>_xll.BDH("ITCI US Equity","ARD_CASH_CASH_EQUIV_BEG_OF_PER","FQ4 2024","FQ4 2024","Currency=USD","Period=FQ","BEST_FPERIOD_OVERRIDE=FQ","FILING_STATUS=MR","SCALING_FORMAT=MLN","Sort=A","Dates=H","DateFormat=P","Fill=—","Direction=H","UseDPDF=Y")</f>
        <v>149.517</v>
      </c>
    </row>
    <row r="39" spans="1:27" x14ac:dyDescent="0.25">
      <c r="A39" s="6" t="s">
        <v>1078</v>
      </c>
      <c r="B39" s="6" t="s">
        <v>1079</v>
      </c>
      <c r="C39" s="19">
        <f>_xll.BDH("ITCI US Equity","ARD_TOT_CASHFLOWS_FROM_FINANCING","FQ4 2018","FQ4 2018","Currency=USD","Period=FQ","BEST_FPERIOD_OVERRIDE=FQ","FILING_STATUS=MR","SCALING_FORMAT=MLN","Sort=A","Dates=H","DateFormat=P","Fill=—","Direction=H","UseDPDF=Y")</f>
        <v>0.68520000000000003</v>
      </c>
      <c r="D39" s="19">
        <f>_xll.BDH("ITCI US Equity","ARD_TOT_CASHFLOWS_FROM_FINANCING","FQ1 2019","FQ1 2019","Currency=USD","Period=FQ","BEST_FPERIOD_OVERRIDE=FQ","FILING_STATUS=MR","SCALING_FORMAT=MLN","Sort=A","Dates=H","DateFormat=P","Fill=—","Direction=H","UseDPDF=Y")</f>
        <v>3.1199999999999999E-2</v>
      </c>
      <c r="E39" s="19">
        <f>_xll.BDH("ITCI US Equity","ARD_TOT_CASHFLOWS_FROM_FINANCING","FQ2 2019","FQ2 2019","Currency=USD","Period=FQ","BEST_FPERIOD_OVERRIDE=FQ","FILING_STATUS=MR","SCALING_FORMAT=MLN","Sort=A","Dates=H","DateFormat=P","Fill=—","Direction=H","UseDPDF=Y")</f>
        <v>0.29039999999999999</v>
      </c>
      <c r="F39" s="19">
        <f>_xll.BDH("ITCI US Equity","ARD_TOT_CASHFLOWS_FROM_FINANCING","FQ3 2019","FQ3 2019","Currency=USD","Period=FQ","BEST_FPERIOD_OVERRIDE=FQ","FILING_STATUS=MR","SCALING_FORMAT=MLN","Sort=A","Dates=H","DateFormat=P","Fill=—","Direction=H","UseDPDF=Y")</f>
        <v>0.44280000000000003</v>
      </c>
      <c r="G39" s="19">
        <f>_xll.BDH("ITCI US Equity","ARD_TOT_CASHFLOWS_FROM_FINANCING","FQ4 2019","FQ4 2019","Currency=USD","Period=FQ","BEST_FPERIOD_OVERRIDE=FQ","FILING_STATUS=MR","SCALING_FORMAT=MLN","Sort=A","Dates=H","DateFormat=P","Fill=—","Direction=H","UseDPDF=Y")</f>
        <v>3.2355999999999998</v>
      </c>
      <c r="H39" s="19">
        <f>_xll.BDH("ITCI US Equity","ARD_TOT_CASHFLOWS_FROM_FINANCING","FQ1 2020","FQ1 2020","Currency=USD","Period=FQ","BEST_FPERIOD_OVERRIDE=FQ","FILING_STATUS=MR","SCALING_FORMAT=MLN","Sort=A","Dates=H","DateFormat=P","Fill=—","Direction=H","UseDPDF=Y")</f>
        <v>277.56729999999999</v>
      </c>
      <c r="I39" s="19">
        <f>_xll.BDH("ITCI US Equity","ARD_TOT_CASHFLOWS_FROM_FINANCING","FQ2 2020","FQ2 2020","Currency=USD","Period=FQ","BEST_FPERIOD_OVERRIDE=FQ","FILING_STATUS=MR","SCALING_FORMAT=MLN","Sort=A","Dates=H","DateFormat=P","Fill=—","Direction=H","UseDPDF=Y")</f>
        <v>282.04719999999998</v>
      </c>
      <c r="J39" s="19">
        <f>_xll.BDH("ITCI US Equity","ARD_TOT_CASHFLOWS_FROM_FINANCING","FQ3 2020","FQ3 2020","Currency=USD","Period=FQ","BEST_FPERIOD_OVERRIDE=FQ","FILING_STATUS=MR","SCALING_FORMAT=MLN","Sort=A","Dates=H","DateFormat=P","Fill=—","Direction=H","UseDPDF=Y")</f>
        <v>660.54160000000002</v>
      </c>
      <c r="K39" s="19">
        <f>_xll.BDH("ITCI US Equity","ARD_TOT_CASHFLOWS_FROM_FINANCING","FQ4 2020","FQ4 2020","Currency=USD","Period=FQ","BEST_FPERIOD_OVERRIDE=FQ","FILING_STATUS=MR","SCALING_FORMAT=MLN","Sort=A","Dates=H","DateFormat=P","Fill=—","Direction=H","UseDPDF=Y")</f>
        <v>664.17690000000005</v>
      </c>
      <c r="L39" s="19">
        <f>_xll.BDH("ITCI US Equity","ARD_TOT_CASHFLOWS_FROM_FINANCING","FQ1 2021","FQ1 2021","Currency=USD","Period=FQ","BEST_FPERIOD_OVERRIDE=FQ","FILING_STATUS=MR","SCALING_FORMAT=MLN","Sort=A","Dates=H","DateFormat=P","Fill=—","Direction=H","UseDPDF=Y")</f>
        <v>1.4317</v>
      </c>
      <c r="M39" s="19">
        <f>_xll.BDH("ITCI US Equity","ARD_TOT_CASHFLOWS_FROM_FINANCING","FQ2 2021","FQ2 2021","Currency=USD","Period=FQ","BEST_FPERIOD_OVERRIDE=FQ","FILING_STATUS=MR","SCALING_FORMAT=MLN","Sort=A","Dates=H","DateFormat=P","Fill=—","Direction=H","UseDPDF=Y")</f>
        <v>3.0133999999999999</v>
      </c>
      <c r="N39" s="19">
        <f>_xll.BDH("ITCI US Equity","ARD_TOT_CASHFLOWS_FROM_FINANCING","FQ3 2021","FQ3 2021","Currency=USD","Period=FQ","BEST_FPERIOD_OVERRIDE=FQ","FILING_STATUS=MR","SCALING_FORMAT=MLN","Sort=A","Dates=H","DateFormat=P","Fill=—","Direction=H","UseDPDF=Y")</f>
        <v>3.6046999999999998</v>
      </c>
      <c r="O39" s="19">
        <f>_xll.BDH("ITCI US Equity","ARD_TOT_CASHFLOWS_FROM_FINANCING","FQ4 2021","FQ4 2021","Currency=USD","Period=FQ","BEST_FPERIOD_OVERRIDE=FQ","FILING_STATUS=MR","SCALING_FORMAT=MLN","Sort=A","Dates=H","DateFormat=P","Fill=—","Direction=H","UseDPDF=Y")</f>
        <v>11.5189</v>
      </c>
      <c r="P39" s="19">
        <f>_xll.BDH("ITCI US Equity","ARD_TOT_CASHFLOWS_FROM_FINANCING","FQ1 2022","FQ1 2022","Currency=USD","Period=FQ","BEST_FPERIOD_OVERRIDE=FQ","FILING_STATUS=MR","SCALING_FORMAT=MLN","Sort=A","Dates=H","DateFormat=P","Fill=—","Direction=H","UseDPDF=Y")</f>
        <v>441.81400000000002</v>
      </c>
      <c r="Q39" s="19">
        <f>_xll.BDH("ITCI US Equity","ARD_TOT_CASHFLOWS_FROM_FINANCING","FQ2 2022","FQ2 2022","Currency=USD","Period=FQ","BEST_FPERIOD_OVERRIDE=FQ","FILING_STATUS=MR","SCALING_FORMAT=MLN","Sort=A","Dates=H","DateFormat=P","Fill=—","Direction=H","UseDPDF=Y")</f>
        <v>447.31799999999998</v>
      </c>
      <c r="R39" s="19">
        <f>_xll.BDH("ITCI US Equity","ARD_TOT_CASHFLOWS_FROM_FINANCING","FQ3 2022","FQ3 2022","Currency=USD","Period=FQ","BEST_FPERIOD_OVERRIDE=FQ","FILING_STATUS=MR","SCALING_FORMAT=MLN","Sort=A","Dates=H","DateFormat=P","Fill=—","Direction=H","UseDPDF=Y")</f>
        <v>452.97199999999998</v>
      </c>
      <c r="S39" s="19">
        <f>_xll.BDH("ITCI US Equity","ARD_TOT_CASHFLOWS_FROM_FINANCING","FQ4 2022","FQ4 2022","Currency=USD","Period=FQ","BEST_FPERIOD_OVERRIDE=FQ","FILING_STATUS=MR","SCALING_FORMAT=MLN","Sort=A","Dates=H","DateFormat=P","Fill=—","Direction=H","UseDPDF=Y")</f>
        <v>455.15899999999999</v>
      </c>
      <c r="T39" s="19">
        <f>_xll.BDH("ITCI US Equity","ARD_TOT_CASHFLOWS_FROM_FINANCING","FQ1 2023","FQ1 2023","Currency=USD","Period=FQ","BEST_FPERIOD_OVERRIDE=FQ","FILING_STATUS=MR","SCALING_FORMAT=MLN","Sort=A","Dates=H","DateFormat=P","Fill=—","Direction=H","UseDPDF=Y")</f>
        <v>3.64</v>
      </c>
      <c r="U39" s="19">
        <f>_xll.BDH("ITCI US Equity","ARD_TOT_CASHFLOWS_FROM_FINANCING","FQ2 2023","FQ2 2023","Currency=USD","Period=FQ","BEST_FPERIOD_OVERRIDE=FQ","FILING_STATUS=MR","SCALING_FORMAT=MLN","Sort=A","Dates=H","DateFormat=P","Fill=—","Direction=H","UseDPDF=Y")</f>
        <v>12.225</v>
      </c>
      <c r="V39" s="19">
        <f>_xll.BDH("ITCI US Equity","ARD_TOT_CASHFLOWS_FROM_FINANCING","FQ3 2023","FQ3 2023","Currency=USD","Period=FQ","BEST_FPERIOD_OVERRIDE=FQ","FILING_STATUS=MR","SCALING_FORMAT=MLN","Sort=A","Dates=H","DateFormat=P","Fill=—","Direction=H","UseDPDF=Y")</f>
        <v>14.805999999999999</v>
      </c>
      <c r="W39" s="19">
        <f>_xll.BDH("ITCI US Equity","ARD_TOT_CASHFLOWS_FROM_FINANCING","FQ4 2023","FQ4 2023","Currency=USD","Period=FQ","BEST_FPERIOD_OVERRIDE=FQ","FILING_STATUS=MR","SCALING_FORMAT=MLN","Sort=A","Dates=H","DateFormat=P","Fill=—","Direction=H","UseDPDF=Y")</f>
        <v>17.809999999999999</v>
      </c>
      <c r="X39" s="19">
        <f>_xll.BDH("ITCI US Equity","ARD_TOT_CASHFLOWS_FROM_FINANCING","FQ1 2024","FQ1 2024","Currency=USD","Period=FQ","BEST_FPERIOD_OVERRIDE=FQ","FILING_STATUS=MR","SCALING_FORMAT=MLN","Sort=A","Dates=H","DateFormat=P","Fill=—","Direction=H","UseDPDF=Y")</f>
        <v>9.9890000000000008</v>
      </c>
      <c r="Y39" s="19">
        <f>_xll.BDH("ITCI US Equity","ARD_TOT_CASHFLOWS_FROM_FINANCING","FQ2 2024","FQ2 2024","Currency=USD","Period=FQ","BEST_FPERIOD_OVERRIDE=FQ","FILING_STATUS=MR","SCALING_FORMAT=MLN","Sort=A","Dates=H","DateFormat=P","Fill=—","Direction=H","UseDPDF=Y")</f>
        <v>555.16800000000001</v>
      </c>
      <c r="Z39" s="19">
        <f>_xll.BDH("ITCI US Equity","ARD_TOT_CASHFLOWS_FROM_FINANCING","FQ3 2024","FQ3 2024","Currency=USD","Period=FQ","BEST_FPERIOD_OVERRIDE=FQ","FILING_STATUS=MR","SCALING_FORMAT=MLN","Sort=A","Dates=H","DateFormat=P","Fill=—","Direction=H","UseDPDF=Y")</f>
        <v>561.90200000000004</v>
      </c>
      <c r="AA39" s="19">
        <f>_xll.BDH("ITCI US Equity","ARD_TOT_CASHFLOWS_FROM_FINANCING","FQ4 2024","FQ4 2024","Currency=USD","Period=FQ","BEST_FPERIOD_OVERRIDE=FQ","FILING_STATUS=MR","SCALING_FORMAT=MLN","Sort=A","Dates=H","DateFormat=P","Fill=—","Direction=H","UseDPDF=Y")</f>
        <v>567.50800000000004</v>
      </c>
    </row>
    <row r="40" spans="1:27" x14ac:dyDescent="0.25">
      <c r="A40" s="7" t="s">
        <v>90</v>
      </c>
      <c r="B40" s="7"/>
      <c r="C40" s="7" t="s">
        <v>5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23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1080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6" t="s">
        <v>1081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1082</v>
      </c>
      <c r="B7" s="10" t="s">
        <v>1083</v>
      </c>
      <c r="C7" s="14">
        <f>_xll.BDH("ITCI US Equity","RETURN_COM_EQY","FQ4 2018","FQ4 2018","Currency=USD","Period=FQ","BEST_FPERIOD_OVERRIDE=FQ","FILING_STATUS=MR","FA_ADJUSTED=GAAP","Sort=A","Dates=H","DateFormat=P","Fill=—","Direction=H","UseDPDF=Y")</f>
        <v>-40.180500000000002</v>
      </c>
      <c r="D7" s="14">
        <f>_xll.BDH("ITCI US Equity","RETURN_COM_EQY","FQ1 2019","FQ1 2019","Currency=USD","Period=FQ","BEST_FPERIOD_OVERRIDE=FQ","FILING_STATUS=MR","FA_ADJUSTED=GAAP","Sort=A","Dates=H","DateFormat=P","Fill=—","Direction=H","UseDPDF=Y")</f>
        <v>-43.406100000000002</v>
      </c>
      <c r="E7" s="14">
        <f>_xll.BDH("ITCI US Equity","RETURN_COM_EQY","FQ2 2019","FQ2 2019","Currency=USD","Period=FQ","BEST_FPERIOD_OVERRIDE=FQ","FILING_STATUS=MR","FA_ADJUSTED=GAAP","Sort=A","Dates=H","DateFormat=P","Fill=—","Direction=H","UseDPDF=Y")</f>
        <v>-47.7622</v>
      </c>
      <c r="F7" s="14">
        <f>_xll.BDH("ITCI US Equity","RETURN_COM_EQY","FQ3 2019","FQ3 2019","Currency=USD","Period=FQ","BEST_FPERIOD_OVERRIDE=FQ","FILING_STATUS=MR","FA_ADJUSTED=GAAP","Sort=A","Dates=H","DateFormat=P","Fill=—","Direction=H","UseDPDF=Y")</f>
        <v>-50.9512</v>
      </c>
      <c r="G7" s="14">
        <f>_xll.BDH("ITCI US Equity","RETURN_COM_EQY","FQ4 2019","FQ4 2019","Currency=USD","Period=FQ","BEST_FPERIOD_OVERRIDE=FQ","FILING_STATUS=MR","FA_ADJUSTED=GAAP","Sort=A","Dates=H","DateFormat=P","Fill=—","Direction=H","UseDPDF=Y")</f>
        <v>-57.622700000000002</v>
      </c>
      <c r="H7" s="14">
        <f>_xll.BDH("ITCI US Equity","RETURN_COM_EQY","FQ1 2020","FQ1 2020","Currency=USD","Period=FQ","BEST_FPERIOD_OVERRIDE=FQ","FILING_STATUS=MR","FA_ADJUSTED=GAAP","Sort=A","Dates=H","DateFormat=P","Fill=—","Direction=H","UseDPDF=Y")</f>
        <v>-44.585000000000001</v>
      </c>
      <c r="I7" s="14">
        <f>_xll.BDH("ITCI US Equity","RETURN_COM_EQY","FQ2 2020","FQ2 2020","Currency=USD","Period=FQ","BEST_FPERIOD_OVERRIDE=FQ","FILING_STATUS=MR","FA_ADJUSTED=GAAP","Sort=A","Dates=H","DateFormat=P","Fill=—","Direction=H","UseDPDF=Y")</f>
        <v>-58.6417</v>
      </c>
      <c r="J7" s="14">
        <f>_xll.BDH("ITCI US Equity","RETURN_COM_EQY","FQ3 2020","FQ3 2020","Currency=USD","Period=FQ","BEST_FPERIOD_OVERRIDE=FQ","FILING_STATUS=MR","FA_ADJUSTED=GAAP","Sort=A","Dates=H","DateFormat=P","Fill=—","Direction=H","UseDPDF=Y")</f>
        <v>-44.194099999999999</v>
      </c>
      <c r="K7" s="14">
        <f>_xll.BDH("ITCI US Equity","RETURN_COM_EQY","FQ4 2020","FQ4 2020","Currency=USD","Period=FQ","BEST_FPERIOD_OVERRIDE=FQ","FILING_STATUS=MR","FA_ADJUSTED=GAAP","Sort=A","Dates=H","DateFormat=P","Fill=—","Direction=H","UseDPDF=Y")</f>
        <v>-53.295999999999999</v>
      </c>
      <c r="L7" s="14">
        <f>_xll.BDH("ITCI US Equity","RETURN_COM_EQY","FQ1 2021","FQ1 2021","Currency=USD","Period=FQ","BEST_FPERIOD_OVERRIDE=FQ","FILING_STATUS=MR","FA_ADJUSTED=GAAP","Sort=A","Dates=H","DateFormat=P","Fill=—","Direction=H","UseDPDF=Y")</f>
        <v>-44.5685</v>
      </c>
      <c r="M7" s="14">
        <f>_xll.BDH("ITCI US Equity","RETURN_COM_EQY","FQ2 2021","FQ2 2021","Currency=USD","Period=FQ","BEST_FPERIOD_OVERRIDE=FQ","FILING_STATUS=MR","FA_ADJUSTED=GAAP","Sort=A","Dates=H","DateFormat=P","Fill=—","Direction=H","UseDPDF=Y")</f>
        <v>-50.876100000000001</v>
      </c>
      <c r="N7" s="14">
        <f>_xll.BDH("ITCI US Equity","RETURN_COM_EQY","FQ3 2021","FQ3 2021","Currency=USD","Period=FQ","BEST_FPERIOD_OVERRIDE=FQ","FILING_STATUS=MR","FA_ADJUSTED=GAAP","Sort=A","Dates=H","DateFormat=P","Fill=—","Direction=H","UseDPDF=Y")</f>
        <v>-43.320700000000002</v>
      </c>
      <c r="O7" s="14">
        <f>_xll.BDH("ITCI US Equity","RETURN_COM_EQY","FQ4 2021","FQ4 2021","Currency=USD","Period=FQ","BEST_FPERIOD_OVERRIDE=FQ","FILING_STATUS=MR","FA_ADJUSTED=GAAP","Sort=A","Dates=H","DateFormat=P","Fill=—","Direction=H","UseDPDF=Y")</f>
        <v>-52.872799999999998</v>
      </c>
      <c r="P7" s="14">
        <f>_xll.BDH("ITCI US Equity","RETURN_COM_EQY","FQ1 2022","FQ1 2022","Currency=USD","Period=FQ","BEST_FPERIOD_OVERRIDE=FQ","FILING_STATUS=MR","FA_ADJUSTED=GAAP","Sort=A","Dates=H","DateFormat=P","Fill=—","Direction=H","UseDPDF=Y")</f>
        <v>-43.206600000000002</v>
      </c>
      <c r="Q7" s="14">
        <f>_xll.BDH("ITCI US Equity","RETURN_COM_EQY","FQ2 2022","FQ2 2022","Currency=USD","Period=FQ","BEST_FPERIOD_OVERRIDE=FQ","FILING_STATUS=MR","FA_ADJUSTED=GAAP","Sort=A","Dates=H","DateFormat=P","Fill=—","Direction=H","UseDPDF=Y")</f>
        <v>-50.379100000000001</v>
      </c>
      <c r="R7" s="14">
        <f>_xll.BDH("ITCI US Equity","RETURN_COM_EQY","FQ3 2022","FQ3 2022","Currency=USD","Period=FQ","BEST_FPERIOD_OVERRIDE=FQ","FILING_STATUS=MR","FA_ADJUSTED=GAAP","Sort=A","Dates=H","DateFormat=P","Fill=—","Direction=H","UseDPDF=Y")</f>
        <v>-50.839399999999998</v>
      </c>
      <c r="S7" s="14">
        <f>_xll.BDH("ITCI US Equity","RETURN_COM_EQY","FQ4 2022","FQ4 2022","Currency=USD","Period=FQ","BEST_FPERIOD_OVERRIDE=FQ","FILING_STATUS=MR","FA_ADJUSTED=GAAP","Sort=A","Dates=H","DateFormat=P","Fill=—","Direction=H","UseDPDF=Y")</f>
        <v>-47.721699999999998</v>
      </c>
      <c r="T7" s="14">
        <f>_xll.BDH("ITCI US Equity","RETURN_COM_EQY","FQ1 2023","FQ1 2023","Currency=USD","Period=FQ","BEST_FPERIOD_OVERRIDE=FQ","FILING_STATUS=MR","FA_ADJUSTED=GAAP","Sort=A","Dates=H","DateFormat=P","Fill=—","Direction=H","UseDPDF=Y")</f>
        <v>-32.131300000000003</v>
      </c>
      <c r="U7" s="14">
        <f>_xll.BDH("ITCI US Equity","RETURN_COM_EQY","FQ2 2023","FQ2 2023","Currency=USD","Period=FQ","BEST_FPERIOD_OVERRIDE=FQ","FILING_STATUS=MR","FA_ADJUSTED=GAAP","Sort=A","Dates=H","DateFormat=P","Fill=—","Direction=H","UseDPDF=Y")</f>
        <v>-27.739799999999999</v>
      </c>
      <c r="V7" s="14">
        <f>_xll.BDH("ITCI US Equity","RETURN_COM_EQY","FQ3 2023","FQ3 2023","Currency=USD","Period=FQ","BEST_FPERIOD_OVERRIDE=FQ","FILING_STATUS=MR","FA_ADJUSTED=GAAP","Sort=A","Dates=H","DateFormat=P","Fill=—","Direction=H","UseDPDF=Y")</f>
        <v>-24.122599999999998</v>
      </c>
      <c r="W7" s="14">
        <f>_xll.BDH("ITCI US Equity","RETURN_COM_EQY","FQ4 2023","FQ4 2023","Currency=USD","Period=FQ","BEST_FPERIOD_OVERRIDE=FQ","FILING_STATUS=MR","FA_ADJUSTED=GAAP","Sort=A","Dates=H","DateFormat=P","Fill=—","Direction=H","UseDPDF=Y")</f>
        <v>-22.392700000000001</v>
      </c>
      <c r="X7" s="14">
        <f>_xll.BDH("ITCI US Equity","RETURN_COM_EQY","FQ1 2024","FQ1 2024","Currency=USD","Period=FQ","BEST_FPERIOD_OVERRIDE=FQ","FILING_STATUS=MR","FA_ADJUSTED=GAAP","Sort=A","Dates=H","DateFormat=P","Fill=—","Direction=H","UseDPDF=Y")</f>
        <v>-18.069800000000001</v>
      </c>
      <c r="Y7" s="14">
        <f>_xll.BDH("ITCI US Equity","RETURN_COM_EQY","FQ2 2024","FQ2 2024","Currency=USD","Period=FQ","BEST_FPERIOD_OVERRIDE=FQ","FILING_STATUS=MR","FA_ADJUSTED=GAAP","Sort=A","Dates=H","DateFormat=P","Fill=—","Direction=H","UseDPDF=Y")</f>
        <v>-9.6254000000000008</v>
      </c>
      <c r="Z7" s="14">
        <f>_xll.BDH("ITCI US Equity","RETURN_COM_EQY","FQ3 2024","FQ3 2024","Currency=USD","Period=FQ","BEST_FPERIOD_OVERRIDE=FQ","FILING_STATUS=MR","FA_ADJUSTED=GAAP","Sort=A","Dates=H","DateFormat=P","Fill=—","Direction=H","UseDPDF=Y")</f>
        <v>-9.8963000000000001</v>
      </c>
      <c r="AA7" s="14">
        <f>_xll.BDH("ITCI US Equity","RETURN_COM_EQY","FQ4 2024","FQ4 2024","Currency=USD","Period=FQ","BEST_FPERIOD_OVERRIDE=FQ","FILING_STATUS=MR","FA_ADJUSTED=GAAP","Sort=A","Dates=H","DateFormat=P","Fill=—","Direction=H","UseDPDF=Y")</f>
        <v>-8.5839999999999996</v>
      </c>
    </row>
    <row r="8" spans="1:27" x14ac:dyDescent="0.25">
      <c r="A8" s="10" t="s">
        <v>1084</v>
      </c>
      <c r="B8" s="10" t="s">
        <v>1085</v>
      </c>
      <c r="C8" s="14">
        <f>_xll.BDH("ITCI US Equity","RETURN_ON_ASSET","FQ4 2018","FQ4 2018","Currency=USD","Period=FQ","BEST_FPERIOD_OVERRIDE=FQ","FILING_STATUS=MR","FA_ADJUSTED=GAAP","Sort=A","Dates=H","DateFormat=P","Fill=—","Direction=H","UseDPDF=Y")</f>
        <v>-37.439</v>
      </c>
      <c r="D8" s="14">
        <f>_xll.BDH("ITCI US Equity","RETURN_ON_ASSET","FQ1 2019","FQ1 2019","Currency=USD","Period=FQ","BEST_FPERIOD_OVERRIDE=FQ","FILING_STATUS=MR","FA_ADJUSTED=GAAP","Sort=A","Dates=H","DateFormat=P","Fill=—","Direction=H","UseDPDF=Y")</f>
        <v>-39.1785</v>
      </c>
      <c r="E8" s="14">
        <f>_xll.BDH("ITCI US Equity","RETURN_ON_ASSET","FQ2 2019","FQ2 2019","Currency=USD","Period=FQ","BEST_FPERIOD_OVERRIDE=FQ","FILING_STATUS=MR","FA_ADJUSTED=GAAP","Sort=A","Dates=H","DateFormat=P","Fill=—","Direction=H","UseDPDF=Y")</f>
        <v>-42.814799999999998</v>
      </c>
      <c r="F8" s="14">
        <f>_xll.BDH("ITCI US Equity","RETURN_ON_ASSET","FQ3 2019","FQ3 2019","Currency=USD","Period=FQ","BEST_FPERIOD_OVERRIDE=FQ","FILING_STATUS=MR","FA_ADJUSTED=GAAP","Sort=A","Dates=H","DateFormat=P","Fill=—","Direction=H","UseDPDF=Y")</f>
        <v>-44.403300000000002</v>
      </c>
      <c r="G8" s="14">
        <f>_xll.BDH("ITCI US Equity","RETURN_ON_ASSET","FQ4 2019","FQ4 2019","Currency=USD","Period=FQ","BEST_FPERIOD_OVERRIDE=FQ","FILING_STATUS=MR","FA_ADJUSTED=GAAP","Sort=A","Dates=H","DateFormat=P","Fill=—","Direction=H","UseDPDF=Y")</f>
        <v>-48.561399999999999</v>
      </c>
      <c r="H8" s="14">
        <f>_xll.BDH("ITCI US Equity","RETURN_ON_ASSET","FQ1 2020","FQ1 2020","Currency=USD","Period=FQ","BEST_FPERIOD_OVERRIDE=FQ","FILING_STATUS=MR","FA_ADJUSTED=GAAP","Sort=A","Dates=H","DateFormat=P","Fill=—","Direction=H","UseDPDF=Y")</f>
        <v>-38.896900000000002</v>
      </c>
      <c r="I8" s="14">
        <f>_xll.BDH("ITCI US Equity","RETURN_ON_ASSET","FQ2 2020","FQ2 2020","Currency=USD","Period=FQ","BEST_FPERIOD_OVERRIDE=FQ","FILING_STATUS=MR","FA_ADJUSTED=GAAP","Sort=A","Dates=H","DateFormat=P","Fill=—","Direction=H","UseDPDF=Y")</f>
        <v>-49.698900000000002</v>
      </c>
      <c r="J8" s="14">
        <f>_xll.BDH("ITCI US Equity","RETURN_ON_ASSET","FQ3 2020","FQ3 2020","Currency=USD","Period=FQ","BEST_FPERIOD_OVERRIDE=FQ","FILING_STATUS=MR","FA_ADJUSTED=GAAP","Sort=A","Dates=H","DateFormat=P","Fill=—","Direction=H","UseDPDF=Y")</f>
        <v>-39.339399999999998</v>
      </c>
      <c r="K8" s="14">
        <f>_xll.BDH("ITCI US Equity","RETURN_ON_ASSET","FQ4 2020","FQ4 2020","Currency=USD","Period=FQ","BEST_FPERIOD_OVERRIDE=FQ","FILING_STATUS=MR","FA_ADJUSTED=GAAP","Sort=A","Dates=H","DateFormat=P","Fill=—","Direction=H","UseDPDF=Y")</f>
        <v>-46.877800000000001</v>
      </c>
      <c r="L8" s="14">
        <f>_xll.BDH("ITCI US Equity","RETURN_ON_ASSET","FQ1 2021","FQ1 2021","Currency=USD","Period=FQ","BEST_FPERIOD_OVERRIDE=FQ","FILING_STATUS=MR","FA_ADJUSTED=GAAP","Sort=A","Dates=H","DateFormat=P","Fill=—","Direction=H","UseDPDF=Y")</f>
        <v>-40.2057</v>
      </c>
      <c r="M8" s="14">
        <f>_xll.BDH("ITCI US Equity","RETURN_ON_ASSET","FQ2 2021","FQ2 2021","Currency=USD","Period=FQ","BEST_FPERIOD_OVERRIDE=FQ","FILING_STATUS=MR","FA_ADJUSTED=GAAP","Sort=A","Dates=H","DateFormat=P","Fill=—","Direction=H","UseDPDF=Y")</f>
        <v>-44.507899999999999</v>
      </c>
      <c r="N8" s="14">
        <f>_xll.BDH("ITCI US Equity","RETURN_ON_ASSET","FQ3 2021","FQ3 2021","Currency=USD","Period=FQ","BEST_FPERIOD_OVERRIDE=FQ","FILING_STATUS=MR","FA_ADJUSTED=GAAP","Sort=A","Dates=H","DateFormat=P","Fill=—","Direction=H","UseDPDF=Y")</f>
        <v>-39.011800000000001</v>
      </c>
      <c r="O8" s="14">
        <f>_xll.BDH("ITCI US Equity","RETURN_ON_ASSET","FQ4 2021","FQ4 2021","Currency=USD","Period=FQ","BEST_FPERIOD_OVERRIDE=FQ","FILING_STATUS=MR","FA_ADJUSTED=GAAP","Sort=A","Dates=H","DateFormat=P","Fill=—","Direction=H","UseDPDF=Y")</f>
        <v>-47.070500000000003</v>
      </c>
      <c r="P8" s="14">
        <f>_xll.BDH("ITCI US Equity","RETURN_ON_ASSET","FQ1 2022","FQ1 2022","Currency=USD","Period=FQ","BEST_FPERIOD_OVERRIDE=FQ","FILING_STATUS=MR","FA_ADJUSTED=GAAP","Sort=A","Dates=H","DateFormat=P","Fill=—","Direction=H","UseDPDF=Y")</f>
        <v>-39.337800000000001</v>
      </c>
      <c r="Q8" s="14">
        <f>_xll.BDH("ITCI US Equity","RETURN_ON_ASSET","FQ2 2022","FQ2 2022","Currency=USD","Period=FQ","BEST_FPERIOD_OVERRIDE=FQ","FILING_STATUS=MR","FA_ADJUSTED=GAAP","Sort=A","Dates=H","DateFormat=P","Fill=—","Direction=H","UseDPDF=Y")</f>
        <v>-44.708300000000001</v>
      </c>
      <c r="R8" s="14">
        <f>_xll.BDH("ITCI US Equity","RETURN_ON_ASSET","FQ3 2022","FQ3 2022","Currency=USD","Period=FQ","BEST_FPERIOD_OVERRIDE=FQ","FILING_STATUS=MR","FA_ADJUSTED=GAAP","Sort=A","Dates=H","DateFormat=P","Fill=—","Direction=H","UseDPDF=Y")</f>
        <v>-44.506300000000003</v>
      </c>
      <c r="S8" s="14">
        <f>_xll.BDH("ITCI US Equity","RETURN_ON_ASSET","FQ4 2022","FQ4 2022","Currency=USD","Period=FQ","BEST_FPERIOD_OVERRIDE=FQ","FILING_STATUS=MR","FA_ADJUSTED=GAAP","Sort=A","Dates=H","DateFormat=P","Fill=—","Direction=H","UseDPDF=Y")</f>
        <v>-41.1755</v>
      </c>
      <c r="T8" s="14">
        <f>_xll.BDH("ITCI US Equity","RETURN_ON_ASSET","FQ1 2023","FQ1 2023","Currency=USD","Period=FQ","BEST_FPERIOD_OVERRIDE=FQ","FILING_STATUS=MR","FA_ADJUSTED=GAAP","Sort=A","Dates=H","DateFormat=P","Fill=—","Direction=H","UseDPDF=Y")</f>
        <v>-28.689800000000002</v>
      </c>
      <c r="U8" s="14">
        <f>_xll.BDH("ITCI US Equity","RETURN_ON_ASSET","FQ2 2023","FQ2 2023","Currency=USD","Period=FQ","BEST_FPERIOD_OVERRIDE=FQ","FILING_STATUS=MR","FA_ADJUSTED=GAAP","Sort=A","Dates=H","DateFormat=P","Fill=—","Direction=H","UseDPDF=Y")</f>
        <v>-24.171800000000001</v>
      </c>
      <c r="V8" s="14">
        <f>_xll.BDH("ITCI US Equity","RETURN_ON_ASSET","FQ3 2023","FQ3 2023","Currency=USD","Period=FQ","BEST_FPERIOD_OVERRIDE=FQ","FILING_STATUS=MR","FA_ADJUSTED=GAAP","Sort=A","Dates=H","DateFormat=P","Fill=—","Direction=H","UseDPDF=Y")</f>
        <v>-20.6874</v>
      </c>
      <c r="W8" s="14">
        <f>_xll.BDH("ITCI US Equity","RETURN_ON_ASSET","FQ4 2023","FQ4 2023","Currency=USD","Period=FQ","BEST_FPERIOD_OVERRIDE=FQ","FILING_STATUS=MR","FA_ADJUSTED=GAAP","Sort=A","Dates=H","DateFormat=P","Fill=—","Direction=H","UseDPDF=Y")</f>
        <v>-18.835699999999999</v>
      </c>
      <c r="X8" s="14">
        <f>_xll.BDH("ITCI US Equity","RETURN_ON_ASSET","FQ1 2024","FQ1 2024","Currency=USD","Period=FQ","BEST_FPERIOD_OVERRIDE=FQ","FILING_STATUS=MR","FA_ADJUSTED=GAAP","Sort=A","Dates=H","DateFormat=P","Fill=—","Direction=H","UseDPDF=Y")</f>
        <v>-15.0924</v>
      </c>
      <c r="Y8" s="14">
        <f>_xll.BDH("ITCI US Equity","RETURN_ON_ASSET","FQ2 2024","FQ2 2024","Currency=USD","Period=FQ","BEST_FPERIOD_OVERRIDE=FQ","FILING_STATUS=MR","FA_ADJUSTED=GAAP","Sort=A","Dates=H","DateFormat=P","Fill=—","Direction=H","UseDPDF=Y")</f>
        <v>-8.2889999999999997</v>
      </c>
      <c r="Z8" s="14">
        <f>_xll.BDH("ITCI US Equity","RETURN_ON_ASSET","FQ3 2024","FQ3 2024","Currency=USD","Period=FQ","BEST_FPERIOD_OVERRIDE=FQ","FILING_STATUS=MR","FA_ADJUSTED=GAAP","Sort=A","Dates=H","DateFormat=P","Fill=—","Direction=H","UseDPDF=Y")</f>
        <v>-8.4588999999999999</v>
      </c>
      <c r="AA8" s="14">
        <f>_xll.BDH("ITCI US Equity","RETURN_ON_ASSET","FQ4 2024","FQ4 2024","Currency=USD","Period=FQ","BEST_FPERIOD_OVERRIDE=FQ","FILING_STATUS=MR","FA_ADJUSTED=GAAP","Sort=A","Dates=H","DateFormat=P","Fill=—","Direction=H","UseDPDF=Y")</f>
        <v>-7.1283000000000003</v>
      </c>
    </row>
    <row r="9" spans="1:27" x14ac:dyDescent="0.25">
      <c r="A9" s="10" t="s">
        <v>1086</v>
      </c>
      <c r="B9" s="10" t="s">
        <v>1087</v>
      </c>
      <c r="C9" s="14">
        <f>_xll.BDH("ITCI US Equity","RETURN_ON_CAP","FQ4 2018","FQ4 2018","Currency=USD","Period=FQ","BEST_FPERIOD_OVERRIDE=FQ","FILING_STATUS=MR","FA_ADJUSTED=GAAP","Sort=A","Dates=H","DateFormat=P","Fill=—","Direction=H","UseDPDF=Y")</f>
        <v>-40.180500000000002</v>
      </c>
      <c r="D9" s="14">
        <f>_xll.BDH("ITCI US Equity","RETURN_ON_CAP","FQ1 2019","FQ1 2019","Currency=USD","Period=FQ","BEST_FPERIOD_OVERRIDE=FQ","FILING_STATUS=MR","FA_ADJUSTED=GAAP","Sort=A","Dates=H","DateFormat=P","Fill=—","Direction=H","UseDPDF=Y")</f>
        <v>-42.005600000000001</v>
      </c>
      <c r="E9" s="14">
        <f>_xll.BDH("ITCI US Equity","RETURN_ON_CAP","FQ2 2019","FQ2 2019","Currency=USD","Period=FQ","BEST_FPERIOD_OVERRIDE=FQ","FILING_STATUS=MR","FA_ADJUSTED=GAAP","Sort=A","Dates=H","DateFormat=P","Fill=—","Direction=H","UseDPDF=Y")</f>
        <v>-46.134599999999999</v>
      </c>
      <c r="F9" s="14">
        <f>_xll.BDH("ITCI US Equity","RETURN_ON_CAP","FQ3 2019","FQ3 2019","Currency=USD","Period=FQ","BEST_FPERIOD_OVERRIDE=FQ","FILING_STATUS=MR","FA_ADJUSTED=GAAP","Sort=A","Dates=H","DateFormat=P","Fill=—","Direction=H","UseDPDF=Y")</f>
        <v>-49.045499999999997</v>
      </c>
      <c r="G9" s="14">
        <f>_xll.BDH("ITCI US Equity","RETURN_ON_CAP","FQ4 2019","FQ4 2019","Currency=USD","Period=FQ","BEST_FPERIOD_OVERRIDE=FQ","FILING_STATUS=MR","FA_ADJUSTED=GAAP","Sort=A","Dates=H","DateFormat=P","Fill=—","Direction=H","UseDPDF=Y")</f>
        <v>-55.134099999999997</v>
      </c>
      <c r="H9" s="14" t="str">
        <f>_xll.BDH("ITCI US Equity","RETURN_ON_CAP","FQ1 2020","FQ1 2020","Currency=USD","Period=FQ","BEST_FPERIOD_OVERRIDE=FQ","FILING_STATUS=MR","FA_ADJUSTED=GAAP","Sort=A","Dates=H","DateFormat=P","Fill=—","Direction=H","UseDPDF=Y")</f>
        <v>—</v>
      </c>
      <c r="I9" s="14" t="str">
        <f>_xll.BDH("ITCI US Equity","RETURN_ON_CAP","FQ2 2020","FQ2 2020","Currency=USD","Period=FQ","BEST_FPERIOD_OVERRIDE=FQ","FILING_STATUS=MR","FA_ADJUSTED=GAAP","Sort=A","Dates=H","DateFormat=P","Fill=—","Direction=H","UseDPDF=Y")</f>
        <v>—</v>
      </c>
      <c r="J9" s="14" t="str">
        <f>_xll.BDH("ITCI US Equity","RETURN_ON_CAP","FQ3 2020","FQ3 2020","Currency=USD","Period=FQ","BEST_FPERIOD_OVERRIDE=FQ","FILING_STATUS=MR","FA_ADJUSTED=GAAP","Sort=A","Dates=H","DateFormat=P","Fill=—","Direction=H","UseDPDF=Y")</f>
        <v>—</v>
      </c>
      <c r="K9" s="14" t="str">
        <f>_xll.BDH("ITCI US Equity","RETURN_ON_CAP","FQ4 2020","FQ4 2020","Currency=USD","Period=FQ","BEST_FPERIOD_OVERRIDE=FQ","FILING_STATUS=MR","FA_ADJUSTED=GAAP","Sort=A","Dates=H","DateFormat=P","Fill=—","Direction=H","UseDPDF=Y")</f>
        <v>—</v>
      </c>
      <c r="L9" s="14" t="str">
        <f>_xll.BDH("ITCI US Equity","RETURN_ON_CAP","FQ1 2021","FQ1 2021","Currency=USD","Period=FQ","BEST_FPERIOD_OVERRIDE=FQ","FILING_STATUS=MR","FA_ADJUSTED=GAAP","Sort=A","Dates=H","DateFormat=P","Fill=—","Direction=H","UseDPDF=Y")</f>
        <v>—</v>
      </c>
      <c r="M9" s="14" t="str">
        <f>_xll.BDH("ITCI US Equity","RETURN_ON_CAP","FQ2 2021","FQ2 2021","Currency=USD","Period=FQ","BEST_FPERIOD_OVERRIDE=FQ","FILING_STATUS=MR","FA_ADJUSTED=GAAP","Sort=A","Dates=H","DateFormat=P","Fill=—","Direction=H","UseDPDF=Y")</f>
        <v>—</v>
      </c>
      <c r="N9" s="14" t="str">
        <f>_xll.BDH("ITCI US Equity","RETURN_ON_CAP","FQ3 2021","FQ3 2021","Currency=USD","Period=FQ","BEST_FPERIOD_OVERRIDE=FQ","FILING_STATUS=MR","FA_ADJUSTED=GAAP","Sort=A","Dates=H","DateFormat=P","Fill=—","Direction=H","UseDPDF=Y")</f>
        <v>—</v>
      </c>
      <c r="O9" s="14" t="str">
        <f>_xll.BDH("ITCI US Equity","RETURN_ON_CAP","FQ4 2021","FQ4 2021","Currency=USD","Period=FQ","BEST_FPERIOD_OVERRIDE=FQ","FILING_STATUS=MR","FA_ADJUSTED=GAAP","Sort=A","Dates=H","DateFormat=P","Fill=—","Direction=H","UseDPDF=Y")</f>
        <v>—</v>
      </c>
      <c r="P9" s="14" t="str">
        <f>_xll.BDH("ITCI US Equity","RETURN_ON_CAP","FQ1 2022","FQ1 2022","Currency=USD","Period=FQ","BEST_FPERIOD_OVERRIDE=FQ","FILING_STATUS=MR","FA_ADJUSTED=GAAP","Sort=A","Dates=H","DateFormat=P","Fill=—","Direction=H","UseDPDF=Y")</f>
        <v>—</v>
      </c>
      <c r="Q9" s="14" t="str">
        <f>_xll.BDH("ITCI US Equity","RETURN_ON_CAP","FQ2 2022","FQ2 2022","Currency=USD","Period=FQ","BEST_FPERIOD_OVERRIDE=FQ","FILING_STATUS=MR","FA_ADJUSTED=GAAP","Sort=A","Dates=H","DateFormat=P","Fill=—","Direction=H","UseDPDF=Y")</f>
        <v>—</v>
      </c>
      <c r="R9" s="14" t="str">
        <f>_xll.BDH("ITCI US Equity","RETURN_ON_CAP","FQ3 2022","FQ3 2022","Currency=USD","Period=FQ","BEST_FPERIOD_OVERRIDE=FQ","FILING_STATUS=MR","FA_ADJUSTED=GAAP","Sort=A","Dates=H","DateFormat=P","Fill=—","Direction=H","UseDPDF=Y")</f>
        <v>—</v>
      </c>
      <c r="S9" s="14" t="str">
        <f>_xll.BDH("ITCI US Equity","RETURN_ON_CAP","FQ4 2022","FQ4 2022","Currency=USD","Period=FQ","BEST_FPERIOD_OVERRIDE=FQ","FILING_STATUS=MR","FA_ADJUSTED=GAAP","Sort=A","Dates=H","DateFormat=P","Fill=—","Direction=H","UseDPDF=Y")</f>
        <v>—</v>
      </c>
      <c r="T9" s="14" t="str">
        <f>_xll.BDH("ITCI US Equity","RETURN_ON_CAP","FQ1 2023","FQ1 2023","Currency=USD","Period=FQ","BEST_FPERIOD_OVERRIDE=FQ","FILING_STATUS=MR","FA_ADJUSTED=GAAP","Sort=A","Dates=H","DateFormat=P","Fill=—","Direction=H","UseDPDF=Y")</f>
        <v>—</v>
      </c>
      <c r="U9" s="14" t="str">
        <f>_xll.BDH("ITCI US Equity","RETURN_ON_CAP","FQ2 2023","FQ2 2023","Currency=USD","Period=FQ","BEST_FPERIOD_OVERRIDE=FQ","FILING_STATUS=MR","FA_ADJUSTED=GAAP","Sort=A","Dates=H","DateFormat=P","Fill=—","Direction=H","UseDPDF=Y")</f>
        <v>—</v>
      </c>
      <c r="V9" s="14" t="str">
        <f>_xll.BDH("ITCI US Equity","RETURN_ON_CAP","FQ3 2023","FQ3 2023","Currency=USD","Period=FQ","BEST_FPERIOD_OVERRIDE=FQ","FILING_STATUS=MR","FA_ADJUSTED=GAAP","Sort=A","Dates=H","DateFormat=P","Fill=—","Direction=H","UseDPDF=Y")</f>
        <v>—</v>
      </c>
      <c r="W9" s="14" t="str">
        <f>_xll.BDH("ITCI US Equity","RETURN_ON_CAP","FQ4 2023","FQ4 2023","Currency=USD","Period=FQ","BEST_FPERIOD_OVERRIDE=FQ","FILING_STATUS=MR","FA_ADJUSTED=GAAP","Sort=A","Dates=H","DateFormat=P","Fill=—","Direction=H","UseDPDF=Y")</f>
        <v>—</v>
      </c>
      <c r="X9" s="14" t="str">
        <f>_xll.BDH("ITCI US Equity","RETURN_ON_CAP","FQ1 2024","FQ1 2024","Currency=USD","Period=FQ","BEST_FPERIOD_OVERRIDE=FQ","FILING_STATUS=MR","FA_ADJUSTED=GAAP","Sort=A","Dates=H","DateFormat=P","Fill=—","Direction=H","UseDPDF=Y")</f>
        <v>—</v>
      </c>
      <c r="Y9" s="14" t="str">
        <f>_xll.BDH("ITCI US Equity","RETURN_ON_CAP","FQ2 2024","FQ2 2024","Currency=USD","Period=FQ","BEST_FPERIOD_OVERRIDE=FQ","FILING_STATUS=MR","FA_ADJUSTED=GAAP","Sort=A","Dates=H","DateFormat=P","Fill=—","Direction=H","UseDPDF=Y")</f>
        <v>—</v>
      </c>
      <c r="Z9" s="14" t="str">
        <f>_xll.BDH("ITCI US Equity","RETURN_ON_CAP","FQ3 2024","FQ3 2024","Currency=USD","Period=FQ","BEST_FPERIOD_OVERRIDE=FQ","FILING_STATUS=MR","FA_ADJUSTED=GAAP","Sort=A","Dates=H","DateFormat=P","Fill=—","Direction=H","UseDPDF=Y")</f>
        <v>—</v>
      </c>
      <c r="AA9" s="14" t="str">
        <f>_xll.BDH("ITCI US Equity","RETURN_ON_CAP","FQ4 2024","FQ4 2024","Currency=USD","Period=FQ","BEST_FPERIOD_OVERRIDE=FQ","FILING_STATUS=MR","FA_ADJUSTED=GAAP","Sort=A","Dates=H","DateFormat=P","Fill=—","Direction=H","UseDPDF=Y")</f>
        <v>—</v>
      </c>
    </row>
    <row r="10" spans="1:27" x14ac:dyDescent="0.25">
      <c r="A10" s="10" t="s">
        <v>1088</v>
      </c>
      <c r="B10" s="10" t="s">
        <v>1089</v>
      </c>
      <c r="C10" s="14">
        <f>_xll.BDH("ITCI US Equity","RETURN_ON_INV_CAPITAL","FQ4 2018","FQ4 2018","Currency=USD","Period=FQ","BEST_FPERIOD_OVERRIDE=FQ","FILING_STATUS=MR","FA_ADJUSTED=GAAP","Sort=A","Dates=H","DateFormat=P","Fill=—","Direction=H","UseDPDF=Y")</f>
        <v>-41.583599999999997</v>
      </c>
      <c r="D10" s="14">
        <f>_xll.BDH("ITCI US Equity","RETURN_ON_INV_CAPITAL","FQ1 2019","FQ1 2019","Currency=USD","Period=FQ","BEST_FPERIOD_OVERRIDE=FQ","FILING_STATUS=MR","FA_ADJUSTED=GAAP","Sort=A","Dates=H","DateFormat=P","Fill=—","Direction=H","UseDPDF=Y")</f>
        <v>-43.594499999999996</v>
      </c>
      <c r="E10" s="14">
        <f>_xll.BDH("ITCI US Equity","RETURN_ON_INV_CAPITAL","FQ2 2019","FQ2 2019","Currency=USD","Period=FQ","BEST_FPERIOD_OVERRIDE=FQ","FILING_STATUS=MR","FA_ADJUSTED=GAAP","Sort=A","Dates=H","DateFormat=P","Fill=—","Direction=H","UseDPDF=Y")</f>
        <v>-47.864400000000003</v>
      </c>
      <c r="F10" s="14">
        <f>_xll.BDH("ITCI US Equity","RETURN_ON_INV_CAPITAL","FQ3 2019","FQ3 2019","Currency=USD","Period=FQ","BEST_FPERIOD_OVERRIDE=FQ","FILING_STATUS=MR","FA_ADJUSTED=GAAP","Sort=A","Dates=H","DateFormat=P","Fill=—","Direction=H","UseDPDF=Y")</f>
        <v>-50.874299999999998</v>
      </c>
      <c r="G10" s="14">
        <f>_xll.BDH("ITCI US Equity","RETURN_ON_INV_CAPITAL","FQ4 2019","FQ4 2019","Currency=USD","Period=FQ","BEST_FPERIOD_OVERRIDE=FQ","FILING_STATUS=MR","FA_ADJUSTED=GAAP","Sort=A","Dates=H","DateFormat=P","Fill=—","Direction=H","UseDPDF=Y")</f>
        <v>-56.989100000000001</v>
      </c>
      <c r="H10" s="14">
        <f>_xll.BDH("ITCI US Equity","RETURN_ON_INV_CAPITAL","FQ1 2020","FQ1 2020","Currency=USD","Period=FQ","BEST_FPERIOD_OVERRIDE=FQ","FILING_STATUS=MR","FA_ADJUSTED=GAAP","Sort=A","Dates=H","DateFormat=P","Fill=—","Direction=H","UseDPDF=Y")</f>
        <v>-43.128700000000002</v>
      </c>
      <c r="I10" s="14">
        <f>_xll.BDH("ITCI US Equity","RETURN_ON_INV_CAPITAL","FQ2 2020","FQ2 2020","Currency=USD","Period=FQ","BEST_FPERIOD_OVERRIDE=FQ","FILING_STATUS=MR","FA_ADJUSTED=GAAP","Sort=A","Dates=H","DateFormat=P","Fill=—","Direction=H","UseDPDF=Y")</f>
        <v>-55.81</v>
      </c>
      <c r="J10" s="14">
        <f>_xll.BDH("ITCI US Equity","RETURN_ON_INV_CAPITAL","FQ3 2020","FQ3 2020","Currency=USD","Period=FQ","BEST_FPERIOD_OVERRIDE=FQ","FILING_STATUS=MR","FA_ADJUSTED=GAAP","Sort=A","Dates=H","DateFormat=P","Fill=—","Direction=H","UseDPDF=Y")</f>
        <v>-42.645699999999998</v>
      </c>
      <c r="K10" s="14">
        <f>_xll.BDH("ITCI US Equity","RETURN_ON_INV_CAPITAL","FQ4 2020","FQ4 2020","Currency=USD","Period=FQ","BEST_FPERIOD_OVERRIDE=FQ","FILING_STATUS=MR","FA_ADJUSTED=GAAP","Sort=A","Dates=H","DateFormat=P","Fill=—","Direction=H","UseDPDF=Y")</f>
        <v>-50.9542</v>
      </c>
      <c r="L10" s="14">
        <f>_xll.BDH("ITCI US Equity","RETURN_ON_INV_CAPITAL","FQ1 2021","FQ1 2021","Currency=USD","Period=FQ","BEST_FPERIOD_OVERRIDE=FQ","FILING_STATUS=MR","FA_ADJUSTED=GAAP","Sort=A","Dates=H","DateFormat=P","Fill=—","Direction=H","UseDPDF=Y")</f>
        <v>-42.923900000000003</v>
      </c>
      <c r="M10" s="14">
        <f>_xll.BDH("ITCI US Equity","RETURN_ON_INV_CAPITAL","FQ2 2021","FQ2 2021","Currency=USD","Period=FQ","BEST_FPERIOD_OVERRIDE=FQ","FILING_STATUS=MR","FA_ADJUSTED=GAAP","Sort=A","Dates=H","DateFormat=P","Fill=—","Direction=H","UseDPDF=Y")</f>
        <v>-48.5334</v>
      </c>
      <c r="N10" s="14">
        <f>_xll.BDH("ITCI US Equity","RETURN_ON_INV_CAPITAL","FQ3 2021","FQ3 2021","Currency=USD","Period=FQ","BEST_FPERIOD_OVERRIDE=FQ","FILING_STATUS=MR","FA_ADJUSTED=GAAP","Sort=A","Dates=H","DateFormat=P","Fill=—","Direction=H","UseDPDF=Y")</f>
        <v>-41.643500000000003</v>
      </c>
      <c r="O10" s="14">
        <f>_xll.BDH("ITCI US Equity","RETURN_ON_INV_CAPITAL","FQ4 2021","FQ4 2021","Currency=USD","Period=FQ","BEST_FPERIOD_OVERRIDE=FQ","FILING_STATUS=MR","FA_ADJUSTED=GAAP","Sort=A","Dates=H","DateFormat=P","Fill=—","Direction=H","UseDPDF=Y")</f>
        <v>-50.5383</v>
      </c>
      <c r="P10" s="14">
        <f>_xll.BDH("ITCI US Equity","RETURN_ON_INV_CAPITAL","FQ1 2022","FQ1 2022","Currency=USD","Period=FQ","BEST_FPERIOD_OVERRIDE=FQ","FILING_STATUS=MR","FA_ADJUSTED=GAAP","Sort=A","Dates=H","DateFormat=P","Fill=—","Direction=H","UseDPDF=Y")</f>
        <v>-41.824199999999998</v>
      </c>
      <c r="Q10" s="14">
        <f>_xll.BDH("ITCI US Equity","RETURN_ON_INV_CAPITAL","FQ2 2022","FQ2 2022","Currency=USD","Period=FQ","BEST_FPERIOD_OVERRIDE=FQ","FILING_STATUS=MR","FA_ADJUSTED=GAAP","Sort=A","Dates=H","DateFormat=P","Fill=—","Direction=H","UseDPDF=Y")</f>
        <v>-48.625900000000001</v>
      </c>
      <c r="R10" s="14">
        <f>_xll.BDH("ITCI US Equity","RETURN_ON_INV_CAPITAL","FQ3 2022","FQ3 2022","Currency=USD","Period=FQ","BEST_FPERIOD_OVERRIDE=FQ","FILING_STATUS=MR","FA_ADJUSTED=GAAP","Sort=A","Dates=H","DateFormat=P","Fill=—","Direction=H","UseDPDF=Y")</f>
        <v>-49.196899999999999</v>
      </c>
      <c r="S10" s="14">
        <f>_xll.BDH("ITCI US Equity","RETURN_ON_INV_CAPITAL","FQ4 2022","FQ4 2022","Currency=USD","Period=FQ","BEST_FPERIOD_OVERRIDE=FQ","FILING_STATUS=MR","FA_ADJUSTED=GAAP","Sort=A","Dates=H","DateFormat=P","Fill=—","Direction=H","UseDPDF=Y")</f>
        <v>-46.825299999999999</v>
      </c>
      <c r="T10" s="14">
        <f>_xll.BDH("ITCI US Equity","RETURN_ON_INV_CAPITAL","FQ1 2023","FQ1 2023","Currency=USD","Period=FQ","BEST_FPERIOD_OVERRIDE=FQ","FILING_STATUS=MR","FA_ADJUSTED=GAAP","Sort=A","Dates=H","DateFormat=P","Fill=—","Direction=H","UseDPDF=Y")</f>
        <v>-32.396500000000003</v>
      </c>
      <c r="U10" s="14">
        <f>_xll.BDH("ITCI US Equity","RETURN_ON_INV_CAPITAL","FQ2 2023","FQ2 2023","Currency=USD","Period=FQ","BEST_FPERIOD_OVERRIDE=FQ","FILING_STATUS=MR","FA_ADJUSTED=GAAP","Sort=A","Dates=H","DateFormat=P","Fill=—","Direction=H","UseDPDF=Y")</f>
        <v>-28.4895</v>
      </c>
      <c r="V10" s="14">
        <f>_xll.BDH("ITCI US Equity","RETURN_ON_INV_CAPITAL","FQ3 2023","FQ3 2023","Currency=USD","Period=FQ","BEST_FPERIOD_OVERRIDE=FQ","FILING_STATUS=MR","FA_ADJUSTED=GAAP","Sort=A","Dates=H","DateFormat=P","Fill=—","Direction=H","UseDPDF=Y")</f>
        <v>-25.436800000000002</v>
      </c>
      <c r="W10" s="14">
        <f>_xll.BDH("ITCI US Equity","RETURN_ON_INV_CAPITAL","FQ4 2023","FQ4 2023","Currency=USD","Period=FQ","BEST_FPERIOD_OVERRIDE=FQ","FILING_STATUS=MR","FA_ADJUSTED=GAAP","Sort=A","Dates=H","DateFormat=P","Fill=—","Direction=H","UseDPDF=Y")</f>
        <v>-24.250399999999999</v>
      </c>
      <c r="X10" s="14">
        <f>_xll.BDH("ITCI US Equity","RETURN_ON_INV_CAPITAL","FQ1 2024","FQ1 2024","Currency=USD","Period=FQ","BEST_FPERIOD_OVERRIDE=FQ","FILING_STATUS=MR","FA_ADJUSTED=GAAP","Sort=A","Dates=H","DateFormat=P","Fill=—","Direction=H","UseDPDF=Y")</f>
        <v>-20.3322</v>
      </c>
      <c r="Y10" s="14">
        <f>_xll.BDH("ITCI US Equity","RETURN_ON_INV_CAPITAL","FQ2 2024","FQ2 2024","Currency=USD","Period=FQ","BEST_FPERIOD_OVERRIDE=FQ","FILING_STATUS=MR","FA_ADJUSTED=GAAP","Sort=A","Dates=H","DateFormat=P","Fill=—","Direction=H","UseDPDF=Y")</f>
        <v>-12.000500000000001</v>
      </c>
      <c r="Z10" s="14">
        <f>_xll.BDH("ITCI US Equity","RETURN_ON_INV_CAPITAL","FQ3 2024","FQ3 2024","Currency=USD","Period=FQ","BEST_FPERIOD_OVERRIDE=FQ","FILING_STATUS=MR","FA_ADJUSTED=GAAP","Sort=A","Dates=H","DateFormat=P","Fill=—","Direction=H","UseDPDF=Y")</f>
        <v>-12.9384</v>
      </c>
      <c r="AA10" s="14">
        <f>_xll.BDH("ITCI US Equity","RETURN_ON_INV_CAPITAL","FQ4 2024","FQ4 2024","Currency=USD","Period=FQ","BEST_FPERIOD_OVERRIDE=FQ","FILING_STATUS=MR","FA_ADJUSTED=GAAP","Sort=A","Dates=H","DateFormat=P","Fill=—","Direction=H","UseDPDF=Y")</f>
        <v>-12.207100000000001</v>
      </c>
    </row>
    <row r="11" spans="1:27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6" t="s">
        <v>1090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x14ac:dyDescent="0.25">
      <c r="A13" s="10" t="s">
        <v>356</v>
      </c>
      <c r="B13" s="10" t="s">
        <v>152</v>
      </c>
      <c r="C13" s="14" t="str">
        <f>_xll.BDH("ITCI US Equity","GROSS_MARGIN","FQ4 2018","FQ4 2018","Currency=USD","Period=FQ","BEST_FPERIOD_OVERRIDE=FQ","FILING_STATUS=MR","FA_ADJUSTED=GAAP","Sort=A","Dates=H","DateFormat=P","Fill=—","Direction=H","UseDPDF=Y")</f>
        <v>—</v>
      </c>
      <c r="D13" s="14" t="str">
        <f>_xll.BDH("ITCI US Equity","GROSS_MARGIN","FQ1 2019","FQ1 2019","Currency=USD","Period=FQ","BEST_FPERIOD_OVERRIDE=FQ","FILING_STATUS=MR","FA_ADJUSTED=GAAP","Sort=A","Dates=H","DateFormat=P","Fill=—","Direction=H","UseDPDF=Y")</f>
        <v>—</v>
      </c>
      <c r="E13" s="14" t="str">
        <f>_xll.BDH("ITCI US Equity","GROSS_MARGIN","FQ2 2019","FQ2 2019","Currency=USD","Period=FQ","BEST_FPERIOD_OVERRIDE=FQ","FILING_STATUS=MR","FA_ADJUSTED=GAAP","Sort=A","Dates=H","DateFormat=P","Fill=—","Direction=H","UseDPDF=Y")</f>
        <v>—</v>
      </c>
      <c r="F13" s="14" t="str">
        <f>_xll.BDH("ITCI US Equity","GROSS_MARGIN","FQ3 2019","FQ3 2019","Currency=USD","Period=FQ","BEST_FPERIOD_OVERRIDE=FQ","FILING_STATUS=MR","FA_ADJUSTED=GAAP","Sort=A","Dates=H","DateFormat=P","Fill=—","Direction=H","UseDPDF=Y")</f>
        <v>—</v>
      </c>
      <c r="G13" s="14" t="str">
        <f>_xll.BDH("ITCI US Equity","GROSS_MARGIN","FQ4 2019","FQ4 2019","Currency=USD","Period=FQ","BEST_FPERIOD_OVERRIDE=FQ","FILING_STATUS=MR","FA_ADJUSTED=GAAP","Sort=A","Dates=H","DateFormat=P","Fill=—","Direction=H","UseDPDF=Y")</f>
        <v>—</v>
      </c>
      <c r="H13" s="14">
        <f>_xll.BDH("ITCI US Equity","GROSS_MARGIN","FQ1 2020","FQ1 2020","Currency=USD","Period=FQ","BEST_FPERIOD_OVERRIDE=FQ","FILING_STATUS=MR","FA_ADJUSTED=GAAP","Sort=A","Dates=H","DateFormat=P","Fill=—","Direction=H","UseDPDF=Y")</f>
        <v>93.602900000000005</v>
      </c>
      <c r="I13" s="14">
        <f>_xll.BDH("ITCI US Equity","GROSS_MARGIN","FQ2 2020","FQ2 2020","Currency=USD","Period=FQ","BEST_FPERIOD_OVERRIDE=FQ","FILING_STATUS=MR","FA_ADJUSTED=GAAP","Sort=A","Dates=H","DateFormat=P","Fill=—","Direction=H","UseDPDF=Y")</f>
        <v>93.258300000000006</v>
      </c>
      <c r="J13" s="14">
        <f>_xll.BDH("ITCI US Equity","GROSS_MARGIN","FQ3 2020","FQ3 2020","Currency=USD","Period=FQ","BEST_FPERIOD_OVERRIDE=FQ","FILING_STATUS=MR","FA_ADJUSTED=GAAP","Sort=A","Dates=H","DateFormat=P","Fill=—","Direction=H","UseDPDF=Y")</f>
        <v>92.453000000000003</v>
      </c>
      <c r="K13" s="14">
        <f>_xll.BDH("ITCI US Equity","GROSS_MARGIN","FQ4 2020","FQ4 2020","Currency=USD","Period=FQ","BEST_FPERIOD_OVERRIDE=FQ","FILING_STATUS=MR","FA_ADJUSTED=GAAP","Sort=A","Dates=H","DateFormat=P","Fill=—","Direction=H","UseDPDF=Y")</f>
        <v>90.837900000000005</v>
      </c>
      <c r="L13" s="14">
        <f>_xll.BDH("ITCI US Equity","GROSS_MARGIN","FQ1 2021","FQ1 2021","Currency=USD","Period=FQ","BEST_FPERIOD_OVERRIDE=FQ","FILING_STATUS=MR","FA_ADJUSTED=GAAP","Sort=A","Dates=H","DateFormat=P","Fill=—","Direction=H","UseDPDF=Y")</f>
        <v>90.8352</v>
      </c>
      <c r="M13" s="14">
        <f>_xll.BDH("ITCI US Equity","GROSS_MARGIN","FQ2 2021","FQ2 2021","Currency=USD","Period=FQ","BEST_FPERIOD_OVERRIDE=FQ","FILING_STATUS=MR","FA_ADJUSTED=GAAP","Sort=A","Dates=H","DateFormat=P","Fill=—","Direction=H","UseDPDF=Y")</f>
        <v>89.823499999999996</v>
      </c>
      <c r="N13" s="14">
        <f>_xll.BDH("ITCI US Equity","GROSS_MARGIN","FQ3 2021","FQ3 2021","Currency=USD","Period=FQ","BEST_FPERIOD_OVERRIDE=FQ","FILING_STATUS=MR","FA_ADJUSTED=GAAP","Sort=A","Dates=H","DateFormat=P","Fill=—","Direction=H","UseDPDF=Y")</f>
        <v>90.988</v>
      </c>
      <c r="O13" s="14">
        <f>_xll.BDH("ITCI US Equity","GROSS_MARGIN","FQ4 2021","FQ4 2021","Currency=USD","Period=FQ","BEST_FPERIOD_OVERRIDE=FQ","FILING_STATUS=MR","FA_ADJUSTED=GAAP","Sort=A","Dates=H","DateFormat=P","Fill=—","Direction=H","UseDPDF=Y")</f>
        <v>90.113200000000006</v>
      </c>
      <c r="P13" s="14">
        <f>_xll.BDH("ITCI US Equity","GROSS_MARGIN","FQ1 2022","FQ1 2022","Currency=USD","Period=FQ","BEST_FPERIOD_OVERRIDE=FQ","FILING_STATUS=MR","FA_ADJUSTED=GAAP","Sort=A","Dates=H","DateFormat=P","Fill=—","Direction=H","UseDPDF=Y")</f>
        <v>90.984700000000004</v>
      </c>
      <c r="Q13" s="14">
        <f>_xll.BDH("ITCI US Equity","GROSS_MARGIN","FQ2 2022","FQ2 2022","Currency=USD","Period=FQ","BEST_FPERIOD_OVERRIDE=FQ","FILING_STATUS=MR","FA_ADJUSTED=GAAP","Sort=A","Dates=H","DateFormat=P","Fill=—","Direction=H","UseDPDF=Y")</f>
        <v>91.633499999999998</v>
      </c>
      <c r="R13" s="14">
        <f>_xll.BDH("ITCI US Equity","GROSS_MARGIN","FQ3 2022","FQ3 2022","Currency=USD","Period=FQ","BEST_FPERIOD_OVERRIDE=FQ","FILING_STATUS=MR","FA_ADJUSTED=GAAP","Sort=A","Dates=H","DateFormat=P","Fill=—","Direction=H","UseDPDF=Y")</f>
        <v>91.860299999999995</v>
      </c>
      <c r="S13" s="14">
        <f>_xll.BDH("ITCI US Equity","GROSS_MARGIN","FQ4 2022","FQ4 2022","Currency=USD","Period=FQ","BEST_FPERIOD_OVERRIDE=FQ","FILING_STATUS=MR","FA_ADJUSTED=GAAP","Sort=A","Dates=H","DateFormat=P","Fill=—","Direction=H","UseDPDF=Y")</f>
        <v>92.274900000000002</v>
      </c>
      <c r="T13" s="14">
        <f>_xll.BDH("ITCI US Equity","GROSS_MARGIN","FQ1 2023","FQ1 2023","Currency=USD","Period=FQ","BEST_FPERIOD_OVERRIDE=FQ","FILING_STATUS=MR","FA_ADJUSTED=GAAP","Sort=A","Dates=H","DateFormat=P","Fill=—","Direction=H","UseDPDF=Y")</f>
        <v>92.916499999999999</v>
      </c>
      <c r="U13" s="14">
        <f>_xll.BDH("ITCI US Equity","GROSS_MARGIN","FQ2 2023","FQ2 2023","Currency=USD","Period=FQ","BEST_FPERIOD_OVERRIDE=FQ","FILING_STATUS=MR","FA_ADJUSTED=GAAP","Sort=A","Dates=H","DateFormat=P","Fill=—","Direction=H","UseDPDF=Y")</f>
        <v>93.534700000000001</v>
      </c>
      <c r="V13" s="14">
        <f>_xll.BDH("ITCI US Equity","GROSS_MARGIN","FQ3 2023","FQ3 2023","Currency=USD","Period=FQ","BEST_FPERIOD_OVERRIDE=FQ","FILING_STATUS=MR","FA_ADJUSTED=GAAP","Sort=A","Dates=H","DateFormat=P","Fill=—","Direction=H","UseDPDF=Y")</f>
        <v>92.764700000000005</v>
      </c>
      <c r="W13" s="14">
        <f>_xll.BDH("ITCI US Equity","GROSS_MARGIN","FQ4 2023","FQ4 2023","Currency=USD","Period=FQ","BEST_FPERIOD_OVERRIDE=FQ","FILING_STATUS=MR","FA_ADJUSTED=GAAP","Sort=A","Dates=H","DateFormat=P","Fill=—","Direction=H","UseDPDF=Y")</f>
        <v>91.898499999999999</v>
      </c>
      <c r="X13" s="14">
        <f>_xll.BDH("ITCI US Equity","GROSS_MARGIN","FQ1 2024","FQ1 2024","Currency=USD","Period=FQ","BEST_FPERIOD_OVERRIDE=FQ","FILING_STATUS=MR","FA_ADJUSTED=GAAP","Sort=A","Dates=H","DateFormat=P","Fill=—","Direction=H","UseDPDF=Y")</f>
        <v>93.1661</v>
      </c>
      <c r="Y13" s="14">
        <f>_xll.BDH("ITCI US Equity","GROSS_MARGIN","FQ2 2024","FQ2 2024","Currency=USD","Period=FQ","BEST_FPERIOD_OVERRIDE=FQ","FILING_STATUS=MR","FA_ADJUSTED=GAAP","Sort=A","Dates=H","DateFormat=P","Fill=—","Direction=H","UseDPDF=Y")</f>
        <v>92.964799999999997</v>
      </c>
      <c r="Z13" s="14">
        <f>_xll.BDH("ITCI US Equity","GROSS_MARGIN","FQ3 2024","FQ3 2024","Currency=USD","Period=FQ","BEST_FPERIOD_OVERRIDE=FQ","FILING_STATUS=MR","FA_ADJUSTED=GAAP","Sort=A","Dates=H","DateFormat=P","Fill=—","Direction=H","UseDPDF=Y")</f>
        <v>91.273600000000002</v>
      </c>
      <c r="AA13" s="14">
        <f>_xll.BDH("ITCI US Equity","GROSS_MARGIN","FQ4 2024","FQ4 2024","Currency=USD","Period=FQ","BEST_FPERIOD_OVERRIDE=FQ","FILING_STATUS=MR","FA_ADJUSTED=GAAP","Sort=A","Dates=H","DateFormat=P","Fill=—","Direction=H","UseDPDF=Y")</f>
        <v>89.7577</v>
      </c>
    </row>
    <row r="14" spans="1:27" x14ac:dyDescent="0.25">
      <c r="A14" s="10" t="s">
        <v>1091</v>
      </c>
      <c r="B14" s="10" t="s">
        <v>1092</v>
      </c>
      <c r="C14" s="14" t="str">
        <f>_xll.BDH("ITCI US Equity","EBITDA_TO_REVENUE","FQ4 2018","FQ4 2018","Currency=USD","Period=FQ","BEST_FPERIOD_OVERRIDE=FQ","FILING_STATUS=MR","FA_ADJUSTED=GAAP","Sort=A","Dates=H","DateFormat=P","Fill=—","Direction=H","UseDPDF=Y")</f>
        <v>—</v>
      </c>
      <c r="D14" s="14" t="str">
        <f>_xll.BDH("ITCI US Equity","EBITDA_TO_REVENUE","FQ1 2019","FQ1 2019","Currency=USD","Period=FQ","BEST_FPERIOD_OVERRIDE=FQ","FILING_STATUS=MR","FA_ADJUSTED=GAAP","Sort=A","Dates=H","DateFormat=P","Fill=—","Direction=H","UseDPDF=Y")</f>
        <v>—</v>
      </c>
      <c r="E14" s="14" t="str">
        <f>_xll.BDH("ITCI US Equity","EBITDA_TO_REVENUE","FQ2 2019","FQ2 2019","Currency=USD","Period=FQ","BEST_FPERIOD_OVERRIDE=FQ","FILING_STATUS=MR","FA_ADJUSTED=GAAP","Sort=A","Dates=H","DateFormat=P","Fill=—","Direction=H","UseDPDF=Y")</f>
        <v>—</v>
      </c>
      <c r="F14" s="14" t="str">
        <f>_xll.BDH("ITCI US Equity","EBITDA_TO_REVENUE","FQ3 2019","FQ3 2019","Currency=USD","Period=FQ","BEST_FPERIOD_OVERRIDE=FQ","FILING_STATUS=MR","FA_ADJUSTED=GAAP","Sort=A","Dates=H","DateFormat=P","Fill=—","Direction=H","UseDPDF=Y")</f>
        <v>—</v>
      </c>
      <c r="G14" s="14">
        <f>_xll.BDH("ITCI US Equity","EBITDA_TO_REVENUE","FQ4 2019","FQ4 2019","Currency=USD","Period=FQ","BEST_FPERIOD_OVERRIDE=FQ","FILING_STATUS=MR","FA_ADJUSTED=GAAP","Sort=A","Dates=H","DateFormat=P","Fill=—","Direction=H","UseDPDF=Y")</f>
        <v>-67356.835999999996</v>
      </c>
      <c r="H14" s="14">
        <f>_xll.BDH("ITCI US Equity","EBITDA_TO_REVENUE","FQ1 2020","FQ1 2020","Currency=USD","Period=FQ","BEST_FPERIOD_OVERRIDE=FQ","FILING_STATUS=MR","FA_ADJUSTED=GAAP","Sort=A","Dates=H","DateFormat=P","Fill=—","Direction=H","UseDPDF=Y")</f>
        <v>-4441.1310000000003</v>
      </c>
      <c r="I14" s="14">
        <f>_xll.BDH("ITCI US Equity","EBITDA_TO_REVENUE","FQ2 2020","FQ2 2020","Currency=USD","Period=FQ","BEST_FPERIOD_OVERRIDE=FQ","FILING_STATUS=MR","FA_ADJUSTED=GAAP","Sort=A","Dates=H","DateFormat=P","Fill=—","Direction=H","UseDPDF=Y")</f>
        <v>-3353.5513000000001</v>
      </c>
      <c r="J14" s="14">
        <f>_xll.BDH("ITCI US Equity","EBITDA_TO_REVENUE","FQ3 2020","FQ3 2020","Currency=USD","Period=FQ","BEST_FPERIOD_OVERRIDE=FQ","FILING_STATUS=MR","FA_ADJUSTED=GAAP","Sort=A","Dates=H","DateFormat=P","Fill=—","Direction=H","UseDPDF=Y")</f>
        <v>-746.62019999999995</v>
      </c>
      <c r="K14" s="14">
        <f>_xll.BDH("ITCI US Equity","EBITDA_TO_REVENUE","FQ4 2020","FQ4 2020","Currency=USD","Period=FQ","BEST_FPERIOD_OVERRIDE=FQ","FILING_STATUS=MR","FA_ADJUSTED=GAAP","Sort=A","Dates=H","DateFormat=P","Fill=—","Direction=H","UseDPDF=Y")</f>
        <v>-488.38099999999997</v>
      </c>
      <c r="L14" s="14">
        <f>_xll.BDH("ITCI US Equity","EBITDA_TO_REVENUE","FQ1 2021","FQ1 2021","Currency=USD","Period=FQ","BEST_FPERIOD_OVERRIDE=FQ","FILING_STATUS=MR","FA_ADJUSTED=GAAP","Sort=A","Dates=H","DateFormat=P","Fill=—","Direction=H","UseDPDF=Y")</f>
        <v>-329.32740000000001</v>
      </c>
      <c r="M14" s="14">
        <f>_xll.BDH("ITCI US Equity","EBITDA_TO_REVENUE","FQ2 2021","FQ2 2021","Currency=USD","Period=FQ","BEST_FPERIOD_OVERRIDE=FQ","FILING_STATUS=MR","FA_ADJUSTED=GAAP","Sort=A","Dates=H","DateFormat=P","Fill=—","Direction=H","UseDPDF=Y")</f>
        <v>-340.28519999999997</v>
      </c>
      <c r="N14" s="14">
        <f>_xll.BDH("ITCI US Equity","EBITDA_TO_REVENUE","FQ3 2021","FQ3 2021","Currency=USD","Period=FQ","BEST_FPERIOD_OVERRIDE=FQ","FILING_STATUS=MR","FA_ADJUSTED=GAAP","Sort=A","Dates=H","DateFormat=P","Fill=—","Direction=H","UseDPDF=Y")</f>
        <v>-343.98700000000002</v>
      </c>
      <c r="O14" s="14">
        <f>_xll.BDH("ITCI US Equity","EBITDA_TO_REVENUE","FQ4 2021","FQ4 2021","Currency=USD","Period=FQ","BEST_FPERIOD_OVERRIDE=FQ","FILING_STATUS=MR","FA_ADJUSTED=GAAP","Sort=A","Dates=H","DateFormat=P","Fill=—","Direction=H","UseDPDF=Y")</f>
        <v>-330.75880000000001</v>
      </c>
      <c r="P14" s="14">
        <f>_xll.BDH("ITCI US Equity","EBITDA_TO_REVENUE","FQ1 2022","FQ1 2022","Currency=USD","Period=FQ","BEST_FPERIOD_OVERRIDE=FQ","FILING_STATUS=MR","FA_ADJUSTED=GAAP","Sort=A","Dates=H","DateFormat=P","Fill=—","Direction=H","UseDPDF=Y")</f>
        <v>-207.14080000000001</v>
      </c>
      <c r="Q14" s="14">
        <f>_xll.BDH("ITCI US Equity","EBITDA_TO_REVENUE","FQ2 2022","FQ2 2022","Currency=USD","Period=FQ","BEST_FPERIOD_OVERRIDE=FQ","FILING_STATUS=MR","FA_ADJUSTED=GAAP","Sort=A","Dates=H","DateFormat=P","Fill=—","Direction=H","UseDPDF=Y")</f>
        <v>-157.8852</v>
      </c>
      <c r="R14" s="14">
        <f>_xll.BDH("ITCI US Equity","EBITDA_TO_REVENUE","FQ3 2022","FQ3 2022","Currency=USD","Period=FQ","BEST_FPERIOD_OVERRIDE=FQ","FILING_STATUS=MR","FA_ADJUSTED=GAAP","Sort=A","Dates=H","DateFormat=P","Fill=—","Direction=H","UseDPDF=Y")</f>
        <v>-77.165700000000001</v>
      </c>
      <c r="S14" s="14">
        <f>_xll.BDH("ITCI US Equity","EBITDA_TO_REVENUE","FQ4 2022","FQ4 2022","Currency=USD","Period=FQ","BEST_FPERIOD_OVERRIDE=FQ","FILING_STATUS=MR","FA_ADJUSTED=GAAP","Sort=A","Dates=H","DateFormat=P","Fill=—","Direction=H","UseDPDF=Y")</f>
        <v>-45.596299999999999</v>
      </c>
      <c r="T14" s="14">
        <f>_xll.BDH("ITCI US Equity","EBITDA_TO_REVENUE","FQ1 2023","FQ1 2023","Currency=USD","Period=FQ","BEST_FPERIOD_OVERRIDE=FQ","FILING_STATUS=MR","FA_ADJUSTED=GAAP","Sort=A","Dates=H","DateFormat=P","Fill=—","Direction=H","UseDPDF=Y")</f>
        <v>-49.496400000000001</v>
      </c>
      <c r="U14" s="14">
        <f>_xll.BDH("ITCI US Equity","EBITDA_TO_REVENUE","FQ2 2023","FQ2 2023","Currency=USD","Period=FQ","BEST_FPERIOD_OVERRIDE=FQ","FILING_STATUS=MR","FA_ADJUSTED=GAAP","Sort=A","Dates=H","DateFormat=P","Fill=—","Direction=H","UseDPDF=Y")</f>
        <v>-42.4724</v>
      </c>
      <c r="V14" s="14">
        <f>_xll.BDH("ITCI US Equity","EBITDA_TO_REVENUE","FQ3 2023","FQ3 2023","Currency=USD","Period=FQ","BEST_FPERIOD_OVERRIDE=FQ","FILING_STATUS=MR","FA_ADJUSTED=GAAP","Sort=A","Dates=H","DateFormat=P","Fill=—","Direction=H","UseDPDF=Y")</f>
        <v>-22.7148</v>
      </c>
      <c r="W14" s="14">
        <f>_xll.BDH("ITCI US Equity","EBITDA_TO_REVENUE","FQ4 2023","FQ4 2023","Currency=USD","Period=FQ","BEST_FPERIOD_OVERRIDE=FQ","FILING_STATUS=MR","FA_ADJUSTED=GAAP","Sort=A","Dates=H","DateFormat=P","Fill=—","Direction=H","UseDPDF=Y")</f>
        <v>-19.891100000000002</v>
      </c>
      <c r="X14" s="14">
        <f>_xll.BDH("ITCI US Equity","EBITDA_TO_REVENUE","FQ1 2024","FQ1 2024","Currency=USD","Period=FQ","BEST_FPERIOD_OVERRIDE=FQ","FILING_STATUS=MR","FA_ADJUSTED=GAAP","Sort=A","Dates=H","DateFormat=P","Fill=—","Direction=H","UseDPDF=Y")</f>
        <v>-13.722300000000001</v>
      </c>
      <c r="Y14" s="14">
        <f>_xll.BDH("ITCI US Equity","EBITDA_TO_REVENUE","FQ2 2024","FQ2 2024","Currency=USD","Period=FQ","BEST_FPERIOD_OVERRIDE=FQ","FILING_STATUS=MR","FA_ADJUSTED=GAAP","Sort=A","Dates=H","DateFormat=P","Fill=—","Direction=H","UseDPDF=Y")</f>
        <v>-16.457899999999999</v>
      </c>
      <c r="Z14" s="14">
        <f>_xll.BDH("ITCI US Equity","EBITDA_TO_REVENUE","FQ3 2024","FQ3 2024","Currency=USD","Period=FQ","BEST_FPERIOD_OVERRIDE=FQ","FILING_STATUS=MR","FA_ADJUSTED=GAAP","Sort=A","Dates=H","DateFormat=P","Fill=—","Direction=H","UseDPDF=Y")</f>
        <v>-21.472799999999999</v>
      </c>
      <c r="AA14" s="14">
        <f>_xll.BDH("ITCI US Equity","EBITDA_TO_REVENUE","FQ4 2024","FQ4 2024","Currency=USD","Period=FQ","BEST_FPERIOD_OVERRIDE=FQ","FILING_STATUS=MR","FA_ADJUSTED=GAAP","Sort=A","Dates=H","DateFormat=P","Fill=—","Direction=H","UseDPDF=Y")</f>
        <v>-13.5436</v>
      </c>
    </row>
    <row r="15" spans="1:27" x14ac:dyDescent="0.25">
      <c r="A15" s="10" t="s">
        <v>357</v>
      </c>
      <c r="B15" s="10" t="s">
        <v>358</v>
      </c>
      <c r="C15" s="14" t="str">
        <f>_xll.BDH("ITCI US Equity","OPER_MARGIN","FQ4 2018","FQ4 2018","Currency=USD","Period=FQ","BEST_FPERIOD_OVERRIDE=FQ","FILING_STATUS=MR","FA_ADJUSTED=GAAP","Sort=A","Dates=H","DateFormat=P","Fill=—","Direction=H","UseDPDF=Y")</f>
        <v>—</v>
      </c>
      <c r="D15" s="14" t="str">
        <f>_xll.BDH("ITCI US Equity","OPER_MARGIN","FQ1 2019","FQ1 2019","Currency=USD","Period=FQ","BEST_FPERIOD_OVERRIDE=FQ","FILING_STATUS=MR","FA_ADJUSTED=GAAP","Sort=A","Dates=H","DateFormat=P","Fill=—","Direction=H","UseDPDF=Y")</f>
        <v>—</v>
      </c>
      <c r="E15" s="14" t="str">
        <f>_xll.BDH("ITCI US Equity","OPER_MARGIN","FQ2 2019","FQ2 2019","Currency=USD","Period=FQ","BEST_FPERIOD_OVERRIDE=FQ","FILING_STATUS=MR","FA_ADJUSTED=GAAP","Sort=A","Dates=H","DateFormat=P","Fill=—","Direction=H","UseDPDF=Y")</f>
        <v>—</v>
      </c>
      <c r="F15" s="14" t="str">
        <f>_xll.BDH("ITCI US Equity","OPER_MARGIN","FQ3 2019","FQ3 2019","Currency=USD","Period=FQ","BEST_FPERIOD_OVERRIDE=FQ","FILING_STATUS=MR","FA_ADJUSTED=GAAP","Sort=A","Dates=H","DateFormat=P","Fill=—","Direction=H","UseDPDF=Y")</f>
        <v>—</v>
      </c>
      <c r="G15" s="14">
        <f>_xll.BDH("ITCI US Equity","OPER_MARGIN","FQ4 2019","FQ4 2019","Currency=USD","Period=FQ","BEST_FPERIOD_OVERRIDE=FQ","FILING_STATUS=MR","FA_ADJUSTED=GAAP","Sort=A","Dates=H","DateFormat=P","Fill=—","Direction=H","UseDPDF=Y")</f>
        <v>-68910.397100000002</v>
      </c>
      <c r="H15" s="14">
        <f>_xll.BDH("ITCI US Equity","OPER_MARGIN","FQ1 2020","FQ1 2020","Currency=USD","Period=FQ","BEST_FPERIOD_OVERRIDE=FQ","FILING_STATUS=MR","FA_ADJUSTED=GAAP","Sort=A","Dates=H","DateFormat=P","Fill=—","Direction=H","UseDPDF=Y")</f>
        <v>-4530.3622999999998</v>
      </c>
      <c r="I15" s="14">
        <f>_xll.BDH("ITCI US Equity","OPER_MARGIN","FQ2 2020","FQ2 2020","Currency=USD","Period=FQ","BEST_FPERIOD_OVERRIDE=FQ","FILING_STATUS=MR","FA_ADJUSTED=GAAP","Sort=A","Dates=H","DateFormat=P","Fill=—","Direction=H","UseDPDF=Y")</f>
        <v>-3402.4490000000001</v>
      </c>
      <c r="J15" s="14">
        <f>_xll.BDH("ITCI US Equity","OPER_MARGIN","FQ3 2020","FQ3 2020","Currency=USD","Period=FQ","BEST_FPERIOD_OVERRIDE=FQ","FILING_STATUS=MR","FA_ADJUSTED=GAAP","Sort=A","Dates=H","DateFormat=P","Fill=—","Direction=H","UseDPDF=Y")</f>
        <v>-759.11980000000005</v>
      </c>
      <c r="K15" s="14">
        <f>_xll.BDH("ITCI US Equity","OPER_MARGIN","FQ4 2020","FQ4 2020","Currency=USD","Period=FQ","BEST_FPERIOD_OVERRIDE=FQ","FILING_STATUS=MR","FA_ADJUSTED=GAAP","Sort=A","Dates=H","DateFormat=P","Fill=—","Direction=H","UseDPDF=Y")</f>
        <v>-492.4683</v>
      </c>
      <c r="L15" s="14">
        <f>_xll.BDH("ITCI US Equity","OPER_MARGIN","FQ1 2021","FQ1 2021","Currency=USD","Period=FQ","BEST_FPERIOD_OVERRIDE=FQ","FILING_STATUS=MR","FA_ADJUSTED=GAAP","Sort=A","Dates=H","DateFormat=P","Fill=—","Direction=H","UseDPDF=Y")</f>
        <v>-335.16559999999998</v>
      </c>
      <c r="M15" s="14">
        <f>_xll.BDH("ITCI US Equity","OPER_MARGIN","FQ2 2021","FQ2 2021","Currency=USD","Period=FQ","BEST_FPERIOD_OVERRIDE=FQ","FILING_STATUS=MR","FA_ADJUSTED=GAAP","Sort=A","Dates=H","DateFormat=P","Fill=—","Direction=H","UseDPDF=Y")</f>
        <v>-344.90230000000003</v>
      </c>
      <c r="N15" s="14">
        <f>_xll.BDH("ITCI US Equity","OPER_MARGIN","FQ3 2021","FQ3 2021","Currency=USD","Period=FQ","BEST_FPERIOD_OVERRIDE=FQ","FILING_STATUS=MR","FA_ADJUSTED=GAAP","Sort=A","Dates=H","DateFormat=P","Fill=—","Direction=H","UseDPDF=Y")</f>
        <v>-348.19260000000003</v>
      </c>
      <c r="O15" s="14">
        <f>_xll.BDH("ITCI US Equity","OPER_MARGIN","FQ4 2021","FQ4 2021","Currency=USD","Period=FQ","BEST_FPERIOD_OVERRIDE=FQ","FILING_STATUS=MR","FA_ADJUSTED=GAAP","Sort=A","Dates=H","DateFormat=P","Fill=—","Direction=H","UseDPDF=Y")</f>
        <v>-335.02710000000002</v>
      </c>
      <c r="P15" s="14">
        <f>_xll.BDH("ITCI US Equity","OPER_MARGIN","FQ1 2022","FQ1 2022","Currency=USD","Period=FQ","BEST_FPERIOD_OVERRIDE=FQ","FILING_STATUS=MR","FA_ADJUSTED=GAAP","Sort=A","Dates=H","DateFormat=P","Fill=—","Direction=H","UseDPDF=Y")</f>
        <v>-207.6294</v>
      </c>
      <c r="Q15" s="14">
        <f>_xll.BDH("ITCI US Equity","OPER_MARGIN","FQ2 2022","FQ2 2022","Currency=USD","Period=FQ","BEST_FPERIOD_OVERRIDE=FQ","FILING_STATUS=MR","FA_ADJUSTED=GAAP","Sort=A","Dates=H","DateFormat=P","Fill=—","Direction=H","UseDPDF=Y")</f>
        <v>-158.19460000000001</v>
      </c>
      <c r="R15" s="14">
        <f>_xll.BDH("ITCI US Equity","OPER_MARGIN","FQ3 2022","FQ3 2022","Currency=USD","Period=FQ","BEST_FPERIOD_OVERRIDE=FQ","FILING_STATUS=MR","FA_ADJUSTED=GAAP","Sort=A","Dates=H","DateFormat=P","Fill=—","Direction=H","UseDPDF=Y")</f>
        <v>-77.402299999999997</v>
      </c>
      <c r="S15" s="14">
        <f>_xll.BDH("ITCI US Equity","OPER_MARGIN","FQ4 2022","FQ4 2022","Currency=USD","Period=FQ","BEST_FPERIOD_OVERRIDE=FQ","FILING_STATUS=MR","FA_ADJUSTED=GAAP","Sort=A","Dates=H","DateFormat=P","Fill=—","Direction=H","UseDPDF=Y")</f>
        <v>-53.957599999999999</v>
      </c>
      <c r="T15" s="14">
        <f>_xll.BDH("ITCI US Equity","OPER_MARGIN","FQ1 2023","FQ1 2023","Currency=USD","Period=FQ","BEST_FPERIOD_OVERRIDE=FQ","FILING_STATUS=MR","FA_ADJUSTED=GAAP","Sort=A","Dates=H","DateFormat=P","Fill=—","Direction=H","UseDPDF=Y")</f>
        <v>-50.775399999999998</v>
      </c>
      <c r="U15" s="14">
        <f>_xll.BDH("ITCI US Equity","OPER_MARGIN","FQ2 2023","FQ2 2023","Currency=USD","Period=FQ","BEST_FPERIOD_OVERRIDE=FQ","FILING_STATUS=MR","FA_ADJUSTED=GAAP","Sort=A","Dates=H","DateFormat=P","Fill=—","Direction=H","UseDPDF=Y")</f>
        <v>-42.583399999999997</v>
      </c>
      <c r="V15" s="14">
        <f>_xll.BDH("ITCI US Equity","OPER_MARGIN","FQ3 2023","FQ3 2023","Currency=USD","Period=FQ","BEST_FPERIOD_OVERRIDE=FQ","FILING_STATUS=MR","FA_ADJUSTED=GAAP","Sort=A","Dates=H","DateFormat=P","Fill=—","Direction=H","UseDPDF=Y")</f>
        <v>-23.549399999999999</v>
      </c>
      <c r="W15" s="14">
        <f>_xll.BDH("ITCI US Equity","OPER_MARGIN","FQ4 2023","FQ4 2023","Currency=USD","Period=FQ","BEST_FPERIOD_OVERRIDE=FQ","FILING_STATUS=MR","FA_ADJUSTED=GAAP","Sort=A","Dates=H","DateFormat=P","Fill=—","Direction=H","UseDPDF=Y")</f>
        <v>-25.811699999999998</v>
      </c>
      <c r="X15" s="14">
        <f>_xll.BDH("ITCI US Equity","OPER_MARGIN","FQ1 2024","FQ1 2024","Currency=USD","Period=FQ","BEST_FPERIOD_OVERRIDE=FQ","FILING_STATUS=MR","FA_ADJUSTED=GAAP","Sort=A","Dates=H","DateFormat=P","Fill=—","Direction=H","UseDPDF=Y")</f>
        <v>-14.462999999999999</v>
      </c>
      <c r="Y15" s="14">
        <f>_xll.BDH("ITCI US Equity","OPER_MARGIN","FQ2 2024","FQ2 2024","Currency=USD","Period=FQ","BEST_FPERIOD_OVERRIDE=FQ","FILING_STATUS=MR","FA_ADJUSTED=GAAP","Sort=A","Dates=H","DateFormat=P","Fill=—","Direction=H","UseDPDF=Y")</f>
        <v>-17.177900000000001</v>
      </c>
      <c r="Z15" s="14">
        <f>_xll.BDH("ITCI US Equity","OPER_MARGIN","FQ3 2024","FQ3 2024","Currency=USD","Period=FQ","BEST_FPERIOD_OVERRIDE=FQ","FILING_STATUS=MR","FA_ADJUSTED=GAAP","Sort=A","Dates=H","DateFormat=P","Fill=—","Direction=H","UseDPDF=Y")</f>
        <v>-22.152000000000001</v>
      </c>
      <c r="AA15" s="14">
        <f>_xll.BDH("ITCI US Equity","OPER_MARGIN","FQ4 2024","FQ4 2024","Currency=USD","Period=FQ","BEST_FPERIOD_OVERRIDE=FQ","FILING_STATUS=MR","FA_ADJUSTED=GAAP","Sort=A","Dates=H","DateFormat=P","Fill=—","Direction=H","UseDPDF=Y")</f>
        <v>-14.6554</v>
      </c>
    </row>
    <row r="16" spans="1:27" x14ac:dyDescent="0.25">
      <c r="A16" s="10" t="s">
        <v>1093</v>
      </c>
      <c r="B16" s="10" t="s">
        <v>1094</v>
      </c>
      <c r="C16" s="14">
        <f>_xll.BDH("ITCI US Equity","INCREMENTAL_OPERATING_MARGIN","FQ4 2018","FQ4 2018","Currency=USD","Period=FQ","BEST_FPERIOD_OVERRIDE=FQ","FILING_STATUS=MR","FA_ADJUSTED=GAAP","Sort=A","Dates=H","DateFormat=P","Fill=—","Direction=H","UseDPDF=Y")</f>
        <v>-196136.02369999999</v>
      </c>
      <c r="D16" s="14" t="str">
        <f>_xll.BDH("ITCI US Equity","INCREMENTAL_OPERATING_MARGIN","FQ1 2019","FQ1 2019","Currency=USD","Period=FQ","BEST_FPERIOD_OVERRIDE=FQ","FILING_STATUS=MR","FA_ADJUSTED=GAAP","Sort=A","Dates=H","DateFormat=P","Fill=—","Direction=H","UseDPDF=Y")</f>
        <v>—</v>
      </c>
      <c r="E16" s="14" t="str">
        <f>_xll.BDH("ITCI US Equity","INCREMENTAL_OPERATING_MARGIN","FQ2 2019","FQ2 2019","Currency=USD","Period=FQ","BEST_FPERIOD_OVERRIDE=FQ","FILING_STATUS=MR","FA_ADJUSTED=GAAP","Sort=A","Dates=H","DateFormat=P","Fill=—","Direction=H","UseDPDF=Y")</f>
        <v>—</v>
      </c>
      <c r="F16" s="14" t="str">
        <f>_xll.BDH("ITCI US Equity","INCREMENTAL_OPERATING_MARGIN","FQ3 2019","FQ3 2019","Currency=USD","Period=FQ","BEST_FPERIOD_OVERRIDE=FQ","FILING_STATUS=MR","FA_ADJUSTED=GAAP","Sort=A","Dates=H","DateFormat=P","Fill=—","Direction=H","UseDPDF=Y")</f>
        <v>—</v>
      </c>
      <c r="G16" s="14">
        <f>_xll.BDH("ITCI US Equity","INCREMENTAL_OPERATING_MARGIN","FQ4 2019","FQ4 2019","Currency=USD","Period=FQ","BEST_FPERIOD_OVERRIDE=FQ","FILING_STATUS=MR","FA_ADJUSTED=GAAP","Sort=A","Dates=H","DateFormat=P","Fill=—","Direction=H","UseDPDF=Y")</f>
        <v>1409.4023</v>
      </c>
      <c r="H16" s="14" t="str">
        <f>_xll.BDH("ITCI US Equity","INCREMENTAL_OPERATING_MARGIN","FQ1 2020","FQ1 2020","Currency=USD","Period=FQ","BEST_FPERIOD_OVERRIDE=FQ","FILING_STATUS=MR","FA_ADJUSTED=GAAP","Sort=A","Dates=H","DateFormat=P","Fill=—","Direction=H","UseDPDF=Y")</f>
        <v>—</v>
      </c>
      <c r="I16" s="14" t="str">
        <f>_xll.BDH("ITCI US Equity","INCREMENTAL_OPERATING_MARGIN","FQ2 2020","FQ2 2020","Currency=USD","Period=FQ","BEST_FPERIOD_OVERRIDE=FQ","FILING_STATUS=MR","FA_ADJUSTED=GAAP","Sort=A","Dates=H","DateFormat=P","Fill=—","Direction=H","UseDPDF=Y")</f>
        <v>—</v>
      </c>
      <c r="J16" s="14" t="str">
        <f>_xll.BDH("ITCI US Equity","INCREMENTAL_OPERATING_MARGIN","FQ3 2020","FQ3 2020","Currency=USD","Period=FQ","BEST_FPERIOD_OVERRIDE=FQ","FILING_STATUS=MR","FA_ADJUSTED=GAAP","Sort=A","Dates=H","DateFormat=P","Fill=—","Direction=H","UseDPDF=Y")</f>
        <v>—</v>
      </c>
      <c r="K16" s="14" t="str">
        <f>_xll.BDH("ITCI US Equity","INCREMENTAL_OPERATING_MARGIN","FQ4 2020","FQ4 2020","Currency=USD","Period=FQ","BEST_FPERIOD_OVERRIDE=FQ","FILING_STATUS=MR","FA_ADJUSTED=GAAP","Sort=A","Dates=H","DateFormat=P","Fill=—","Direction=H","UseDPDF=Y")</f>
        <v>—</v>
      </c>
      <c r="L16" s="14" t="str">
        <f>_xll.BDH("ITCI US Equity","INCREMENTAL_OPERATING_MARGIN","FQ1 2021","FQ1 2021","Currency=USD","Period=FQ","BEST_FPERIOD_OVERRIDE=FQ","FILING_STATUS=MR","FA_ADJUSTED=GAAP","Sort=A","Dates=H","DateFormat=P","Fill=—","Direction=H","UseDPDF=Y")</f>
        <v>—</v>
      </c>
      <c r="M16" s="14" t="str">
        <f>_xll.BDH("ITCI US Equity","INCREMENTAL_OPERATING_MARGIN","FQ2 2021","FQ2 2021","Currency=USD","Period=FQ","BEST_FPERIOD_OVERRIDE=FQ","FILING_STATUS=MR","FA_ADJUSTED=GAAP","Sort=A","Dates=H","DateFormat=P","Fill=—","Direction=H","UseDPDF=Y")</f>
        <v>—</v>
      </c>
      <c r="N16" s="14" t="str">
        <f>_xll.BDH("ITCI US Equity","INCREMENTAL_OPERATING_MARGIN","FQ3 2021","FQ3 2021","Currency=USD","Period=FQ","BEST_FPERIOD_OVERRIDE=FQ","FILING_STATUS=MR","FA_ADJUSTED=GAAP","Sort=A","Dates=H","DateFormat=P","Fill=—","Direction=H","UseDPDF=Y")</f>
        <v>—</v>
      </c>
      <c r="O16" s="14" t="str">
        <f>_xll.BDH("ITCI US Equity","INCREMENTAL_OPERATING_MARGIN","FQ4 2021","FQ4 2021","Currency=USD","Period=FQ","BEST_FPERIOD_OVERRIDE=FQ","FILING_STATUS=MR","FA_ADJUSTED=GAAP","Sort=A","Dates=H","DateFormat=P","Fill=—","Direction=H","UseDPDF=Y")</f>
        <v>—</v>
      </c>
      <c r="P16" s="14" t="str">
        <f>_xll.BDH("ITCI US Equity","INCREMENTAL_OPERATING_MARGIN","FQ1 2022","FQ1 2022","Currency=USD","Period=FQ","BEST_FPERIOD_OVERRIDE=FQ","FILING_STATUS=MR","FA_ADJUSTED=GAAP","Sort=A","Dates=H","DateFormat=P","Fill=—","Direction=H","UseDPDF=Y")</f>
        <v>—</v>
      </c>
      <c r="Q16" s="14" t="str">
        <f>_xll.BDH("ITCI US Equity","INCREMENTAL_OPERATING_MARGIN","FQ2 2022","FQ2 2022","Currency=USD","Period=FQ","BEST_FPERIOD_OVERRIDE=FQ","FILING_STATUS=MR","FA_ADJUSTED=GAAP","Sort=A","Dates=H","DateFormat=P","Fill=—","Direction=H","UseDPDF=Y")</f>
        <v>—</v>
      </c>
      <c r="R16" s="14">
        <f>_xll.BDH("ITCI US Equity","INCREMENTAL_OPERATING_MARGIN","FQ3 2022","FQ3 2022","Currency=USD","Period=FQ","BEST_FPERIOD_OVERRIDE=FQ","FILING_STATUS=MR","FA_ADJUSTED=GAAP","Sort=A","Dates=H","DateFormat=P","Fill=—","Direction=H","UseDPDF=Y")</f>
        <v>43.6843</v>
      </c>
      <c r="S16" s="14">
        <f>_xll.BDH("ITCI US Equity","INCREMENTAL_OPERATING_MARGIN","FQ4 2022","FQ4 2022","Currency=USD","Period=FQ","BEST_FPERIOD_OVERRIDE=FQ","FILING_STATUS=MR","FA_ADJUSTED=GAAP","Sort=A","Dates=H","DateFormat=P","Fill=—","Direction=H","UseDPDF=Y")</f>
        <v>62.047800000000002</v>
      </c>
      <c r="T16" s="14">
        <f>_xll.BDH("ITCI US Equity","INCREMENTAL_OPERATING_MARGIN","FQ1 2023","FQ1 2023","Currency=USD","Period=FQ","BEST_FPERIOD_OVERRIDE=FQ","FILING_STATUS=MR","FA_ADJUSTED=GAAP","Sort=A","Dates=H","DateFormat=P","Fill=—","Direction=H","UseDPDF=Y")</f>
        <v>40.242100000000001</v>
      </c>
      <c r="U16" s="14">
        <f>_xll.BDH("ITCI US Equity","INCREMENTAL_OPERATING_MARGIN","FQ2 2023","FQ2 2023","Currency=USD","Period=FQ","BEST_FPERIOD_OVERRIDE=FQ","FILING_STATUS=MR","FA_ADJUSTED=GAAP","Sort=A","Dates=H","DateFormat=P","Fill=—","Direction=H","UseDPDF=Y")</f>
        <v>73.794200000000004</v>
      </c>
      <c r="V16" s="14">
        <f>_xll.BDH("ITCI US Equity","INCREMENTAL_OPERATING_MARGIN","FQ3 2023","FQ3 2023","Currency=USD","Period=FQ","BEST_FPERIOD_OVERRIDE=FQ","FILING_STATUS=MR","FA_ADJUSTED=GAAP","Sort=A","Dates=H","DateFormat=P","Fill=—","Direction=H","UseDPDF=Y")</f>
        <v>47.724800000000002</v>
      </c>
      <c r="W16" s="14">
        <f>_xll.BDH("ITCI US Equity","INCREMENTAL_OPERATING_MARGIN","FQ4 2023","FQ4 2023","Currency=USD","Period=FQ","BEST_FPERIOD_OVERRIDE=FQ","FILING_STATUS=MR","FA_ADJUSTED=GAAP","Sort=A","Dates=H","DateFormat=P","Fill=—","Direction=H","UseDPDF=Y")</f>
        <v>30.103999999999999</v>
      </c>
      <c r="X16" s="14">
        <f>_xll.BDH("ITCI US Equity","INCREMENTAL_OPERATING_MARGIN","FQ1 2024","FQ1 2024","Currency=USD","Period=FQ","BEST_FPERIOD_OVERRIDE=FQ","FILING_STATUS=MR","FA_ADJUSTED=GAAP","Sort=A","Dates=H","DateFormat=P","Fill=—","Direction=H","UseDPDF=Y")</f>
        <v>55.367199999999997</v>
      </c>
      <c r="Y16" s="14">
        <f>_xll.BDH("ITCI US Equity","INCREMENTAL_OPERATING_MARGIN","FQ2 2024","FQ2 2024","Currency=USD","Period=FQ","BEST_FPERIOD_OVERRIDE=FQ","FILING_STATUS=MR","FA_ADJUSTED=GAAP","Sort=A","Dates=H","DateFormat=P","Fill=—","Direction=H","UseDPDF=Y")</f>
        <v>38.453600000000002</v>
      </c>
      <c r="Z16" s="14" t="str">
        <f>_xll.BDH("ITCI US Equity","INCREMENTAL_OPERATING_MARGIN","FQ3 2024","FQ3 2024","Currency=USD","Period=FQ","BEST_FPERIOD_OVERRIDE=FQ","FILING_STATUS=MR","FA_ADJUSTED=GAAP","Sort=A","Dates=H","DateFormat=P","Fill=—","Direction=H","UseDPDF=Y")</f>
        <v>—</v>
      </c>
      <c r="AA16" s="14">
        <f>_xll.BDH("ITCI US Equity","INCREMENTAL_OPERATING_MARGIN","FQ4 2024","FQ4 2024","Currency=USD","Period=FQ","BEST_FPERIOD_OVERRIDE=FQ","FILING_STATUS=MR","FA_ADJUSTED=GAAP","Sort=A","Dates=H","DateFormat=P","Fill=—","Direction=H","UseDPDF=Y")</f>
        <v>7.2999000000000001</v>
      </c>
    </row>
    <row r="17" spans="1:27" x14ac:dyDescent="0.25">
      <c r="A17" s="10" t="s">
        <v>1095</v>
      </c>
      <c r="B17" s="10" t="s">
        <v>1096</v>
      </c>
      <c r="C17" s="14" t="str">
        <f>_xll.BDH("ITCI US Equity","PRETAX_INC_TO_NET_SALES","FQ4 2018","FQ4 2018","Currency=USD","Period=FQ","BEST_FPERIOD_OVERRIDE=FQ","FILING_STATUS=MR","FA_ADJUSTED=GAAP","Sort=A","Dates=H","DateFormat=P","Fill=—","Direction=H","UseDPDF=Y")</f>
        <v>—</v>
      </c>
      <c r="D17" s="14" t="str">
        <f>_xll.BDH("ITCI US Equity","PRETAX_INC_TO_NET_SALES","FQ1 2019","FQ1 2019","Currency=USD","Period=FQ","BEST_FPERIOD_OVERRIDE=FQ","FILING_STATUS=MR","FA_ADJUSTED=GAAP","Sort=A","Dates=H","DateFormat=P","Fill=—","Direction=H","UseDPDF=Y")</f>
        <v>—</v>
      </c>
      <c r="E17" s="14" t="str">
        <f>_xll.BDH("ITCI US Equity","PRETAX_INC_TO_NET_SALES","FQ2 2019","FQ2 2019","Currency=USD","Period=FQ","BEST_FPERIOD_OVERRIDE=FQ","FILING_STATUS=MR","FA_ADJUSTED=GAAP","Sort=A","Dates=H","DateFormat=P","Fill=—","Direction=H","UseDPDF=Y")</f>
        <v>—</v>
      </c>
      <c r="F17" s="14" t="str">
        <f>_xll.BDH("ITCI US Equity","PRETAX_INC_TO_NET_SALES","FQ3 2019","FQ3 2019","Currency=USD","Period=FQ","BEST_FPERIOD_OVERRIDE=FQ","FILING_STATUS=MR","FA_ADJUSTED=GAAP","Sort=A","Dates=H","DateFormat=P","Fill=—","Direction=H","UseDPDF=Y")</f>
        <v>—</v>
      </c>
      <c r="G17" s="14">
        <f>_xll.BDH("ITCI US Equity","PRETAX_INC_TO_NET_SALES","FQ4 2019","FQ4 2019","Currency=USD","Period=FQ","BEST_FPERIOD_OVERRIDE=FQ","FILING_STATUS=MR","FA_ADJUSTED=GAAP","Sort=A","Dates=H","DateFormat=P","Fill=—","Direction=H","UseDPDF=Y")</f>
        <v>-66954.037899999996</v>
      </c>
      <c r="H17" s="14">
        <f>_xll.BDH("ITCI US Equity","PRETAX_INC_TO_NET_SALES","FQ1 2020","FQ1 2020","Currency=USD","Period=FQ","BEST_FPERIOD_OVERRIDE=FQ","FILING_STATUS=MR","FA_ADJUSTED=GAAP","Sort=A","Dates=H","DateFormat=P","Fill=—","Direction=H","UseDPDF=Y")</f>
        <v>-4375.4721</v>
      </c>
      <c r="I17" s="14">
        <f>_xll.BDH("ITCI US Equity","PRETAX_INC_TO_NET_SALES","FQ2 2020","FQ2 2020","Currency=USD","Period=FQ","BEST_FPERIOD_OVERRIDE=FQ","FILING_STATUS=MR","FA_ADJUSTED=GAAP","Sort=A","Dates=H","DateFormat=P","Fill=—","Direction=H","UseDPDF=Y")</f>
        <v>-3341.6057000000001</v>
      </c>
      <c r="J17" s="14">
        <f>_xll.BDH("ITCI US Equity","PRETAX_INC_TO_NET_SALES","FQ3 2020","FQ3 2020","Currency=USD","Period=FQ","BEST_FPERIOD_OVERRIDE=FQ","FILING_STATUS=MR","FA_ADJUSTED=GAAP","Sort=A","Dates=H","DateFormat=P","Fill=—","Direction=H","UseDPDF=Y")</f>
        <v>-748.90300000000002</v>
      </c>
      <c r="K17" s="14">
        <f>_xll.BDH("ITCI US Equity","PRETAX_INC_TO_NET_SALES","FQ4 2020","FQ4 2020","Currency=USD","Period=FQ","BEST_FPERIOD_OVERRIDE=FQ","FILING_STATUS=MR","FA_ADJUSTED=GAAP","Sort=A","Dates=H","DateFormat=P","Fill=—","Direction=H","UseDPDF=Y")</f>
        <v>-487.29430000000002</v>
      </c>
      <c r="L17" s="14">
        <f>_xll.BDH("ITCI US Equity","PRETAX_INC_TO_NET_SALES","FQ1 2021","FQ1 2021","Currency=USD","Period=FQ","BEST_FPERIOD_OVERRIDE=FQ","FILING_STATUS=MR","FA_ADJUSTED=GAAP","Sort=A","Dates=H","DateFormat=P","Fill=—","Direction=H","UseDPDF=Y")</f>
        <v>-332.11900000000003</v>
      </c>
      <c r="M17" s="14">
        <f>_xll.BDH("ITCI US Equity","PRETAX_INC_TO_NET_SALES","FQ2 2021","FQ2 2021","Currency=USD","Period=FQ","BEST_FPERIOD_OVERRIDE=FQ","FILING_STATUS=MR","FA_ADJUSTED=GAAP","Sort=A","Dates=H","DateFormat=P","Fill=—","Direction=H","UseDPDF=Y")</f>
        <v>-342.8021</v>
      </c>
      <c r="N17" s="14">
        <f>_xll.BDH("ITCI US Equity","PRETAX_INC_TO_NET_SALES","FQ3 2021","FQ3 2021","Currency=USD","Period=FQ","BEST_FPERIOD_OVERRIDE=FQ","FILING_STATUS=MR","FA_ADJUSTED=GAAP","Sort=A","Dates=H","DateFormat=P","Fill=—","Direction=H","UseDPDF=Y")</f>
        <v>-346.42419999999998</v>
      </c>
      <c r="O17" s="14">
        <f>_xll.BDH("ITCI US Equity","PRETAX_INC_TO_NET_SALES","FQ4 2021","FQ4 2021","Currency=USD","Period=FQ","BEST_FPERIOD_OVERRIDE=FQ","FILING_STATUS=MR","FA_ADJUSTED=GAAP","Sort=A","Dates=H","DateFormat=P","Fill=—","Direction=H","UseDPDF=Y")</f>
        <v>-333.97289999999998</v>
      </c>
      <c r="P17" s="14">
        <f>_xll.BDH("ITCI US Equity","PRETAX_INC_TO_NET_SALES","FQ1 2022","FQ1 2022","Currency=USD","Period=FQ","BEST_FPERIOD_OVERRIDE=FQ","FILING_STATUS=MR","FA_ADJUSTED=GAAP","Sort=A","Dates=H","DateFormat=P","Fill=—","Direction=H","UseDPDF=Y")</f>
        <v>-206.06360000000001</v>
      </c>
      <c r="Q17" s="14">
        <f>_xll.BDH("ITCI US Equity","PRETAX_INC_TO_NET_SALES","FQ2 2022","FQ2 2022","Currency=USD","Period=FQ","BEST_FPERIOD_OVERRIDE=FQ","FILING_STATUS=MR","FA_ADJUSTED=GAAP","Sort=A","Dates=H","DateFormat=P","Fill=—","Direction=H","UseDPDF=Y")</f>
        <v>-155.81960000000001</v>
      </c>
      <c r="R17" s="14">
        <f>_xll.BDH("ITCI US Equity","PRETAX_INC_TO_NET_SALES","FQ3 2022","FQ3 2022","Currency=USD","Period=FQ","BEST_FPERIOD_OVERRIDE=FQ","FILING_STATUS=MR","FA_ADJUSTED=GAAP","Sort=A","Dates=H","DateFormat=P","Fill=—","Direction=H","UseDPDF=Y")</f>
        <v>-74.449700000000007</v>
      </c>
      <c r="S17" s="14">
        <f>_xll.BDH("ITCI US Equity","PRETAX_INC_TO_NET_SALES","FQ4 2022","FQ4 2022","Currency=USD","Period=FQ","BEST_FPERIOD_OVERRIDE=FQ","FILING_STATUS=MR","FA_ADJUSTED=GAAP","Sort=A","Dates=H","DateFormat=P","Fill=—","Direction=H","UseDPDF=Y")</f>
        <v>-50.104100000000003</v>
      </c>
      <c r="T17" s="14">
        <f>_xll.BDH("ITCI US Equity","PRETAX_INC_TO_NET_SALES","FQ1 2023","FQ1 2023","Currency=USD","Period=FQ","BEST_FPERIOD_OVERRIDE=FQ","FILING_STATUS=MR","FA_ADJUSTED=GAAP","Sort=A","Dates=H","DateFormat=P","Fill=—","Direction=H","UseDPDF=Y")</f>
        <v>-46.212200000000003</v>
      </c>
      <c r="U17" s="14">
        <f>_xll.BDH("ITCI US Equity","PRETAX_INC_TO_NET_SALES","FQ2 2023","FQ2 2023","Currency=USD","Period=FQ","BEST_FPERIOD_OVERRIDE=FQ","FILING_STATUS=MR","FA_ADJUSTED=GAAP","Sort=A","Dates=H","DateFormat=P","Fill=—","Direction=H","UseDPDF=Y")</f>
        <v>-38.494700000000002</v>
      </c>
      <c r="V17" s="14">
        <f>_xll.BDH("ITCI US Equity","PRETAX_INC_TO_NET_SALES","FQ3 2023","FQ3 2023","Currency=USD","Period=FQ","BEST_FPERIOD_OVERRIDE=FQ","FILING_STATUS=MR","FA_ADJUSTED=GAAP","Sort=A","Dates=H","DateFormat=P","Fill=—","Direction=H","UseDPDF=Y")</f>
        <v>-19.1919</v>
      </c>
      <c r="W17" s="14">
        <f>_xll.BDH("ITCI US Equity","PRETAX_INC_TO_NET_SALES","FQ4 2023","FQ4 2023","Currency=USD","Period=FQ","BEST_FPERIOD_OVERRIDE=FQ","FILING_STATUS=MR","FA_ADJUSTED=GAAP","Sort=A","Dates=H","DateFormat=P","Fill=—","Direction=H","UseDPDF=Y")</f>
        <v>-21.295400000000001</v>
      </c>
      <c r="X17" s="14">
        <f>_xll.BDH("ITCI US Equity","PRETAX_INC_TO_NET_SALES","FQ1 2024","FQ1 2024","Currency=USD","Period=FQ","BEST_FPERIOD_OVERRIDE=FQ","FILING_STATUS=MR","FA_ADJUSTED=GAAP","Sort=A","Dates=H","DateFormat=P","Fill=—","Direction=H","UseDPDF=Y")</f>
        <v>-10.277100000000001</v>
      </c>
      <c r="Y17" s="14">
        <f>_xll.BDH("ITCI US Equity","PRETAX_INC_TO_NET_SALES","FQ2 2024","FQ2 2024","Currency=USD","Period=FQ","BEST_FPERIOD_OVERRIDE=FQ","FILING_STATUS=MR","FA_ADJUSTED=GAAP","Sort=A","Dates=H","DateFormat=P","Fill=—","Direction=H","UseDPDF=Y")</f>
        <v>-10.015000000000001</v>
      </c>
      <c r="Z17" s="14">
        <f>_xll.BDH("ITCI US Equity","PRETAX_INC_TO_NET_SALES","FQ3 2024","FQ3 2024","Currency=USD","Period=FQ","BEST_FPERIOD_OVERRIDE=FQ","FILING_STATUS=MR","FA_ADJUSTED=GAAP","Sort=A","Dates=H","DateFormat=P","Fill=—","Direction=H","UseDPDF=Y")</f>
        <v>-14.796900000000001</v>
      </c>
      <c r="AA17" s="14">
        <f>_xll.BDH("ITCI US Equity","PRETAX_INC_TO_NET_SALES","FQ4 2024","FQ4 2024","Currency=USD","Period=FQ","BEST_FPERIOD_OVERRIDE=FQ","FILING_STATUS=MR","FA_ADJUSTED=GAAP","Sort=A","Dates=H","DateFormat=P","Fill=—","Direction=H","UseDPDF=Y")</f>
        <v>-8.6344999999999992</v>
      </c>
    </row>
    <row r="18" spans="1:27" x14ac:dyDescent="0.25">
      <c r="A18" s="10" t="s">
        <v>1097</v>
      </c>
      <c r="B18" s="10" t="s">
        <v>1098</v>
      </c>
      <c r="C18" s="14" t="str">
        <f>_xll.BDH("ITCI US Equity","INC_BEF_XO_ITEMS_TO_NET_SALES","FQ4 2018","FQ4 2018","Currency=USD","Period=FQ","BEST_FPERIOD_OVERRIDE=FQ","FILING_STATUS=MR","FA_ADJUSTED=GAAP","Sort=A","Dates=H","DateFormat=P","Fill=—","Direction=H","UseDPDF=Y")</f>
        <v>—</v>
      </c>
      <c r="D18" s="14" t="str">
        <f>_xll.BDH("ITCI US Equity","INC_BEF_XO_ITEMS_TO_NET_SALES","FQ1 2019","FQ1 2019","Currency=USD","Period=FQ","BEST_FPERIOD_OVERRIDE=FQ","FILING_STATUS=MR","FA_ADJUSTED=GAAP","Sort=A","Dates=H","DateFormat=P","Fill=—","Direction=H","UseDPDF=Y")</f>
        <v>—</v>
      </c>
      <c r="E18" s="14" t="str">
        <f>_xll.BDH("ITCI US Equity","INC_BEF_XO_ITEMS_TO_NET_SALES","FQ2 2019","FQ2 2019","Currency=USD","Period=FQ","BEST_FPERIOD_OVERRIDE=FQ","FILING_STATUS=MR","FA_ADJUSTED=GAAP","Sort=A","Dates=H","DateFormat=P","Fill=—","Direction=H","UseDPDF=Y")</f>
        <v>—</v>
      </c>
      <c r="F18" s="14" t="str">
        <f>_xll.BDH("ITCI US Equity","INC_BEF_XO_ITEMS_TO_NET_SALES","FQ3 2019","FQ3 2019","Currency=USD","Period=FQ","BEST_FPERIOD_OVERRIDE=FQ","FILING_STATUS=MR","FA_ADJUSTED=GAAP","Sort=A","Dates=H","DateFormat=P","Fill=—","Direction=H","UseDPDF=Y")</f>
        <v>—</v>
      </c>
      <c r="G18" s="14">
        <f>_xll.BDH("ITCI US Equity","INC_BEF_XO_ITEMS_TO_NET_SALES","FQ4 2019","FQ4 2019","Currency=USD","Period=FQ","BEST_FPERIOD_OVERRIDE=FQ","FILING_STATUS=MR","FA_ADJUSTED=GAAP","Sort=A","Dates=H","DateFormat=P","Fill=—","Direction=H","UseDPDF=Y")</f>
        <v>-66954.037899999996</v>
      </c>
      <c r="H18" s="14">
        <f>_xll.BDH("ITCI US Equity","INC_BEF_XO_ITEMS_TO_NET_SALES","FQ1 2020","FQ1 2020","Currency=USD","Period=FQ","BEST_FPERIOD_OVERRIDE=FQ","FILING_STATUS=MR","FA_ADJUSTED=GAAP","Sort=A","Dates=H","DateFormat=P","Fill=—","Direction=H","UseDPDF=Y")</f>
        <v>-4375.7749000000003</v>
      </c>
      <c r="I18" s="14">
        <f>_xll.BDH("ITCI US Equity","INC_BEF_XO_ITEMS_TO_NET_SALES","FQ2 2020","FQ2 2020","Currency=USD","Period=FQ","BEST_FPERIOD_OVERRIDE=FQ","FILING_STATUS=MR","FA_ADJUSTED=GAAP","Sort=A","Dates=H","DateFormat=P","Fill=—","Direction=H","UseDPDF=Y")</f>
        <v>-3341.6057000000001</v>
      </c>
      <c r="J18" s="14">
        <f>_xll.BDH("ITCI US Equity","INC_BEF_XO_ITEMS_TO_NET_SALES","FQ3 2020","FQ3 2020","Currency=USD","Period=FQ","BEST_FPERIOD_OVERRIDE=FQ","FILING_STATUS=MR","FA_ADJUSTED=GAAP","Sort=A","Dates=H","DateFormat=P","Fill=—","Direction=H","UseDPDF=Y")</f>
        <v>-748.90300000000002</v>
      </c>
      <c r="K18" s="14">
        <f>_xll.BDH("ITCI US Equity","INC_BEF_XO_ITEMS_TO_NET_SALES","FQ4 2020","FQ4 2020","Currency=USD","Period=FQ","BEST_FPERIOD_OVERRIDE=FQ","FILING_STATUS=MR","FA_ADJUSTED=GAAP","Sort=A","Dates=H","DateFormat=P","Fill=—","Direction=H","UseDPDF=Y")</f>
        <v>-487.37639999999999</v>
      </c>
      <c r="L18" s="14">
        <f>_xll.BDH("ITCI US Equity","INC_BEF_XO_ITEMS_TO_NET_SALES","FQ1 2021","FQ1 2021","Currency=USD","Period=FQ","BEST_FPERIOD_OVERRIDE=FQ","FILING_STATUS=MR","FA_ADJUSTED=GAAP","Sort=A","Dates=H","DateFormat=P","Fill=—","Direction=H","UseDPDF=Y")</f>
        <v>-332.15050000000002</v>
      </c>
      <c r="M18" s="14">
        <f>_xll.BDH("ITCI US Equity","INC_BEF_XO_ITEMS_TO_NET_SALES","FQ2 2021","FQ2 2021","Currency=USD","Period=FQ","BEST_FPERIOD_OVERRIDE=FQ","FILING_STATUS=MR","FA_ADJUSTED=GAAP","Sort=A","Dates=H","DateFormat=P","Fill=—","Direction=H","UseDPDF=Y")</f>
        <v>-342.92059999999998</v>
      </c>
      <c r="N18" s="14">
        <f>_xll.BDH("ITCI US Equity","INC_BEF_XO_ITEMS_TO_NET_SALES","FQ3 2021","FQ3 2021","Currency=USD","Period=FQ","BEST_FPERIOD_OVERRIDE=FQ","FILING_STATUS=MR","FA_ADJUSTED=GAAP","Sort=A","Dates=H","DateFormat=P","Fill=—","Direction=H","UseDPDF=Y")</f>
        <v>-346.32010000000002</v>
      </c>
      <c r="O18" s="14">
        <f>_xll.BDH("ITCI US Equity","INC_BEF_XO_ITEMS_TO_NET_SALES","FQ4 2021","FQ4 2021","Currency=USD","Period=FQ","BEST_FPERIOD_OVERRIDE=FQ","FILING_STATUS=MR","FA_ADJUSTED=GAAP","Sort=A","Dates=H","DateFormat=P","Fill=—","Direction=H","UseDPDF=Y")</f>
        <v>-333.97289999999998</v>
      </c>
      <c r="P18" s="14">
        <f>_xll.BDH("ITCI US Equity","INC_BEF_XO_ITEMS_TO_NET_SALES","FQ1 2022","FQ1 2022","Currency=USD","Period=FQ","BEST_FPERIOD_OVERRIDE=FQ","FILING_STATUS=MR","FA_ADJUSTED=GAAP","Sort=A","Dates=H","DateFormat=P","Fill=—","Direction=H","UseDPDF=Y")</f>
        <v>-206.0778</v>
      </c>
      <c r="Q18" s="14">
        <f>_xll.BDH("ITCI US Equity","INC_BEF_XO_ITEMS_TO_NET_SALES","FQ2 2022","FQ2 2022","Currency=USD","Period=FQ","BEST_FPERIOD_OVERRIDE=FQ","FILING_STATUS=MR","FA_ADJUSTED=GAAP","Sort=A","Dates=H","DateFormat=P","Fill=—","Direction=H","UseDPDF=Y")</f>
        <v>-155.81960000000001</v>
      </c>
      <c r="R18" s="14">
        <f>_xll.BDH("ITCI US Equity","INC_BEF_XO_ITEMS_TO_NET_SALES","FQ3 2022","FQ3 2022","Currency=USD","Period=FQ","BEST_FPERIOD_OVERRIDE=FQ","FILING_STATUS=MR","FA_ADJUSTED=GAAP","Sort=A","Dates=H","DateFormat=P","Fill=—","Direction=H","UseDPDF=Y")</f>
        <v>-74.451099999999997</v>
      </c>
      <c r="S18" s="14">
        <f>_xll.BDH("ITCI US Equity","INC_BEF_XO_ITEMS_TO_NET_SALES","FQ4 2022","FQ4 2022","Currency=USD","Period=FQ","BEST_FPERIOD_OVERRIDE=FQ","FILING_STATUS=MR","FA_ADJUSTED=GAAP","Sort=A","Dates=H","DateFormat=P","Fill=—","Direction=H","UseDPDF=Y")</f>
        <v>-50.104100000000003</v>
      </c>
      <c r="T18" s="14">
        <f>_xll.BDH("ITCI US Equity","INC_BEF_XO_ITEMS_TO_NET_SALES","FQ1 2023","FQ1 2023","Currency=USD","Period=FQ","BEST_FPERIOD_OVERRIDE=FQ","FILING_STATUS=MR","FA_ADJUSTED=GAAP","Sort=A","Dates=H","DateFormat=P","Fill=—","Direction=H","UseDPDF=Y")</f>
        <v>-46.222700000000003</v>
      </c>
      <c r="U18" s="14">
        <f>_xll.BDH("ITCI US Equity","INC_BEF_XO_ITEMS_TO_NET_SALES","FQ2 2023","FQ2 2023","Currency=USD","Period=FQ","BEST_FPERIOD_OVERRIDE=FQ","FILING_STATUS=MR","FA_ADJUSTED=GAAP","Sort=A","Dates=H","DateFormat=P","Fill=—","Direction=H","UseDPDF=Y")</f>
        <v>-38.616500000000002</v>
      </c>
      <c r="V18" s="14">
        <f>_xll.BDH("ITCI US Equity","INC_BEF_XO_ITEMS_TO_NET_SALES","FQ3 2023","FQ3 2023","Currency=USD","Period=FQ","BEST_FPERIOD_OVERRIDE=FQ","FILING_STATUS=MR","FA_ADJUSTED=GAAP","Sort=A","Dates=H","DateFormat=P","Fill=—","Direction=H","UseDPDF=Y")</f>
        <v>-19.225999999999999</v>
      </c>
      <c r="W18" s="14">
        <f>_xll.BDH("ITCI US Equity","INC_BEF_XO_ITEMS_TO_NET_SALES","FQ4 2023","FQ4 2023","Currency=USD","Period=FQ","BEST_FPERIOD_OVERRIDE=FQ","FILING_STATUS=MR","FA_ADJUSTED=GAAP","Sort=A","Dates=H","DateFormat=P","Fill=—","Direction=H","UseDPDF=Y")</f>
        <v>-21.634499999999999</v>
      </c>
      <c r="X18" s="14">
        <f>_xll.BDH("ITCI US Equity","INC_BEF_XO_ITEMS_TO_NET_SALES","FQ1 2024","FQ1 2024","Currency=USD","Period=FQ","BEST_FPERIOD_OVERRIDE=FQ","FILING_STATUS=MR","FA_ADJUSTED=GAAP","Sort=A","Dates=H","DateFormat=P","Fill=—","Direction=H","UseDPDF=Y")</f>
        <v>-10.524900000000001</v>
      </c>
      <c r="Y18" s="14">
        <f>_xll.BDH("ITCI US Equity","INC_BEF_XO_ITEMS_TO_NET_SALES","FQ2 2024","FQ2 2024","Currency=USD","Period=FQ","BEST_FPERIOD_OVERRIDE=FQ","FILING_STATUS=MR","FA_ADJUSTED=GAAP","Sort=A","Dates=H","DateFormat=P","Fill=—","Direction=H","UseDPDF=Y")</f>
        <v>-10.0503</v>
      </c>
      <c r="Z18" s="14">
        <f>_xll.BDH("ITCI US Equity","INC_BEF_XO_ITEMS_TO_NET_SALES","FQ3 2024","FQ3 2024","Currency=USD","Period=FQ","BEST_FPERIOD_OVERRIDE=FQ","FILING_STATUS=MR","FA_ADJUSTED=GAAP","Sort=A","Dates=H","DateFormat=P","Fill=—","Direction=H","UseDPDF=Y")</f>
        <v>-15.0101</v>
      </c>
      <c r="AA18" s="14">
        <f>_xll.BDH("ITCI US Equity","INC_BEF_XO_ITEMS_TO_NET_SALES","FQ4 2024","FQ4 2024","Currency=USD","Period=FQ","BEST_FPERIOD_OVERRIDE=FQ","FILING_STATUS=MR","FA_ADJUSTED=GAAP","Sort=A","Dates=H","DateFormat=P","Fill=—","Direction=H","UseDPDF=Y")</f>
        <v>-8.4754000000000005</v>
      </c>
    </row>
    <row r="19" spans="1:27" x14ac:dyDescent="0.25">
      <c r="A19" s="10" t="s">
        <v>1099</v>
      </c>
      <c r="B19" s="10" t="s">
        <v>360</v>
      </c>
      <c r="C19" s="14" t="str">
        <f>_xll.BDH("ITCI US Equity","PROF_MARGIN","FQ4 2018","FQ4 2018","Currency=USD","Period=FQ","BEST_FPERIOD_OVERRIDE=FQ","FILING_STATUS=MR","FA_ADJUSTED=GAAP","Sort=A","Dates=H","DateFormat=P","Fill=—","Direction=H","UseDPDF=Y")</f>
        <v>—</v>
      </c>
      <c r="D19" s="14" t="str">
        <f>_xll.BDH("ITCI US Equity","PROF_MARGIN","FQ1 2019","FQ1 2019","Currency=USD","Period=FQ","BEST_FPERIOD_OVERRIDE=FQ","FILING_STATUS=MR","FA_ADJUSTED=GAAP","Sort=A","Dates=H","DateFormat=P","Fill=—","Direction=H","UseDPDF=Y")</f>
        <v>—</v>
      </c>
      <c r="E19" s="14" t="str">
        <f>_xll.BDH("ITCI US Equity","PROF_MARGIN","FQ2 2019","FQ2 2019","Currency=USD","Period=FQ","BEST_FPERIOD_OVERRIDE=FQ","FILING_STATUS=MR","FA_ADJUSTED=GAAP","Sort=A","Dates=H","DateFormat=P","Fill=—","Direction=H","UseDPDF=Y")</f>
        <v>—</v>
      </c>
      <c r="F19" s="14" t="str">
        <f>_xll.BDH("ITCI US Equity","PROF_MARGIN","FQ3 2019","FQ3 2019","Currency=USD","Period=FQ","BEST_FPERIOD_OVERRIDE=FQ","FILING_STATUS=MR","FA_ADJUSTED=GAAP","Sort=A","Dates=H","DateFormat=P","Fill=—","Direction=H","UseDPDF=Y")</f>
        <v>—</v>
      </c>
      <c r="G19" s="14">
        <f>_xll.BDH("ITCI US Equity","PROF_MARGIN","FQ4 2019","FQ4 2019","Currency=USD","Period=FQ","BEST_FPERIOD_OVERRIDE=FQ","FILING_STATUS=MR","FA_ADJUSTED=GAAP","Sort=A","Dates=H","DateFormat=P","Fill=—","Direction=H","UseDPDF=Y")</f>
        <v>-66954.037899999996</v>
      </c>
      <c r="H19" s="14">
        <f>_xll.BDH("ITCI US Equity","PROF_MARGIN","FQ1 2020","FQ1 2020","Currency=USD","Period=FQ","BEST_FPERIOD_OVERRIDE=FQ","FILING_STATUS=MR","FA_ADJUSTED=GAAP","Sort=A","Dates=H","DateFormat=P","Fill=—","Direction=H","UseDPDF=Y")</f>
        <v>-4375.7749000000003</v>
      </c>
      <c r="I19" s="14">
        <f>_xll.BDH("ITCI US Equity","PROF_MARGIN","FQ2 2020","FQ2 2020","Currency=USD","Period=FQ","BEST_FPERIOD_OVERRIDE=FQ","FILING_STATUS=MR","FA_ADJUSTED=GAAP","Sort=A","Dates=H","DateFormat=P","Fill=—","Direction=H","UseDPDF=Y")</f>
        <v>-3341.6057000000001</v>
      </c>
      <c r="J19" s="14">
        <f>_xll.BDH("ITCI US Equity","PROF_MARGIN","FQ3 2020","FQ3 2020","Currency=USD","Period=FQ","BEST_FPERIOD_OVERRIDE=FQ","FILING_STATUS=MR","FA_ADJUSTED=GAAP","Sort=A","Dates=H","DateFormat=P","Fill=—","Direction=H","UseDPDF=Y")</f>
        <v>-748.90300000000002</v>
      </c>
      <c r="K19" s="14">
        <f>_xll.BDH("ITCI US Equity","PROF_MARGIN","FQ4 2020","FQ4 2020","Currency=USD","Period=FQ","BEST_FPERIOD_OVERRIDE=FQ","FILING_STATUS=MR","FA_ADJUSTED=GAAP","Sort=A","Dates=H","DateFormat=P","Fill=—","Direction=H","UseDPDF=Y")</f>
        <v>-487.37639999999999</v>
      </c>
      <c r="L19" s="14">
        <f>_xll.BDH("ITCI US Equity","PROF_MARGIN","FQ1 2021","FQ1 2021","Currency=USD","Period=FQ","BEST_FPERIOD_OVERRIDE=FQ","FILING_STATUS=MR","FA_ADJUSTED=GAAP","Sort=A","Dates=H","DateFormat=P","Fill=—","Direction=H","UseDPDF=Y")</f>
        <v>-332.15050000000002</v>
      </c>
      <c r="M19" s="14">
        <f>_xll.BDH("ITCI US Equity","PROF_MARGIN","FQ2 2021","FQ2 2021","Currency=USD","Period=FQ","BEST_FPERIOD_OVERRIDE=FQ","FILING_STATUS=MR","FA_ADJUSTED=GAAP","Sort=A","Dates=H","DateFormat=P","Fill=—","Direction=H","UseDPDF=Y")</f>
        <v>-342.92059999999998</v>
      </c>
      <c r="N19" s="14">
        <f>_xll.BDH("ITCI US Equity","PROF_MARGIN","FQ3 2021","FQ3 2021","Currency=USD","Period=FQ","BEST_FPERIOD_OVERRIDE=FQ","FILING_STATUS=MR","FA_ADJUSTED=GAAP","Sort=A","Dates=H","DateFormat=P","Fill=—","Direction=H","UseDPDF=Y")</f>
        <v>-346.32010000000002</v>
      </c>
      <c r="O19" s="14">
        <f>_xll.BDH("ITCI US Equity","PROF_MARGIN","FQ4 2021","FQ4 2021","Currency=USD","Period=FQ","BEST_FPERIOD_OVERRIDE=FQ","FILING_STATUS=MR","FA_ADJUSTED=GAAP","Sort=A","Dates=H","DateFormat=P","Fill=—","Direction=H","UseDPDF=Y")</f>
        <v>-333.97289999999998</v>
      </c>
      <c r="P19" s="14">
        <f>_xll.BDH("ITCI US Equity","PROF_MARGIN","FQ1 2022","FQ1 2022","Currency=USD","Period=FQ","BEST_FPERIOD_OVERRIDE=FQ","FILING_STATUS=MR","FA_ADJUSTED=GAAP","Sort=A","Dates=H","DateFormat=P","Fill=—","Direction=H","UseDPDF=Y")</f>
        <v>-206.0778</v>
      </c>
      <c r="Q19" s="14">
        <f>_xll.BDH("ITCI US Equity","PROF_MARGIN","FQ2 2022","FQ2 2022","Currency=USD","Period=FQ","BEST_FPERIOD_OVERRIDE=FQ","FILING_STATUS=MR","FA_ADJUSTED=GAAP","Sort=A","Dates=H","DateFormat=P","Fill=—","Direction=H","UseDPDF=Y")</f>
        <v>-155.81960000000001</v>
      </c>
      <c r="R19" s="14">
        <f>_xll.BDH("ITCI US Equity","PROF_MARGIN","FQ3 2022","FQ3 2022","Currency=USD","Period=FQ","BEST_FPERIOD_OVERRIDE=FQ","FILING_STATUS=MR","FA_ADJUSTED=GAAP","Sort=A","Dates=H","DateFormat=P","Fill=—","Direction=H","UseDPDF=Y")</f>
        <v>-74.451099999999997</v>
      </c>
      <c r="S19" s="14">
        <f>_xll.BDH("ITCI US Equity","PROF_MARGIN","FQ4 2022","FQ4 2022","Currency=USD","Period=FQ","BEST_FPERIOD_OVERRIDE=FQ","FILING_STATUS=MR","FA_ADJUSTED=GAAP","Sort=A","Dates=H","DateFormat=P","Fill=—","Direction=H","UseDPDF=Y")</f>
        <v>-50.104100000000003</v>
      </c>
      <c r="T19" s="14">
        <f>_xll.BDH("ITCI US Equity","PROF_MARGIN","FQ1 2023","FQ1 2023","Currency=USD","Period=FQ","BEST_FPERIOD_OVERRIDE=FQ","FILING_STATUS=MR","FA_ADJUSTED=GAAP","Sort=A","Dates=H","DateFormat=P","Fill=—","Direction=H","UseDPDF=Y")</f>
        <v>-46.222700000000003</v>
      </c>
      <c r="U19" s="14">
        <f>_xll.BDH("ITCI US Equity","PROF_MARGIN","FQ2 2023","FQ2 2023","Currency=USD","Period=FQ","BEST_FPERIOD_OVERRIDE=FQ","FILING_STATUS=MR","FA_ADJUSTED=GAAP","Sort=A","Dates=H","DateFormat=P","Fill=—","Direction=H","UseDPDF=Y")</f>
        <v>-38.616500000000002</v>
      </c>
      <c r="V19" s="14">
        <f>_xll.BDH("ITCI US Equity","PROF_MARGIN","FQ3 2023","FQ3 2023","Currency=USD","Period=FQ","BEST_FPERIOD_OVERRIDE=FQ","FILING_STATUS=MR","FA_ADJUSTED=GAAP","Sort=A","Dates=H","DateFormat=P","Fill=—","Direction=H","UseDPDF=Y")</f>
        <v>-19.225999999999999</v>
      </c>
      <c r="W19" s="14">
        <f>_xll.BDH("ITCI US Equity","PROF_MARGIN","FQ4 2023","FQ4 2023","Currency=USD","Period=FQ","BEST_FPERIOD_OVERRIDE=FQ","FILING_STATUS=MR","FA_ADJUSTED=GAAP","Sort=A","Dates=H","DateFormat=P","Fill=—","Direction=H","UseDPDF=Y")</f>
        <v>-21.634499999999999</v>
      </c>
      <c r="X19" s="14">
        <f>_xll.BDH("ITCI US Equity","PROF_MARGIN","FQ1 2024","FQ1 2024","Currency=USD","Period=FQ","BEST_FPERIOD_OVERRIDE=FQ","FILING_STATUS=MR","FA_ADJUSTED=GAAP","Sort=A","Dates=H","DateFormat=P","Fill=—","Direction=H","UseDPDF=Y")</f>
        <v>-10.524900000000001</v>
      </c>
      <c r="Y19" s="14">
        <f>_xll.BDH("ITCI US Equity","PROF_MARGIN","FQ2 2024","FQ2 2024","Currency=USD","Period=FQ","BEST_FPERIOD_OVERRIDE=FQ","FILING_STATUS=MR","FA_ADJUSTED=GAAP","Sort=A","Dates=H","DateFormat=P","Fill=—","Direction=H","UseDPDF=Y")</f>
        <v>-10.0503</v>
      </c>
      <c r="Z19" s="14">
        <f>_xll.BDH("ITCI US Equity","PROF_MARGIN","FQ3 2024","FQ3 2024","Currency=USD","Period=FQ","BEST_FPERIOD_OVERRIDE=FQ","FILING_STATUS=MR","FA_ADJUSTED=GAAP","Sort=A","Dates=H","DateFormat=P","Fill=—","Direction=H","UseDPDF=Y")</f>
        <v>-15.0101</v>
      </c>
      <c r="AA19" s="14">
        <f>_xll.BDH("ITCI US Equity","PROF_MARGIN","FQ4 2024","FQ4 2024","Currency=USD","Period=FQ","BEST_FPERIOD_OVERRIDE=FQ","FILING_STATUS=MR","FA_ADJUSTED=GAAP","Sort=A","Dates=H","DateFormat=P","Fill=—","Direction=H","UseDPDF=Y")</f>
        <v>-8.4754000000000005</v>
      </c>
    </row>
    <row r="20" spans="1:27" x14ac:dyDescent="0.25">
      <c r="A20" s="10" t="s">
        <v>1100</v>
      </c>
      <c r="B20" s="10" t="s">
        <v>1101</v>
      </c>
      <c r="C20" s="14" t="str">
        <f>_xll.BDH("ITCI US Equity","NET_INCOME_TO_COMMON_MARGIN","FQ4 2018","FQ4 2018","Currency=USD","Period=FQ","BEST_FPERIOD_OVERRIDE=FQ","FILING_STATUS=MR","FA_ADJUSTED=GAAP","Sort=A","Dates=H","DateFormat=P","Fill=—","Direction=H","UseDPDF=Y")</f>
        <v>—</v>
      </c>
      <c r="D20" s="14" t="str">
        <f>_xll.BDH("ITCI US Equity","NET_INCOME_TO_COMMON_MARGIN","FQ1 2019","FQ1 2019","Currency=USD","Period=FQ","BEST_FPERIOD_OVERRIDE=FQ","FILING_STATUS=MR","FA_ADJUSTED=GAAP","Sort=A","Dates=H","DateFormat=P","Fill=—","Direction=H","UseDPDF=Y")</f>
        <v>—</v>
      </c>
      <c r="E20" s="14" t="str">
        <f>_xll.BDH("ITCI US Equity","NET_INCOME_TO_COMMON_MARGIN","FQ2 2019","FQ2 2019","Currency=USD","Period=FQ","BEST_FPERIOD_OVERRIDE=FQ","FILING_STATUS=MR","FA_ADJUSTED=GAAP","Sort=A","Dates=H","DateFormat=P","Fill=—","Direction=H","UseDPDF=Y")</f>
        <v>—</v>
      </c>
      <c r="F20" s="14" t="str">
        <f>_xll.BDH("ITCI US Equity","NET_INCOME_TO_COMMON_MARGIN","FQ3 2019","FQ3 2019","Currency=USD","Period=FQ","BEST_FPERIOD_OVERRIDE=FQ","FILING_STATUS=MR","FA_ADJUSTED=GAAP","Sort=A","Dates=H","DateFormat=P","Fill=—","Direction=H","UseDPDF=Y")</f>
        <v>—</v>
      </c>
      <c r="G20" s="14">
        <f>_xll.BDH("ITCI US Equity","NET_INCOME_TO_COMMON_MARGIN","FQ4 2019","FQ4 2019","Currency=USD","Period=FQ","BEST_FPERIOD_OVERRIDE=FQ","FILING_STATUS=MR","FA_ADJUSTED=GAAP","Sort=A","Dates=H","DateFormat=P","Fill=—","Direction=H","UseDPDF=Y")</f>
        <v>-66954.037899999996</v>
      </c>
      <c r="H20" s="14">
        <f>_xll.BDH("ITCI US Equity","NET_INCOME_TO_COMMON_MARGIN","FQ1 2020","FQ1 2020","Currency=USD","Period=FQ","BEST_FPERIOD_OVERRIDE=FQ","FILING_STATUS=MR","FA_ADJUSTED=GAAP","Sort=A","Dates=H","DateFormat=P","Fill=—","Direction=H","UseDPDF=Y")</f>
        <v>-4375.7749000000003</v>
      </c>
      <c r="I20" s="14">
        <f>_xll.BDH("ITCI US Equity","NET_INCOME_TO_COMMON_MARGIN","FQ2 2020","FQ2 2020","Currency=USD","Period=FQ","BEST_FPERIOD_OVERRIDE=FQ","FILING_STATUS=MR","FA_ADJUSTED=GAAP","Sort=A","Dates=H","DateFormat=P","Fill=—","Direction=H","UseDPDF=Y")</f>
        <v>-3341.6057000000001</v>
      </c>
      <c r="J20" s="14">
        <f>_xll.BDH("ITCI US Equity","NET_INCOME_TO_COMMON_MARGIN","FQ3 2020","FQ3 2020","Currency=USD","Period=FQ","BEST_FPERIOD_OVERRIDE=FQ","FILING_STATUS=MR","FA_ADJUSTED=GAAP","Sort=A","Dates=H","DateFormat=P","Fill=—","Direction=H","UseDPDF=Y")</f>
        <v>-748.90300000000002</v>
      </c>
      <c r="K20" s="14">
        <f>_xll.BDH("ITCI US Equity","NET_INCOME_TO_COMMON_MARGIN","FQ4 2020","FQ4 2020","Currency=USD","Period=FQ","BEST_FPERIOD_OVERRIDE=FQ","FILING_STATUS=MR","FA_ADJUSTED=GAAP","Sort=A","Dates=H","DateFormat=P","Fill=—","Direction=H","UseDPDF=Y")</f>
        <v>-487.37639999999999</v>
      </c>
      <c r="L20" s="14">
        <f>_xll.BDH("ITCI US Equity","NET_INCOME_TO_COMMON_MARGIN","FQ1 2021","FQ1 2021","Currency=USD","Period=FQ","BEST_FPERIOD_OVERRIDE=FQ","FILING_STATUS=MR","FA_ADJUSTED=GAAP","Sort=A","Dates=H","DateFormat=P","Fill=—","Direction=H","UseDPDF=Y")</f>
        <v>-332.15050000000002</v>
      </c>
      <c r="M20" s="14">
        <f>_xll.BDH("ITCI US Equity","NET_INCOME_TO_COMMON_MARGIN","FQ2 2021","FQ2 2021","Currency=USD","Period=FQ","BEST_FPERIOD_OVERRIDE=FQ","FILING_STATUS=MR","FA_ADJUSTED=GAAP","Sort=A","Dates=H","DateFormat=P","Fill=—","Direction=H","UseDPDF=Y")</f>
        <v>-342.92059999999998</v>
      </c>
      <c r="N20" s="14">
        <f>_xll.BDH("ITCI US Equity","NET_INCOME_TO_COMMON_MARGIN","FQ3 2021","FQ3 2021","Currency=USD","Period=FQ","BEST_FPERIOD_OVERRIDE=FQ","FILING_STATUS=MR","FA_ADJUSTED=GAAP","Sort=A","Dates=H","DateFormat=P","Fill=—","Direction=H","UseDPDF=Y")</f>
        <v>-346.32010000000002</v>
      </c>
      <c r="O20" s="14">
        <f>_xll.BDH("ITCI US Equity","NET_INCOME_TO_COMMON_MARGIN","FQ4 2021","FQ4 2021","Currency=USD","Period=FQ","BEST_FPERIOD_OVERRIDE=FQ","FILING_STATUS=MR","FA_ADJUSTED=GAAP","Sort=A","Dates=H","DateFormat=P","Fill=—","Direction=H","UseDPDF=Y")</f>
        <v>-333.97289999999998</v>
      </c>
      <c r="P20" s="14">
        <f>_xll.BDH("ITCI US Equity","NET_INCOME_TO_COMMON_MARGIN","FQ1 2022","FQ1 2022","Currency=USD","Period=FQ","BEST_FPERIOD_OVERRIDE=FQ","FILING_STATUS=MR","FA_ADJUSTED=GAAP","Sort=A","Dates=H","DateFormat=P","Fill=—","Direction=H","UseDPDF=Y")</f>
        <v>-206.0778</v>
      </c>
      <c r="Q20" s="14">
        <f>_xll.BDH("ITCI US Equity","NET_INCOME_TO_COMMON_MARGIN","FQ2 2022","FQ2 2022","Currency=USD","Period=FQ","BEST_FPERIOD_OVERRIDE=FQ","FILING_STATUS=MR","FA_ADJUSTED=GAAP","Sort=A","Dates=H","DateFormat=P","Fill=—","Direction=H","UseDPDF=Y")</f>
        <v>-155.81960000000001</v>
      </c>
      <c r="R20" s="14">
        <f>_xll.BDH("ITCI US Equity","NET_INCOME_TO_COMMON_MARGIN","FQ3 2022","FQ3 2022","Currency=USD","Period=FQ","BEST_FPERIOD_OVERRIDE=FQ","FILING_STATUS=MR","FA_ADJUSTED=GAAP","Sort=A","Dates=H","DateFormat=P","Fill=—","Direction=H","UseDPDF=Y")</f>
        <v>-74.451099999999997</v>
      </c>
      <c r="S20" s="14">
        <f>_xll.BDH("ITCI US Equity","NET_INCOME_TO_COMMON_MARGIN","FQ4 2022","FQ4 2022","Currency=USD","Period=FQ","BEST_FPERIOD_OVERRIDE=FQ","FILING_STATUS=MR","FA_ADJUSTED=GAAP","Sort=A","Dates=H","DateFormat=P","Fill=—","Direction=H","UseDPDF=Y")</f>
        <v>-50.104100000000003</v>
      </c>
      <c r="T20" s="14">
        <f>_xll.BDH("ITCI US Equity","NET_INCOME_TO_COMMON_MARGIN","FQ1 2023","FQ1 2023","Currency=USD","Period=FQ","BEST_FPERIOD_OVERRIDE=FQ","FILING_STATUS=MR","FA_ADJUSTED=GAAP","Sort=A","Dates=H","DateFormat=P","Fill=—","Direction=H","UseDPDF=Y")</f>
        <v>-46.222700000000003</v>
      </c>
      <c r="U20" s="14">
        <f>_xll.BDH("ITCI US Equity","NET_INCOME_TO_COMMON_MARGIN","FQ2 2023","FQ2 2023","Currency=USD","Period=FQ","BEST_FPERIOD_OVERRIDE=FQ","FILING_STATUS=MR","FA_ADJUSTED=GAAP","Sort=A","Dates=H","DateFormat=P","Fill=—","Direction=H","UseDPDF=Y")</f>
        <v>-38.616500000000002</v>
      </c>
      <c r="V20" s="14">
        <f>_xll.BDH("ITCI US Equity","NET_INCOME_TO_COMMON_MARGIN","FQ3 2023","FQ3 2023","Currency=USD","Period=FQ","BEST_FPERIOD_OVERRIDE=FQ","FILING_STATUS=MR","FA_ADJUSTED=GAAP","Sort=A","Dates=H","DateFormat=P","Fill=—","Direction=H","UseDPDF=Y")</f>
        <v>-19.225999999999999</v>
      </c>
      <c r="W20" s="14">
        <f>_xll.BDH("ITCI US Equity","NET_INCOME_TO_COMMON_MARGIN","FQ4 2023","FQ4 2023","Currency=USD","Period=FQ","BEST_FPERIOD_OVERRIDE=FQ","FILING_STATUS=MR","FA_ADJUSTED=GAAP","Sort=A","Dates=H","DateFormat=P","Fill=—","Direction=H","UseDPDF=Y")</f>
        <v>-21.634499999999999</v>
      </c>
      <c r="X20" s="14">
        <f>_xll.BDH("ITCI US Equity","NET_INCOME_TO_COMMON_MARGIN","FQ1 2024","FQ1 2024","Currency=USD","Period=FQ","BEST_FPERIOD_OVERRIDE=FQ","FILING_STATUS=MR","FA_ADJUSTED=GAAP","Sort=A","Dates=H","DateFormat=P","Fill=—","Direction=H","UseDPDF=Y")</f>
        <v>-10.524900000000001</v>
      </c>
      <c r="Y20" s="14">
        <f>_xll.BDH("ITCI US Equity","NET_INCOME_TO_COMMON_MARGIN","FQ2 2024","FQ2 2024","Currency=USD","Period=FQ","BEST_FPERIOD_OVERRIDE=FQ","FILING_STATUS=MR","FA_ADJUSTED=GAAP","Sort=A","Dates=H","DateFormat=P","Fill=—","Direction=H","UseDPDF=Y")</f>
        <v>-10.0503</v>
      </c>
      <c r="Z20" s="14">
        <f>_xll.BDH("ITCI US Equity","NET_INCOME_TO_COMMON_MARGIN","FQ3 2024","FQ3 2024","Currency=USD","Period=FQ","BEST_FPERIOD_OVERRIDE=FQ","FILING_STATUS=MR","FA_ADJUSTED=GAAP","Sort=A","Dates=H","DateFormat=P","Fill=—","Direction=H","UseDPDF=Y")</f>
        <v>-15.0101</v>
      </c>
      <c r="AA20" s="14">
        <f>_xll.BDH("ITCI US Equity","NET_INCOME_TO_COMMON_MARGIN","FQ4 2024","FQ4 2024","Currency=USD","Period=FQ","BEST_FPERIOD_OVERRIDE=FQ","FILING_STATUS=MR","FA_ADJUSTED=GAAP","Sort=A","Dates=H","DateFormat=P","Fill=—","Direction=H","UseDPDF=Y")</f>
        <v>-8.4754000000000005</v>
      </c>
    </row>
    <row r="21" spans="1:27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6" t="s">
        <v>1102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x14ac:dyDescent="0.25">
      <c r="A23" s="7" t="s">
        <v>90</v>
      </c>
      <c r="B23" s="7"/>
      <c r="C23" s="7" t="s">
        <v>5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71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1103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6" t="s">
        <v>1104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0</v>
      </c>
      <c r="B7" s="10" t="s">
        <v>72</v>
      </c>
      <c r="C7" s="14" t="str">
        <f>_xll.BDH("ITCI US Equity","SALES_GROWTH","FQ4 2018","FQ4 2018","Currency=USD","Period=FQ","BEST_FPERIOD_OVERRIDE=FQ","FILING_STATUS=MR","FA_ADJUSTED=GAAP","Sort=A","Dates=H","DateFormat=P","Fill=—","Direction=H","UseDPDF=Y")</f>
        <v>—</v>
      </c>
      <c r="D7" s="14" t="str">
        <f>_xll.BDH("ITCI US Equity","SALES_GROWTH","FQ1 2019","FQ1 2019","Currency=USD","Period=FQ","BEST_FPERIOD_OVERRIDE=FQ","FILING_STATUS=MR","FA_ADJUSTED=GAAP","Sort=A","Dates=H","DateFormat=P","Fill=—","Direction=H","UseDPDF=Y")</f>
        <v>—</v>
      </c>
      <c r="E7" s="14" t="str">
        <f>_xll.BDH("ITCI US Equity","SALES_GROWTH","FQ2 2019","FQ2 2019","Currency=USD","Period=FQ","BEST_FPERIOD_OVERRIDE=FQ","FILING_STATUS=MR","FA_ADJUSTED=GAAP","Sort=A","Dates=H","DateFormat=P","Fill=—","Direction=H","UseDPDF=Y")</f>
        <v>—</v>
      </c>
      <c r="F7" s="14" t="str">
        <f>_xll.BDH("ITCI US Equity","SALES_GROWTH","FQ3 2019","FQ3 2019","Currency=USD","Period=FQ","BEST_FPERIOD_OVERRIDE=FQ","FILING_STATUS=MR","FA_ADJUSTED=GAAP","Sort=A","Dates=H","DateFormat=P","Fill=—","Direction=H","UseDPDF=Y")</f>
        <v>—</v>
      </c>
      <c r="G7" s="14" t="str">
        <f>_xll.BDH("ITCI US Equity","SALES_GROWTH","FQ4 2019","FQ4 2019","Currency=USD","Period=FQ","BEST_FPERIOD_OVERRIDE=FQ","FILING_STATUS=MR","FA_ADJUSTED=GAAP","Sort=A","Dates=H","DateFormat=P","Fill=—","Direction=H","UseDPDF=Y")</f>
        <v>—</v>
      </c>
      <c r="H7" s="14" t="str">
        <f>_xll.BDH("ITCI US Equity","SALES_GROWTH","FQ1 2020","FQ1 2020","Currency=USD","Period=FQ","BEST_FPERIOD_OVERRIDE=FQ","FILING_STATUS=MR","FA_ADJUSTED=GAAP","Sort=A","Dates=H","DateFormat=P","Fill=—","Direction=H","UseDPDF=Y")</f>
        <v>—</v>
      </c>
      <c r="I7" s="14" t="str">
        <f>_xll.BDH("ITCI US Equity","SALES_GROWTH","FQ2 2020","FQ2 2020","Currency=USD","Period=FQ","BEST_FPERIOD_OVERRIDE=FQ","FILING_STATUS=MR","FA_ADJUSTED=GAAP","Sort=A","Dates=H","DateFormat=P","Fill=—","Direction=H","UseDPDF=Y")</f>
        <v>—</v>
      </c>
      <c r="J7" s="14" t="str">
        <f>_xll.BDH("ITCI US Equity","SALES_GROWTH","FQ3 2020","FQ3 2020","Currency=USD","Period=FQ","BEST_FPERIOD_OVERRIDE=FQ","FILING_STATUS=MR","FA_ADJUSTED=GAAP","Sort=A","Dates=H","DateFormat=P","Fill=—","Direction=H","UseDPDF=Y")</f>
        <v>—</v>
      </c>
      <c r="K7" s="14">
        <f>_xll.BDH("ITCI US Equity","SALES_GROWTH","FQ4 2020","FQ4 2020","Currency=USD","Period=FQ","BEST_FPERIOD_OVERRIDE=FQ","FILING_STATUS=MR","FA_ADJUSTED=GAAP","Sort=A","Dates=H","DateFormat=P","Fill=—","Direction=H","UseDPDF=Y")</f>
        <v>20447.192800000001</v>
      </c>
      <c r="L7" s="14">
        <f>_xll.BDH("ITCI US Equity","SALES_GROWTH","FQ1 2021","FQ1 2021","Currency=USD","Period=FQ","BEST_FPERIOD_OVERRIDE=FQ","FILING_STATUS=MR","FA_ADJUSTED=GAAP","Sort=A","Dates=H","DateFormat=P","Fill=—","Direction=H","UseDPDF=Y")</f>
        <v>1365.4948999999999</v>
      </c>
      <c r="M7" s="14">
        <f>_xll.BDH("ITCI US Equity","SALES_GROWTH","FQ2 2021","FQ2 2021","Currency=USD","Period=FQ","BEST_FPERIOD_OVERRIDE=FQ","FILING_STATUS=MR","FA_ADJUSTED=GAAP","Sort=A","Dates=H","DateFormat=P","Fill=—","Direction=H","UseDPDF=Y")</f>
        <v>951.41</v>
      </c>
      <c r="N7" s="14">
        <f>_xll.BDH("ITCI US Equity","SALES_GROWTH","FQ3 2021","FQ3 2021","Currency=USD","Period=FQ","BEST_FPERIOD_OVERRIDE=FQ","FILING_STATUS=MR","FA_ADJUSTED=GAAP","Sort=A","Dates=H","DateFormat=P","Fill=—","Direction=H","UseDPDF=Y")</f>
        <v>201.37639999999999</v>
      </c>
      <c r="O7" s="14">
        <f>_xll.BDH("ITCI US Equity","SALES_GROWTH","FQ4 2021","FQ4 2021","Currency=USD","Period=FQ","BEST_FPERIOD_OVERRIDE=FQ","FILING_STATUS=MR","FA_ADJUSTED=GAAP","Sort=A","Dates=H","DateFormat=P","Fill=—","Direction=H","UseDPDF=Y")</f>
        <v>106.1215</v>
      </c>
      <c r="P7" s="14">
        <f>_xll.BDH("ITCI US Equity","SALES_GROWTH","FQ1 2022","FQ1 2022","Currency=USD","Period=FQ","BEST_FPERIOD_OVERRIDE=FQ","FILING_STATUS=MR","FA_ADJUSTED=GAAP","Sort=A","Dates=H","DateFormat=P","Fill=—","Direction=H","UseDPDF=Y")</f>
        <v>120.401</v>
      </c>
      <c r="Q7" s="14">
        <f>_xll.BDH("ITCI US Equity","SALES_GROWTH","FQ2 2022","FQ2 2022","Currency=USD","Period=FQ","BEST_FPERIOD_OVERRIDE=FQ","FILING_STATUS=MR","FA_ADJUSTED=GAAP","Sort=A","Dates=H","DateFormat=P","Fill=—","Direction=H","UseDPDF=Y")</f>
        <v>177.24950000000001</v>
      </c>
      <c r="R7" s="14">
        <f>_xll.BDH("ITCI US Equity","SALES_GROWTH","FQ3 2022","FQ3 2022","Currency=USD","Period=FQ","BEST_FPERIOD_OVERRIDE=FQ","FILING_STATUS=MR","FA_ADJUSTED=GAAP","Sort=A","Dates=H","DateFormat=P","Fill=—","Direction=H","UseDPDF=Y")</f>
        <v>223.63380000000001</v>
      </c>
      <c r="S7" s="14">
        <f>_xll.BDH("ITCI US Equity","SALES_GROWTH","FQ4 2022","FQ4 2022","Currency=USD","Period=FQ","BEST_FPERIOD_OVERRIDE=FQ","FILING_STATUS=MR","FA_ADJUSTED=GAAP","Sort=A","Dates=H","DateFormat=P","Fill=—","Direction=H","UseDPDF=Y")</f>
        <v>242.29</v>
      </c>
      <c r="T7" s="14">
        <f>_xll.BDH("ITCI US Equity","SALES_GROWTH","FQ1 2023","FQ1 2023","Currency=USD","Period=FQ","BEST_FPERIOD_OVERRIDE=FQ","FILING_STATUS=MR","FA_ADJUSTED=GAAP","Sort=A","Dates=H","DateFormat=P","Fill=—","Direction=H","UseDPDF=Y")</f>
        <v>172.334</v>
      </c>
      <c r="U7" s="14">
        <f>_xll.BDH("ITCI US Equity","SALES_GROWTH","FQ2 2023","FQ2 2023","Currency=USD","Period=FQ","BEST_FPERIOD_OVERRIDE=FQ","FILING_STATUS=MR","FA_ADJUSTED=GAAP","Sort=A","Dates=H","DateFormat=P","Fill=—","Direction=H","UseDPDF=Y")</f>
        <v>99.341499999999996</v>
      </c>
      <c r="V7" s="14">
        <f>_xll.BDH("ITCI US Equity","SALES_GROWTH","FQ3 2023","FQ3 2023","Currency=USD","Period=FQ","BEST_FPERIOD_OVERRIDE=FQ","FILING_STATUS=MR","FA_ADJUSTED=GAAP","Sort=A","Dates=H","DateFormat=P","Fill=—","Direction=H","UseDPDF=Y")</f>
        <v>75.557299999999998</v>
      </c>
      <c r="W7" s="14">
        <f>_xll.BDH("ITCI US Equity","SALES_GROWTH","FQ4 2023","FQ4 2023","Currency=USD","Period=FQ","BEST_FPERIOD_OVERRIDE=FQ","FILING_STATUS=MR","FA_ADJUSTED=GAAP","Sort=A","Dates=H","DateFormat=P","Fill=—","Direction=H","UseDPDF=Y")</f>
        <v>50.336300000000001</v>
      </c>
      <c r="X7" s="14">
        <f>_xll.BDH("ITCI US Equity","SALES_GROWTH","FQ1 2024","FQ1 2024","Currency=USD","Period=FQ","BEST_FPERIOD_OVERRIDE=FQ","FILING_STATUS=MR","FA_ADJUSTED=GAAP","Sort=A","Dates=H","DateFormat=P","Fill=—","Direction=H","UseDPDF=Y")</f>
        <v>52.000900000000001</v>
      </c>
      <c r="Y7" s="14">
        <f>_xll.BDH("ITCI US Equity","SALES_GROWTH","FQ2 2024","FQ2 2024","Currency=USD","Period=FQ","BEST_FPERIOD_OVERRIDE=FQ","FILING_STATUS=MR","FA_ADJUSTED=GAAP","Sort=A","Dates=H","DateFormat=P","Fill=—","Direction=H","UseDPDF=Y")</f>
        <v>45.6676</v>
      </c>
      <c r="Z7" s="14">
        <f>_xll.BDH("ITCI US Equity","SALES_GROWTH","FQ3 2024","FQ3 2024","Currency=USD","Period=FQ","BEST_FPERIOD_OVERRIDE=FQ","FILING_STATUS=MR","FA_ADJUSTED=GAAP","Sort=A","Dates=H","DateFormat=P","Fill=—","Direction=H","UseDPDF=Y")</f>
        <v>38.995699999999999</v>
      </c>
      <c r="AA7" s="14">
        <f>_xll.BDH("ITCI US Equity","SALES_GROWTH","FQ4 2024","FQ4 2024","Currency=USD","Period=FQ","BEST_FPERIOD_OVERRIDE=FQ","FILING_STATUS=MR","FA_ADJUSTED=GAAP","Sort=A","Dates=H","DateFormat=P","Fill=—","Direction=H","UseDPDF=Y")</f>
        <v>50.813400000000001</v>
      </c>
    </row>
    <row r="8" spans="1:27" x14ac:dyDescent="0.25">
      <c r="A8" s="10" t="s">
        <v>78</v>
      </c>
      <c r="B8" s="10" t="s">
        <v>1105</v>
      </c>
      <c r="C8" s="14">
        <f>_xll.BDH("ITCI US Equity","EBITDA_GROWTH","FQ4 2018","FQ4 2018","Currency=USD","Period=FQ","BEST_FPERIOD_OVERRIDE=FQ","FILING_STATUS=MR","FA_ADJUSTED=GAAP","Sort=A","Dates=H","DateFormat=P","Fill=—","Direction=H","UseDPDF=Y")</f>
        <v>-30.714400000000001</v>
      </c>
      <c r="D8" s="14">
        <f>_xll.BDH("ITCI US Equity","EBITDA_GROWTH","FQ1 2019","FQ1 2019","Currency=USD","Period=FQ","BEST_FPERIOD_OVERRIDE=FQ","FILING_STATUS=MR","FA_ADJUSTED=GAAP","Sort=A","Dates=H","DateFormat=P","Fill=—","Direction=H","UseDPDF=Y")</f>
        <v>3.3437000000000001</v>
      </c>
      <c r="E8" s="14">
        <f>_xll.BDH("ITCI US Equity","EBITDA_GROWTH","FQ2 2019","FQ2 2019","Currency=USD","Period=FQ","BEST_FPERIOD_OVERRIDE=FQ","FILING_STATUS=MR","FA_ADJUSTED=GAAP","Sort=A","Dates=H","DateFormat=P","Fill=—","Direction=H","UseDPDF=Y")</f>
        <v>2.4632000000000001</v>
      </c>
      <c r="F8" s="14">
        <f>_xll.BDH("ITCI US Equity","EBITDA_GROWTH","FQ3 2019","FQ3 2019","Currency=USD","Period=FQ","BEST_FPERIOD_OVERRIDE=FQ","FILING_STATUS=MR","FA_ADJUSTED=GAAP","Sort=A","Dates=H","DateFormat=P","Fill=—","Direction=H","UseDPDF=Y")</f>
        <v>18.1706</v>
      </c>
      <c r="G8" s="14">
        <f>_xll.BDH("ITCI US Equity","EBITDA_GROWTH","FQ4 2019","FQ4 2019","Currency=USD","Period=FQ","BEST_FPERIOD_OVERRIDE=FQ","FILING_STATUS=MR","FA_ADJUSTED=GAAP","Sort=A","Dates=H","DateFormat=P","Fill=—","Direction=H","UseDPDF=Y")</f>
        <v>3.9984999999999999</v>
      </c>
      <c r="H8" s="14">
        <f>_xll.BDH("ITCI US Equity","EBITDA_GROWTH","FQ1 2020","FQ1 2020","Currency=USD","Period=FQ","BEST_FPERIOD_OVERRIDE=FQ","FILING_STATUS=MR","FA_ADJUSTED=GAAP","Sort=A","Dates=H","DateFormat=P","Fill=—","Direction=H","UseDPDF=Y")</f>
        <v>-34.543300000000002</v>
      </c>
      <c r="I8" s="14">
        <f>_xll.BDH("ITCI US Equity","EBITDA_GROWTH","FQ2 2020","FQ2 2020","Currency=USD","Period=FQ","BEST_FPERIOD_OVERRIDE=FQ","FILING_STATUS=MR","FA_ADJUSTED=GAAP","Sort=A","Dates=H","DateFormat=P","Fill=—","Direction=H","UseDPDF=Y")</f>
        <v>-67.777299999999997</v>
      </c>
      <c r="J8" s="14">
        <f>_xll.BDH("ITCI US Equity","EBITDA_GROWTH","FQ3 2020","FQ3 2020","Currency=USD","Period=FQ","BEST_FPERIOD_OVERRIDE=FQ","FILING_STATUS=MR","FA_ADJUSTED=GAAP","Sort=A","Dates=H","DateFormat=P","Fill=—","Direction=H","UseDPDF=Y")</f>
        <v>-55.282699999999998</v>
      </c>
      <c r="K8" s="14">
        <f>_xll.BDH("ITCI US Equity","EBITDA_GROWTH","FQ4 2020","FQ4 2020","Currency=USD","Period=FQ","BEST_FPERIOD_OVERRIDE=FQ","FILING_STATUS=MR","FA_ADJUSTED=GAAP","Sort=A","Dates=H","DateFormat=P","Fill=—","Direction=H","UseDPDF=Y")</f>
        <v>-48.980600000000003</v>
      </c>
      <c r="L8" s="14">
        <f>_xll.BDH("ITCI US Equity","EBITDA_GROWTH","FQ1 2021","FQ1 2021","Currency=USD","Period=FQ","BEST_FPERIOD_OVERRIDE=FQ","FILING_STATUS=MR","FA_ADJUSTED=GAAP","Sort=A","Dates=H","DateFormat=P","Fill=—","Direction=H","UseDPDF=Y")</f>
        <v>-8.6722000000000001</v>
      </c>
      <c r="M8" s="14">
        <f>_xll.BDH("ITCI US Equity","EBITDA_GROWTH","FQ2 2021","FQ2 2021","Currency=USD","Period=FQ","BEST_FPERIOD_OVERRIDE=FQ","FILING_STATUS=MR","FA_ADJUSTED=GAAP","Sort=A","Dates=H","DateFormat=P","Fill=—","Direction=H","UseDPDF=Y")</f>
        <v>-6.6867000000000001</v>
      </c>
      <c r="N8" s="14">
        <f>_xll.BDH("ITCI US Equity","EBITDA_GROWTH","FQ3 2021","FQ3 2021","Currency=USD","Period=FQ","BEST_FPERIOD_OVERRIDE=FQ","FILING_STATUS=MR","FA_ADJUSTED=GAAP","Sort=A","Dates=H","DateFormat=P","Fill=—","Direction=H","UseDPDF=Y")</f>
        <v>-38.851799999999997</v>
      </c>
      <c r="O8" s="14">
        <f>_xll.BDH("ITCI US Equity","EBITDA_GROWTH","FQ4 2021","FQ4 2021","Currency=USD","Period=FQ","BEST_FPERIOD_OVERRIDE=FQ","FILING_STATUS=MR","FA_ADJUSTED=GAAP","Sort=A","Dates=H","DateFormat=P","Fill=—","Direction=H","UseDPDF=Y")</f>
        <v>-39.596899999999998</v>
      </c>
      <c r="P8" s="14">
        <f>_xll.BDH("ITCI US Equity","EBITDA_GROWTH","FQ1 2022","FQ1 2022","Currency=USD","Period=FQ","BEST_FPERIOD_OVERRIDE=FQ","FILING_STATUS=MR","FA_ADJUSTED=GAAP","Sort=A","Dates=H","DateFormat=P","Fill=—","Direction=H","UseDPDF=Y")</f>
        <v>-38.6282</v>
      </c>
      <c r="Q8" s="14">
        <f>_xll.BDH("ITCI US Equity","EBITDA_GROWTH","FQ2 2022","FQ2 2022","Currency=USD","Period=FQ","BEST_FPERIOD_OVERRIDE=FQ","FILING_STATUS=MR","FA_ADJUSTED=GAAP","Sort=A","Dates=H","DateFormat=P","Fill=—","Direction=H","UseDPDF=Y")</f>
        <v>-28.638000000000002</v>
      </c>
      <c r="R8" s="14">
        <f>_xll.BDH("ITCI US Equity","EBITDA_GROWTH","FQ3 2022","FQ3 2022","Currency=USD","Period=FQ","BEST_FPERIOD_OVERRIDE=FQ","FILING_STATUS=MR","FA_ADJUSTED=GAAP","Sort=A","Dates=H","DateFormat=P","Fill=—","Direction=H","UseDPDF=Y")</f>
        <v>27.400099999999998</v>
      </c>
      <c r="S8" s="14">
        <f>_xll.BDH("ITCI US Equity","EBITDA_GROWTH","FQ4 2022","FQ4 2022","Currency=USD","Period=FQ","BEST_FPERIOD_OVERRIDE=FQ","FILING_STATUS=MR","FA_ADJUSTED=GAAP","Sort=A","Dates=H","DateFormat=P","Fill=—","Direction=H","UseDPDF=Y")</f>
        <v>52.814100000000003</v>
      </c>
      <c r="T8" s="14">
        <f>_xll.BDH("ITCI US Equity","EBITDA_GROWTH","FQ1 2023","FQ1 2023","Currency=USD","Period=FQ","BEST_FPERIOD_OVERRIDE=FQ","FILING_STATUS=MR","FA_ADJUSTED=GAAP","Sort=A","Dates=H","DateFormat=P","Fill=—","Direction=H","UseDPDF=Y")</f>
        <v>34.925699999999999</v>
      </c>
      <c r="U8" s="14">
        <f>_xll.BDH("ITCI US Equity","EBITDA_GROWTH","FQ2 2023","FQ2 2023","Currency=USD","Period=FQ","BEST_FPERIOD_OVERRIDE=FQ","FILING_STATUS=MR","FA_ADJUSTED=GAAP","Sort=A","Dates=H","DateFormat=P","Fill=—","Direction=H","UseDPDF=Y")</f>
        <v>46.375500000000002</v>
      </c>
      <c r="V8" s="14">
        <f>_xll.BDH("ITCI US Equity","EBITDA_GROWTH","FQ3 2023","FQ3 2023","Currency=USD","Period=FQ","BEST_FPERIOD_OVERRIDE=FQ","FILING_STATUS=MR","FA_ADJUSTED=GAAP","Sort=A","Dates=H","DateFormat=P","Fill=—","Direction=H","UseDPDF=Y")</f>
        <v>48.322200000000002</v>
      </c>
      <c r="W8" s="14">
        <f>_xll.BDH("ITCI US Equity","EBITDA_GROWTH","FQ4 2023","FQ4 2023","Currency=USD","Period=FQ","BEST_FPERIOD_OVERRIDE=FQ","FILING_STATUS=MR","FA_ADJUSTED=GAAP","Sort=A","Dates=H","DateFormat=P","Fill=—","Direction=H","UseDPDF=Y")</f>
        <v>34.416600000000003</v>
      </c>
      <c r="X8" s="14">
        <f>_xll.BDH("ITCI US Equity","EBITDA_GROWTH","FQ1 2024","FQ1 2024","Currency=USD","Period=FQ","BEST_FPERIOD_OVERRIDE=FQ","FILING_STATUS=MR","FA_ADJUSTED=GAAP","Sort=A","Dates=H","DateFormat=P","Fill=—","Direction=H","UseDPDF=Y")</f>
        <v>57.859400000000001</v>
      </c>
      <c r="Y8" s="14">
        <f>_xll.BDH("ITCI US Equity","EBITDA_GROWTH","FQ2 2024","FQ2 2024","Currency=USD","Period=FQ","BEST_FPERIOD_OVERRIDE=FQ","FILING_STATUS=MR","FA_ADJUSTED=GAAP","Sort=A","Dates=H","DateFormat=P","Fill=—","Direction=H","UseDPDF=Y")</f>
        <v>43.554499999999997</v>
      </c>
      <c r="Z8" s="14">
        <f>_xll.BDH("ITCI US Equity","EBITDA_GROWTH","FQ3 2024","FQ3 2024","Currency=USD","Period=FQ","BEST_FPERIOD_OVERRIDE=FQ","FILING_STATUS=MR","FA_ADJUSTED=GAAP","Sort=A","Dates=H","DateFormat=P","Fill=—","Direction=H","UseDPDF=Y")</f>
        <v>-31.395700000000001</v>
      </c>
      <c r="AA8" s="14">
        <f>_xll.BDH("ITCI US Equity","EBITDA_GROWTH","FQ4 2024","FQ4 2024","Currency=USD","Period=FQ","BEST_FPERIOD_OVERRIDE=FQ","FILING_STATUS=MR","FA_ADJUSTED=GAAP","Sort=A","Dates=H","DateFormat=P","Fill=—","Direction=H","UseDPDF=Y")</f>
        <v>-2.6869000000000001</v>
      </c>
    </row>
    <row r="9" spans="1:27" x14ac:dyDescent="0.25">
      <c r="A9" s="10" t="s">
        <v>98</v>
      </c>
      <c r="B9" s="10" t="s">
        <v>1106</v>
      </c>
      <c r="C9" s="14">
        <f>_xll.BDH("ITCI US Equity","OPER_INC_GROWTH","FQ4 2018","FQ4 2018","Currency=USD","Period=FQ","BEST_FPERIOD_OVERRIDE=FQ","FILING_STATUS=MR","FA_ADJUSTED=GAAP","Sort=A","Dates=H","DateFormat=P","Fill=—","Direction=H","UseDPDF=Y")</f>
        <v>-30.3124</v>
      </c>
      <c r="D9" s="14">
        <f>_xll.BDH("ITCI US Equity","OPER_INC_GROWTH","FQ1 2019","FQ1 2019","Currency=USD","Period=FQ","BEST_FPERIOD_OVERRIDE=FQ","FILING_STATUS=MR","FA_ADJUSTED=GAAP","Sort=A","Dates=H","DateFormat=P","Fill=—","Direction=H","UseDPDF=Y")</f>
        <v>1.0472999999999999</v>
      </c>
      <c r="E9" s="14">
        <f>_xll.BDH("ITCI US Equity","OPER_INC_GROWTH","FQ2 2019","FQ2 2019","Currency=USD","Period=FQ","BEST_FPERIOD_OVERRIDE=FQ","FILING_STATUS=MR","FA_ADJUSTED=GAAP","Sort=A","Dates=H","DateFormat=P","Fill=—","Direction=H","UseDPDF=Y")</f>
        <v>-7.3000000000000001E-3</v>
      </c>
      <c r="F9" s="14">
        <f>_xll.BDH("ITCI US Equity","OPER_INC_GROWTH","FQ3 2019","FQ3 2019","Currency=USD","Period=FQ","BEST_FPERIOD_OVERRIDE=FQ","FILING_STATUS=MR","FA_ADJUSTED=GAAP","Sort=A","Dates=H","DateFormat=P","Fill=—","Direction=H","UseDPDF=Y")</f>
        <v>16.167100000000001</v>
      </c>
      <c r="G9" s="14">
        <f>_xll.BDH("ITCI US Equity","OPER_INC_GROWTH","FQ4 2019","FQ4 2019","Currency=USD","Period=FQ","BEST_FPERIOD_OVERRIDE=FQ","FILING_STATUS=MR","FA_ADJUSTED=GAAP","Sort=A","Dates=H","DateFormat=P","Fill=—","Direction=H","UseDPDF=Y")</f>
        <v>2.0043000000000002</v>
      </c>
      <c r="H9" s="14">
        <f>_xll.BDH("ITCI US Equity","OPER_INC_GROWTH","FQ1 2020","FQ1 2020","Currency=USD","Period=FQ","BEST_FPERIOD_OVERRIDE=FQ","FILING_STATUS=MR","FA_ADJUSTED=GAAP","Sort=A","Dates=H","DateFormat=P","Fill=—","Direction=H","UseDPDF=Y")</f>
        <v>-33.763199999999998</v>
      </c>
      <c r="I9" s="14">
        <f>_xll.BDH("ITCI US Equity","OPER_INC_GROWTH","FQ2 2020","FQ2 2020","Currency=USD","Period=FQ","BEST_FPERIOD_OVERRIDE=FQ","FILING_STATUS=MR","FA_ADJUSTED=GAAP","Sort=A","Dates=H","DateFormat=P","Fill=—","Direction=H","UseDPDF=Y")</f>
        <v>-65.6126</v>
      </c>
      <c r="J9" s="14">
        <f>_xll.BDH("ITCI US Equity","OPER_INC_GROWTH","FQ3 2020","FQ3 2020","Currency=USD","Period=FQ","BEST_FPERIOD_OVERRIDE=FQ","FILING_STATUS=MR","FA_ADJUSTED=GAAP","Sort=A","Dates=H","DateFormat=P","Fill=—","Direction=H","UseDPDF=Y")</f>
        <v>-53.771999999999998</v>
      </c>
      <c r="K9" s="14">
        <f>_xll.BDH("ITCI US Equity","OPER_INC_GROWTH","FQ4 2020","FQ4 2020","Currency=USD","Period=FQ","BEST_FPERIOD_OVERRIDE=FQ","FILING_STATUS=MR","FA_ADJUSTED=GAAP","Sort=A","Dates=H","DateFormat=P","Fill=—","Direction=H","UseDPDF=Y")</f>
        <v>-46.840600000000002</v>
      </c>
      <c r="L9" s="14">
        <f>_xll.BDH("ITCI US Equity","OPER_INC_GROWTH","FQ1 2021","FQ1 2021","Currency=USD","Period=FQ","BEST_FPERIOD_OVERRIDE=FQ","FILING_STATUS=MR","FA_ADJUSTED=GAAP","Sort=A","Dates=H","DateFormat=P","Fill=—","Direction=H","UseDPDF=Y")</f>
        <v>-8.4202999999999992</v>
      </c>
      <c r="M9" s="14">
        <f>_xll.BDH("ITCI US Equity","OPER_INC_GROWTH","FQ2 2021","FQ2 2021","Currency=USD","Period=FQ","BEST_FPERIOD_OVERRIDE=FQ","FILING_STATUS=MR","FA_ADJUSTED=GAAP","Sort=A","Dates=H","DateFormat=P","Fill=—","Direction=H","UseDPDF=Y")</f>
        <v>-6.5801999999999996</v>
      </c>
      <c r="N9" s="14">
        <f>_xll.BDH("ITCI US Equity","OPER_INC_GROWTH","FQ3 2021","FQ3 2021","Currency=USD","Period=FQ","BEST_FPERIOD_OVERRIDE=FQ","FILING_STATUS=MR","FA_ADJUSTED=GAAP","Sort=A","Dates=H","DateFormat=P","Fill=—","Direction=H","UseDPDF=Y")</f>
        <v>-38.235100000000003</v>
      </c>
      <c r="O9" s="14">
        <f>_xll.BDH("ITCI US Equity","OPER_INC_GROWTH","FQ4 2021","FQ4 2021","Currency=USD","Period=FQ","BEST_FPERIOD_OVERRIDE=FQ","FILING_STATUS=MR","FA_ADJUSTED=GAAP","Sort=A","Dates=H","DateFormat=P","Fill=—","Direction=H","UseDPDF=Y")</f>
        <v>-40.224800000000002</v>
      </c>
      <c r="P9" s="14">
        <f>_xll.BDH("ITCI US Equity","OPER_INC_GROWTH","FQ1 2022","FQ1 2022","Currency=USD","Period=FQ","BEST_FPERIOD_OVERRIDE=FQ","FILING_STATUS=MR","FA_ADJUSTED=GAAP","Sort=A","Dates=H","DateFormat=P","Fill=—","Direction=H","UseDPDF=Y")</f>
        <v>-36.534700000000001</v>
      </c>
      <c r="Q9" s="14">
        <f>_xll.BDH("ITCI US Equity","OPER_INC_GROWTH","FQ2 2022","FQ2 2022","Currency=USD","Period=FQ","BEST_FPERIOD_OVERRIDE=FQ","FILING_STATUS=MR","FA_ADJUSTED=GAAP","Sort=A","Dates=H","DateFormat=P","Fill=—","Direction=H","UseDPDF=Y")</f>
        <v>-27.1647</v>
      </c>
      <c r="R9" s="14">
        <f>_xll.BDH("ITCI US Equity","OPER_INC_GROWTH","FQ3 2022","FQ3 2022","Currency=USD","Period=FQ","BEST_FPERIOD_OVERRIDE=FQ","FILING_STATUS=MR","FA_ADJUSTED=GAAP","Sort=A","Dates=H","DateFormat=P","Fill=—","Direction=H","UseDPDF=Y")</f>
        <v>28.057099999999998</v>
      </c>
      <c r="S9" s="14">
        <f>_xll.BDH("ITCI US Equity","OPER_INC_GROWTH","FQ4 2022","FQ4 2022","Currency=USD","Period=FQ","BEST_FPERIOD_OVERRIDE=FQ","FILING_STATUS=MR","FA_ADJUSTED=GAAP","Sort=A","Dates=H","DateFormat=P","Fill=—","Direction=H","UseDPDF=Y")</f>
        <v>44.872700000000002</v>
      </c>
      <c r="T9" s="14">
        <f>_xll.BDH("ITCI US Equity","OPER_INC_GROWTH","FQ1 2023","FQ1 2023","Currency=USD","Period=FQ","BEST_FPERIOD_OVERRIDE=FQ","FILING_STATUS=MR","FA_ADJUSTED=GAAP","Sort=A","Dates=H","DateFormat=P","Fill=—","Direction=H","UseDPDF=Y")</f>
        <v>33.401200000000003</v>
      </c>
      <c r="U9" s="14">
        <f>_xll.BDH("ITCI US Equity","OPER_INC_GROWTH","FQ2 2023","FQ2 2023","Currency=USD","Period=FQ","BEST_FPERIOD_OVERRIDE=FQ","FILING_STATUS=MR","FA_ADJUSTED=GAAP","Sort=A","Dates=H","DateFormat=P","Fill=—","Direction=H","UseDPDF=Y")</f>
        <v>46.340499999999999</v>
      </c>
      <c r="V9" s="14">
        <f>_xll.BDH("ITCI US Equity","OPER_INC_GROWTH","FQ3 2023","FQ3 2023","Currency=USD","Period=FQ","BEST_FPERIOD_OVERRIDE=FQ","FILING_STATUS=MR","FA_ADJUSTED=GAAP","Sort=A","Dates=H","DateFormat=P","Fill=—","Direction=H","UseDPDF=Y")</f>
        <v>46.587200000000003</v>
      </c>
      <c r="W9" s="14">
        <f>_xll.BDH("ITCI US Equity","OPER_INC_GROWTH","FQ4 2023","FQ4 2023","Currency=USD","Period=FQ","BEST_FPERIOD_OVERRIDE=FQ","FILING_STATUS=MR","FA_ADJUSTED=GAAP","Sort=A","Dates=H","DateFormat=P","Fill=—","Direction=H","UseDPDF=Y")</f>
        <v>28.083600000000001</v>
      </c>
      <c r="X9" s="14">
        <f>_xll.BDH("ITCI US Equity","OPER_INC_GROWTH","FQ1 2024","FQ1 2024","Currency=USD","Period=FQ","BEST_FPERIOD_OVERRIDE=FQ","FILING_STATUS=MR","FA_ADJUSTED=GAAP","Sort=A","Dates=H","DateFormat=P","Fill=—","Direction=H","UseDPDF=Y")</f>
        <v>56.703600000000002</v>
      </c>
      <c r="Y9" s="14">
        <f>_xll.BDH("ITCI US Equity","OPER_INC_GROWTH","FQ2 2024","FQ2 2024","Currency=USD","Period=FQ","BEST_FPERIOD_OVERRIDE=FQ","FILING_STATUS=MR","FA_ADJUSTED=GAAP","Sort=A","Dates=H","DateFormat=P","Fill=—","Direction=H","UseDPDF=Y")</f>
        <v>41.238700000000001</v>
      </c>
      <c r="Z9" s="14">
        <f>_xll.BDH("ITCI US Equity","OPER_INC_GROWTH","FQ3 2024","FQ3 2024","Currency=USD","Period=FQ","BEST_FPERIOD_OVERRIDE=FQ","FILING_STATUS=MR","FA_ADJUSTED=GAAP","Sort=A","Dates=H","DateFormat=P","Fill=—","Direction=H","UseDPDF=Y")</f>
        <v>-30.747499999999999</v>
      </c>
      <c r="AA9" s="14">
        <f>_xll.BDH("ITCI US Equity","OPER_INC_GROWTH","FQ4 2024","FQ4 2024","Currency=USD","Period=FQ","BEST_FPERIOD_OVERRIDE=FQ","FILING_STATUS=MR","FA_ADJUSTED=GAAP","Sort=A","Dates=H","DateFormat=P","Fill=—","Direction=H","UseDPDF=Y")</f>
        <v>14.370799999999999</v>
      </c>
    </row>
    <row r="10" spans="1:27" x14ac:dyDescent="0.25">
      <c r="A10" s="10" t="s">
        <v>100</v>
      </c>
      <c r="B10" s="10" t="s">
        <v>1107</v>
      </c>
      <c r="C10" s="14">
        <f>_xll.BDH("ITCI US Equity","EARN_FOR_COM_GROWTH","FQ4 2018","FQ4 2018","Currency=USD","Period=FQ","BEST_FPERIOD_OVERRIDE=FQ","FILING_STATUS=MR","FA_ADJUSTED=GAAP","Sort=A","Dates=H","DateFormat=P","Fill=—","Direction=H","UseDPDF=Y")</f>
        <v>-34.888399999999997</v>
      </c>
      <c r="D10" s="14">
        <f>_xll.BDH("ITCI US Equity","EARN_FOR_COM_GROWTH","FQ1 2019","FQ1 2019","Currency=USD","Period=FQ","BEST_FPERIOD_OVERRIDE=FQ","FILING_STATUS=MR","FA_ADJUSTED=GAAP","Sort=A","Dates=H","DateFormat=P","Fill=—","Direction=H","UseDPDF=Y")</f>
        <v>1.8160000000000001</v>
      </c>
      <c r="E10" s="14">
        <f>_xll.BDH("ITCI US Equity","EARN_FOR_COM_GROWTH","FQ2 2019","FQ2 2019","Currency=USD","Period=FQ","BEST_FPERIOD_OVERRIDE=FQ","FILING_STATUS=MR","FA_ADJUSTED=GAAP","Sort=A","Dates=H","DateFormat=P","Fill=—","Direction=H","UseDPDF=Y")</f>
        <v>-0.17330000000000001</v>
      </c>
      <c r="F10" s="14">
        <f>_xll.BDH("ITCI US Equity","EARN_FOR_COM_GROWTH","FQ3 2019","FQ3 2019","Currency=USD","Period=FQ","BEST_FPERIOD_OVERRIDE=FQ","FILING_STATUS=MR","FA_ADJUSTED=GAAP","Sort=A","Dates=H","DateFormat=P","Fill=—","Direction=H","UseDPDF=Y")</f>
        <v>16.040600000000001</v>
      </c>
      <c r="G10" s="14">
        <f>_xll.BDH("ITCI US Equity","EARN_FOR_COM_GROWTH","FQ4 2019","FQ4 2019","Currency=USD","Period=FQ","BEST_FPERIOD_OVERRIDE=FQ","FILING_STATUS=MR","FA_ADJUSTED=GAAP","Sort=A","Dates=H","DateFormat=P","Fill=—","Direction=H","UseDPDF=Y")</f>
        <v>0.40539999999999998</v>
      </c>
      <c r="H10" s="14">
        <f>_xll.BDH("ITCI US Equity","EARN_FOR_COM_GROWTH","FQ1 2020","FQ1 2020","Currency=USD","Period=FQ","BEST_FPERIOD_OVERRIDE=FQ","FILING_STATUS=MR","FA_ADJUSTED=GAAP","Sort=A","Dates=H","DateFormat=P","Fill=—","Direction=H","UseDPDF=Y")</f>
        <v>-36.097499999999997</v>
      </c>
      <c r="I10" s="14">
        <f>_xll.BDH("ITCI US Equity","EARN_FOR_COM_GROWTH","FQ2 2020","FQ2 2020","Currency=USD","Period=FQ","BEST_FPERIOD_OVERRIDE=FQ","FILING_STATUS=MR","FA_ADJUSTED=GAAP","Sort=A","Dates=H","DateFormat=P","Fill=—","Direction=H","UseDPDF=Y")</f>
        <v>-70.166300000000007</v>
      </c>
      <c r="J10" s="14">
        <f>_xll.BDH("ITCI US Equity","EARN_FOR_COM_GROWTH","FQ3 2020","FQ3 2020","Currency=USD","Period=FQ","BEST_FPERIOD_OVERRIDE=FQ","FILING_STATUS=MR","FA_ADJUSTED=GAAP","Sort=A","Dates=H","DateFormat=P","Fill=—","Direction=H","UseDPDF=Y")</f>
        <v>-58.2898</v>
      </c>
      <c r="K10" s="14">
        <f>_xll.BDH("ITCI US Equity","EARN_FOR_COM_GROWTH","FQ4 2020","FQ4 2020","Currency=USD","Period=FQ","BEST_FPERIOD_OVERRIDE=FQ","FILING_STATUS=MR","FA_ADJUSTED=GAAP","Sort=A","Dates=H","DateFormat=P","Fill=—","Direction=H","UseDPDF=Y")</f>
        <v>-49.5685</v>
      </c>
      <c r="L10" s="14">
        <f>_xll.BDH("ITCI US Equity","EARN_FOR_COM_GROWTH","FQ1 2021","FQ1 2021","Currency=USD","Period=FQ","BEST_FPERIOD_OVERRIDE=FQ","FILING_STATUS=MR","FA_ADJUSTED=GAAP","Sort=A","Dates=H","DateFormat=P","Fill=—","Direction=H","UseDPDF=Y")</f>
        <v>-11.2408</v>
      </c>
      <c r="M10" s="14">
        <f>_xll.BDH("ITCI US Equity","EARN_FOR_COM_GROWTH","FQ2 2021","FQ2 2021","Currency=USD","Period=FQ","BEST_FPERIOD_OVERRIDE=FQ","FILING_STATUS=MR","FA_ADJUSTED=GAAP","Sort=A","Dates=H","DateFormat=P","Fill=—","Direction=H","UseDPDF=Y")</f>
        <v>-7.8973000000000004</v>
      </c>
      <c r="N10" s="14">
        <f>_xll.BDH("ITCI US Equity","EARN_FOR_COM_GROWTH","FQ3 2021","FQ3 2021","Currency=USD","Period=FQ","BEST_FPERIOD_OVERRIDE=FQ","FILING_STATUS=MR","FA_ADJUSTED=GAAP","Sort=A","Dates=H","DateFormat=P","Fill=—","Direction=H","UseDPDF=Y")</f>
        <v>-39.367400000000004</v>
      </c>
      <c r="O10" s="14">
        <f>_xll.BDH("ITCI US Equity","EARN_FOR_COM_GROWTH","FQ4 2021","FQ4 2021","Currency=USD","Period=FQ","BEST_FPERIOD_OVERRIDE=FQ","FILING_STATUS=MR","FA_ADJUSTED=GAAP","Sort=A","Dates=H","DateFormat=P","Fill=—","Direction=H","UseDPDF=Y")</f>
        <v>-41.244</v>
      </c>
      <c r="P10" s="14">
        <f>_xll.BDH("ITCI US Equity","EARN_FOR_COM_GROWTH","FQ1 2022","FQ1 2022","Currency=USD","Period=FQ","BEST_FPERIOD_OVERRIDE=FQ","FILING_STATUS=MR","FA_ADJUSTED=GAAP","Sort=A","Dates=H","DateFormat=P","Fill=—","Direction=H","UseDPDF=Y")</f>
        <v>-36.744599999999998</v>
      </c>
      <c r="Q10" s="14">
        <f>_xll.BDH("ITCI US Equity","EARN_FOR_COM_GROWTH","FQ2 2022","FQ2 2022","Currency=USD","Period=FQ","BEST_FPERIOD_OVERRIDE=FQ","FILING_STATUS=MR","FA_ADJUSTED=GAAP","Sort=A","Dates=H","DateFormat=P","Fill=—","Direction=H","UseDPDF=Y")</f>
        <v>-25.979399999999998</v>
      </c>
      <c r="R10" s="14">
        <f>_xll.BDH("ITCI US Equity","EARN_FOR_COM_GROWTH","FQ3 2022","FQ3 2022","Currency=USD","Period=FQ","BEST_FPERIOD_OVERRIDE=FQ","FILING_STATUS=MR","FA_ADJUSTED=GAAP","Sort=A","Dates=H","DateFormat=P","Fill=—","Direction=H","UseDPDF=Y")</f>
        <v>30.425999999999998</v>
      </c>
      <c r="S10" s="14">
        <f>_xll.BDH("ITCI US Equity","EARN_FOR_COM_GROWTH","FQ4 2022","FQ4 2022","Currency=USD","Period=FQ","BEST_FPERIOD_OVERRIDE=FQ","FILING_STATUS=MR","FA_ADJUSTED=GAAP","Sort=A","Dates=H","DateFormat=P","Fill=—","Direction=H","UseDPDF=Y")</f>
        <v>48.648099999999999</v>
      </c>
      <c r="T10" s="14">
        <f>_xll.BDH("ITCI US Equity","EARN_FOR_COM_GROWTH","FQ1 2023","FQ1 2023","Currency=USD","Period=FQ","BEST_FPERIOD_OVERRIDE=FQ","FILING_STATUS=MR","FA_ADJUSTED=GAAP","Sort=A","Dates=H","DateFormat=P","Fill=—","Direction=H","UseDPDF=Y")</f>
        <v>38.916200000000003</v>
      </c>
      <c r="U10" s="14">
        <f>_xll.BDH("ITCI US Equity","EARN_FOR_COM_GROWTH","FQ2 2023","FQ2 2023","Currency=USD","Period=FQ","BEST_FPERIOD_OVERRIDE=FQ","FILING_STATUS=MR","FA_ADJUSTED=GAAP","Sort=A","Dates=H","DateFormat=P","Fill=—","Direction=H","UseDPDF=Y")</f>
        <v>50.5976</v>
      </c>
      <c r="V10" s="14">
        <f>_xll.BDH("ITCI US Equity","EARN_FOR_COM_GROWTH","FQ3 2023","FQ3 2023","Currency=USD","Period=FQ","BEST_FPERIOD_OVERRIDE=FQ","FILING_STATUS=MR","FA_ADJUSTED=GAAP","Sort=A","Dates=H","DateFormat=P","Fill=—","Direction=H","UseDPDF=Y")</f>
        <v>54.664700000000003</v>
      </c>
      <c r="W10" s="14">
        <f>_xll.BDH("ITCI US Equity","EARN_FOR_COM_GROWTH","FQ4 2023","FQ4 2023","Currency=USD","Period=FQ","BEST_FPERIOD_OVERRIDE=FQ","FILING_STATUS=MR","FA_ADJUSTED=GAAP","Sort=A","Dates=H","DateFormat=P","Fill=—","Direction=H","UseDPDF=Y")</f>
        <v>35.086100000000002</v>
      </c>
      <c r="X10" s="14">
        <f>_xll.BDH("ITCI US Equity","EARN_FOR_COM_GROWTH","FQ1 2024","FQ1 2024","Currency=USD","Period=FQ","BEST_FPERIOD_OVERRIDE=FQ","FILING_STATUS=MR","FA_ADJUSTED=GAAP","Sort=A","Dates=H","DateFormat=P","Fill=—","Direction=H","UseDPDF=Y")</f>
        <v>65.389399999999995</v>
      </c>
      <c r="Y10" s="14">
        <f>_xll.BDH("ITCI US Equity","EARN_FOR_COM_GROWTH","FQ2 2024","FQ2 2024","Currency=USD","Period=FQ","BEST_FPERIOD_OVERRIDE=FQ","FILING_STATUS=MR","FA_ADJUSTED=GAAP","Sort=A","Dates=H","DateFormat=P","Fill=—","Direction=H","UseDPDF=Y")</f>
        <v>62.0886</v>
      </c>
      <c r="Z10" s="14">
        <f>_xll.BDH("ITCI US Equity","EARN_FOR_COM_GROWTH","FQ3 2024","FQ3 2024","Currency=USD","Period=FQ","BEST_FPERIOD_OVERRIDE=FQ","FILING_STATUS=MR","FA_ADJUSTED=GAAP","Sort=A","Dates=H","DateFormat=P","Fill=—","Direction=H","UseDPDF=Y")</f>
        <v>-8.5167999999999999</v>
      </c>
      <c r="AA10" s="14">
        <f>_xll.BDH("ITCI US Equity","EARN_FOR_COM_GROWTH","FQ4 2024","FQ4 2024","Currency=USD","Period=FQ","BEST_FPERIOD_OVERRIDE=FQ","FILING_STATUS=MR","FA_ADJUSTED=GAAP","Sort=A","Dates=H","DateFormat=P","Fill=—","Direction=H","UseDPDF=Y")</f>
        <v>40.918199999999999</v>
      </c>
    </row>
    <row r="11" spans="1:27" x14ac:dyDescent="0.25">
      <c r="A11" s="10" t="s">
        <v>1108</v>
      </c>
      <c r="B11" s="10" t="s">
        <v>83</v>
      </c>
      <c r="C11" s="14">
        <f>_xll.BDH("ITCI US Equity","DILUTED_EPS_AFT_XO_ITEMS_GROWTH","FQ4 2018","FQ4 2018","Currency=USD","Period=FQ","BEST_FPERIOD_OVERRIDE=FQ","FILING_STATUS=MR","FA_ADJUSTED=GAAP","Sort=A","Dates=H","DateFormat=P","Fill=—","Direction=H","UseDPDF=Y")</f>
        <v>-33.928600000000003</v>
      </c>
      <c r="D11" s="14">
        <f>_xll.BDH("ITCI US Equity","DILUTED_EPS_AFT_XO_ITEMS_GROWTH","FQ1 2019","FQ1 2019","Currency=USD","Period=FQ","BEST_FPERIOD_OVERRIDE=FQ","FILING_STATUS=MR","FA_ADJUSTED=GAAP","Sort=A","Dates=H","DateFormat=P","Fill=—","Direction=H","UseDPDF=Y")</f>
        <v>3.0769000000000002</v>
      </c>
      <c r="E11" s="14">
        <f>_xll.BDH("ITCI US Equity","DILUTED_EPS_AFT_XO_ITEMS_GROWTH","FQ2 2019","FQ2 2019","Currency=USD","Period=FQ","BEST_FPERIOD_OVERRIDE=FQ","FILING_STATUS=MR","FA_ADJUSTED=GAAP","Sort=A","Dates=H","DateFormat=P","Fill=—","Direction=H","UseDPDF=Y")</f>
        <v>0</v>
      </c>
      <c r="F11" s="14">
        <f>_xll.BDH("ITCI US Equity","DILUTED_EPS_AFT_XO_ITEMS_GROWTH","FQ3 2019","FQ3 2019","Currency=USD","Period=FQ","BEST_FPERIOD_OVERRIDE=FQ","FILING_STATUS=MR","FA_ADJUSTED=GAAP","Sort=A","Dates=H","DateFormat=P","Fill=—","Direction=H","UseDPDF=Y")</f>
        <v>17.1053</v>
      </c>
      <c r="G11" s="14">
        <f>_xll.BDH("ITCI US Equity","DILUTED_EPS_AFT_XO_ITEMS_GROWTH","FQ4 2019","FQ4 2019","Currency=USD","Period=FQ","BEST_FPERIOD_OVERRIDE=FQ","FILING_STATUS=MR","FA_ADJUSTED=GAAP","Sort=A","Dates=H","DateFormat=P","Fill=—","Direction=H","UseDPDF=Y")</f>
        <v>1.3332999999999999</v>
      </c>
      <c r="H11" s="14">
        <f>_xll.BDH("ITCI US Equity","DILUTED_EPS_AFT_XO_ITEMS_GROWTH","FQ1 2020","FQ1 2020","Currency=USD","Period=FQ","BEST_FPERIOD_OVERRIDE=FQ","FILING_STATUS=MR","FA_ADJUSTED=GAAP","Sort=A","Dates=H","DateFormat=P","Fill=—","Direction=H","UseDPDF=Y")</f>
        <v>-15.872999999999999</v>
      </c>
      <c r="I11" s="14">
        <f>_xll.BDH("ITCI US Equity","DILUTED_EPS_AFT_XO_ITEMS_GROWTH","FQ2 2020","FQ2 2020","Currency=USD","Period=FQ","BEST_FPERIOD_OVERRIDE=FQ","FILING_STATUS=MR","FA_ADJUSTED=GAAP","Sort=A","Dates=H","DateFormat=P","Fill=—","Direction=H","UseDPDF=Y")</f>
        <v>-41.176499999999997</v>
      </c>
      <c r="J11" s="14">
        <f>_xll.BDH("ITCI US Equity","DILUTED_EPS_AFT_XO_ITEMS_GROWTH","FQ3 2020","FQ3 2020","Currency=USD","Period=FQ","BEST_FPERIOD_OVERRIDE=FQ","FILING_STATUS=MR","FA_ADJUSTED=GAAP","Sort=A","Dates=H","DateFormat=P","Fill=—","Direction=H","UseDPDF=Y")</f>
        <v>-25.396799999999999</v>
      </c>
      <c r="K11" s="14">
        <f>_xll.BDH("ITCI US Equity","DILUTED_EPS_AFT_XO_ITEMS_GROWTH","FQ4 2020","FQ4 2020","Currency=USD","Period=FQ","BEST_FPERIOD_OVERRIDE=FQ","FILING_STATUS=MR","FA_ADJUSTED=GAAP","Sort=A","Dates=H","DateFormat=P","Fill=—","Direction=H","UseDPDF=Y")</f>
        <v>-2.7027000000000001</v>
      </c>
      <c r="L11" s="14">
        <f>_xll.BDH("ITCI US Equity","DILUTED_EPS_AFT_XO_ITEMS_GROWTH","FQ1 2021","FQ1 2021","Currency=USD","Period=FQ","BEST_FPERIOD_OVERRIDE=FQ","FILING_STATUS=MR","FA_ADJUSTED=GAAP","Sort=A","Dates=H","DateFormat=P","Fill=—","Direction=H","UseDPDF=Y")</f>
        <v>10.9589</v>
      </c>
      <c r="M11" s="14">
        <f>_xll.BDH("ITCI US Equity","DILUTED_EPS_AFT_XO_ITEMS_GROWTH","FQ2 2021","FQ2 2021","Currency=USD","Period=FQ","BEST_FPERIOD_OVERRIDE=FQ","FILING_STATUS=MR","FA_ADJUSTED=GAAP","Sort=A","Dates=H","DateFormat=P","Fill=—","Direction=H","UseDPDF=Y")</f>
        <v>11.458299999999999</v>
      </c>
      <c r="N11" s="14">
        <f>_xll.BDH("ITCI US Equity","DILUTED_EPS_AFT_XO_ITEMS_GROWTH","FQ3 2021","FQ3 2021","Currency=USD","Period=FQ","BEST_FPERIOD_OVERRIDE=FQ","FILING_STATUS=MR","FA_ADJUSTED=GAAP","Sort=A","Dates=H","DateFormat=P","Fill=—","Direction=H","UseDPDF=Y")</f>
        <v>-20.2532</v>
      </c>
      <c r="O11" s="14">
        <f>_xll.BDH("ITCI US Equity","DILUTED_EPS_AFT_XO_ITEMS_GROWTH","FQ4 2021","FQ4 2021","Currency=USD","Period=FQ","BEST_FPERIOD_OVERRIDE=FQ","FILING_STATUS=MR","FA_ADJUSTED=GAAP","Sort=A","Dates=H","DateFormat=P","Fill=—","Direction=H","UseDPDF=Y")</f>
        <v>-38.157899999999998</v>
      </c>
      <c r="P11" s="14">
        <f>_xll.BDH("ITCI US Equity","DILUTED_EPS_AFT_XO_ITEMS_GROWTH","FQ1 2022","FQ1 2022","Currency=USD","Period=FQ","BEST_FPERIOD_OVERRIDE=FQ","FILING_STATUS=MR","FA_ADJUSTED=GAAP","Sort=A","Dates=H","DateFormat=P","Fill=—","Direction=H","UseDPDF=Y")</f>
        <v>-20</v>
      </c>
      <c r="Q11" s="14">
        <f>_xll.BDH("ITCI US Equity","DILUTED_EPS_AFT_XO_ITEMS_GROWTH","FQ2 2022","FQ2 2022","Currency=USD","Period=FQ","BEST_FPERIOD_OVERRIDE=FQ","FILING_STATUS=MR","FA_ADJUSTED=GAAP","Sort=A","Dates=H","DateFormat=P","Fill=—","Direction=H","UseDPDF=Y")</f>
        <v>-8.2353000000000005</v>
      </c>
      <c r="R11" s="14">
        <f>_xll.BDH("ITCI US Equity","DILUTED_EPS_AFT_XO_ITEMS_GROWTH","FQ3 2022","FQ3 2022","Currency=USD","Period=FQ","BEST_FPERIOD_OVERRIDE=FQ","FILING_STATUS=MR","FA_ADJUSTED=GAAP","Sort=A","Dates=H","DateFormat=P","Fill=—","Direction=H","UseDPDF=Y")</f>
        <v>40</v>
      </c>
      <c r="S11" s="14">
        <f>_xll.BDH("ITCI US Equity","DILUTED_EPS_AFT_XO_ITEMS_GROWTH","FQ4 2022","FQ4 2022","Currency=USD","Period=FQ","BEST_FPERIOD_OVERRIDE=FQ","FILING_STATUS=MR","FA_ADJUSTED=GAAP","Sort=A","Dates=H","DateFormat=P","Fill=—","Direction=H","UseDPDF=Y")</f>
        <v>57.142899999999997</v>
      </c>
      <c r="T11" s="14">
        <f>_xll.BDH("ITCI US Equity","DILUTED_EPS_AFT_XO_ITEMS_GROWTH","FQ1 2023","FQ1 2023","Currency=USD","Period=FQ","BEST_FPERIOD_OVERRIDE=FQ","FILING_STATUS=MR","FA_ADJUSTED=GAAP","Sort=A","Dates=H","DateFormat=P","Fill=—","Direction=H","UseDPDF=Y")</f>
        <v>41.025599999999997</v>
      </c>
      <c r="U11" s="14">
        <f>_xll.BDH("ITCI US Equity","DILUTED_EPS_AFT_XO_ITEMS_GROWTH","FQ2 2023","FQ2 2023","Currency=USD","Period=FQ","BEST_FPERIOD_OVERRIDE=FQ","FILING_STATUS=MR","FA_ADJUSTED=GAAP","Sort=A","Dates=H","DateFormat=P","Fill=—","Direction=H","UseDPDF=Y")</f>
        <v>51.087000000000003</v>
      </c>
      <c r="V11" s="14">
        <f>_xll.BDH("ITCI US Equity","DILUTED_EPS_AFT_XO_ITEMS_GROWTH","FQ3 2023","FQ3 2023","Currency=USD","Period=FQ","BEST_FPERIOD_OVERRIDE=FQ","FILING_STATUS=MR","FA_ADJUSTED=GAAP","Sort=A","Dates=H","DateFormat=P","Fill=—","Direction=H","UseDPDF=Y")</f>
        <v>56.1404</v>
      </c>
      <c r="W11" s="14">
        <f>_xll.BDH("ITCI US Equity","DILUTED_EPS_AFT_XO_ITEMS_GROWTH","FQ4 2023","FQ4 2023","Currency=USD","Period=FQ","BEST_FPERIOD_OVERRIDE=FQ","FILING_STATUS=MR","FA_ADJUSTED=GAAP","Sort=A","Dates=H","DateFormat=P","Fill=—","Direction=H","UseDPDF=Y")</f>
        <v>33.333300000000001</v>
      </c>
      <c r="X11" s="14">
        <f>_xll.BDH("ITCI US Equity","DILUTED_EPS_AFT_XO_ITEMS_GROWTH","FQ1 2024","FQ1 2024","Currency=USD","Period=FQ","BEST_FPERIOD_OVERRIDE=FQ","FILING_STATUS=MR","FA_ADJUSTED=GAAP","Sort=A","Dates=H","DateFormat=P","Fill=—","Direction=H","UseDPDF=Y")</f>
        <v>65.217399999999998</v>
      </c>
      <c r="Y11" s="14">
        <f>_xll.BDH("ITCI US Equity","DILUTED_EPS_AFT_XO_ITEMS_GROWTH","FQ2 2024","FQ2 2024","Currency=USD","Period=FQ","BEST_FPERIOD_OVERRIDE=FQ","FILING_STATUS=MR","FA_ADJUSTED=GAAP","Sort=A","Dates=H","DateFormat=P","Fill=—","Direction=H","UseDPDF=Y")</f>
        <v>64.444400000000002</v>
      </c>
      <c r="Z11" s="14">
        <f>_xll.BDH("ITCI US Equity","DILUTED_EPS_AFT_XO_ITEMS_GROWTH","FQ3 2024","FQ3 2024","Currency=USD","Period=FQ","BEST_FPERIOD_OVERRIDE=FQ","FILING_STATUS=MR","FA_ADJUSTED=GAAP","Sort=A","Dates=H","DateFormat=P","Fill=—","Direction=H","UseDPDF=Y")</f>
        <v>0</v>
      </c>
      <c r="AA11" s="14">
        <f>_xll.BDH("ITCI US Equity","DILUTED_EPS_AFT_XO_ITEMS_GROWTH","FQ4 2024","FQ4 2024","Currency=USD","Period=FQ","BEST_FPERIOD_OVERRIDE=FQ","FILING_STATUS=MR","FA_ADJUSTED=GAAP","Sort=A","Dates=H","DateFormat=P","Fill=—","Direction=H","UseDPDF=Y")</f>
        <v>46.666699999999999</v>
      </c>
    </row>
    <row r="12" spans="1:27" x14ac:dyDescent="0.25">
      <c r="A12" s="10" t="s">
        <v>1109</v>
      </c>
      <c r="B12" s="10" t="s">
        <v>1110</v>
      </c>
      <c r="C12" s="14">
        <f>_xll.BDH("ITCI US Equity","DILUTED_EPS_BEF_XO_ITEMS_GROWTH","FQ4 2018","FQ4 2018","Currency=USD","Period=FQ","BEST_FPERIOD_OVERRIDE=FQ","FILING_STATUS=MR","Sort=A","Dates=H","DateFormat=P","Fill=—","Direction=H","UseDPDF=Y")</f>
        <v>-33.928600000000003</v>
      </c>
      <c r="D12" s="14">
        <f>_xll.BDH("ITCI US Equity","DILUTED_EPS_BEF_XO_ITEMS_GROWTH","FQ1 2019","FQ1 2019","Currency=USD","Period=FQ","BEST_FPERIOD_OVERRIDE=FQ","FILING_STATUS=MR","Sort=A","Dates=H","DateFormat=P","Fill=—","Direction=H","UseDPDF=Y")</f>
        <v>3.0769000000000002</v>
      </c>
      <c r="E12" s="14">
        <f>_xll.BDH("ITCI US Equity","DILUTED_EPS_BEF_XO_ITEMS_GROWTH","FQ2 2019","FQ2 2019","Currency=USD","Period=FQ","BEST_FPERIOD_OVERRIDE=FQ","FILING_STATUS=MR","Sort=A","Dates=H","DateFormat=P","Fill=—","Direction=H","UseDPDF=Y")</f>
        <v>0</v>
      </c>
      <c r="F12" s="14">
        <f>_xll.BDH("ITCI US Equity","DILUTED_EPS_BEF_XO_ITEMS_GROWTH","FQ3 2019","FQ3 2019","Currency=USD","Period=FQ","BEST_FPERIOD_OVERRIDE=FQ","FILING_STATUS=MR","Sort=A","Dates=H","DateFormat=P","Fill=—","Direction=H","UseDPDF=Y")</f>
        <v>17.1053</v>
      </c>
      <c r="G12" s="14">
        <f>_xll.BDH("ITCI US Equity","DILUTED_EPS_BEF_XO_ITEMS_GROWTH","FQ4 2019","FQ4 2019","Currency=USD","Period=FQ","BEST_FPERIOD_OVERRIDE=FQ","FILING_STATUS=MR","Sort=A","Dates=H","DateFormat=P","Fill=—","Direction=H","UseDPDF=Y")</f>
        <v>1.3332999999999999</v>
      </c>
      <c r="H12" s="14">
        <f>_xll.BDH("ITCI US Equity","DILUTED_EPS_BEF_XO_ITEMS_GROWTH","FQ1 2020","FQ1 2020","Currency=USD","Period=FQ","BEST_FPERIOD_OVERRIDE=FQ","FILING_STATUS=MR","Sort=A","Dates=H","DateFormat=P","Fill=—","Direction=H","UseDPDF=Y")</f>
        <v>-15.872999999999999</v>
      </c>
      <c r="I12" s="14">
        <f>_xll.BDH("ITCI US Equity","DILUTED_EPS_BEF_XO_ITEMS_GROWTH","FQ2 2020","FQ2 2020","Currency=USD","Period=FQ","BEST_FPERIOD_OVERRIDE=FQ","FILING_STATUS=MR","Sort=A","Dates=H","DateFormat=P","Fill=—","Direction=H","UseDPDF=Y")</f>
        <v>-41.176499999999997</v>
      </c>
      <c r="J12" s="14">
        <f>_xll.BDH("ITCI US Equity","DILUTED_EPS_BEF_XO_ITEMS_GROWTH","FQ3 2020","FQ3 2020","Currency=USD","Period=FQ","BEST_FPERIOD_OVERRIDE=FQ","FILING_STATUS=MR","Sort=A","Dates=H","DateFormat=P","Fill=—","Direction=H","UseDPDF=Y")</f>
        <v>-25.396799999999999</v>
      </c>
      <c r="K12" s="14">
        <f>_xll.BDH("ITCI US Equity","DILUTED_EPS_BEF_XO_ITEMS_GROWTH","FQ4 2020","FQ4 2020","Currency=USD","Period=FQ","BEST_FPERIOD_OVERRIDE=FQ","FILING_STATUS=MR","Sort=A","Dates=H","DateFormat=P","Fill=—","Direction=H","UseDPDF=Y")</f>
        <v>-2.7027000000000001</v>
      </c>
      <c r="L12" s="14">
        <f>_xll.BDH("ITCI US Equity","DILUTED_EPS_BEF_XO_ITEMS_GROWTH","FQ1 2021","FQ1 2021","Currency=USD","Period=FQ","BEST_FPERIOD_OVERRIDE=FQ","FILING_STATUS=MR","Sort=A","Dates=H","DateFormat=P","Fill=—","Direction=H","UseDPDF=Y")</f>
        <v>10.9589</v>
      </c>
      <c r="M12" s="14">
        <f>_xll.BDH("ITCI US Equity","DILUTED_EPS_BEF_XO_ITEMS_GROWTH","FQ2 2021","FQ2 2021","Currency=USD","Period=FQ","BEST_FPERIOD_OVERRIDE=FQ","FILING_STATUS=MR","Sort=A","Dates=H","DateFormat=P","Fill=—","Direction=H","UseDPDF=Y")</f>
        <v>11.458299999999999</v>
      </c>
      <c r="N12" s="14">
        <f>_xll.BDH("ITCI US Equity","DILUTED_EPS_BEF_XO_ITEMS_GROWTH","FQ3 2021","FQ3 2021","Currency=USD","Period=FQ","BEST_FPERIOD_OVERRIDE=FQ","FILING_STATUS=MR","Sort=A","Dates=H","DateFormat=P","Fill=—","Direction=H","UseDPDF=Y")</f>
        <v>-20.2532</v>
      </c>
      <c r="O12" s="14">
        <f>_xll.BDH("ITCI US Equity","DILUTED_EPS_BEF_XO_ITEMS_GROWTH","FQ4 2021","FQ4 2021","Currency=USD","Period=FQ","BEST_FPERIOD_OVERRIDE=FQ","FILING_STATUS=MR","Sort=A","Dates=H","DateFormat=P","Fill=—","Direction=H","UseDPDF=Y")</f>
        <v>-38.157899999999998</v>
      </c>
      <c r="P12" s="14">
        <f>_xll.BDH("ITCI US Equity","DILUTED_EPS_BEF_XO_ITEMS_GROWTH","FQ1 2022","FQ1 2022","Currency=USD","Period=FQ","BEST_FPERIOD_OVERRIDE=FQ","FILING_STATUS=MR","Sort=A","Dates=H","DateFormat=P","Fill=—","Direction=H","UseDPDF=Y")</f>
        <v>-20</v>
      </c>
      <c r="Q12" s="14">
        <f>_xll.BDH("ITCI US Equity","DILUTED_EPS_BEF_XO_ITEMS_GROWTH","FQ2 2022","FQ2 2022","Currency=USD","Period=FQ","BEST_FPERIOD_OVERRIDE=FQ","FILING_STATUS=MR","Sort=A","Dates=H","DateFormat=P","Fill=—","Direction=H","UseDPDF=Y")</f>
        <v>-8.2353000000000005</v>
      </c>
      <c r="R12" s="14">
        <f>_xll.BDH("ITCI US Equity","DILUTED_EPS_BEF_XO_ITEMS_GROWTH","FQ3 2022","FQ3 2022","Currency=USD","Period=FQ","BEST_FPERIOD_OVERRIDE=FQ","FILING_STATUS=MR","Sort=A","Dates=H","DateFormat=P","Fill=—","Direction=H","UseDPDF=Y")</f>
        <v>40</v>
      </c>
      <c r="S12" s="14">
        <f>_xll.BDH("ITCI US Equity","DILUTED_EPS_BEF_XO_ITEMS_GROWTH","FQ4 2022","FQ4 2022","Currency=USD","Period=FQ","BEST_FPERIOD_OVERRIDE=FQ","FILING_STATUS=MR","Sort=A","Dates=H","DateFormat=P","Fill=—","Direction=H","UseDPDF=Y")</f>
        <v>57.142899999999997</v>
      </c>
      <c r="T12" s="14">
        <f>_xll.BDH("ITCI US Equity","DILUTED_EPS_BEF_XO_ITEMS_GROWTH","FQ1 2023","FQ1 2023","Currency=USD","Period=FQ","BEST_FPERIOD_OVERRIDE=FQ","FILING_STATUS=MR","Sort=A","Dates=H","DateFormat=P","Fill=—","Direction=H","UseDPDF=Y")</f>
        <v>41.025599999999997</v>
      </c>
      <c r="U12" s="14">
        <f>_xll.BDH("ITCI US Equity","DILUTED_EPS_BEF_XO_ITEMS_GROWTH","FQ2 2023","FQ2 2023","Currency=USD","Period=FQ","BEST_FPERIOD_OVERRIDE=FQ","FILING_STATUS=MR","Sort=A","Dates=H","DateFormat=P","Fill=—","Direction=H","UseDPDF=Y")</f>
        <v>51.087000000000003</v>
      </c>
      <c r="V12" s="14">
        <f>_xll.BDH("ITCI US Equity","DILUTED_EPS_BEF_XO_ITEMS_GROWTH","FQ3 2023","FQ3 2023","Currency=USD","Period=FQ","BEST_FPERIOD_OVERRIDE=FQ","FILING_STATUS=MR","Sort=A","Dates=H","DateFormat=P","Fill=—","Direction=H","UseDPDF=Y")</f>
        <v>56.1404</v>
      </c>
      <c r="W12" s="14">
        <f>_xll.BDH("ITCI US Equity","DILUTED_EPS_BEF_XO_ITEMS_GROWTH","FQ4 2023","FQ4 2023","Currency=USD","Period=FQ","BEST_FPERIOD_OVERRIDE=FQ","FILING_STATUS=MR","Sort=A","Dates=H","DateFormat=P","Fill=—","Direction=H","UseDPDF=Y")</f>
        <v>33.333300000000001</v>
      </c>
      <c r="X12" s="14">
        <f>_xll.BDH("ITCI US Equity","DILUTED_EPS_BEF_XO_ITEMS_GROWTH","FQ1 2024","FQ1 2024","Currency=USD","Period=FQ","BEST_FPERIOD_OVERRIDE=FQ","FILING_STATUS=MR","Sort=A","Dates=H","DateFormat=P","Fill=—","Direction=H","UseDPDF=Y")</f>
        <v>65.217399999999998</v>
      </c>
      <c r="Y12" s="14">
        <f>_xll.BDH("ITCI US Equity","DILUTED_EPS_BEF_XO_ITEMS_GROWTH","FQ2 2024","FQ2 2024","Currency=USD","Period=FQ","BEST_FPERIOD_OVERRIDE=FQ","FILING_STATUS=MR","Sort=A","Dates=H","DateFormat=P","Fill=—","Direction=H","UseDPDF=Y")</f>
        <v>64.444400000000002</v>
      </c>
      <c r="Z12" s="14">
        <f>_xll.BDH("ITCI US Equity","DILUTED_EPS_BEF_XO_ITEMS_GROWTH","FQ3 2024","FQ3 2024","Currency=USD","Period=FQ","BEST_FPERIOD_OVERRIDE=FQ","FILING_STATUS=MR","Sort=A","Dates=H","DateFormat=P","Fill=—","Direction=H","UseDPDF=Y")</f>
        <v>0</v>
      </c>
      <c r="AA12" s="14">
        <f>_xll.BDH("ITCI US Equity","DILUTED_EPS_BEF_XO_ITEMS_GROWTH","FQ4 2024","FQ4 2024","Currency=USD","Period=FQ","BEST_FPERIOD_OVERRIDE=FQ","FILING_STATUS=MR","Sort=A","Dates=H","DateFormat=P","Fill=—","Direction=H","UseDPDF=Y")</f>
        <v>46.666699999999999</v>
      </c>
    </row>
    <row r="13" spans="1:27" x14ac:dyDescent="0.25">
      <c r="A13" s="10" t="s">
        <v>1111</v>
      </c>
      <c r="B13" s="10" t="s">
        <v>1112</v>
      </c>
      <c r="C13" s="14">
        <f>_xll.BDH("ITCI US Equity","RR_DIL_EPS_CONT_OPS_GROWTH","FQ4 2018","FQ4 2018","Currency=USD","Period=FQ","BEST_FPERIOD_OVERRIDE=FQ","FILING_STATUS=MR","Sort=A","Dates=H","DateFormat=P","Fill=—","Direction=H","UseDPDF=Y")</f>
        <v>-29.261800000000001</v>
      </c>
      <c r="D13" s="14">
        <f>_xll.BDH("ITCI US Equity","RR_DIL_EPS_CONT_OPS_GROWTH","FQ1 2019","FQ1 2019","Currency=USD","Period=FQ","BEST_FPERIOD_OVERRIDE=FQ","FILING_STATUS=MR","Sort=A","Dates=H","DateFormat=P","Fill=—","Direction=H","UseDPDF=Y")</f>
        <v>3.0769000000000002</v>
      </c>
      <c r="E13" s="14">
        <f>_xll.BDH("ITCI US Equity","RR_DIL_EPS_CONT_OPS_GROWTH","FQ2 2019","FQ2 2019","Currency=USD","Period=FQ","BEST_FPERIOD_OVERRIDE=FQ","FILING_STATUS=MR","Sort=A","Dates=H","DateFormat=P","Fill=—","Direction=H","UseDPDF=Y")</f>
        <v>0</v>
      </c>
      <c r="F13" s="14">
        <f>_xll.BDH("ITCI US Equity","RR_DIL_EPS_CONT_OPS_GROWTH","FQ3 2019","FQ3 2019","Currency=USD","Period=FQ","BEST_FPERIOD_OVERRIDE=FQ","FILING_STATUS=MR","Sort=A","Dates=H","DateFormat=P","Fill=—","Direction=H","UseDPDF=Y")</f>
        <v>17.1053</v>
      </c>
      <c r="G13" s="14">
        <f>_xll.BDH("ITCI US Equity","RR_DIL_EPS_CONT_OPS_GROWTH","FQ4 2019","FQ4 2019","Currency=USD","Period=FQ","BEST_FPERIOD_OVERRIDE=FQ","FILING_STATUS=MR","Sort=A","Dates=H","DateFormat=P","Fill=—","Direction=H","UseDPDF=Y")</f>
        <v>1.3332999999999999</v>
      </c>
      <c r="H13" s="14">
        <f>_xll.BDH("ITCI US Equity","RR_DIL_EPS_CONT_OPS_GROWTH","FQ1 2020","FQ1 2020","Currency=USD","Period=FQ","BEST_FPERIOD_OVERRIDE=FQ","FILING_STATUS=MR","Sort=A","Dates=H","DateFormat=P","Fill=—","Direction=H","UseDPDF=Y")</f>
        <v>-15.872999999999999</v>
      </c>
      <c r="I13" s="14">
        <f>_xll.BDH("ITCI US Equity","RR_DIL_EPS_CONT_OPS_GROWTH","FQ2 2020","FQ2 2020","Currency=USD","Period=FQ","BEST_FPERIOD_OVERRIDE=FQ","FILING_STATUS=MR","Sort=A","Dates=H","DateFormat=P","Fill=—","Direction=H","UseDPDF=Y")</f>
        <v>-41.176499999999997</v>
      </c>
      <c r="J13" s="14">
        <f>_xll.BDH("ITCI US Equity","RR_DIL_EPS_CONT_OPS_GROWTH","FQ3 2020","FQ3 2020","Currency=USD","Period=FQ","BEST_FPERIOD_OVERRIDE=FQ","FILING_STATUS=MR","Sort=A","Dates=H","DateFormat=P","Fill=—","Direction=H","UseDPDF=Y")</f>
        <v>-25.396799999999999</v>
      </c>
      <c r="K13" s="14">
        <f>_xll.BDH("ITCI US Equity","RR_DIL_EPS_CONT_OPS_GROWTH","FQ4 2020","FQ4 2020","Currency=USD","Period=FQ","BEST_FPERIOD_OVERRIDE=FQ","FILING_STATUS=MR","Sort=A","Dates=H","DateFormat=P","Fill=—","Direction=H","UseDPDF=Y")</f>
        <v>-2.7027000000000001</v>
      </c>
      <c r="L13" s="14">
        <f>_xll.BDH("ITCI US Equity","RR_DIL_EPS_CONT_OPS_GROWTH","FQ1 2021","FQ1 2021","Currency=USD","Period=FQ","BEST_FPERIOD_OVERRIDE=FQ","FILING_STATUS=MR","Sort=A","Dates=H","DateFormat=P","Fill=—","Direction=H","UseDPDF=Y")</f>
        <v>10.9589</v>
      </c>
      <c r="M13" s="14">
        <f>_xll.BDH("ITCI US Equity","RR_DIL_EPS_CONT_OPS_GROWTH","FQ2 2021","FQ2 2021","Currency=USD","Period=FQ","BEST_FPERIOD_OVERRIDE=FQ","FILING_STATUS=MR","Sort=A","Dates=H","DateFormat=P","Fill=—","Direction=H","UseDPDF=Y")</f>
        <v>11.458299999999999</v>
      </c>
      <c r="N13" s="14">
        <f>_xll.BDH("ITCI US Equity","RR_DIL_EPS_CONT_OPS_GROWTH","FQ3 2021","FQ3 2021","Currency=USD","Period=FQ","BEST_FPERIOD_OVERRIDE=FQ","FILING_STATUS=MR","Sort=A","Dates=H","DateFormat=P","Fill=—","Direction=H","UseDPDF=Y")</f>
        <v>-20.2532</v>
      </c>
      <c r="O13" s="14">
        <f>_xll.BDH("ITCI US Equity","RR_DIL_EPS_CONT_OPS_GROWTH","FQ4 2021","FQ4 2021","Currency=USD","Period=FQ","BEST_FPERIOD_OVERRIDE=FQ","FILING_STATUS=MR","Sort=A","Dates=H","DateFormat=P","Fill=—","Direction=H","UseDPDF=Y")</f>
        <v>-38.157899999999998</v>
      </c>
      <c r="P13" s="14">
        <f>_xll.BDH("ITCI US Equity","RR_DIL_EPS_CONT_OPS_GROWTH","FQ1 2022","FQ1 2022","Currency=USD","Period=FQ","BEST_FPERIOD_OVERRIDE=FQ","FILING_STATUS=MR","Sort=A","Dates=H","DateFormat=P","Fill=—","Direction=H","UseDPDF=Y")</f>
        <v>-20</v>
      </c>
      <c r="Q13" s="14">
        <f>_xll.BDH("ITCI US Equity","RR_DIL_EPS_CONT_OPS_GROWTH","FQ2 2022","FQ2 2022","Currency=USD","Period=FQ","BEST_FPERIOD_OVERRIDE=FQ","FILING_STATUS=MR","Sort=A","Dates=H","DateFormat=P","Fill=—","Direction=H","UseDPDF=Y")</f>
        <v>-8.2353000000000005</v>
      </c>
      <c r="R13" s="14">
        <f>_xll.BDH("ITCI US Equity","RR_DIL_EPS_CONT_OPS_GROWTH","FQ3 2022","FQ3 2022","Currency=USD","Period=FQ","BEST_FPERIOD_OVERRIDE=FQ","FILING_STATUS=MR","Sort=A","Dates=H","DateFormat=P","Fill=—","Direction=H","UseDPDF=Y")</f>
        <v>40</v>
      </c>
      <c r="S13" s="14">
        <f>_xll.BDH("ITCI US Equity","RR_DIL_EPS_CONT_OPS_GROWTH","FQ4 2022","FQ4 2022","Currency=USD","Period=FQ","BEST_FPERIOD_OVERRIDE=FQ","FILING_STATUS=MR","Sort=A","Dates=H","DateFormat=P","Fill=—","Direction=H","UseDPDF=Y")</f>
        <v>57.142899999999997</v>
      </c>
      <c r="T13" s="14">
        <f>_xll.BDH("ITCI US Equity","RR_DIL_EPS_CONT_OPS_GROWTH","FQ1 2023","FQ1 2023","Currency=USD","Period=FQ","BEST_FPERIOD_OVERRIDE=FQ","FILING_STATUS=MR","Sort=A","Dates=H","DateFormat=P","Fill=—","Direction=H","UseDPDF=Y")</f>
        <v>41.025599999999997</v>
      </c>
      <c r="U13" s="14">
        <f>_xll.BDH("ITCI US Equity","RR_DIL_EPS_CONT_OPS_GROWTH","FQ2 2023","FQ2 2023","Currency=USD","Period=FQ","BEST_FPERIOD_OVERRIDE=FQ","FILING_STATUS=MR","Sort=A","Dates=H","DateFormat=P","Fill=—","Direction=H","UseDPDF=Y")</f>
        <v>51.087000000000003</v>
      </c>
      <c r="V13" s="14">
        <f>_xll.BDH("ITCI US Equity","RR_DIL_EPS_CONT_OPS_GROWTH","FQ3 2023","FQ3 2023","Currency=USD","Period=FQ","BEST_FPERIOD_OVERRIDE=FQ","FILING_STATUS=MR","Sort=A","Dates=H","DateFormat=P","Fill=—","Direction=H","UseDPDF=Y")</f>
        <v>56.1404</v>
      </c>
      <c r="W13" s="14">
        <f>_xll.BDH("ITCI US Equity","RR_DIL_EPS_CONT_OPS_GROWTH","FQ4 2023","FQ4 2023","Currency=USD","Period=FQ","BEST_FPERIOD_OVERRIDE=FQ","FILING_STATUS=MR","Sort=A","Dates=H","DateFormat=P","Fill=—","Direction=H","UseDPDF=Y")</f>
        <v>33.333300000000001</v>
      </c>
      <c r="X13" s="14">
        <f>_xll.BDH("ITCI US Equity","RR_DIL_EPS_CONT_OPS_GROWTH","FQ1 2024","FQ1 2024","Currency=USD","Period=FQ","BEST_FPERIOD_OVERRIDE=FQ","FILING_STATUS=MR","Sort=A","Dates=H","DateFormat=P","Fill=—","Direction=H","UseDPDF=Y")</f>
        <v>65.217399999999998</v>
      </c>
      <c r="Y13" s="14">
        <f>_xll.BDH("ITCI US Equity","RR_DIL_EPS_CONT_OPS_GROWTH","FQ2 2024","FQ2 2024","Currency=USD","Period=FQ","BEST_FPERIOD_OVERRIDE=FQ","FILING_STATUS=MR","Sort=A","Dates=H","DateFormat=P","Fill=—","Direction=H","UseDPDF=Y")</f>
        <v>64.444400000000002</v>
      </c>
      <c r="Z13" s="14">
        <f>_xll.BDH("ITCI US Equity","RR_DIL_EPS_CONT_OPS_GROWTH","FQ3 2024","FQ3 2024","Currency=USD","Period=FQ","BEST_FPERIOD_OVERRIDE=FQ","FILING_STATUS=MR","Sort=A","Dates=H","DateFormat=P","Fill=—","Direction=H","UseDPDF=Y")</f>
        <v>0</v>
      </c>
      <c r="AA13" s="14">
        <f>_xll.BDH("ITCI US Equity","RR_DIL_EPS_CONT_OPS_GROWTH","FQ4 2024","FQ4 2024","Currency=USD","Period=FQ","BEST_FPERIOD_OVERRIDE=FQ","FILING_STATUS=MR","Sort=A","Dates=H","DateFormat=P","Fill=—","Direction=H","UseDPDF=Y")</f>
        <v>46.666699999999999</v>
      </c>
    </row>
    <row r="14" spans="1:27" x14ac:dyDescent="0.25">
      <c r="A14" s="10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5">
      <c r="A15" s="10" t="s">
        <v>1113</v>
      </c>
      <c r="B15" s="10" t="s">
        <v>1114</v>
      </c>
      <c r="C15" s="14" t="str">
        <f>_xll.BDH("ITCI US Equity","ACCOUNTS_RECEIVABLE_GROWTH","FQ4 2018","FQ4 2018","Currency=USD","Period=FQ","BEST_FPERIOD_OVERRIDE=FQ","FILING_STATUS=MR","Sort=A","Dates=H","DateFormat=P","Fill=—","Direction=H","UseDPDF=Y")</f>
        <v>—</v>
      </c>
      <c r="D15" s="14" t="str">
        <f>_xll.BDH("ITCI US Equity","ACCOUNTS_RECEIVABLE_GROWTH","FQ1 2019","FQ1 2019","Currency=USD","Period=FQ","BEST_FPERIOD_OVERRIDE=FQ","FILING_STATUS=MR","Sort=A","Dates=H","DateFormat=P","Fill=—","Direction=H","UseDPDF=Y")</f>
        <v>—</v>
      </c>
      <c r="E15" s="14" t="str">
        <f>_xll.BDH("ITCI US Equity","ACCOUNTS_RECEIVABLE_GROWTH","FQ2 2019","FQ2 2019","Currency=USD","Period=FQ","BEST_FPERIOD_OVERRIDE=FQ","FILING_STATUS=MR","Sort=A","Dates=H","DateFormat=P","Fill=—","Direction=H","UseDPDF=Y")</f>
        <v>—</v>
      </c>
      <c r="F15" s="14" t="str">
        <f>_xll.BDH("ITCI US Equity","ACCOUNTS_RECEIVABLE_GROWTH","FQ3 2019","FQ3 2019","Currency=USD","Period=FQ","BEST_FPERIOD_OVERRIDE=FQ","FILING_STATUS=MR","Sort=A","Dates=H","DateFormat=P","Fill=—","Direction=H","UseDPDF=Y")</f>
        <v>—</v>
      </c>
      <c r="G15" s="14" t="str">
        <f>_xll.BDH("ITCI US Equity","ACCOUNTS_RECEIVABLE_GROWTH","FQ4 2019","FQ4 2019","Currency=USD","Period=FQ","BEST_FPERIOD_OVERRIDE=FQ","FILING_STATUS=MR","Sort=A","Dates=H","DateFormat=P","Fill=—","Direction=H","UseDPDF=Y")</f>
        <v>—</v>
      </c>
      <c r="H15" s="14" t="str">
        <f>_xll.BDH("ITCI US Equity","ACCOUNTS_RECEIVABLE_GROWTH","FQ1 2020","FQ1 2020","Currency=USD","Period=FQ","BEST_FPERIOD_OVERRIDE=FQ","FILING_STATUS=MR","Sort=A","Dates=H","DateFormat=P","Fill=—","Direction=H","UseDPDF=Y")</f>
        <v>—</v>
      </c>
      <c r="I15" s="14" t="str">
        <f>_xll.BDH("ITCI US Equity","ACCOUNTS_RECEIVABLE_GROWTH","FQ2 2020","FQ2 2020","Currency=USD","Period=FQ","BEST_FPERIOD_OVERRIDE=FQ","FILING_STATUS=MR","Sort=A","Dates=H","DateFormat=P","Fill=—","Direction=H","UseDPDF=Y")</f>
        <v>—</v>
      </c>
      <c r="J15" s="14" t="str">
        <f>_xll.BDH("ITCI US Equity","ACCOUNTS_RECEIVABLE_GROWTH","FQ3 2020","FQ3 2020","Currency=USD","Period=FQ","BEST_FPERIOD_OVERRIDE=FQ","FILING_STATUS=MR","Sort=A","Dates=H","DateFormat=P","Fill=—","Direction=H","UseDPDF=Y")</f>
        <v>—</v>
      </c>
      <c r="K15" s="14" t="str">
        <f>_xll.BDH("ITCI US Equity","ACCOUNTS_RECEIVABLE_GROWTH","FQ4 2020","FQ4 2020","Currency=USD","Period=FQ","BEST_FPERIOD_OVERRIDE=FQ","FILING_STATUS=MR","Sort=A","Dates=H","DateFormat=P","Fill=—","Direction=H","UseDPDF=Y")</f>
        <v>—</v>
      </c>
      <c r="L15" s="14">
        <f>_xll.BDH("ITCI US Equity","ACCOUNTS_RECEIVABLE_GROWTH","FQ1 2021","FQ1 2021","Currency=USD","Period=FQ","BEST_FPERIOD_OVERRIDE=FQ","FILING_STATUS=MR","Sort=A","Dates=H","DateFormat=P","Fill=—","Direction=H","UseDPDF=Y")</f>
        <v>911.24059999999997</v>
      </c>
      <c r="M15" s="14">
        <f>_xll.BDH("ITCI US Equity","ACCOUNTS_RECEIVABLE_GROWTH","FQ2 2021","FQ2 2021","Currency=USD","Period=FQ","BEST_FPERIOD_OVERRIDE=FQ","FILING_STATUS=MR","Sort=A","Dates=H","DateFormat=P","Fill=—","Direction=H","UseDPDF=Y")</f>
        <v>545.39599999999996</v>
      </c>
      <c r="N15" s="14">
        <f>_xll.BDH("ITCI US Equity","ACCOUNTS_RECEIVABLE_GROWTH","FQ3 2021","FQ3 2021","Currency=USD","Period=FQ","BEST_FPERIOD_OVERRIDE=FQ","FILING_STATUS=MR","Sort=A","Dates=H","DateFormat=P","Fill=—","Direction=H","UseDPDF=Y")</f>
        <v>126.3768</v>
      </c>
      <c r="O15" s="14">
        <f>_xll.BDH("ITCI US Equity","ACCOUNTS_RECEIVABLE_GROWTH","FQ4 2021","FQ4 2021","Currency=USD","Period=FQ","BEST_FPERIOD_OVERRIDE=FQ","FILING_STATUS=MR","Sort=A","Dates=H","DateFormat=P","Fill=—","Direction=H","UseDPDF=Y")</f>
        <v>87.243600000000001</v>
      </c>
      <c r="P15" s="14">
        <f>_xll.BDH("ITCI US Equity","ACCOUNTS_RECEIVABLE_GROWTH","FQ1 2022","FQ1 2022","Currency=USD","Period=FQ","BEST_FPERIOD_OVERRIDE=FQ","FILING_STATUS=MR","Sort=A","Dates=H","DateFormat=P","Fill=—","Direction=H","UseDPDF=Y")</f>
        <v>140.31630000000001</v>
      </c>
      <c r="Q15" s="14">
        <f>_xll.BDH("ITCI US Equity","ACCOUNTS_RECEIVABLE_GROWTH","FQ2 2022","FQ2 2022","Currency=USD","Period=FQ","BEST_FPERIOD_OVERRIDE=FQ","FILING_STATUS=MR","Sort=A","Dates=H","DateFormat=P","Fill=—","Direction=H","UseDPDF=Y")</f>
        <v>209.3006</v>
      </c>
      <c r="R15" s="14">
        <f>_xll.BDH("ITCI US Equity","ACCOUNTS_RECEIVABLE_GROWTH","FQ3 2022","FQ3 2022","Currency=USD","Period=FQ","BEST_FPERIOD_OVERRIDE=FQ","FILING_STATUS=MR","Sort=A","Dates=H","DateFormat=P","Fill=—","Direction=H","UseDPDF=Y")</f>
        <v>263.39150000000001</v>
      </c>
      <c r="S15" s="14">
        <f>_xll.BDH("ITCI US Equity","ACCOUNTS_RECEIVABLE_GROWTH","FQ4 2022","FQ4 2022","Currency=USD","Period=FQ","BEST_FPERIOD_OVERRIDE=FQ","FILING_STATUS=MR","Sort=A","Dates=H","DateFormat=P","Fill=—","Direction=H","UseDPDF=Y")</f>
        <v>273.03539999999998</v>
      </c>
      <c r="T15" s="14">
        <f>_xll.BDH("ITCI US Equity","ACCOUNTS_RECEIVABLE_GROWTH","FQ1 2023","FQ1 2023","Currency=USD","Period=FQ","BEST_FPERIOD_OVERRIDE=FQ","FILING_STATUS=MR","Sort=A","Dates=H","DateFormat=P","Fill=—","Direction=H","UseDPDF=Y")</f>
        <v>148.37049999999999</v>
      </c>
      <c r="U15" s="14">
        <f>_xll.BDH("ITCI US Equity","ACCOUNTS_RECEIVABLE_GROWTH","FQ2 2023","FQ2 2023","Currency=USD","Period=FQ","BEST_FPERIOD_OVERRIDE=FQ","FILING_STATUS=MR","Sort=A","Dates=H","DateFormat=P","Fill=—","Direction=H","UseDPDF=Y")</f>
        <v>104.283</v>
      </c>
      <c r="V15" s="14">
        <f>_xll.BDH("ITCI US Equity","ACCOUNTS_RECEIVABLE_GROWTH","FQ3 2023","FQ3 2023","Currency=USD","Period=FQ","BEST_FPERIOD_OVERRIDE=FQ","FILING_STATUS=MR","Sort=A","Dates=H","DateFormat=P","Fill=—","Direction=H","UseDPDF=Y")</f>
        <v>66.84</v>
      </c>
      <c r="W15" s="14">
        <f>_xll.BDH("ITCI US Equity","ACCOUNTS_RECEIVABLE_GROWTH","FQ4 2023","FQ4 2023","Currency=USD","Period=FQ","BEST_FPERIOD_OVERRIDE=FQ","FILING_STATUS=MR","Sort=A","Dates=H","DateFormat=P","Fill=—","Direction=H","UseDPDF=Y")</f>
        <v>51.6419</v>
      </c>
      <c r="X15" s="14">
        <f>_xll.BDH("ITCI US Equity","ACCOUNTS_RECEIVABLE_GROWTH","FQ1 2024","FQ1 2024","Currency=USD","Period=FQ","BEST_FPERIOD_OVERRIDE=FQ","FILING_STATUS=MR","Sort=A","Dates=H","DateFormat=P","Fill=—","Direction=H","UseDPDF=Y")</f>
        <v>60.84</v>
      </c>
      <c r="Y15" s="14">
        <f>_xll.BDH("ITCI US Equity","ACCOUNTS_RECEIVABLE_GROWTH","FQ2 2024","FQ2 2024","Currency=USD","Period=FQ","BEST_FPERIOD_OVERRIDE=FQ","FILING_STATUS=MR","Sort=A","Dates=H","DateFormat=P","Fill=—","Direction=H","UseDPDF=Y")</f>
        <v>51.842399999999998</v>
      </c>
      <c r="Z15" s="14">
        <f>_xll.BDH("ITCI US Equity","ACCOUNTS_RECEIVABLE_GROWTH","FQ3 2024","FQ3 2024","Currency=USD","Period=FQ","BEST_FPERIOD_OVERRIDE=FQ","FILING_STATUS=MR","Sort=A","Dates=H","DateFormat=P","Fill=—","Direction=H","UseDPDF=Y")</f>
        <v>41.821399999999997</v>
      </c>
      <c r="AA15" s="14">
        <f>_xll.BDH("ITCI US Equity","ACCOUNTS_RECEIVABLE_GROWTH","FQ4 2024","FQ4 2024","Currency=USD","Period=FQ","BEST_FPERIOD_OVERRIDE=FQ","FILING_STATUS=MR","Sort=A","Dates=H","DateFormat=P","Fill=—","Direction=H","UseDPDF=Y")</f>
        <v>46.029600000000002</v>
      </c>
    </row>
    <row r="16" spans="1:27" x14ac:dyDescent="0.25">
      <c r="A16" s="10" t="s">
        <v>1115</v>
      </c>
      <c r="B16" s="10" t="s">
        <v>1116</v>
      </c>
      <c r="C16" s="14" t="str">
        <f>_xll.BDH("ITCI US Equity","INVENTORY_GROWTH","FQ4 2018","FQ4 2018","Currency=USD","Period=FQ","BEST_FPERIOD_OVERRIDE=FQ","FILING_STATUS=MR","Sort=A","Dates=H","DateFormat=P","Fill=—","Direction=H","UseDPDF=Y")</f>
        <v>—</v>
      </c>
      <c r="D16" s="14" t="str">
        <f>_xll.BDH("ITCI US Equity","INVENTORY_GROWTH","FQ1 2019","FQ1 2019","Currency=USD","Period=FQ","BEST_FPERIOD_OVERRIDE=FQ","FILING_STATUS=MR","Sort=A","Dates=H","DateFormat=P","Fill=—","Direction=H","UseDPDF=Y")</f>
        <v>—</v>
      </c>
      <c r="E16" s="14" t="str">
        <f>_xll.BDH("ITCI US Equity","INVENTORY_GROWTH","FQ2 2019","FQ2 2019","Currency=USD","Period=FQ","BEST_FPERIOD_OVERRIDE=FQ","FILING_STATUS=MR","Sort=A","Dates=H","DateFormat=P","Fill=—","Direction=H","UseDPDF=Y")</f>
        <v>—</v>
      </c>
      <c r="F16" s="14" t="str">
        <f>_xll.BDH("ITCI US Equity","INVENTORY_GROWTH","FQ3 2019","FQ3 2019","Currency=USD","Period=FQ","BEST_FPERIOD_OVERRIDE=FQ","FILING_STATUS=MR","Sort=A","Dates=H","DateFormat=P","Fill=—","Direction=H","UseDPDF=Y")</f>
        <v>—</v>
      </c>
      <c r="G16" s="14" t="str">
        <f>_xll.BDH("ITCI US Equity","INVENTORY_GROWTH","FQ4 2019","FQ4 2019","Currency=USD","Period=FQ","BEST_FPERIOD_OVERRIDE=FQ","FILING_STATUS=MR","Sort=A","Dates=H","DateFormat=P","Fill=—","Direction=H","UseDPDF=Y")</f>
        <v>—</v>
      </c>
      <c r="H16" s="14" t="str">
        <f>_xll.BDH("ITCI US Equity","INVENTORY_GROWTH","FQ1 2020","FQ1 2020","Currency=USD","Period=FQ","BEST_FPERIOD_OVERRIDE=FQ","FILING_STATUS=MR","Sort=A","Dates=H","DateFormat=P","Fill=—","Direction=H","UseDPDF=Y")</f>
        <v>—</v>
      </c>
      <c r="I16" s="14" t="str">
        <f>_xll.BDH("ITCI US Equity","INVENTORY_GROWTH","FQ2 2020","FQ2 2020","Currency=USD","Period=FQ","BEST_FPERIOD_OVERRIDE=FQ","FILING_STATUS=MR","Sort=A","Dates=H","DateFormat=P","Fill=—","Direction=H","UseDPDF=Y")</f>
        <v>—</v>
      </c>
      <c r="J16" s="14" t="str">
        <f>_xll.BDH("ITCI US Equity","INVENTORY_GROWTH","FQ3 2020","FQ3 2020","Currency=USD","Period=FQ","BEST_FPERIOD_OVERRIDE=FQ","FILING_STATUS=MR","Sort=A","Dates=H","DateFormat=P","Fill=—","Direction=H","UseDPDF=Y")</f>
        <v>—</v>
      </c>
      <c r="K16" s="14" t="str">
        <f>_xll.BDH("ITCI US Equity","INVENTORY_GROWTH","FQ4 2020","FQ4 2020","Currency=USD","Period=FQ","BEST_FPERIOD_OVERRIDE=FQ","FILING_STATUS=MR","Sort=A","Dates=H","DateFormat=P","Fill=—","Direction=H","UseDPDF=Y")</f>
        <v>—</v>
      </c>
      <c r="L16" s="14">
        <f>_xll.BDH("ITCI US Equity","INVENTORY_GROWTH","FQ1 2021","FQ1 2021","Currency=USD","Period=FQ","BEST_FPERIOD_OVERRIDE=FQ","FILING_STATUS=MR","Sort=A","Dates=H","DateFormat=P","Fill=—","Direction=H","UseDPDF=Y")</f>
        <v>444.83949999999999</v>
      </c>
      <c r="M16" s="14">
        <f>_xll.BDH("ITCI US Equity","INVENTORY_GROWTH","FQ2 2021","FQ2 2021","Currency=USD","Period=FQ","BEST_FPERIOD_OVERRIDE=FQ","FILING_STATUS=MR","Sort=A","Dates=H","DateFormat=P","Fill=—","Direction=H","UseDPDF=Y")</f>
        <v>232.70699999999999</v>
      </c>
      <c r="N16" s="14">
        <f>_xll.BDH("ITCI US Equity","INVENTORY_GROWTH","FQ3 2021","FQ3 2021","Currency=USD","Period=FQ","BEST_FPERIOD_OVERRIDE=FQ","FILING_STATUS=MR","Sort=A","Dates=H","DateFormat=P","Fill=—","Direction=H","UseDPDF=Y")</f>
        <v>177.11410000000001</v>
      </c>
      <c r="O16" s="14">
        <f>_xll.BDH("ITCI US Equity","INVENTORY_GROWTH","FQ4 2021","FQ4 2021","Currency=USD","Period=FQ","BEST_FPERIOD_OVERRIDE=FQ","FILING_STATUS=MR","Sort=A","Dates=H","DateFormat=P","Fill=—","Direction=H","UseDPDF=Y")</f>
        <v>12.6374</v>
      </c>
      <c r="P16" s="14">
        <f>_xll.BDH("ITCI US Equity","INVENTORY_GROWTH","FQ1 2022","FQ1 2022","Currency=USD","Period=FQ","BEST_FPERIOD_OVERRIDE=FQ","FILING_STATUS=MR","Sort=A","Dates=H","DateFormat=P","Fill=—","Direction=H","UseDPDF=Y")</f>
        <v>4.1375999999999999</v>
      </c>
      <c r="Q16" s="14">
        <f>_xll.BDH("ITCI US Equity","INVENTORY_GROWTH","FQ2 2022","FQ2 2022","Currency=USD","Period=FQ","BEST_FPERIOD_OVERRIDE=FQ","FILING_STATUS=MR","Sort=A","Dates=H","DateFormat=P","Fill=—","Direction=H","UseDPDF=Y")</f>
        <v>222.0812</v>
      </c>
      <c r="R16" s="14">
        <f>_xll.BDH("ITCI US Equity","INVENTORY_GROWTH","FQ3 2022","FQ3 2022","Currency=USD","Period=FQ","BEST_FPERIOD_OVERRIDE=FQ","FILING_STATUS=MR","Sort=A","Dates=H","DateFormat=P","Fill=—","Direction=H","UseDPDF=Y")</f>
        <v>188.93340000000001</v>
      </c>
      <c r="S16" s="14">
        <f>_xll.BDH("ITCI US Equity","INVENTORY_GROWTH","FQ4 2022","FQ4 2022","Currency=USD","Period=FQ","BEST_FPERIOD_OVERRIDE=FQ","FILING_STATUS=MR","Sort=A","Dates=H","DateFormat=P","Fill=—","Direction=H","UseDPDF=Y")</f>
        <v>200.95140000000001</v>
      </c>
      <c r="T16" s="14">
        <f>_xll.BDH("ITCI US Equity","INVENTORY_GROWTH","FQ1 2023","FQ1 2023","Currency=USD","Period=FQ","BEST_FPERIOD_OVERRIDE=FQ","FILING_STATUS=MR","Sort=A","Dates=H","DateFormat=P","Fill=—","Direction=H","UseDPDF=Y")</f>
        <v>259.065</v>
      </c>
      <c r="U16" s="14">
        <f>_xll.BDH("ITCI US Equity","INVENTORY_GROWTH","FQ2 2023","FQ2 2023","Currency=USD","Period=FQ","BEST_FPERIOD_OVERRIDE=FQ","FILING_STATUS=MR","Sort=A","Dates=H","DateFormat=P","Fill=—","Direction=H","UseDPDF=Y")</f>
        <v>67.432699999999997</v>
      </c>
      <c r="V16" s="14">
        <f>_xll.BDH("ITCI US Equity","INVENTORY_GROWTH","FQ3 2023","FQ3 2023","Currency=USD","Period=FQ","BEST_FPERIOD_OVERRIDE=FQ","FILING_STATUS=MR","Sort=A","Dates=H","DateFormat=P","Fill=—","Direction=H","UseDPDF=Y")</f>
        <v>82.167199999999994</v>
      </c>
      <c r="W16" s="14">
        <f>_xll.BDH("ITCI US Equity","INVENTORY_GROWTH","FQ4 2023","FQ4 2023","Currency=USD","Period=FQ","BEST_FPERIOD_OVERRIDE=FQ","FILING_STATUS=MR","Sort=A","Dates=H","DateFormat=P","Fill=—","Direction=H","UseDPDF=Y")</f>
        <v>-51.308500000000002</v>
      </c>
      <c r="X16" s="14">
        <f>_xll.BDH("ITCI US Equity","INVENTORY_GROWTH","FQ1 2024","FQ1 2024","Currency=USD","Period=FQ","BEST_FPERIOD_OVERRIDE=FQ","FILING_STATUS=MR","Sort=A","Dates=H","DateFormat=P","Fill=—","Direction=H","UseDPDF=Y")</f>
        <v>-43.724600000000002</v>
      </c>
      <c r="Y16" s="14">
        <f>_xll.BDH("ITCI US Equity","INVENTORY_GROWTH","FQ2 2024","FQ2 2024","Currency=USD","Period=FQ","BEST_FPERIOD_OVERRIDE=FQ","FILING_STATUS=MR","Sort=A","Dates=H","DateFormat=P","Fill=—","Direction=H","UseDPDF=Y")</f>
        <v>-52.065899999999999</v>
      </c>
      <c r="Z16" s="14">
        <f>_xll.BDH("ITCI US Equity","INVENTORY_GROWTH","FQ3 2024","FQ3 2024","Currency=USD","Period=FQ","BEST_FPERIOD_OVERRIDE=FQ","FILING_STATUS=MR","Sort=A","Dates=H","DateFormat=P","Fill=—","Direction=H","UseDPDF=Y")</f>
        <v>-45.240299999999998</v>
      </c>
      <c r="AA16" s="14">
        <f>_xll.BDH("ITCI US Equity","INVENTORY_GROWTH","FQ4 2024","FQ4 2024","Currency=USD","Period=FQ","BEST_FPERIOD_OVERRIDE=FQ","FILING_STATUS=MR","Sort=A","Dates=H","DateFormat=P","Fill=—","Direction=H","UseDPDF=Y")</f>
        <v>125.66330000000001</v>
      </c>
    </row>
    <row r="17" spans="1:27" x14ac:dyDescent="0.25">
      <c r="A17" s="10" t="s">
        <v>1117</v>
      </c>
      <c r="B17" s="10" t="s">
        <v>1118</v>
      </c>
      <c r="C17" s="14">
        <f>_xll.BDH("ITCI US Equity","NET_FIXED_ASSETS_1_YEAR_GROWTH","FQ4 2018","FQ4 2018","Currency=USD","Period=FQ","BEST_FPERIOD_OVERRIDE=FQ","FILING_STATUS=MR","Sort=A","Dates=H","DateFormat=P","Fill=—","Direction=H","UseDPDF=Y")</f>
        <v>1.9869000000000001</v>
      </c>
      <c r="D17" s="14">
        <f>_xll.BDH("ITCI US Equity","NET_FIXED_ASSETS_1_YEAR_GROWTH","FQ1 2019","FQ1 2019","Currency=USD","Period=FQ","BEST_FPERIOD_OVERRIDE=FQ","FILING_STATUS=MR","Sort=A","Dates=H","DateFormat=P","Fill=—","Direction=H","UseDPDF=Y")</f>
        <v>1472.8579</v>
      </c>
      <c r="E17" s="14">
        <f>_xll.BDH("ITCI US Equity","NET_FIXED_ASSETS_1_YEAR_GROWTH","FQ2 2019","FQ2 2019","Currency=USD","Period=FQ","BEST_FPERIOD_OVERRIDE=FQ","FILING_STATUS=MR","Sort=A","Dates=H","DateFormat=P","Fill=—","Direction=H","UseDPDF=Y")</f>
        <v>1539.1429000000001</v>
      </c>
      <c r="F17" s="14">
        <f>_xll.BDH("ITCI US Equity","NET_FIXED_ASSETS_1_YEAR_GROWTH","FQ3 2019","FQ3 2019","Currency=USD","Period=FQ","BEST_FPERIOD_OVERRIDE=FQ","FILING_STATUS=MR","Sort=A","Dates=H","DateFormat=P","Fill=—","Direction=H","UseDPDF=Y")</f>
        <v>1631.3629000000001</v>
      </c>
      <c r="G17" s="14">
        <f>_xll.BDH("ITCI US Equity","NET_FIXED_ASSETS_1_YEAR_GROWTH","FQ4 2019","FQ4 2019","Currency=USD","Period=FQ","BEST_FPERIOD_OVERRIDE=FQ","FILING_STATUS=MR","Sort=A","Dates=H","DateFormat=P","Fill=—","Direction=H","UseDPDF=Y")</f>
        <v>1668.6166000000001</v>
      </c>
      <c r="H17" s="14">
        <f>_xll.BDH("ITCI US Equity","NET_FIXED_ASSETS_1_YEAR_GROWTH","FQ1 2020","FQ1 2020","Currency=USD","Period=FQ","BEST_FPERIOD_OVERRIDE=FQ","FILING_STATUS=MR","Sort=A","Dates=H","DateFormat=P","Fill=—","Direction=H","UseDPDF=Y")</f>
        <v>-4.9259000000000004</v>
      </c>
      <c r="I17" s="14">
        <f>_xll.BDH("ITCI US Equity","NET_FIXED_ASSETS_1_YEAR_GROWTH","FQ2 2020","FQ2 2020","Currency=USD","Period=FQ","BEST_FPERIOD_OVERRIDE=FQ","FILING_STATUS=MR","Sort=A","Dates=H","DateFormat=P","Fill=—","Direction=H","UseDPDF=Y")</f>
        <v>6.5339</v>
      </c>
      <c r="J17" s="14">
        <f>_xll.BDH("ITCI US Equity","NET_FIXED_ASSETS_1_YEAR_GROWTH","FQ3 2020","FQ3 2020","Currency=USD","Period=FQ","BEST_FPERIOD_OVERRIDE=FQ","FILING_STATUS=MR","Sort=A","Dates=H","DateFormat=P","Fill=—","Direction=H","UseDPDF=Y")</f>
        <v>27.16</v>
      </c>
      <c r="K17" s="14">
        <f>_xll.BDH("ITCI US Equity","NET_FIXED_ASSETS_1_YEAR_GROWTH","FQ4 2020","FQ4 2020","Currency=USD","Period=FQ","BEST_FPERIOD_OVERRIDE=FQ","FILING_STATUS=MR","Sort=A","Dates=H","DateFormat=P","Fill=—","Direction=H","UseDPDF=Y")</f>
        <v>28.331399999999999</v>
      </c>
      <c r="L17" s="14">
        <f>_xll.BDH("ITCI US Equity","NET_FIXED_ASSETS_1_YEAR_GROWTH","FQ1 2021","FQ1 2021","Currency=USD","Period=FQ","BEST_FPERIOD_OVERRIDE=FQ","FILING_STATUS=MR","Sort=A","Dates=H","DateFormat=P","Fill=—","Direction=H","UseDPDF=Y")</f>
        <v>25.356100000000001</v>
      </c>
      <c r="M17" s="14">
        <f>_xll.BDH("ITCI US Equity","NET_FIXED_ASSETS_1_YEAR_GROWTH","FQ2 2021","FQ2 2021","Currency=USD","Period=FQ","BEST_FPERIOD_OVERRIDE=FQ","FILING_STATUS=MR","Sort=A","Dates=H","DateFormat=P","Fill=—","Direction=H","UseDPDF=Y")</f>
        <v>9.1417000000000002</v>
      </c>
      <c r="N17" s="14">
        <f>_xll.BDH("ITCI US Equity","NET_FIXED_ASSETS_1_YEAR_GROWTH","FQ3 2021","FQ3 2021","Currency=USD","Period=FQ","BEST_FPERIOD_OVERRIDE=FQ","FILING_STATUS=MR","Sort=A","Dates=H","DateFormat=P","Fill=—","Direction=H","UseDPDF=Y")</f>
        <v>-10.229900000000001</v>
      </c>
      <c r="O17" s="14">
        <f>_xll.BDH("ITCI US Equity","NET_FIXED_ASSETS_1_YEAR_GROWTH","FQ4 2021","FQ4 2021","Currency=USD","Period=FQ","BEST_FPERIOD_OVERRIDE=FQ","FILING_STATUS=MR","Sort=A","Dates=H","DateFormat=P","Fill=—","Direction=H","UseDPDF=Y")</f>
        <v>-14.3141</v>
      </c>
      <c r="P17" s="14">
        <f>_xll.BDH("ITCI US Equity","NET_FIXED_ASSETS_1_YEAR_GROWTH","FQ1 2022","FQ1 2022","Currency=USD","Period=FQ","BEST_FPERIOD_OVERRIDE=FQ","FILING_STATUS=MR","Sort=A","Dates=H","DateFormat=P","Fill=—","Direction=H","UseDPDF=Y")</f>
        <v>-20.354299999999999</v>
      </c>
      <c r="Q17" s="14">
        <f>_xll.BDH("ITCI US Equity","NET_FIXED_ASSETS_1_YEAR_GROWTH","FQ2 2022","FQ2 2022","Currency=USD","Period=FQ","BEST_FPERIOD_OVERRIDE=FQ","FILING_STATUS=MR","Sort=A","Dates=H","DateFormat=P","Fill=—","Direction=H","UseDPDF=Y")</f>
        <v>-6.9664000000000001</v>
      </c>
      <c r="R17" s="14">
        <f>_xll.BDH("ITCI US Equity","NET_FIXED_ASSETS_1_YEAR_GROWTH","FQ3 2022","FQ3 2022","Currency=USD","Period=FQ","BEST_FPERIOD_OVERRIDE=FQ","FILING_STATUS=MR","Sort=A","Dates=H","DateFormat=P","Fill=—","Direction=H","UseDPDF=Y")</f>
        <v>-6.3010000000000002</v>
      </c>
      <c r="S17" s="14">
        <f>_xll.BDH("ITCI US Equity","NET_FIXED_ASSETS_1_YEAR_GROWTH","FQ4 2022","FQ4 2022","Currency=USD","Period=FQ","BEST_FPERIOD_OVERRIDE=FQ","FILING_STATUS=MR","Sort=A","Dates=H","DateFormat=P","Fill=—","Direction=H","UseDPDF=Y")</f>
        <v>-25.795300000000001</v>
      </c>
      <c r="T17" s="14">
        <f>_xll.BDH("ITCI US Equity","NET_FIXED_ASSETS_1_YEAR_GROWTH","FQ1 2023","FQ1 2023","Currency=USD","Period=FQ","BEST_FPERIOD_OVERRIDE=FQ","FILING_STATUS=MR","Sort=A","Dates=H","DateFormat=P","Fill=—","Direction=H","UseDPDF=Y")</f>
        <v>-20.712599999999998</v>
      </c>
      <c r="U17" s="14">
        <f>_xll.BDH("ITCI US Equity","NET_FIXED_ASSETS_1_YEAR_GROWTH","FQ2 2023","FQ2 2023","Currency=USD","Period=FQ","BEST_FPERIOD_OVERRIDE=FQ","FILING_STATUS=MR","Sort=A","Dates=H","DateFormat=P","Fill=—","Direction=H","UseDPDF=Y")</f>
        <v>-31.7104</v>
      </c>
      <c r="V17" s="14">
        <f>_xll.BDH("ITCI US Equity","NET_FIXED_ASSETS_1_YEAR_GROWTH","FQ3 2023","FQ3 2023","Currency=USD","Period=FQ","BEST_FPERIOD_OVERRIDE=FQ","FILING_STATUS=MR","Sort=A","Dates=H","DateFormat=P","Fill=—","Direction=H","UseDPDF=Y")</f>
        <v>-31.610800000000001</v>
      </c>
      <c r="W17" s="14">
        <f>_xll.BDH("ITCI US Equity","NET_FIXED_ASSETS_1_YEAR_GROWTH","FQ4 2023","FQ4 2023","Currency=USD","Period=FQ","BEST_FPERIOD_OVERRIDE=FQ","FILING_STATUS=MR","Sort=A","Dates=H","DateFormat=P","Fill=—","Direction=H","UseDPDF=Y")</f>
        <v>-12.8757</v>
      </c>
      <c r="X17" s="14">
        <f>_xll.BDH("ITCI US Equity","NET_FIXED_ASSETS_1_YEAR_GROWTH","FQ1 2024","FQ1 2024","Currency=USD","Period=FQ","BEST_FPERIOD_OVERRIDE=FQ","FILING_STATUS=MR","Sort=A","Dates=H","DateFormat=P","Fill=—","Direction=H","UseDPDF=Y")</f>
        <v>-12.3607</v>
      </c>
      <c r="Y17" s="14">
        <f>_xll.BDH("ITCI US Equity","NET_FIXED_ASSETS_1_YEAR_GROWTH","FQ2 2024","FQ2 2024","Currency=USD","Period=FQ","BEST_FPERIOD_OVERRIDE=FQ","FILING_STATUS=MR","Sort=A","Dates=H","DateFormat=P","Fill=—","Direction=H","UseDPDF=Y")</f>
        <v>3.2959999999999998</v>
      </c>
      <c r="Z17" s="14">
        <f>_xll.BDH("ITCI US Equity","NET_FIXED_ASSETS_1_YEAR_GROWTH","FQ3 2024","FQ3 2024","Currency=USD","Period=FQ","BEST_FPERIOD_OVERRIDE=FQ","FILING_STATUS=MR","Sort=A","Dates=H","DateFormat=P","Fill=—","Direction=H","UseDPDF=Y")</f>
        <v>5.6951999999999998</v>
      </c>
      <c r="AA17" s="14">
        <f>_xll.BDH("ITCI US Equity","NET_FIXED_ASSETS_1_YEAR_GROWTH","FQ4 2024","FQ4 2024","Currency=USD","Period=FQ","BEST_FPERIOD_OVERRIDE=FQ","FILING_STATUS=MR","Sort=A","Dates=H","DateFormat=P","Fill=—","Direction=H","UseDPDF=Y")</f>
        <v>2.1533000000000002</v>
      </c>
    </row>
    <row r="18" spans="1:27" x14ac:dyDescent="0.25">
      <c r="A18" s="10" t="s">
        <v>112</v>
      </c>
      <c r="B18" s="10" t="s">
        <v>1119</v>
      </c>
      <c r="C18" s="14">
        <f>_xll.BDH("ITCI US Equity","ASSET_GROWTH","FQ4 2018","FQ4 2018","Currency=USD","Period=FQ","BEST_FPERIOD_OVERRIDE=FQ","FILING_STATUS=MR","Sort=A","Dates=H","DateFormat=P","Fill=—","Direction=H","UseDPDF=Y")</f>
        <v>-24.238299999999999</v>
      </c>
      <c r="D18" s="14">
        <f>_xll.BDH("ITCI US Equity","ASSET_GROWTH","FQ1 2019","FQ1 2019","Currency=USD","Period=FQ","BEST_FPERIOD_OVERRIDE=FQ","FILING_STATUS=MR","Sort=A","Dates=H","DateFormat=P","Fill=—","Direction=H","UseDPDF=Y")</f>
        <v>-23.038</v>
      </c>
      <c r="E18" s="14">
        <f>_xll.BDH("ITCI US Equity","ASSET_GROWTH","FQ2 2019","FQ2 2019","Currency=USD","Period=FQ","BEST_FPERIOD_OVERRIDE=FQ","FILING_STATUS=MR","Sort=A","Dates=H","DateFormat=P","Fill=—","Direction=H","UseDPDF=Y")</f>
        <v>-24.804099999999998</v>
      </c>
      <c r="F18" s="14">
        <f>_xll.BDH("ITCI US Equity","ASSET_GROWTH","FQ3 2019","FQ3 2019","Currency=USD","Period=FQ","BEST_FPERIOD_OVERRIDE=FQ","FILING_STATUS=MR","Sort=A","Dates=H","DateFormat=P","Fill=—","Direction=H","UseDPDF=Y")</f>
        <v>-27.247800000000002</v>
      </c>
      <c r="G18" s="14">
        <f>_xll.BDH("ITCI US Equity","ASSET_GROWTH","FQ4 2019","FQ4 2019","Currency=USD","Period=FQ","BEST_FPERIOD_OVERRIDE=FQ","FILING_STATUS=MR","Sort=A","Dates=H","DateFormat=P","Fill=—","Direction=H","UseDPDF=Y")</f>
        <v>-29.680299999999999</v>
      </c>
      <c r="H18" s="14">
        <f>_xll.BDH("ITCI US Equity","ASSET_GROWTH","FQ1 2020","FQ1 2020","Currency=USD","Period=FQ","BEST_FPERIOD_OVERRIDE=FQ","FILING_STATUS=MR","Sort=A","Dates=H","DateFormat=P","Fill=—","Direction=H","UseDPDF=Y")</f>
        <v>40.315100000000001</v>
      </c>
      <c r="I18" s="14">
        <f>_xll.BDH("ITCI US Equity","ASSET_GROWTH","FQ2 2020","FQ2 2020","Currency=USD","Period=FQ","BEST_FPERIOD_OVERRIDE=FQ","FILING_STATUS=MR","Sort=A","Dates=H","DateFormat=P","Fill=—","Direction=H","UseDPDF=Y")</f>
        <v>42.2988</v>
      </c>
      <c r="J18" s="14">
        <f>_xll.BDH("ITCI US Equity","ASSET_GROWTH","FQ3 2020","FQ3 2020","Currency=USD","Period=FQ","BEST_FPERIOD_OVERRIDE=FQ","FILING_STATUS=MR","Sort=A","Dates=H","DateFormat=P","Fill=—","Direction=H","UseDPDF=Y")</f>
        <v>174.9485</v>
      </c>
      <c r="K18" s="14">
        <f>_xll.BDH("ITCI US Equity","ASSET_GROWTH","FQ4 2020","FQ4 2020","Currency=USD","Period=FQ","BEST_FPERIOD_OVERRIDE=FQ","FILING_STATUS=MR","Sort=A","Dates=H","DateFormat=P","Fill=—","Direction=H","UseDPDF=Y")</f>
        <v>185.5702</v>
      </c>
      <c r="L18" s="14">
        <f>_xll.BDH("ITCI US Equity","ASSET_GROWTH","FQ1 2021","FQ1 2021","Currency=USD","Period=FQ","BEST_FPERIOD_OVERRIDE=FQ","FILING_STATUS=MR","Sort=A","Dates=H","DateFormat=P","Fill=—","Direction=H","UseDPDF=Y")</f>
        <v>40.1556</v>
      </c>
      <c r="M18" s="14">
        <f>_xll.BDH("ITCI US Equity","ASSET_GROWTH","FQ2 2021","FQ2 2021","Currency=USD","Period=FQ","BEST_FPERIOD_OVERRIDE=FQ","FILING_STATUS=MR","Sort=A","Dates=H","DateFormat=P","Fill=—","Direction=H","UseDPDF=Y")</f>
        <v>41.903599999999997</v>
      </c>
      <c r="N18" s="14">
        <f>_xll.BDH("ITCI US Equity","ASSET_GROWTH","FQ3 2021","FQ3 2021","Currency=USD","Period=FQ","BEST_FPERIOD_OVERRIDE=FQ","FILING_STATUS=MR","Sort=A","Dates=H","DateFormat=P","Fill=—","Direction=H","UseDPDF=Y")</f>
        <v>-27.786799999999999</v>
      </c>
      <c r="O18" s="14">
        <f>_xll.BDH("ITCI US Equity","ASSET_GROWTH","FQ4 2021","FQ4 2021","Currency=USD","Period=FQ","BEST_FPERIOD_OVERRIDE=FQ","FILING_STATUS=MR","Sort=A","Dates=H","DateFormat=P","Fill=—","Direction=H","UseDPDF=Y")</f>
        <v>-31.700399999999998</v>
      </c>
      <c r="P18" s="14">
        <f>_xll.BDH("ITCI US Equity","ASSET_GROWTH","FQ1 2022","FQ1 2022","Currency=USD","Period=FQ","BEST_FPERIOD_OVERRIDE=FQ","FILING_STATUS=MR","Sort=A","Dates=H","DateFormat=P","Fill=—","Direction=H","UseDPDF=Y")</f>
        <v>28.7761</v>
      </c>
      <c r="Q18" s="14">
        <f>_xll.BDH("ITCI US Equity","ASSET_GROWTH","FQ2 2022","FQ2 2022","Currency=USD","Period=FQ","BEST_FPERIOD_OVERRIDE=FQ","FILING_STATUS=MR","Sort=A","Dates=H","DateFormat=P","Fill=—","Direction=H","UseDPDF=Y")</f>
        <v>29.760300000000001</v>
      </c>
      <c r="R18" s="14">
        <f>_xll.BDH("ITCI US Equity","ASSET_GROWTH","FQ3 2022","FQ3 2022","Currency=USD","Period=FQ","BEST_FPERIOD_OVERRIDE=FQ","FILING_STATUS=MR","Sort=A","Dates=H","DateFormat=P","Fill=—","Direction=H","UseDPDF=Y")</f>
        <v>40.4009</v>
      </c>
      <c r="S18" s="14">
        <f>_xll.BDH("ITCI US Equity","ASSET_GROWTH","FQ4 2022","FQ4 2022","Currency=USD","Period=FQ","BEST_FPERIOD_OVERRIDE=FQ","FILING_STATUS=MR","Sort=A","Dates=H","DateFormat=P","Fill=—","Direction=H","UseDPDF=Y")</f>
        <v>54.061199999999999</v>
      </c>
      <c r="T18" s="14">
        <f>_xll.BDH("ITCI US Equity","ASSET_GROWTH","FQ1 2023","FQ1 2023","Currency=USD","Period=FQ","BEST_FPERIOD_OVERRIDE=FQ","FILING_STATUS=MR","Sort=A","Dates=H","DateFormat=P","Fill=—","Direction=H","UseDPDF=Y")</f>
        <v>-16.857600000000001</v>
      </c>
      <c r="U18" s="14">
        <f>_xll.BDH("ITCI US Equity","ASSET_GROWTH","FQ2 2023","FQ2 2023","Currency=USD","Period=FQ","BEST_FPERIOD_OVERRIDE=FQ","FILING_STATUS=MR","Sort=A","Dates=H","DateFormat=P","Fill=—","Direction=H","UseDPDF=Y")</f>
        <v>-12.107799999999999</v>
      </c>
      <c r="V18" s="14">
        <f>_xll.BDH("ITCI US Equity","ASSET_GROWTH","FQ3 2023","FQ3 2023","Currency=USD","Period=FQ","BEST_FPERIOD_OVERRIDE=FQ","FILING_STATUS=MR","Sort=A","Dates=H","DateFormat=P","Fill=—","Direction=H","UseDPDF=Y")</f>
        <v>-8.2270000000000003</v>
      </c>
      <c r="W18" s="14">
        <f>_xll.BDH("ITCI US Equity","ASSET_GROWTH","FQ4 2023","FQ4 2023","Currency=USD","Period=FQ","BEST_FPERIOD_OVERRIDE=FQ","FILING_STATUS=MR","Sort=A","Dates=H","DateFormat=P","Fill=—","Direction=H","UseDPDF=Y")</f>
        <v>-3.5089999999999999</v>
      </c>
      <c r="X18" s="14">
        <f>_xll.BDH("ITCI US Equity","ASSET_GROWTH","FQ1 2024","FQ1 2024","Currency=USD","Period=FQ","BEST_FPERIOD_OVERRIDE=FQ","FILING_STATUS=MR","Sort=A","Dates=H","DateFormat=P","Fill=—","Direction=H","UseDPDF=Y")</f>
        <v>3.4449999999999998</v>
      </c>
      <c r="Y18" s="14">
        <f>_xll.BDH("ITCI US Equity","ASSET_GROWTH","FQ2 2024","FQ2 2024","Currency=USD","Period=FQ","BEST_FPERIOD_OVERRIDE=FQ","FILING_STATUS=MR","Sort=A","Dates=H","DateFormat=P","Fill=—","Direction=H","UseDPDF=Y")</f>
        <v>85.047700000000006</v>
      </c>
      <c r="Z18" s="14">
        <f>_xll.BDH("ITCI US Equity","ASSET_GROWTH","FQ3 2024","FQ3 2024","Currency=USD","Period=FQ","BEST_FPERIOD_OVERRIDE=FQ","FILING_STATUS=MR","Sort=A","Dates=H","DateFormat=P","Fill=—","Direction=H","UseDPDF=Y")</f>
        <v>84.549499999999995</v>
      </c>
      <c r="AA18" s="14">
        <f>_xll.BDH("ITCI US Equity","ASSET_GROWTH","FQ4 2024","FQ4 2024","Currency=USD","Period=FQ","BEST_FPERIOD_OVERRIDE=FQ","FILING_STATUS=MR","Sort=A","Dates=H","DateFormat=P","Fill=—","Direction=H","UseDPDF=Y")</f>
        <v>87.686599999999999</v>
      </c>
    </row>
    <row r="19" spans="1:27" x14ac:dyDescent="0.25">
      <c r="A19" s="10" t="s">
        <v>1120</v>
      </c>
      <c r="B19" s="10" t="s">
        <v>1121</v>
      </c>
      <c r="C19" s="14">
        <f>_xll.BDH("ITCI US Equity","MODIFIED_WORK_CAP_GROWTH","FQ4 2018","FQ4 2018","Currency=USD","Period=FQ","BEST_FPERIOD_OVERRIDE=FQ","FILING_STATUS=MR","Sort=A","Dates=H","DateFormat=P","Fill=—","Direction=H","UseDPDF=Y")</f>
        <v>-126.1435</v>
      </c>
      <c r="D19" s="14">
        <f>_xll.BDH("ITCI US Equity","MODIFIED_WORK_CAP_GROWTH","FQ1 2019","FQ1 2019","Currency=USD","Period=FQ","BEST_FPERIOD_OVERRIDE=FQ","FILING_STATUS=MR","Sort=A","Dates=H","DateFormat=P","Fill=—","Direction=H","UseDPDF=Y")</f>
        <v>14.5875</v>
      </c>
      <c r="E19" s="14">
        <f>_xll.BDH("ITCI US Equity","MODIFIED_WORK_CAP_GROWTH","FQ2 2019","FQ2 2019","Currency=USD","Period=FQ","BEST_FPERIOD_OVERRIDE=FQ","FILING_STATUS=MR","Sort=A","Dates=H","DateFormat=P","Fill=—","Direction=H","UseDPDF=Y")</f>
        <v>-4.7206000000000001</v>
      </c>
      <c r="F19" s="14">
        <f>_xll.BDH("ITCI US Equity","MODIFIED_WORK_CAP_GROWTH","FQ3 2019","FQ3 2019","Currency=USD","Period=FQ","BEST_FPERIOD_OVERRIDE=FQ","FILING_STATUS=MR","Sort=A","Dates=H","DateFormat=P","Fill=—","Direction=H","UseDPDF=Y")</f>
        <v>40.392099999999999</v>
      </c>
      <c r="G19" s="14">
        <f>_xll.BDH("ITCI US Equity","MODIFIED_WORK_CAP_GROWTH","FQ4 2019","FQ4 2019","Currency=USD","Period=FQ","BEST_FPERIOD_OVERRIDE=FQ","FILING_STATUS=MR","Sort=A","Dates=H","DateFormat=P","Fill=—","Direction=H","UseDPDF=Y")</f>
        <v>46.816200000000002</v>
      </c>
      <c r="H19" s="14">
        <f>_xll.BDH("ITCI US Equity","MODIFIED_WORK_CAP_GROWTH","FQ1 2020","FQ1 2020","Currency=USD","Period=FQ","BEST_FPERIOD_OVERRIDE=FQ","FILING_STATUS=MR","Sort=A","Dates=H","DateFormat=P","Fill=—","Direction=H","UseDPDF=Y")</f>
        <v>3.7610000000000001</v>
      </c>
      <c r="I19" s="14">
        <f>_xll.BDH("ITCI US Equity","MODIFIED_WORK_CAP_GROWTH","FQ2 2020","FQ2 2020","Currency=USD","Period=FQ","BEST_FPERIOD_OVERRIDE=FQ","FILING_STATUS=MR","Sort=A","Dates=H","DateFormat=P","Fill=—","Direction=H","UseDPDF=Y")</f>
        <v>86.069199999999995</v>
      </c>
      <c r="J19" s="14" t="str">
        <f>_xll.BDH("ITCI US Equity","MODIFIED_WORK_CAP_GROWTH","FQ3 2020","FQ3 2020","Currency=USD","Period=FQ","BEST_FPERIOD_OVERRIDE=FQ","FILING_STATUS=MR","Sort=A","Dates=H","DateFormat=P","Fill=—","Direction=H","UseDPDF=Y")</f>
        <v>—</v>
      </c>
      <c r="K19" s="14" t="str">
        <f>_xll.BDH("ITCI US Equity","MODIFIED_WORK_CAP_GROWTH","FQ4 2020","FQ4 2020","Currency=USD","Period=FQ","BEST_FPERIOD_OVERRIDE=FQ","FILING_STATUS=MR","Sort=A","Dates=H","DateFormat=P","Fill=—","Direction=H","UseDPDF=Y")</f>
        <v>—</v>
      </c>
      <c r="L19" s="14" t="str">
        <f>_xll.BDH("ITCI US Equity","MODIFIED_WORK_CAP_GROWTH","FQ1 2021","FQ1 2021","Currency=USD","Period=FQ","BEST_FPERIOD_OVERRIDE=FQ","FILING_STATUS=MR","Sort=A","Dates=H","DateFormat=P","Fill=—","Direction=H","UseDPDF=Y")</f>
        <v>—</v>
      </c>
      <c r="M19" s="14" t="str">
        <f>_xll.BDH("ITCI US Equity","MODIFIED_WORK_CAP_GROWTH","FQ2 2021","FQ2 2021","Currency=USD","Period=FQ","BEST_FPERIOD_OVERRIDE=FQ","FILING_STATUS=MR","Sort=A","Dates=H","DateFormat=P","Fill=—","Direction=H","UseDPDF=Y")</f>
        <v>—</v>
      </c>
      <c r="N19" s="14">
        <f>_xll.BDH("ITCI US Equity","MODIFIED_WORK_CAP_GROWTH","FQ3 2021","FQ3 2021","Currency=USD","Period=FQ","BEST_FPERIOD_OVERRIDE=FQ","FILING_STATUS=MR","Sort=A","Dates=H","DateFormat=P","Fill=—","Direction=H","UseDPDF=Y")</f>
        <v>603.25599999999997</v>
      </c>
      <c r="O19" s="14">
        <f>_xll.BDH("ITCI US Equity","MODIFIED_WORK_CAP_GROWTH","FQ4 2021","FQ4 2021","Currency=USD","Period=FQ","BEST_FPERIOD_OVERRIDE=FQ","FILING_STATUS=MR","Sort=A","Dates=H","DateFormat=P","Fill=—","Direction=H","UseDPDF=Y")</f>
        <v>57.583199999999998</v>
      </c>
      <c r="P19" s="14">
        <f>_xll.BDH("ITCI US Equity","MODIFIED_WORK_CAP_GROWTH","FQ1 2022","FQ1 2022","Currency=USD","Period=FQ","BEST_FPERIOD_OVERRIDE=FQ","FILING_STATUS=MR","Sort=A","Dates=H","DateFormat=P","Fill=—","Direction=H","UseDPDF=Y")</f>
        <v>132.2285</v>
      </c>
      <c r="Q19" s="14">
        <f>_xll.BDH("ITCI US Equity","MODIFIED_WORK_CAP_GROWTH","FQ2 2022","FQ2 2022","Currency=USD","Period=FQ","BEST_FPERIOD_OVERRIDE=FQ","FILING_STATUS=MR","Sort=A","Dates=H","DateFormat=P","Fill=—","Direction=H","UseDPDF=Y")</f>
        <v>773.00199999999995</v>
      </c>
      <c r="R19" s="14">
        <f>_xll.BDH("ITCI US Equity","MODIFIED_WORK_CAP_GROWTH","FQ3 2022","FQ3 2022","Currency=USD","Period=FQ","BEST_FPERIOD_OVERRIDE=FQ","FILING_STATUS=MR","Sort=A","Dates=H","DateFormat=P","Fill=—","Direction=H","UseDPDF=Y")</f>
        <v>442.55810000000002</v>
      </c>
      <c r="S19" s="14">
        <f>_xll.BDH("ITCI US Equity","MODIFIED_WORK_CAP_GROWTH","FQ4 2022","FQ4 2022","Currency=USD","Period=FQ","BEST_FPERIOD_OVERRIDE=FQ","FILING_STATUS=MR","Sort=A","Dates=H","DateFormat=P","Fill=—","Direction=H","UseDPDF=Y")</f>
        <v>356.98480000000001</v>
      </c>
      <c r="T19" s="14">
        <f>_xll.BDH("ITCI US Equity","MODIFIED_WORK_CAP_GROWTH","FQ1 2023","FQ1 2023","Currency=USD","Period=FQ","BEST_FPERIOD_OVERRIDE=FQ","FILING_STATUS=MR","Sort=A","Dates=H","DateFormat=P","Fill=—","Direction=H","UseDPDF=Y")</f>
        <v>248.89599999999999</v>
      </c>
      <c r="U19" s="14">
        <f>_xll.BDH("ITCI US Equity","MODIFIED_WORK_CAP_GROWTH","FQ2 2023","FQ2 2023","Currency=USD","Period=FQ","BEST_FPERIOD_OVERRIDE=FQ","FILING_STATUS=MR","Sort=A","Dates=H","DateFormat=P","Fill=—","Direction=H","UseDPDF=Y")</f>
        <v>112.4541</v>
      </c>
      <c r="V19" s="14">
        <f>_xll.BDH("ITCI US Equity","MODIFIED_WORK_CAP_GROWTH","FQ3 2023","FQ3 2023","Currency=USD","Period=FQ","BEST_FPERIOD_OVERRIDE=FQ","FILING_STATUS=MR","Sort=A","Dates=H","DateFormat=P","Fill=—","Direction=H","UseDPDF=Y")</f>
        <v>90.426699999999997</v>
      </c>
      <c r="W19" s="14">
        <f>_xll.BDH("ITCI US Equity","MODIFIED_WORK_CAP_GROWTH","FQ4 2023","FQ4 2023","Currency=USD","Period=FQ","BEST_FPERIOD_OVERRIDE=FQ","FILING_STATUS=MR","Sort=A","Dates=H","DateFormat=P","Fill=—","Direction=H","UseDPDF=Y")</f>
        <v>28.742899999999999</v>
      </c>
      <c r="X19" s="14">
        <f>_xll.BDH("ITCI US Equity","MODIFIED_WORK_CAP_GROWTH","FQ1 2024","FQ1 2024","Currency=USD","Period=FQ","BEST_FPERIOD_OVERRIDE=FQ","FILING_STATUS=MR","Sort=A","Dates=H","DateFormat=P","Fill=—","Direction=H","UseDPDF=Y")</f>
        <v>33.642899999999997</v>
      </c>
      <c r="Y19" s="14">
        <f>_xll.BDH("ITCI US Equity","MODIFIED_WORK_CAP_GROWTH","FQ2 2024","FQ2 2024","Currency=USD","Period=FQ","BEST_FPERIOD_OVERRIDE=FQ","FILING_STATUS=MR","Sort=A","Dates=H","DateFormat=P","Fill=—","Direction=H","UseDPDF=Y")</f>
        <v>13.926500000000001</v>
      </c>
      <c r="Z19" s="14">
        <f>_xll.BDH("ITCI US Equity","MODIFIED_WORK_CAP_GROWTH","FQ3 2024","FQ3 2024","Currency=USD","Period=FQ","BEST_FPERIOD_OVERRIDE=FQ","FILING_STATUS=MR","Sort=A","Dates=H","DateFormat=P","Fill=—","Direction=H","UseDPDF=Y")</f>
        <v>17.598800000000001</v>
      </c>
      <c r="AA19" s="14">
        <f>_xll.BDH("ITCI US Equity","MODIFIED_WORK_CAP_GROWTH","FQ4 2024","FQ4 2024","Currency=USD","Period=FQ","BEST_FPERIOD_OVERRIDE=FQ","FILING_STATUS=MR","Sort=A","Dates=H","DateFormat=P","Fill=—","Direction=H","UseDPDF=Y")</f>
        <v>45.963200000000001</v>
      </c>
    </row>
    <row r="20" spans="1:27" x14ac:dyDescent="0.25">
      <c r="A20" s="10" t="s">
        <v>1122</v>
      </c>
      <c r="B20" s="10" t="s">
        <v>1123</v>
      </c>
      <c r="C20" s="14">
        <f>_xll.BDH("ITCI US Equity","WORK_CAP_GROWTH","FQ4 2018","FQ4 2018","Currency=USD","Period=FQ","BEST_FPERIOD_OVERRIDE=FQ","FILING_STATUS=MR","Sort=A","Dates=H","DateFormat=P","Fill=—","Direction=H","UseDPDF=Y")</f>
        <v>-29.860299999999999</v>
      </c>
      <c r="D20" s="14">
        <f>_xll.BDH("ITCI US Equity","WORK_CAP_GROWTH","FQ1 2019","FQ1 2019","Currency=USD","Period=FQ","BEST_FPERIOD_OVERRIDE=FQ","FILING_STATUS=MR","Sort=A","Dates=H","DateFormat=P","Fill=—","Direction=H","UseDPDF=Y")</f>
        <v>-32.083199999999998</v>
      </c>
      <c r="E20" s="14">
        <f>_xll.BDH("ITCI US Equity","WORK_CAP_GROWTH","FQ2 2019","FQ2 2019","Currency=USD","Period=FQ","BEST_FPERIOD_OVERRIDE=FQ","FILING_STATUS=MR","Sort=A","Dates=H","DateFormat=P","Fill=—","Direction=H","UseDPDF=Y")</f>
        <v>-34.528100000000002</v>
      </c>
      <c r="F20" s="14">
        <f>_xll.BDH("ITCI US Equity","WORK_CAP_GROWTH","FQ3 2019","FQ3 2019","Currency=USD","Period=FQ","BEST_FPERIOD_OVERRIDE=FQ","FILING_STATUS=MR","Sort=A","Dates=H","DateFormat=P","Fill=—","Direction=H","UseDPDF=Y")</f>
        <v>-36.156999999999996</v>
      </c>
      <c r="G20" s="14">
        <f>_xll.BDH("ITCI US Equity","WORK_CAP_GROWTH","FQ4 2019","FQ4 2019","Currency=USD","Period=FQ","BEST_FPERIOD_OVERRIDE=FQ","FILING_STATUS=MR","Sort=A","Dates=H","DateFormat=P","Fill=—","Direction=H","UseDPDF=Y")</f>
        <v>-39.180199999999999</v>
      </c>
      <c r="H20" s="14">
        <f>_xll.BDH("ITCI US Equity","WORK_CAP_GROWTH","FQ1 2020","FQ1 2020","Currency=USD","Period=FQ","BEST_FPERIOD_OVERRIDE=FQ","FILING_STATUS=MR","Sort=A","Dates=H","DateFormat=P","Fill=—","Direction=H","UseDPDF=Y")</f>
        <v>49.462400000000002</v>
      </c>
      <c r="I20" s="14">
        <f>_xll.BDH("ITCI US Equity","WORK_CAP_GROWTH","FQ2 2020","FQ2 2020","Currency=USD","Period=FQ","BEST_FPERIOD_OVERRIDE=FQ","FILING_STATUS=MR","Sort=A","Dates=H","DateFormat=P","Fill=—","Direction=H","UseDPDF=Y")</f>
        <v>47.892099999999999</v>
      </c>
      <c r="J20" s="14">
        <f>_xll.BDH("ITCI US Equity","WORK_CAP_GROWTH","FQ3 2020","FQ3 2020","Currency=USD","Period=FQ","BEST_FPERIOD_OVERRIDE=FQ","FILING_STATUS=MR","Sort=A","Dates=H","DateFormat=P","Fill=—","Direction=H","UseDPDF=Y")</f>
        <v>212.6439</v>
      </c>
      <c r="K20" s="14">
        <f>_xll.BDH("ITCI US Equity","WORK_CAP_GROWTH","FQ4 2020","FQ4 2020","Currency=USD","Period=FQ","BEST_FPERIOD_OVERRIDE=FQ","FILING_STATUS=MR","Sort=A","Dates=H","DateFormat=P","Fill=—","Direction=H","UseDPDF=Y")</f>
        <v>236.96619999999999</v>
      </c>
      <c r="L20" s="14">
        <f>_xll.BDH("ITCI US Equity","WORK_CAP_GROWTH","FQ1 2021","FQ1 2021","Currency=USD","Period=FQ","BEST_FPERIOD_OVERRIDE=FQ","FILING_STATUS=MR","Sort=A","Dates=H","DateFormat=P","Fill=—","Direction=H","UseDPDF=Y")</f>
        <v>41.754899999999999</v>
      </c>
      <c r="M20" s="14">
        <f>_xll.BDH("ITCI US Equity","WORK_CAP_GROWTH","FQ2 2021","FQ2 2021","Currency=USD","Period=FQ","BEST_FPERIOD_OVERRIDE=FQ","FILING_STATUS=MR","Sort=A","Dates=H","DateFormat=P","Fill=—","Direction=H","UseDPDF=Y")</f>
        <v>45.608400000000003</v>
      </c>
      <c r="N20" s="14">
        <f>_xll.BDH("ITCI US Equity","WORK_CAP_GROWTH","FQ3 2021","FQ3 2021","Currency=USD","Period=FQ","BEST_FPERIOD_OVERRIDE=FQ","FILING_STATUS=MR","Sort=A","Dates=H","DateFormat=P","Fill=—","Direction=H","UseDPDF=Y")</f>
        <v>-31.618300000000001</v>
      </c>
      <c r="O20" s="14">
        <f>_xll.BDH("ITCI US Equity","WORK_CAP_GROWTH","FQ4 2021","FQ4 2021","Currency=USD","Period=FQ","BEST_FPERIOD_OVERRIDE=FQ","FILING_STATUS=MR","Sort=A","Dates=H","DateFormat=P","Fill=—","Direction=H","UseDPDF=Y")</f>
        <v>-36.713799999999999</v>
      </c>
      <c r="P20" s="14">
        <f>_xll.BDH("ITCI US Equity","WORK_CAP_GROWTH","FQ1 2022","FQ1 2022","Currency=USD","Period=FQ","BEST_FPERIOD_OVERRIDE=FQ","FILING_STATUS=MR","Sort=A","Dates=H","DateFormat=P","Fill=—","Direction=H","UseDPDF=Y")</f>
        <v>29.515899999999998</v>
      </c>
      <c r="Q20" s="14">
        <f>_xll.BDH("ITCI US Equity","WORK_CAP_GROWTH","FQ2 2022","FQ2 2022","Currency=USD","Period=FQ","BEST_FPERIOD_OVERRIDE=FQ","FILING_STATUS=MR","Sort=A","Dates=H","DateFormat=P","Fill=—","Direction=H","UseDPDF=Y")</f>
        <v>30.4404</v>
      </c>
      <c r="R20" s="14">
        <f>_xll.BDH("ITCI US Equity","WORK_CAP_GROWTH","FQ3 2022","FQ3 2022","Currency=USD","Period=FQ","BEST_FPERIOD_OVERRIDE=FQ","FILING_STATUS=MR","Sort=A","Dates=H","DateFormat=P","Fill=—","Direction=H","UseDPDF=Y")</f>
        <v>41.170999999999999</v>
      </c>
      <c r="S20" s="14">
        <f>_xll.BDH("ITCI US Equity","WORK_CAP_GROWTH","FQ4 2022","FQ4 2022","Currency=USD","Period=FQ","BEST_FPERIOD_OVERRIDE=FQ","FILING_STATUS=MR","Sort=A","Dates=H","DateFormat=P","Fill=—","Direction=H","UseDPDF=Y")</f>
        <v>58.174100000000003</v>
      </c>
      <c r="T20" s="14">
        <f>_xll.BDH("ITCI US Equity","WORK_CAP_GROWTH","FQ1 2023","FQ1 2023","Currency=USD","Period=FQ","BEST_FPERIOD_OVERRIDE=FQ","FILING_STATUS=MR","Sort=A","Dates=H","DateFormat=P","Fill=—","Direction=H","UseDPDF=Y")</f>
        <v>-20.6218</v>
      </c>
      <c r="U20" s="14">
        <f>_xll.BDH("ITCI US Equity","WORK_CAP_GROWTH","FQ2 2023","FQ2 2023","Currency=USD","Period=FQ","BEST_FPERIOD_OVERRIDE=FQ","FILING_STATUS=MR","Sort=A","Dates=H","DateFormat=P","Fill=—","Direction=H","UseDPDF=Y")</f>
        <v>-15.667</v>
      </c>
      <c r="V20" s="14">
        <f>_xll.BDH("ITCI US Equity","WORK_CAP_GROWTH","FQ3 2023","FQ3 2023","Currency=USD","Period=FQ","BEST_FPERIOD_OVERRIDE=FQ","FILING_STATUS=MR","Sort=A","Dates=H","DateFormat=P","Fill=—","Direction=H","UseDPDF=Y")</f>
        <v>-12.165800000000001</v>
      </c>
      <c r="W20" s="14">
        <f>_xll.BDH("ITCI US Equity","WORK_CAP_GROWTH","FQ4 2023","FQ4 2023","Currency=USD","Period=FQ","BEST_FPERIOD_OVERRIDE=FQ","FILING_STATUS=MR","Sort=A","Dates=H","DateFormat=P","Fill=—","Direction=H","UseDPDF=Y")</f>
        <v>-16.872399999999999</v>
      </c>
      <c r="X20" s="14">
        <f>_xll.BDH("ITCI US Equity","WORK_CAP_GROWTH","FQ1 2024","FQ1 2024","Currency=USD","Period=FQ","BEST_FPERIOD_OVERRIDE=FQ","FILING_STATUS=MR","Sort=A","Dates=H","DateFormat=P","Fill=—","Direction=H","UseDPDF=Y")</f>
        <v>-11.297700000000001</v>
      </c>
      <c r="Y20" s="14">
        <f>_xll.BDH("ITCI US Equity","WORK_CAP_GROWTH","FQ2 2024","FQ2 2024","Currency=USD","Period=FQ","BEST_FPERIOD_OVERRIDE=FQ","FILING_STATUS=MR","Sort=A","Dates=H","DateFormat=P","Fill=—","Direction=H","UseDPDF=Y")</f>
        <v>81.928799999999995</v>
      </c>
      <c r="Z20" s="14">
        <f>_xll.BDH("ITCI US Equity","WORK_CAP_GROWTH","FQ3 2024","FQ3 2024","Currency=USD","Period=FQ","BEST_FPERIOD_OVERRIDE=FQ","FILING_STATUS=MR","Sort=A","Dates=H","DateFormat=P","Fill=—","Direction=H","UseDPDF=Y")</f>
        <v>84.474699999999999</v>
      </c>
      <c r="AA20" s="14">
        <f>_xll.BDH("ITCI US Equity","WORK_CAP_GROWTH","FQ4 2024","FQ4 2024","Currency=USD","Period=FQ","BEST_FPERIOD_OVERRIDE=FQ","FILING_STATUS=MR","Sort=A","Dates=H","DateFormat=P","Fill=—","Direction=H","UseDPDF=Y")</f>
        <v>102.4165</v>
      </c>
    </row>
    <row r="21" spans="1:27" x14ac:dyDescent="0.25">
      <c r="A21" s="10" t="s">
        <v>1124</v>
      </c>
      <c r="B21" s="10" t="s">
        <v>1125</v>
      </c>
      <c r="C21" s="14">
        <f>_xll.BDH("ITCI US Equity","EMPL_GROWTH","FQ4 2018","FQ4 2018","Currency=USD","Period=FQ","BEST_FPERIOD_OVERRIDE=FQ","FILING_STATUS=MR","Sort=A","Dates=H","DateFormat=P","Fill=—","Direction=H","UseDPDF=Y")</f>
        <v>48.979599999999998</v>
      </c>
      <c r="D21" s="14" t="str">
        <f>_xll.BDH("ITCI US Equity","EMPL_GROWTH","FQ1 2019","FQ1 2019","Currency=USD","Period=FQ","BEST_FPERIOD_OVERRIDE=FQ","FILING_STATUS=MR","Sort=A","Dates=H","DateFormat=P","Fill=—","Direction=H","UseDPDF=Y")</f>
        <v>—</v>
      </c>
      <c r="E21" s="14" t="str">
        <f>_xll.BDH("ITCI US Equity","EMPL_GROWTH","FQ2 2019","FQ2 2019","Currency=USD","Period=FQ","BEST_FPERIOD_OVERRIDE=FQ","FILING_STATUS=MR","Sort=A","Dates=H","DateFormat=P","Fill=—","Direction=H","UseDPDF=Y")</f>
        <v>—</v>
      </c>
      <c r="F21" s="14" t="str">
        <f>_xll.BDH("ITCI US Equity","EMPL_GROWTH","FQ3 2019","FQ3 2019","Currency=USD","Period=FQ","BEST_FPERIOD_OVERRIDE=FQ","FILING_STATUS=MR","Sort=A","Dates=H","DateFormat=P","Fill=—","Direction=H","UseDPDF=Y")</f>
        <v>—</v>
      </c>
      <c r="G21" s="14">
        <f>_xll.BDH("ITCI US Equity","EMPL_GROWTH","FQ4 2019","FQ4 2019","Currency=USD","Period=FQ","BEST_FPERIOD_OVERRIDE=FQ","FILING_STATUS=MR","Sort=A","Dates=H","DateFormat=P","Fill=—","Direction=H","UseDPDF=Y")</f>
        <v>310.95890000000003</v>
      </c>
      <c r="H21" s="14" t="str">
        <f>_xll.BDH("ITCI US Equity","EMPL_GROWTH","FQ1 2020","FQ1 2020","Currency=USD","Period=FQ","BEST_FPERIOD_OVERRIDE=FQ","FILING_STATUS=MR","Sort=A","Dates=H","DateFormat=P","Fill=—","Direction=H","UseDPDF=Y")</f>
        <v>—</v>
      </c>
      <c r="I21" s="14" t="str">
        <f>_xll.BDH("ITCI US Equity","EMPL_GROWTH","FQ2 2020","FQ2 2020","Currency=USD","Period=FQ","BEST_FPERIOD_OVERRIDE=FQ","FILING_STATUS=MR","Sort=A","Dates=H","DateFormat=P","Fill=—","Direction=H","UseDPDF=Y")</f>
        <v>—</v>
      </c>
      <c r="J21" s="14" t="str">
        <f>_xll.BDH("ITCI US Equity","EMPL_GROWTH","FQ3 2020","FQ3 2020","Currency=USD","Period=FQ","BEST_FPERIOD_OVERRIDE=FQ","FILING_STATUS=MR","Sort=A","Dates=H","DateFormat=P","Fill=—","Direction=H","UseDPDF=Y")</f>
        <v>—</v>
      </c>
      <c r="K21" s="14">
        <f>_xll.BDH("ITCI US Equity","EMPL_GROWTH","FQ4 2020","FQ4 2020","Currency=USD","Period=FQ","BEST_FPERIOD_OVERRIDE=FQ","FILING_STATUS=MR","Sort=A","Dates=H","DateFormat=P","Fill=—","Direction=H","UseDPDF=Y")</f>
        <v>27.666699999999999</v>
      </c>
      <c r="L21" s="14" t="str">
        <f>_xll.BDH("ITCI US Equity","EMPL_GROWTH","FQ1 2021","FQ1 2021","Currency=USD","Period=FQ","BEST_FPERIOD_OVERRIDE=FQ","FILING_STATUS=MR","Sort=A","Dates=H","DateFormat=P","Fill=—","Direction=H","UseDPDF=Y")</f>
        <v>—</v>
      </c>
      <c r="M21" s="14" t="str">
        <f>_xll.BDH("ITCI US Equity","EMPL_GROWTH","FQ2 2021","FQ2 2021","Currency=USD","Period=FQ","BEST_FPERIOD_OVERRIDE=FQ","FILING_STATUS=MR","Sort=A","Dates=H","DateFormat=P","Fill=—","Direction=H","UseDPDF=Y")</f>
        <v>—</v>
      </c>
      <c r="N21" s="14" t="str">
        <f>_xll.BDH("ITCI US Equity","EMPL_GROWTH","FQ3 2021","FQ3 2021","Currency=USD","Period=FQ","BEST_FPERIOD_OVERRIDE=FQ","FILING_STATUS=MR","Sort=A","Dates=H","DateFormat=P","Fill=—","Direction=H","UseDPDF=Y")</f>
        <v>—</v>
      </c>
      <c r="O21" s="14">
        <f>_xll.BDH("ITCI US Equity","EMPL_GROWTH","FQ4 2021","FQ4 2021","Currency=USD","Period=FQ","BEST_FPERIOD_OVERRIDE=FQ","FILING_STATUS=MR","Sort=A","Dates=H","DateFormat=P","Fill=—","Direction=H","UseDPDF=Y")</f>
        <v>33.6815</v>
      </c>
      <c r="P21" s="14" t="str">
        <f>_xll.BDH("ITCI US Equity","EMPL_GROWTH","FQ1 2022","FQ1 2022","Currency=USD","Period=FQ","BEST_FPERIOD_OVERRIDE=FQ","FILING_STATUS=MR","Sort=A","Dates=H","DateFormat=P","Fill=—","Direction=H","UseDPDF=Y")</f>
        <v>—</v>
      </c>
      <c r="Q21" s="14" t="str">
        <f>_xll.BDH("ITCI US Equity","EMPL_GROWTH","FQ2 2022","FQ2 2022","Currency=USD","Period=FQ","BEST_FPERIOD_OVERRIDE=FQ","FILING_STATUS=MR","Sort=A","Dates=H","DateFormat=P","Fill=—","Direction=H","UseDPDF=Y")</f>
        <v>—</v>
      </c>
      <c r="R21" s="14" t="str">
        <f>_xll.BDH("ITCI US Equity","EMPL_GROWTH","FQ3 2022","FQ3 2022","Currency=USD","Period=FQ","BEST_FPERIOD_OVERRIDE=FQ","FILING_STATUS=MR","Sort=A","Dates=H","DateFormat=P","Fill=—","Direction=H","UseDPDF=Y")</f>
        <v>—</v>
      </c>
      <c r="S21" s="14">
        <f>_xll.BDH("ITCI US Equity","EMPL_GROWTH","FQ4 2022","FQ4 2022","Currency=USD","Period=FQ","BEST_FPERIOD_OVERRIDE=FQ","FILING_STATUS=MR","Sort=A","Dates=H","DateFormat=P","Fill=—","Direction=H","UseDPDF=Y")</f>
        <v>9.5702999999999996</v>
      </c>
      <c r="T21" s="14" t="str">
        <f>_xll.BDH("ITCI US Equity","EMPL_GROWTH","FQ1 2023","FQ1 2023","Currency=USD","Period=FQ","BEST_FPERIOD_OVERRIDE=FQ","FILING_STATUS=MR","Sort=A","Dates=H","DateFormat=P","Fill=—","Direction=H","UseDPDF=Y")</f>
        <v>—</v>
      </c>
      <c r="U21" s="14" t="str">
        <f>_xll.BDH("ITCI US Equity","EMPL_GROWTH","FQ2 2023","FQ2 2023","Currency=USD","Period=FQ","BEST_FPERIOD_OVERRIDE=FQ","FILING_STATUS=MR","Sort=A","Dates=H","DateFormat=P","Fill=—","Direction=H","UseDPDF=Y")</f>
        <v>—</v>
      </c>
      <c r="V21" s="14" t="str">
        <f>_xll.BDH("ITCI US Equity","EMPL_GROWTH","FQ3 2023","FQ3 2023","Currency=USD","Period=FQ","BEST_FPERIOD_OVERRIDE=FQ","FILING_STATUS=MR","Sort=A","Dates=H","DateFormat=P","Fill=—","Direction=H","UseDPDF=Y")</f>
        <v>—</v>
      </c>
      <c r="W21" s="14" t="str">
        <f>_xll.BDH("ITCI US Equity","EMPL_GROWTH","FQ4 2023","FQ4 2023","Currency=USD","Period=FQ","BEST_FPERIOD_OVERRIDE=FQ","FILING_STATUS=MR","Sort=A","Dates=H","DateFormat=P","Fill=—","Direction=H","UseDPDF=Y")</f>
        <v>—</v>
      </c>
      <c r="X21" s="14" t="str">
        <f>_xll.BDH("ITCI US Equity","EMPL_GROWTH","FQ1 2024","FQ1 2024","Currency=USD","Period=FQ","BEST_FPERIOD_OVERRIDE=FQ","FILING_STATUS=MR","Sort=A","Dates=H","DateFormat=P","Fill=—","Direction=H","UseDPDF=Y")</f>
        <v>—</v>
      </c>
      <c r="Y21" s="14" t="str">
        <f>_xll.BDH("ITCI US Equity","EMPL_GROWTH","FQ2 2024","FQ2 2024","Currency=USD","Period=FQ","BEST_FPERIOD_OVERRIDE=FQ","FILING_STATUS=MR","Sort=A","Dates=H","DateFormat=P","Fill=—","Direction=H","UseDPDF=Y")</f>
        <v>—</v>
      </c>
      <c r="Z21" s="14" t="str">
        <f>_xll.BDH("ITCI US Equity","EMPL_GROWTH","FQ3 2024","FQ3 2024","Currency=USD","Period=FQ","BEST_FPERIOD_OVERRIDE=FQ","FILING_STATUS=MR","Sort=A","Dates=H","DateFormat=P","Fill=—","Direction=H","UseDPDF=Y")</f>
        <v>—</v>
      </c>
      <c r="AA21" s="14" t="str">
        <f>_xll.BDH("ITCI US Equity","EMPL_GROWTH","FQ4 2024","FQ4 2024","Currency=USD","Period=FQ","BEST_FPERIOD_OVERRIDE=FQ","FILING_STATUS=MR","Sort=A","Dates=H","DateFormat=P","Fill=—","Direction=H","UseDPDF=Y")</f>
        <v>—</v>
      </c>
    </row>
    <row r="22" spans="1:27" x14ac:dyDescent="0.25">
      <c r="A22" s="10" t="s">
        <v>1126</v>
      </c>
      <c r="B22" s="10" t="s">
        <v>1127</v>
      </c>
      <c r="C22" s="14">
        <f>_xll.BDH("ITCI US Equity","ACCOUNTS_PAYABLE_GROWTH_1YR","FQ4 2018","FQ4 2018","Currency=USD","Period=FQ","BEST_FPERIOD_OVERRIDE=FQ","FILING_STATUS=MR","Sort=A","Dates=H","DateFormat=P","Fill=—","Direction=H","UseDPDF=Y")</f>
        <v>126.1435</v>
      </c>
      <c r="D22" s="14">
        <f>_xll.BDH("ITCI US Equity","ACCOUNTS_PAYABLE_GROWTH_1YR","FQ1 2019","FQ1 2019","Currency=USD","Period=FQ","BEST_FPERIOD_OVERRIDE=FQ","FILING_STATUS=MR","Sort=A","Dates=H","DateFormat=P","Fill=—","Direction=H","UseDPDF=Y")</f>
        <v>-14.5875</v>
      </c>
      <c r="E22" s="14">
        <f>_xll.BDH("ITCI US Equity","ACCOUNTS_PAYABLE_GROWTH_1YR","FQ2 2019","FQ2 2019","Currency=USD","Period=FQ","BEST_FPERIOD_OVERRIDE=FQ","FILING_STATUS=MR","Sort=A","Dates=H","DateFormat=P","Fill=—","Direction=H","UseDPDF=Y")</f>
        <v>4.7206000000000001</v>
      </c>
      <c r="F22" s="14">
        <f>_xll.BDH("ITCI US Equity","ACCOUNTS_PAYABLE_GROWTH_1YR","FQ3 2019","FQ3 2019","Currency=USD","Period=FQ","BEST_FPERIOD_OVERRIDE=FQ","FILING_STATUS=MR","Sort=A","Dates=H","DateFormat=P","Fill=—","Direction=H","UseDPDF=Y")</f>
        <v>-40.392099999999999</v>
      </c>
      <c r="G22" s="14">
        <f>_xll.BDH("ITCI US Equity","ACCOUNTS_PAYABLE_GROWTH_1YR","FQ4 2019","FQ4 2019","Currency=USD","Period=FQ","BEST_FPERIOD_OVERRIDE=FQ","FILING_STATUS=MR","Sort=A","Dates=H","DateFormat=P","Fill=—","Direction=H","UseDPDF=Y")</f>
        <v>-46.816200000000002</v>
      </c>
      <c r="H22" s="14">
        <f>_xll.BDH("ITCI US Equity","ACCOUNTS_PAYABLE_GROWTH_1YR","FQ1 2020","FQ1 2020","Currency=USD","Period=FQ","BEST_FPERIOD_OVERRIDE=FQ","FILING_STATUS=MR","Sort=A","Dates=H","DateFormat=P","Fill=—","Direction=H","UseDPDF=Y")</f>
        <v>28.2193</v>
      </c>
      <c r="I22" s="14">
        <f>_xll.BDH("ITCI US Equity","ACCOUNTS_PAYABLE_GROWTH_1YR","FQ2 2020","FQ2 2020","Currency=USD","Period=FQ","BEST_FPERIOD_OVERRIDE=FQ","FILING_STATUS=MR","Sort=A","Dates=H","DateFormat=P","Fill=—","Direction=H","UseDPDF=Y")</f>
        <v>-2.8369</v>
      </c>
      <c r="J22" s="14">
        <f>_xll.BDH("ITCI US Equity","ACCOUNTS_PAYABLE_GROWTH_1YR","FQ3 2020","FQ3 2020","Currency=USD","Period=FQ","BEST_FPERIOD_OVERRIDE=FQ","FILING_STATUS=MR","Sort=A","Dates=H","DateFormat=P","Fill=—","Direction=H","UseDPDF=Y")</f>
        <v>37.5261</v>
      </c>
      <c r="K22" s="14">
        <f>_xll.BDH("ITCI US Equity","ACCOUNTS_PAYABLE_GROWTH_1YR","FQ4 2020","FQ4 2020","Currency=USD","Period=FQ","BEST_FPERIOD_OVERRIDE=FQ","FILING_STATUS=MR","Sort=A","Dates=H","DateFormat=P","Fill=—","Direction=H","UseDPDF=Y")</f>
        <v>-25.901599999999998</v>
      </c>
      <c r="L22" s="14">
        <f>_xll.BDH("ITCI US Equity","ACCOUNTS_PAYABLE_GROWTH_1YR","FQ1 2021","FQ1 2021","Currency=USD","Period=FQ","BEST_FPERIOD_OVERRIDE=FQ","FILING_STATUS=MR","Sort=A","Dates=H","DateFormat=P","Fill=—","Direction=H","UseDPDF=Y")</f>
        <v>-20.675899999999999</v>
      </c>
      <c r="M22" s="14">
        <f>_xll.BDH("ITCI US Equity","ACCOUNTS_PAYABLE_GROWTH_1YR","FQ2 2021","FQ2 2021","Currency=USD","Period=FQ","BEST_FPERIOD_OVERRIDE=FQ","FILING_STATUS=MR","Sort=A","Dates=H","DateFormat=P","Fill=—","Direction=H","UseDPDF=Y")</f>
        <v>191.26240000000001</v>
      </c>
      <c r="N22" s="14">
        <f>_xll.BDH("ITCI US Equity","ACCOUNTS_PAYABLE_GROWTH_1YR","FQ3 2021","FQ3 2021","Currency=USD","Period=FQ","BEST_FPERIOD_OVERRIDE=FQ","FILING_STATUS=MR","Sort=A","Dates=H","DateFormat=P","Fill=—","Direction=H","UseDPDF=Y")</f>
        <v>40.394500000000001</v>
      </c>
      <c r="O22" s="14">
        <f>_xll.BDH("ITCI US Equity","ACCOUNTS_PAYABLE_GROWTH_1YR","FQ4 2021","FQ4 2021","Currency=USD","Period=FQ","BEST_FPERIOD_OVERRIDE=FQ","FILING_STATUS=MR","Sort=A","Dates=H","DateFormat=P","Fill=—","Direction=H","UseDPDF=Y")</f>
        <v>57.969799999999999</v>
      </c>
      <c r="P22" s="14">
        <f>_xll.BDH("ITCI US Equity","ACCOUNTS_PAYABLE_GROWTH_1YR","FQ1 2022","FQ1 2022","Currency=USD","Period=FQ","BEST_FPERIOD_OVERRIDE=FQ","FILING_STATUS=MR","Sort=A","Dates=H","DateFormat=P","Fill=—","Direction=H","UseDPDF=Y")</f>
        <v>33.574800000000003</v>
      </c>
      <c r="Q22" s="14">
        <f>_xll.BDH("ITCI US Equity","ACCOUNTS_PAYABLE_GROWTH_1YR","FQ2 2022","FQ2 2022","Currency=USD","Period=FQ","BEST_FPERIOD_OVERRIDE=FQ","FILING_STATUS=MR","Sort=A","Dates=H","DateFormat=P","Fill=—","Direction=H","UseDPDF=Y")</f>
        <v>-32.569099999999999</v>
      </c>
      <c r="R22" s="14">
        <f>_xll.BDH("ITCI US Equity","ACCOUNTS_PAYABLE_GROWTH_1YR","FQ3 2022","FQ3 2022","Currency=USD","Period=FQ","BEST_FPERIOD_OVERRIDE=FQ","FILING_STATUS=MR","Sort=A","Dates=H","DateFormat=P","Fill=—","Direction=H","UseDPDF=Y")</f>
        <v>18.190100000000001</v>
      </c>
      <c r="S22" s="14">
        <f>_xll.BDH("ITCI US Equity","ACCOUNTS_PAYABLE_GROWTH_1YR","FQ4 2022","FQ4 2022","Currency=USD","Period=FQ","BEST_FPERIOD_OVERRIDE=FQ","FILING_STATUS=MR","Sort=A","Dates=H","DateFormat=P","Fill=—","Direction=H","UseDPDF=Y")</f>
        <v>19.6035</v>
      </c>
      <c r="T22" s="14">
        <f>_xll.BDH("ITCI US Equity","ACCOUNTS_PAYABLE_GROWTH_1YR","FQ1 2023","FQ1 2023","Currency=USD","Period=FQ","BEST_FPERIOD_OVERRIDE=FQ","FILING_STATUS=MR","Sort=A","Dates=H","DateFormat=P","Fill=—","Direction=H","UseDPDF=Y")</f>
        <v>-27.538799999999998</v>
      </c>
      <c r="U22" s="14">
        <f>_xll.BDH("ITCI US Equity","ACCOUNTS_PAYABLE_GROWTH_1YR","FQ2 2023","FQ2 2023","Currency=USD","Period=FQ","BEST_FPERIOD_OVERRIDE=FQ","FILING_STATUS=MR","Sort=A","Dates=H","DateFormat=P","Fill=—","Direction=H","UseDPDF=Y")</f>
        <v>-28.058399999999999</v>
      </c>
      <c r="V22" s="14">
        <f>_xll.BDH("ITCI US Equity","ACCOUNTS_PAYABLE_GROWTH_1YR","FQ3 2023","FQ3 2023","Currency=USD","Period=FQ","BEST_FPERIOD_OVERRIDE=FQ","FILING_STATUS=MR","Sort=A","Dates=H","DateFormat=P","Fill=—","Direction=H","UseDPDF=Y")</f>
        <v>-25.360399999999998</v>
      </c>
      <c r="W22" s="14">
        <f>_xll.BDH("ITCI US Equity","ACCOUNTS_PAYABLE_GROWTH_1YR","FQ4 2023","FQ4 2023","Currency=USD","Period=FQ","BEST_FPERIOD_OVERRIDE=FQ","FILING_STATUS=MR","Sort=A","Dates=H","DateFormat=P","Fill=—","Direction=H","UseDPDF=Y")</f>
        <v>10.1684</v>
      </c>
      <c r="X22" s="14">
        <f>_xll.BDH("ITCI US Equity","ACCOUNTS_PAYABLE_GROWTH_1YR","FQ1 2024","FQ1 2024","Currency=USD","Period=FQ","BEST_FPERIOD_OVERRIDE=FQ","FILING_STATUS=MR","Sort=A","Dates=H","DateFormat=P","Fill=—","Direction=H","UseDPDF=Y")</f>
        <v>36.618899999999996</v>
      </c>
      <c r="Y22" s="14">
        <f>_xll.BDH("ITCI US Equity","ACCOUNTS_PAYABLE_GROWTH_1YR","FQ2 2024","FQ2 2024","Currency=USD","Period=FQ","BEST_FPERIOD_OVERRIDE=FQ","FILING_STATUS=MR","Sort=A","Dates=H","DateFormat=P","Fill=—","Direction=H","UseDPDF=Y")</f>
        <v>126.92359999999999</v>
      </c>
      <c r="Z22" s="14">
        <f>_xll.BDH("ITCI US Equity","ACCOUNTS_PAYABLE_GROWTH_1YR","FQ3 2024","FQ3 2024","Currency=USD","Period=FQ","BEST_FPERIOD_OVERRIDE=FQ","FILING_STATUS=MR","Sort=A","Dates=H","DateFormat=P","Fill=—","Direction=H","UseDPDF=Y")</f>
        <v>-2.5912000000000002</v>
      </c>
      <c r="AA22" s="14">
        <f>_xll.BDH("ITCI US Equity","ACCOUNTS_PAYABLE_GROWTH_1YR","FQ4 2024","FQ4 2024","Currency=USD","Period=FQ","BEST_FPERIOD_OVERRIDE=FQ","FILING_STATUS=MR","Sort=A","Dates=H","DateFormat=P","Fill=—","Direction=H","UseDPDF=Y")</f>
        <v>127.6808</v>
      </c>
    </row>
    <row r="23" spans="1:27" x14ac:dyDescent="0.25">
      <c r="A23" s="10" t="s">
        <v>1128</v>
      </c>
      <c r="B23" s="10" t="s">
        <v>1129</v>
      </c>
      <c r="C23" s="14" t="str">
        <f>_xll.BDH("ITCI US Equity","SHORT_TERM_DEBT_1_YEAR_GROWTH","FQ4 2018","FQ4 2018","Currency=USD","Period=FQ","BEST_FPERIOD_OVERRIDE=FQ","FILING_STATUS=MR","Sort=A","Dates=H","DateFormat=P","Fill=—","Direction=H","UseDPDF=Y")</f>
        <v>—</v>
      </c>
      <c r="D23" s="14" t="str">
        <f>_xll.BDH("ITCI US Equity","SHORT_TERM_DEBT_1_YEAR_GROWTH","FQ1 2019","FQ1 2019","Currency=USD","Period=FQ","BEST_FPERIOD_OVERRIDE=FQ","FILING_STATUS=MR","Sort=A","Dates=H","DateFormat=P","Fill=—","Direction=H","UseDPDF=Y")</f>
        <v>—</v>
      </c>
      <c r="E23" s="14" t="str">
        <f>_xll.BDH("ITCI US Equity","SHORT_TERM_DEBT_1_YEAR_GROWTH","FQ2 2019","FQ2 2019","Currency=USD","Period=FQ","BEST_FPERIOD_OVERRIDE=FQ","FILING_STATUS=MR","Sort=A","Dates=H","DateFormat=P","Fill=—","Direction=H","UseDPDF=Y")</f>
        <v>—</v>
      </c>
      <c r="F23" s="14" t="str">
        <f>_xll.BDH("ITCI US Equity","SHORT_TERM_DEBT_1_YEAR_GROWTH","FQ3 2019","FQ3 2019","Currency=USD","Period=FQ","BEST_FPERIOD_OVERRIDE=FQ","FILING_STATUS=MR","Sort=A","Dates=H","DateFormat=P","Fill=—","Direction=H","UseDPDF=Y")</f>
        <v>—</v>
      </c>
      <c r="G23" s="14" t="str">
        <f>_xll.BDH("ITCI US Equity","SHORT_TERM_DEBT_1_YEAR_GROWTH","FQ4 2019","FQ4 2019","Currency=USD","Period=FQ","BEST_FPERIOD_OVERRIDE=FQ","FILING_STATUS=MR","Sort=A","Dates=H","DateFormat=P","Fill=—","Direction=H","UseDPDF=Y")</f>
        <v>—</v>
      </c>
      <c r="H23" s="14">
        <f>_xll.BDH("ITCI US Equity","SHORT_TERM_DEBT_1_YEAR_GROWTH","FQ1 2020","FQ1 2020","Currency=USD","Period=FQ","BEST_FPERIOD_OVERRIDE=FQ","FILING_STATUS=MR","Sort=A","Dates=H","DateFormat=P","Fill=—","Direction=H","UseDPDF=Y")</f>
        <v>11.772</v>
      </c>
      <c r="I23" s="14">
        <f>_xll.BDH("ITCI US Equity","SHORT_TERM_DEBT_1_YEAR_GROWTH","FQ2 2020","FQ2 2020","Currency=USD","Period=FQ","BEST_FPERIOD_OVERRIDE=FQ","FILING_STATUS=MR","Sort=A","Dates=H","DateFormat=P","Fill=—","Direction=H","UseDPDF=Y")</f>
        <v>75.605900000000005</v>
      </c>
      <c r="J23" s="14">
        <f>_xll.BDH("ITCI US Equity","SHORT_TERM_DEBT_1_YEAR_GROWTH","FQ3 2020","FQ3 2020","Currency=USD","Period=FQ","BEST_FPERIOD_OVERRIDE=FQ","FILING_STATUS=MR","Sort=A","Dates=H","DateFormat=P","Fill=—","Direction=H","UseDPDF=Y")</f>
        <v>130.3246</v>
      </c>
      <c r="K23" s="14">
        <f>_xll.BDH("ITCI US Equity","SHORT_TERM_DEBT_1_YEAR_GROWTH","FQ4 2020","FQ4 2020","Currency=USD","Period=FQ","BEST_FPERIOD_OVERRIDE=FQ","FILING_STATUS=MR","Sort=A","Dates=H","DateFormat=P","Fill=—","Direction=H","UseDPDF=Y")</f>
        <v>73.864000000000004</v>
      </c>
      <c r="L23" s="14">
        <f>_xll.BDH("ITCI US Equity","SHORT_TERM_DEBT_1_YEAR_GROWTH","FQ1 2021","FQ1 2021","Currency=USD","Period=FQ","BEST_FPERIOD_OVERRIDE=FQ","FILING_STATUS=MR","Sort=A","Dates=H","DateFormat=P","Fill=—","Direction=H","UseDPDF=Y")</f>
        <v>73.554500000000004</v>
      </c>
      <c r="M23" s="14">
        <f>_xll.BDH("ITCI US Equity","SHORT_TERM_DEBT_1_YEAR_GROWTH","FQ2 2021","FQ2 2021","Currency=USD","Period=FQ","BEST_FPERIOD_OVERRIDE=FQ","FILING_STATUS=MR","Sort=A","Dates=H","DateFormat=P","Fill=—","Direction=H","UseDPDF=Y")</f>
        <v>40.794400000000003</v>
      </c>
      <c r="N23" s="14">
        <f>_xll.BDH("ITCI US Equity","SHORT_TERM_DEBT_1_YEAR_GROWTH","FQ3 2021","FQ3 2021","Currency=USD","Period=FQ","BEST_FPERIOD_OVERRIDE=FQ","FILING_STATUS=MR","Sort=A","Dates=H","DateFormat=P","Fill=—","Direction=H","UseDPDF=Y")</f>
        <v>15.469099999999999</v>
      </c>
      <c r="O23" s="14">
        <f>_xll.BDH("ITCI US Equity","SHORT_TERM_DEBT_1_YEAR_GROWTH","FQ4 2021","FQ4 2021","Currency=USD","Period=FQ","BEST_FPERIOD_OVERRIDE=FQ","FILING_STATUS=MR","Sort=A","Dates=H","DateFormat=P","Fill=—","Direction=H","UseDPDF=Y")</f>
        <v>21.472999999999999</v>
      </c>
      <c r="P23" s="14">
        <f>_xll.BDH("ITCI US Equity","SHORT_TERM_DEBT_1_YEAR_GROWTH","FQ1 2022","FQ1 2022","Currency=USD","Period=FQ","BEST_FPERIOD_OVERRIDE=FQ","FILING_STATUS=MR","Sort=A","Dates=H","DateFormat=P","Fill=—","Direction=H","UseDPDF=Y")</f>
        <v>37.011899999999997</v>
      </c>
      <c r="Q23" s="14">
        <f>_xll.BDH("ITCI US Equity","SHORT_TERM_DEBT_1_YEAR_GROWTH","FQ2 2022","FQ2 2022","Currency=USD","Period=FQ","BEST_FPERIOD_OVERRIDE=FQ","FILING_STATUS=MR","Sort=A","Dates=H","DateFormat=P","Fill=—","Direction=H","UseDPDF=Y")</f>
        <v>38.39</v>
      </c>
      <c r="R23" s="14">
        <f>_xll.BDH("ITCI US Equity","SHORT_TERM_DEBT_1_YEAR_GROWTH","FQ3 2022","FQ3 2022","Currency=USD","Period=FQ","BEST_FPERIOD_OVERRIDE=FQ","FILING_STATUS=MR","Sort=A","Dates=H","DateFormat=P","Fill=—","Direction=H","UseDPDF=Y")</f>
        <v>19.120899999999999</v>
      </c>
      <c r="S23" s="14">
        <f>_xll.BDH("ITCI US Equity","SHORT_TERM_DEBT_1_YEAR_GROWTH","FQ4 2022","FQ4 2022","Currency=USD","Period=FQ","BEST_FPERIOD_OVERRIDE=FQ","FILING_STATUS=MR","Sort=A","Dates=H","DateFormat=P","Fill=—","Direction=H","UseDPDF=Y")</f>
        <v>-32.157699999999998</v>
      </c>
      <c r="T23" s="14">
        <f>_xll.BDH("ITCI US Equity","SHORT_TERM_DEBT_1_YEAR_GROWTH","FQ1 2023","FQ1 2023","Currency=USD","Period=FQ","BEST_FPERIOD_OVERRIDE=FQ","FILING_STATUS=MR","Sort=A","Dates=H","DateFormat=P","Fill=—","Direction=H","UseDPDF=Y")</f>
        <v>-53.758499999999998</v>
      </c>
      <c r="U23" s="14">
        <f>_xll.BDH("ITCI US Equity","SHORT_TERM_DEBT_1_YEAR_GROWTH","FQ2 2023","FQ2 2023","Currency=USD","Period=FQ","BEST_FPERIOD_OVERRIDE=FQ","FILING_STATUS=MR","Sort=A","Dates=H","DateFormat=P","Fill=—","Direction=H","UseDPDF=Y")</f>
        <v>-54.0488</v>
      </c>
      <c r="V23" s="14">
        <f>_xll.BDH("ITCI US Equity","SHORT_TERM_DEBT_1_YEAR_GROWTH","FQ3 2023","FQ3 2023","Currency=USD","Period=FQ","BEST_FPERIOD_OVERRIDE=FQ","FILING_STATUS=MR","Sort=A","Dates=H","DateFormat=P","Fill=—","Direction=H","UseDPDF=Y")</f>
        <v>-50.531399999999998</v>
      </c>
      <c r="W23" s="14">
        <f>_xll.BDH("ITCI US Equity","SHORT_TERM_DEBT_1_YEAR_GROWTH","FQ4 2023","FQ4 2023","Currency=USD","Period=FQ","BEST_FPERIOD_OVERRIDE=FQ","FILING_STATUS=MR","Sort=A","Dates=H","DateFormat=P","Fill=—","Direction=H","UseDPDF=Y")</f>
        <v>-20.910900000000002</v>
      </c>
      <c r="X23" s="14">
        <f>_xll.BDH("ITCI US Equity","SHORT_TERM_DEBT_1_YEAR_GROWTH","FQ1 2024","FQ1 2024","Currency=USD","Period=FQ","BEST_FPERIOD_OVERRIDE=FQ","FILING_STATUS=MR","Sort=A","Dates=H","DateFormat=P","Fill=—","Direction=H","UseDPDF=Y")</f>
        <v>3.0586000000000002</v>
      </c>
      <c r="Y23" s="14">
        <f>_xll.BDH("ITCI US Equity","SHORT_TERM_DEBT_1_YEAR_GROWTH","FQ2 2024","FQ2 2024","Currency=USD","Period=FQ","BEST_FPERIOD_OVERRIDE=FQ","FILING_STATUS=MR","Sort=A","Dates=H","DateFormat=P","Fill=—","Direction=H","UseDPDF=Y")</f>
        <v>17.2288</v>
      </c>
      <c r="Z23" s="14">
        <f>_xll.BDH("ITCI US Equity","SHORT_TERM_DEBT_1_YEAR_GROWTH","FQ3 2024","FQ3 2024","Currency=USD","Period=FQ","BEST_FPERIOD_OVERRIDE=FQ","FILING_STATUS=MR","Sort=A","Dates=H","DateFormat=P","Fill=—","Direction=H","UseDPDF=Y")</f>
        <v>17.2712</v>
      </c>
      <c r="AA23" s="14">
        <f>_xll.BDH("ITCI US Equity","SHORT_TERM_DEBT_1_YEAR_GROWTH","FQ4 2024","FQ4 2024","Currency=USD","Period=FQ","BEST_FPERIOD_OVERRIDE=FQ","FILING_STATUS=MR","Sort=A","Dates=H","DateFormat=P","Fill=—","Direction=H","UseDPDF=Y")</f>
        <v>17.192699999999999</v>
      </c>
    </row>
    <row r="24" spans="1:27" x14ac:dyDescent="0.25">
      <c r="A24" s="10" t="s">
        <v>1130</v>
      </c>
      <c r="B24" s="10" t="s">
        <v>1131</v>
      </c>
      <c r="C24" s="14" t="str">
        <f>_xll.BDH("ITCI US Equity","TOTAL_DEBT_1_YEAR_GROWTH","FQ4 2018","FQ4 2018","Currency=USD","Period=FQ","BEST_FPERIOD_OVERRIDE=FQ","FILING_STATUS=MR","Sort=A","Dates=H","DateFormat=P","Fill=—","Direction=H","UseDPDF=Y")</f>
        <v>—</v>
      </c>
      <c r="D24" s="14" t="str">
        <f>_xll.BDH("ITCI US Equity","TOTAL_DEBT_1_YEAR_GROWTH","FQ1 2019","FQ1 2019","Currency=USD","Period=FQ","BEST_FPERIOD_OVERRIDE=FQ","FILING_STATUS=MR","Sort=A","Dates=H","DateFormat=P","Fill=—","Direction=H","UseDPDF=Y")</f>
        <v>—</v>
      </c>
      <c r="E24" s="14" t="str">
        <f>_xll.BDH("ITCI US Equity","TOTAL_DEBT_1_YEAR_GROWTH","FQ2 2019","FQ2 2019","Currency=USD","Period=FQ","BEST_FPERIOD_OVERRIDE=FQ","FILING_STATUS=MR","Sort=A","Dates=H","DateFormat=P","Fill=—","Direction=H","UseDPDF=Y")</f>
        <v>—</v>
      </c>
      <c r="F24" s="14" t="str">
        <f>_xll.BDH("ITCI US Equity","TOTAL_DEBT_1_YEAR_GROWTH","FQ3 2019","FQ3 2019","Currency=USD","Period=FQ","BEST_FPERIOD_OVERRIDE=FQ","FILING_STATUS=MR","Sort=A","Dates=H","DateFormat=P","Fill=—","Direction=H","UseDPDF=Y")</f>
        <v>—</v>
      </c>
      <c r="G24" s="14" t="str">
        <f>_xll.BDH("ITCI US Equity","TOTAL_DEBT_1_YEAR_GROWTH","FQ4 2019","FQ4 2019","Currency=USD","Period=FQ","BEST_FPERIOD_OVERRIDE=FQ","FILING_STATUS=MR","Sort=A","Dates=H","DateFormat=P","Fill=—","Direction=H","UseDPDF=Y")</f>
        <v>—</v>
      </c>
      <c r="H24" s="14">
        <f>_xll.BDH("ITCI US Equity","TOTAL_DEBT_1_YEAR_GROWTH","FQ1 2020","FQ1 2020","Currency=USD","Period=FQ","BEST_FPERIOD_OVERRIDE=FQ","FILING_STATUS=MR","Sort=A","Dates=H","DateFormat=P","Fill=—","Direction=H","UseDPDF=Y")</f>
        <v>-3.383</v>
      </c>
      <c r="I24" s="14">
        <f>_xll.BDH("ITCI US Equity","TOTAL_DEBT_1_YEAR_GROWTH","FQ2 2020","FQ2 2020","Currency=USD","Period=FQ","BEST_FPERIOD_OVERRIDE=FQ","FILING_STATUS=MR","Sort=A","Dates=H","DateFormat=P","Fill=—","Direction=H","UseDPDF=Y")</f>
        <v>10.080399999999999</v>
      </c>
      <c r="J24" s="14">
        <f>_xll.BDH("ITCI US Equity","TOTAL_DEBT_1_YEAR_GROWTH","FQ3 2020","FQ3 2020","Currency=USD","Period=FQ","BEST_FPERIOD_OVERRIDE=FQ","FILING_STATUS=MR","Sort=A","Dates=H","DateFormat=P","Fill=—","Direction=H","UseDPDF=Y")</f>
        <v>29.1724</v>
      </c>
      <c r="K24" s="14">
        <f>_xll.BDH("ITCI US Equity","TOTAL_DEBT_1_YEAR_GROWTH","FQ4 2020","FQ4 2020","Currency=USD","Period=FQ","BEST_FPERIOD_OVERRIDE=FQ","FILING_STATUS=MR","Sort=A","Dates=H","DateFormat=P","Fill=—","Direction=H","UseDPDF=Y")</f>
        <v>25.924199999999999</v>
      </c>
      <c r="L24" s="14">
        <f>_xll.BDH("ITCI US Equity","TOTAL_DEBT_1_YEAR_GROWTH","FQ1 2021","FQ1 2021","Currency=USD","Period=FQ","BEST_FPERIOD_OVERRIDE=FQ","FILING_STATUS=MR","Sort=A","Dates=H","DateFormat=P","Fill=—","Direction=H","UseDPDF=Y")</f>
        <v>23.0321</v>
      </c>
      <c r="M24" s="14">
        <f>_xll.BDH("ITCI US Equity","TOTAL_DEBT_1_YEAR_GROWTH","FQ2 2021","FQ2 2021","Currency=USD","Period=FQ","BEST_FPERIOD_OVERRIDE=FQ","FILING_STATUS=MR","Sort=A","Dates=H","DateFormat=P","Fill=—","Direction=H","UseDPDF=Y")</f>
        <v>8.5617000000000001</v>
      </c>
      <c r="N24" s="14">
        <f>_xll.BDH("ITCI US Equity","TOTAL_DEBT_1_YEAR_GROWTH","FQ3 2021","FQ3 2021","Currency=USD","Period=FQ","BEST_FPERIOD_OVERRIDE=FQ","FILING_STATUS=MR","Sort=A","Dates=H","DateFormat=P","Fill=—","Direction=H","UseDPDF=Y")</f>
        <v>-9.3725000000000005</v>
      </c>
      <c r="O24" s="14">
        <f>_xll.BDH("ITCI US Equity","TOTAL_DEBT_1_YEAR_GROWTH","FQ4 2021","FQ4 2021","Currency=USD","Period=FQ","BEST_FPERIOD_OVERRIDE=FQ","FILING_STATUS=MR","Sort=A","Dates=H","DateFormat=P","Fill=—","Direction=H","UseDPDF=Y")</f>
        <v>-12.8179</v>
      </c>
      <c r="P24" s="14">
        <f>_xll.BDH("ITCI US Equity","TOTAL_DEBT_1_YEAR_GROWTH","FQ1 2022","FQ1 2022","Currency=USD","Period=FQ","BEST_FPERIOD_OVERRIDE=FQ","FILING_STATUS=MR","Sort=A","Dates=H","DateFormat=P","Fill=—","Direction=H","UseDPDF=Y")</f>
        <v>-13.5352</v>
      </c>
      <c r="Q24" s="14">
        <f>_xll.BDH("ITCI US Equity","TOTAL_DEBT_1_YEAR_GROWTH","FQ2 2022","FQ2 2022","Currency=USD","Period=FQ","BEST_FPERIOD_OVERRIDE=FQ","FILING_STATUS=MR","Sort=A","Dates=H","DateFormat=P","Fill=—","Direction=H","UseDPDF=Y")</f>
        <v>-1.7076</v>
      </c>
      <c r="R24" s="14">
        <f>_xll.BDH("ITCI US Equity","TOTAL_DEBT_1_YEAR_GROWTH","FQ3 2022","FQ3 2022","Currency=USD","Period=FQ","BEST_FPERIOD_OVERRIDE=FQ","FILING_STATUS=MR","Sort=A","Dates=H","DateFormat=P","Fill=—","Direction=H","UseDPDF=Y")</f>
        <v>2.2800000000000001E-2</v>
      </c>
      <c r="S24" s="14">
        <f>_xll.BDH("ITCI US Equity","TOTAL_DEBT_1_YEAR_GROWTH","FQ4 2022","FQ4 2022","Currency=USD","Period=FQ","BEST_FPERIOD_OVERRIDE=FQ","FILING_STATUS=MR","Sort=A","Dates=H","DateFormat=P","Fill=—","Direction=H","UseDPDF=Y")</f>
        <v>-21.119299999999999</v>
      </c>
      <c r="T24" s="14">
        <f>_xll.BDH("ITCI US Equity","TOTAL_DEBT_1_YEAR_GROWTH","FQ1 2023","FQ1 2023","Currency=USD","Period=FQ","BEST_FPERIOD_OVERRIDE=FQ","FILING_STATUS=MR","Sort=A","Dates=H","DateFormat=P","Fill=—","Direction=H","UseDPDF=Y")</f>
        <v>-24.188300000000002</v>
      </c>
      <c r="U24" s="14">
        <f>_xll.BDH("ITCI US Equity","TOTAL_DEBT_1_YEAR_GROWTH","FQ2 2023","FQ2 2023","Currency=USD","Period=FQ","BEST_FPERIOD_OVERRIDE=FQ","FILING_STATUS=MR","Sort=A","Dates=H","DateFormat=P","Fill=—","Direction=H","UseDPDF=Y")</f>
        <v>-32.918199999999999</v>
      </c>
      <c r="V24" s="14">
        <f>_xll.BDH("ITCI US Equity","TOTAL_DEBT_1_YEAR_GROWTH","FQ3 2023","FQ3 2023","Currency=USD","Period=FQ","BEST_FPERIOD_OVERRIDE=FQ","FILING_STATUS=MR","Sort=A","Dates=H","DateFormat=P","Fill=—","Direction=H","UseDPDF=Y")</f>
        <v>-33.8369</v>
      </c>
      <c r="W24" s="14">
        <f>_xll.BDH("ITCI US Equity","TOTAL_DEBT_1_YEAR_GROWTH","FQ4 2023","FQ4 2023","Currency=USD","Period=FQ","BEST_FPERIOD_OVERRIDE=FQ","FILING_STATUS=MR","Sort=A","Dates=H","DateFormat=P","Fill=—","Direction=H","UseDPDF=Y")</f>
        <v>-15.4833</v>
      </c>
      <c r="X24" s="14">
        <f>_xll.BDH("ITCI US Equity","TOTAL_DEBT_1_YEAR_GROWTH","FQ1 2024","FQ1 2024","Currency=USD","Period=FQ","BEST_FPERIOD_OVERRIDE=FQ","FILING_STATUS=MR","Sort=A","Dates=H","DateFormat=P","Fill=—","Direction=H","UseDPDF=Y")</f>
        <v>-11.4428</v>
      </c>
      <c r="Y24" s="14">
        <f>_xll.BDH("ITCI US Equity","TOTAL_DEBT_1_YEAR_GROWTH","FQ2 2024","FQ2 2024","Currency=USD","Period=FQ","BEST_FPERIOD_OVERRIDE=FQ","FILING_STATUS=MR","Sort=A","Dates=H","DateFormat=P","Fill=—","Direction=H","UseDPDF=Y")</f>
        <v>1.6565000000000001</v>
      </c>
      <c r="Z24" s="14">
        <f>_xll.BDH("ITCI US Equity","TOTAL_DEBT_1_YEAR_GROWTH","FQ3 2024","FQ3 2024","Currency=USD","Period=FQ","BEST_FPERIOD_OVERRIDE=FQ","FILING_STATUS=MR","Sort=A","Dates=H","DateFormat=P","Fill=—","Direction=H","UseDPDF=Y")</f>
        <v>1.3391</v>
      </c>
      <c r="AA24" s="14">
        <f>_xll.BDH("ITCI US Equity","TOTAL_DEBT_1_YEAR_GROWTH","FQ4 2024","FQ4 2024","Currency=USD","Period=FQ","BEST_FPERIOD_OVERRIDE=FQ","FILING_STATUS=MR","Sort=A","Dates=H","DateFormat=P","Fill=—","Direction=H","UseDPDF=Y")</f>
        <v>0.25390000000000001</v>
      </c>
    </row>
    <row r="25" spans="1:27" x14ac:dyDescent="0.25">
      <c r="A25" s="10" t="s">
        <v>118</v>
      </c>
      <c r="B25" s="10" t="s">
        <v>1132</v>
      </c>
      <c r="C25" s="14">
        <f>_xll.BDH("ITCI US Equity","TOTAL_EQUITY_1_YEAR_GROWTH","FQ4 2018","FQ4 2018","Currency=USD","Period=FQ","BEST_FPERIOD_OVERRIDE=FQ","FILING_STATUS=MR","Sort=A","Dates=H","DateFormat=P","Fill=—","Direction=H","UseDPDF=Y")</f>
        <v>-30.085999999999999</v>
      </c>
      <c r="D25" s="14">
        <f>_xll.BDH("ITCI US Equity","TOTAL_EQUITY_1_YEAR_GROWTH","FQ1 2019","FQ1 2019","Currency=USD","Period=FQ","BEST_FPERIOD_OVERRIDE=FQ","FILING_STATUS=MR","Sort=A","Dates=H","DateFormat=P","Fill=—","Direction=H","UseDPDF=Y")</f>
        <v>-31.8001</v>
      </c>
      <c r="E25" s="14">
        <f>_xll.BDH("ITCI US Equity","TOTAL_EQUITY_1_YEAR_GROWTH","FQ2 2019","FQ2 2019","Currency=USD","Period=FQ","BEST_FPERIOD_OVERRIDE=FQ","FILING_STATUS=MR","Sort=A","Dates=H","DateFormat=P","Fill=—","Direction=H","UseDPDF=Y")</f>
        <v>-34.2273</v>
      </c>
      <c r="F25" s="14">
        <f>_xll.BDH("ITCI US Equity","TOTAL_EQUITY_1_YEAR_GROWTH","FQ3 2019","FQ3 2019","Currency=USD","Period=FQ","BEST_FPERIOD_OVERRIDE=FQ","FILING_STATUS=MR","Sort=A","Dates=H","DateFormat=P","Fill=—","Direction=H","UseDPDF=Y")</f>
        <v>-35.8416</v>
      </c>
      <c r="G25" s="14">
        <f>_xll.BDH("ITCI US Equity","TOTAL_EQUITY_1_YEAR_GROWTH","FQ4 2019","FQ4 2019","Currency=USD","Period=FQ","BEST_FPERIOD_OVERRIDE=FQ","FILING_STATUS=MR","Sort=A","Dates=H","DateFormat=P","Fill=—","Direction=H","UseDPDF=Y")</f>
        <v>-38.621899999999997</v>
      </c>
      <c r="H25" s="14">
        <f>_xll.BDH("ITCI US Equity","TOTAL_EQUITY_1_YEAR_GROWTH","FQ1 2020","FQ1 2020","Currency=USD","Period=FQ","BEST_FPERIOD_OVERRIDE=FQ","FILING_STATUS=MR","Sort=A","Dates=H","DateFormat=P","Fill=—","Direction=H","UseDPDF=Y")</f>
        <v>49.143000000000001</v>
      </c>
      <c r="I25" s="14">
        <f>_xll.BDH("ITCI US Equity","TOTAL_EQUITY_1_YEAR_GROWTH","FQ2 2020","FQ2 2020","Currency=USD","Period=FQ","BEST_FPERIOD_OVERRIDE=FQ","FILING_STATUS=MR","Sort=A","Dates=H","DateFormat=P","Fill=—","Direction=H","UseDPDF=Y")</f>
        <v>47.810200000000002</v>
      </c>
      <c r="J25" s="14">
        <f>_xll.BDH("ITCI US Equity","TOTAL_EQUITY_1_YEAR_GROWTH","FQ3 2020","FQ3 2020","Currency=USD","Period=FQ","BEST_FPERIOD_OVERRIDE=FQ","FILING_STATUS=MR","Sort=A","Dates=H","DateFormat=P","Fill=—","Direction=H","UseDPDF=Y")</f>
        <v>212.6739</v>
      </c>
      <c r="K25" s="14">
        <f>_xll.BDH("ITCI US Equity","TOTAL_EQUITY_1_YEAR_GROWTH","FQ4 2020","FQ4 2020","Currency=USD","Period=FQ","BEST_FPERIOD_OVERRIDE=FQ","FILING_STATUS=MR","Sort=A","Dates=H","DateFormat=P","Fill=—","Direction=H","UseDPDF=Y")</f>
        <v>236.83879999999999</v>
      </c>
      <c r="L25" s="14">
        <f>_xll.BDH("ITCI US Equity","TOTAL_EQUITY_1_YEAR_GROWTH","FQ1 2021","FQ1 2021","Currency=USD","Period=FQ","BEST_FPERIOD_OVERRIDE=FQ","FILING_STATUS=MR","Sort=A","Dates=H","DateFormat=P","Fill=—","Direction=H","UseDPDF=Y")</f>
        <v>42.2121</v>
      </c>
      <c r="M25" s="14">
        <f>_xll.BDH("ITCI US Equity","TOTAL_EQUITY_1_YEAR_GROWTH","FQ2 2021","FQ2 2021","Currency=USD","Period=FQ","BEST_FPERIOD_OVERRIDE=FQ","FILING_STATUS=MR","Sort=A","Dates=H","DateFormat=P","Fill=—","Direction=H","UseDPDF=Y")</f>
        <v>45.860999999999997</v>
      </c>
      <c r="N25" s="14">
        <f>_xll.BDH("ITCI US Equity","TOTAL_EQUITY_1_YEAR_GROWTH","FQ3 2021","FQ3 2021","Currency=USD","Period=FQ","BEST_FPERIOD_OVERRIDE=FQ","FILING_STATUS=MR","Sort=A","Dates=H","DateFormat=P","Fill=—","Direction=H","UseDPDF=Y")</f>
        <v>-31.384399999999999</v>
      </c>
      <c r="O25" s="14">
        <f>_xll.BDH("ITCI US Equity","TOTAL_EQUITY_1_YEAR_GROWTH","FQ4 2021","FQ4 2021","Currency=USD","Period=FQ","BEST_FPERIOD_OVERRIDE=FQ","FILING_STATUS=MR","Sort=A","Dates=H","DateFormat=P","Fill=—","Direction=H","UseDPDF=Y")</f>
        <v>-36.380600000000001</v>
      </c>
      <c r="P25" s="14">
        <f>_xll.BDH("ITCI US Equity","TOTAL_EQUITY_1_YEAR_GROWTH","FQ1 2022","FQ1 2022","Currency=USD","Period=FQ","BEST_FPERIOD_OVERRIDE=FQ","FILING_STATUS=MR","Sort=A","Dates=H","DateFormat=P","Fill=—","Direction=H","UseDPDF=Y")</f>
        <v>29.502600000000001</v>
      </c>
      <c r="Q25" s="14">
        <f>_xll.BDH("ITCI US Equity","TOTAL_EQUITY_1_YEAR_GROWTH","FQ2 2022","FQ2 2022","Currency=USD","Period=FQ","BEST_FPERIOD_OVERRIDE=FQ","FILING_STATUS=MR","Sort=A","Dates=H","DateFormat=P","Fill=—","Direction=H","UseDPDF=Y")</f>
        <v>30.457999999999998</v>
      </c>
      <c r="R25" s="14">
        <f>_xll.BDH("ITCI US Equity","TOTAL_EQUITY_1_YEAR_GROWTH","FQ3 2022","FQ3 2022","Currency=USD","Period=FQ","BEST_FPERIOD_OVERRIDE=FQ","FILING_STATUS=MR","Sort=A","Dates=H","DateFormat=P","Fill=—","Direction=H","UseDPDF=Y")</f>
        <v>40.8142</v>
      </c>
      <c r="S25" s="14">
        <f>_xll.BDH("ITCI US Equity","TOTAL_EQUITY_1_YEAR_GROWTH","FQ4 2022","FQ4 2022","Currency=USD","Period=FQ","BEST_FPERIOD_OVERRIDE=FQ","FILING_STATUS=MR","Sort=A","Dates=H","DateFormat=P","Fill=—","Direction=H","UseDPDF=Y")</f>
        <v>56.995600000000003</v>
      </c>
      <c r="T25" s="14">
        <f>_xll.BDH("ITCI US Equity","TOTAL_EQUITY_1_YEAR_GROWTH","FQ1 2023","FQ1 2023","Currency=USD","Period=FQ","BEST_FPERIOD_OVERRIDE=FQ","FILING_STATUS=MR","Sort=A","Dates=H","DateFormat=P","Fill=—","Direction=H","UseDPDF=Y")</f>
        <v>-20.831299999999999</v>
      </c>
      <c r="U25" s="14">
        <f>_xll.BDH("ITCI US Equity","TOTAL_EQUITY_1_YEAR_GROWTH","FQ2 2023","FQ2 2023","Currency=USD","Period=FQ","BEST_FPERIOD_OVERRIDE=FQ","FILING_STATUS=MR","Sort=A","Dates=H","DateFormat=P","Fill=—","Direction=H","UseDPDF=Y")</f>
        <v>-15.9384</v>
      </c>
      <c r="V25" s="14">
        <f>_xll.BDH("ITCI US Equity","TOTAL_EQUITY_1_YEAR_GROWTH","FQ3 2023","FQ3 2023","Currency=USD","Period=FQ","BEST_FPERIOD_OVERRIDE=FQ","FILING_STATUS=MR","Sort=A","Dates=H","DateFormat=P","Fill=—","Direction=H","UseDPDF=Y")</f>
        <v>-12.363300000000001</v>
      </c>
      <c r="W25" s="14">
        <f>_xll.BDH("ITCI US Equity","TOTAL_EQUITY_1_YEAR_GROWTH","FQ4 2023","FQ4 2023","Currency=USD","Period=FQ","BEST_FPERIOD_OVERRIDE=FQ","FILING_STATUS=MR","Sort=A","Dates=H","DateFormat=P","Fill=—","Direction=H","UseDPDF=Y")</f>
        <v>-9.8535000000000004</v>
      </c>
      <c r="X25" s="14">
        <f>_xll.BDH("ITCI US Equity","TOTAL_EQUITY_1_YEAR_GROWTH","FQ1 2024","FQ1 2024","Currency=USD","Period=FQ","BEST_FPERIOD_OVERRIDE=FQ","FILING_STATUS=MR","Sort=A","Dates=H","DateFormat=P","Fill=—","Direction=H","UseDPDF=Y")</f>
        <v>-4.4791999999999996</v>
      </c>
      <c r="Y25" s="14">
        <f>_xll.BDH("ITCI US Equity","TOTAL_EQUITY_1_YEAR_GROWTH","FQ2 2024","FQ2 2024","Currency=USD","Period=FQ","BEST_FPERIOD_OVERRIDE=FQ","FILING_STATUS=MR","Sort=A","Dates=H","DateFormat=P","Fill=—","Direction=H","UseDPDF=Y")</f>
        <v>88.540700000000001</v>
      </c>
      <c r="Z25" s="14">
        <f>_xll.BDH("ITCI US Equity","TOTAL_EQUITY_1_YEAR_GROWTH","FQ3 2024","FQ3 2024","Currency=USD","Period=FQ","BEST_FPERIOD_OVERRIDE=FQ","FILING_STATUS=MR","Sort=A","Dates=H","DateFormat=P","Fill=—","Direction=H","UseDPDF=Y")</f>
        <v>90.587999999999994</v>
      </c>
      <c r="AA25" s="14">
        <f>_xll.BDH("ITCI US Equity","TOTAL_EQUITY_1_YEAR_GROWTH","FQ4 2024","FQ4 2024","Currency=USD","Period=FQ","BEST_FPERIOD_OVERRIDE=FQ","FILING_STATUS=MR","Sort=A","Dates=H","DateFormat=P","Fill=—","Direction=H","UseDPDF=Y")</f>
        <v>94.185599999999994</v>
      </c>
    </row>
    <row r="26" spans="1:27" x14ac:dyDescent="0.25">
      <c r="A26" s="10" t="s">
        <v>1133</v>
      </c>
      <c r="B26" s="10" t="s">
        <v>1134</v>
      </c>
      <c r="C26" s="14">
        <f>_xll.BDH("ITCI US Equity","GROWTH_IN_CAP","FQ4 2018","FQ4 2018","Currency=USD","Period=FQ","BEST_FPERIOD_OVERRIDE=FQ","FILING_STATUS=MR","Sort=A","Dates=H","DateFormat=P","Fill=—","Direction=H","UseDPDF=Y")</f>
        <v>-30.085999999999999</v>
      </c>
      <c r="D26" s="14">
        <f>_xll.BDH("ITCI US Equity","GROWTH_IN_CAP","FQ1 2019","FQ1 2019","Currency=USD","Period=FQ","BEST_FPERIOD_OVERRIDE=FQ","FILING_STATUS=MR","Sort=A","Dates=H","DateFormat=P","Fill=—","Direction=H","UseDPDF=Y")</f>
        <v>-26.1922</v>
      </c>
      <c r="E26" s="14">
        <f>_xll.BDH("ITCI US Equity","GROWTH_IN_CAP","FQ2 2019","FQ2 2019","Currency=USD","Period=FQ","BEST_FPERIOD_OVERRIDE=FQ","FILING_STATUS=MR","Sort=A","Dates=H","DateFormat=P","Fill=—","Direction=H","UseDPDF=Y")</f>
        <v>-28.379100000000001</v>
      </c>
      <c r="F26" s="14">
        <f>_xll.BDH("ITCI US Equity","GROWTH_IN_CAP","FQ3 2019","FQ3 2019","Currency=USD","Period=FQ","BEST_FPERIOD_OVERRIDE=FQ","FILING_STATUS=MR","Sort=A","Dates=H","DateFormat=P","Fill=—","Direction=H","UseDPDF=Y")</f>
        <v>-29.463000000000001</v>
      </c>
      <c r="G26" s="14">
        <f>_xll.BDH("ITCI US Equity","GROWTH_IN_CAP","FQ4 2019","FQ4 2019","Currency=USD","Period=FQ","BEST_FPERIOD_OVERRIDE=FQ","FILING_STATUS=MR","Sort=A","Dates=H","DateFormat=P","Fill=—","Direction=H","UseDPDF=Y")</f>
        <v>-31.337800000000001</v>
      </c>
      <c r="H26" s="14">
        <f>_xll.BDH("ITCI US Equity","GROWTH_IN_CAP","FQ1 2020","FQ1 2020","Currency=USD","Period=FQ","BEST_FPERIOD_OVERRIDE=FQ","FILING_STATUS=MR","Sort=A","Dates=H","DateFormat=P","Fill=—","Direction=H","UseDPDF=Y")</f>
        <v>45.152099999999997</v>
      </c>
      <c r="I26" s="14">
        <f>_xll.BDH("ITCI US Equity","GROWTH_IN_CAP","FQ2 2020","FQ2 2020","Currency=USD","Period=FQ","BEST_FPERIOD_OVERRIDE=FQ","FILING_STATUS=MR","Sort=A","Dates=H","DateFormat=P","Fill=—","Direction=H","UseDPDF=Y")</f>
        <v>44.729399999999998</v>
      </c>
      <c r="J26" s="14">
        <f>_xll.BDH("ITCI US Equity","GROWTH_IN_CAP","FQ3 2020","FQ3 2020","Currency=USD","Period=FQ","BEST_FPERIOD_OVERRIDE=FQ","FILING_STATUS=MR","Sort=A","Dates=H","DateFormat=P","Fill=—","Direction=H","UseDPDF=Y")</f>
        <v>196.07990000000001</v>
      </c>
      <c r="K26" s="14">
        <f>_xll.BDH("ITCI US Equity","GROWTH_IN_CAP","FQ4 2020","FQ4 2020","Currency=USD","Period=FQ","BEST_FPERIOD_OVERRIDE=FQ","FILING_STATUS=MR","Sort=A","Dates=H","DateFormat=P","Fill=—","Direction=H","UseDPDF=Y")</f>
        <v>214.46369999999999</v>
      </c>
      <c r="L26" s="14">
        <f>_xll.BDH("ITCI US Equity","GROWTH_IN_CAP","FQ1 2021","FQ1 2021","Currency=USD","Period=FQ","BEST_FPERIOD_OVERRIDE=FQ","FILING_STATUS=MR","Sort=A","Dates=H","DateFormat=P","Fill=—","Direction=H","UseDPDF=Y")</f>
        <v>41.242100000000001</v>
      </c>
      <c r="M26" s="14">
        <f>_xll.BDH("ITCI US Equity","GROWTH_IN_CAP","FQ2 2021","FQ2 2021","Currency=USD","Period=FQ","BEST_FPERIOD_OVERRIDE=FQ","FILING_STATUS=MR","Sort=A","Dates=H","DateFormat=P","Fill=—","Direction=H","UseDPDF=Y")</f>
        <v>43.544400000000003</v>
      </c>
      <c r="N26" s="14">
        <f>_xll.BDH("ITCI US Equity","GROWTH_IN_CAP","FQ3 2021","FQ3 2021","Currency=USD","Period=FQ","BEST_FPERIOD_OVERRIDE=FQ","FILING_STATUS=MR","Sort=A","Dates=H","DateFormat=P","Fill=—","Direction=H","UseDPDF=Y")</f>
        <v>-30.515899999999998</v>
      </c>
      <c r="O26" s="14">
        <f>_xll.BDH("ITCI US Equity","GROWTH_IN_CAP","FQ4 2021","FQ4 2021","Currency=USD","Period=FQ","BEST_FPERIOD_OVERRIDE=FQ","FILING_STATUS=MR","Sort=A","Dates=H","DateFormat=P","Fill=—","Direction=H","UseDPDF=Y")</f>
        <v>-35.379600000000003</v>
      </c>
      <c r="P26" s="14">
        <f>_xll.BDH("ITCI US Equity","GROWTH_IN_CAP","FQ1 2022","FQ1 2022","Currency=USD","Period=FQ","BEST_FPERIOD_OVERRIDE=FQ","FILING_STATUS=MR","Sort=A","Dates=H","DateFormat=P","Fill=—","Direction=H","UseDPDF=Y")</f>
        <v>27.6066</v>
      </c>
      <c r="Q26" s="14">
        <f>_xll.BDH("ITCI US Equity","GROWTH_IN_CAP","FQ2 2022","FQ2 2022","Currency=USD","Period=FQ","BEST_FPERIOD_OVERRIDE=FQ","FILING_STATUS=MR","Sort=A","Dates=H","DateFormat=P","Fill=—","Direction=H","UseDPDF=Y")</f>
        <v>28.947099999999999</v>
      </c>
      <c r="R26" s="14">
        <f>_xll.BDH("ITCI US Equity","GROWTH_IN_CAP","FQ3 2022","FQ3 2022","Currency=USD","Period=FQ","BEST_FPERIOD_OVERRIDE=FQ","FILING_STATUS=MR","Sort=A","Dates=H","DateFormat=P","Fill=—","Direction=H","UseDPDF=Y")</f>
        <v>38.715200000000003</v>
      </c>
      <c r="S26" s="14">
        <f>_xll.BDH("ITCI US Equity","GROWTH_IN_CAP","FQ4 2022","FQ4 2022","Currency=USD","Period=FQ","BEST_FPERIOD_OVERRIDE=FQ","FILING_STATUS=MR","Sort=A","Dates=H","DateFormat=P","Fill=—","Direction=H","UseDPDF=Y")</f>
        <v>52.518599999999999</v>
      </c>
      <c r="T26" s="14">
        <f>_xll.BDH("ITCI US Equity","GROWTH_IN_CAP","FQ1 2023","FQ1 2023","Currency=USD","Period=FQ","BEST_FPERIOD_OVERRIDE=FQ","FILING_STATUS=MR","Sort=A","Dates=H","DateFormat=P","Fill=—","Direction=H","UseDPDF=Y")</f>
        <v>-20.9315</v>
      </c>
      <c r="U26" s="14">
        <f>_xll.BDH("ITCI US Equity","GROWTH_IN_CAP","FQ2 2023","FQ2 2023","Currency=USD","Period=FQ","BEST_FPERIOD_OVERRIDE=FQ","FILING_STATUS=MR","Sort=A","Dates=H","DateFormat=P","Fill=—","Direction=H","UseDPDF=Y")</f>
        <v>-16.546399999999998</v>
      </c>
      <c r="V26" s="14">
        <f>_xll.BDH("ITCI US Equity","GROWTH_IN_CAP","FQ3 2023","FQ3 2023","Currency=USD","Period=FQ","BEST_FPERIOD_OVERRIDE=FQ","FILING_STATUS=MR","Sort=A","Dates=H","DateFormat=P","Fill=—","Direction=H","UseDPDF=Y")</f>
        <v>-13.1601</v>
      </c>
      <c r="W26" s="14">
        <f>_xll.BDH("ITCI US Equity","GROWTH_IN_CAP","FQ4 2023","FQ4 2023","Currency=USD","Period=FQ","BEST_FPERIOD_OVERRIDE=FQ","FILING_STATUS=MR","Sort=A","Dates=H","DateFormat=P","Fill=—","Direction=H","UseDPDF=Y")</f>
        <v>-10.0204</v>
      </c>
      <c r="X26" s="14">
        <f>_xll.BDH("ITCI US Equity","GROWTH_IN_CAP","FQ1 2024","FQ1 2024","Currency=USD","Period=FQ","BEST_FPERIOD_OVERRIDE=FQ","FILING_STATUS=MR","Sort=A","Dates=H","DateFormat=P","Fill=—","Direction=H","UseDPDF=Y")</f>
        <v>-4.6784999999999997</v>
      </c>
      <c r="Y26" s="14">
        <f>_xll.BDH("ITCI US Equity","GROWTH_IN_CAP","FQ2 2024","FQ2 2024","Currency=USD","Period=FQ","BEST_FPERIOD_OVERRIDE=FQ","FILING_STATUS=MR","Sort=A","Dates=H","DateFormat=P","Fill=—","Direction=H","UseDPDF=Y")</f>
        <v>86.040199999999999</v>
      </c>
      <c r="Z26" s="14">
        <f>_xll.BDH("ITCI US Equity","GROWTH_IN_CAP","FQ3 2024","FQ3 2024","Currency=USD","Period=FQ","BEST_FPERIOD_OVERRIDE=FQ","FILING_STATUS=MR","Sort=A","Dates=H","DateFormat=P","Fill=—","Direction=H","UseDPDF=Y")</f>
        <v>88.064999999999998</v>
      </c>
      <c r="AA26" s="14">
        <f>_xll.BDH("ITCI US Equity","GROWTH_IN_CAP","FQ4 2024","FQ4 2024","Currency=USD","Period=FQ","BEST_FPERIOD_OVERRIDE=FQ","FILING_STATUS=MR","Sort=A","Dates=H","DateFormat=P","Fill=—","Direction=H","UseDPDF=Y")</f>
        <v>91.570300000000003</v>
      </c>
    </row>
    <row r="27" spans="1:27" x14ac:dyDescent="0.25">
      <c r="A27" s="10" t="s">
        <v>1135</v>
      </c>
      <c r="B27" s="10" t="s">
        <v>1136</v>
      </c>
      <c r="C27" s="14">
        <f>_xll.BDH("ITCI US Equity","BVPS_GROWTH","FQ4 2018","FQ4 2018","Currency=USD","Period=FQ","BEST_FPERIOD_OVERRIDE=FQ","FILING_STATUS=MR","Sort=A","Dates=H","DateFormat=P","Fill=—","Direction=H","UseDPDF=Y")</f>
        <v>-30.4651</v>
      </c>
      <c r="D27" s="14">
        <f>_xll.BDH("ITCI US Equity","BVPS_GROWTH","FQ1 2019","FQ1 2019","Currency=USD","Period=FQ","BEST_FPERIOD_OVERRIDE=FQ","FILING_STATUS=MR","Sort=A","Dates=H","DateFormat=P","Fill=—","Direction=H","UseDPDF=Y")</f>
        <v>-32.340000000000003</v>
      </c>
      <c r="E27" s="14">
        <f>_xll.BDH("ITCI US Equity","BVPS_GROWTH","FQ2 2019","FQ2 2019","Currency=USD","Period=FQ","BEST_FPERIOD_OVERRIDE=FQ","FILING_STATUS=MR","Sort=A","Dates=H","DateFormat=P","Fill=—","Direction=H","UseDPDF=Y")</f>
        <v>-34.806699999999999</v>
      </c>
      <c r="F27" s="14">
        <f>_xll.BDH("ITCI US Equity","BVPS_GROWTH","FQ3 2019","FQ3 2019","Currency=USD","Period=FQ","BEST_FPERIOD_OVERRIDE=FQ","FILING_STATUS=MR","Sort=A","Dates=H","DateFormat=P","Fill=—","Direction=H","UseDPDF=Y")</f>
        <v>-36.461500000000001</v>
      </c>
      <c r="G27" s="14">
        <f>_xll.BDH("ITCI US Equity","BVPS_GROWTH","FQ4 2019","FQ4 2019","Currency=USD","Period=FQ","BEST_FPERIOD_OVERRIDE=FQ","FILING_STATUS=MR","Sort=A","Dates=H","DateFormat=P","Fill=—","Direction=H","UseDPDF=Y")</f>
        <v>-39.298900000000003</v>
      </c>
      <c r="H27" s="14">
        <f>_xll.BDH("ITCI US Equity","BVPS_GROWTH","FQ1 2020","FQ1 2020","Currency=USD","Period=FQ","BEST_FPERIOD_OVERRIDE=FQ","FILING_STATUS=MR","Sort=A","Dates=H","DateFormat=P","Fill=—","Direction=H","UseDPDF=Y")</f>
        <v>24.2044</v>
      </c>
      <c r="I27" s="14">
        <f>_xll.BDH("ITCI US Equity","BVPS_GROWTH","FQ2 2020","FQ2 2020","Currency=USD","Period=FQ","BEST_FPERIOD_OVERRIDE=FQ","FILING_STATUS=MR","Sort=A","Dates=H","DateFormat=P","Fill=—","Direction=H","UseDPDF=Y")</f>
        <v>22.154</v>
      </c>
      <c r="J27" s="14">
        <f>_xll.BDH("ITCI US Equity","BVPS_GROWTH","FQ3 2020","FQ3 2020","Currency=USD","Period=FQ","BEST_FPERIOD_OVERRIDE=FQ","FILING_STATUS=MR","Sort=A","Dates=H","DateFormat=P","Fill=—","Direction=H","UseDPDF=Y")</f>
        <v>115.5462</v>
      </c>
      <c r="K27" s="14">
        <f>_xll.BDH("ITCI US Equity","BVPS_GROWTH","FQ4 2020","FQ4 2020","Currency=USD","Period=FQ","BEST_FPERIOD_OVERRIDE=FQ","FILING_STATUS=MR","Sort=A","Dates=H","DateFormat=P","Fill=—","Direction=H","UseDPDF=Y")</f>
        <v>132.36840000000001</v>
      </c>
      <c r="L27" s="14">
        <f>_xll.BDH("ITCI US Equity","BVPS_GROWTH","FQ1 2021","FQ1 2021","Currency=USD","Period=FQ","BEST_FPERIOD_OVERRIDE=FQ","FILING_STATUS=MR","Sort=A","Dates=H","DateFormat=P","Fill=—","Direction=H","UseDPDF=Y")</f>
        <v>16.037299999999998</v>
      </c>
      <c r="M27" s="14">
        <f>_xll.BDH("ITCI US Equity","BVPS_GROWTH","FQ2 2021","FQ2 2021","Currency=USD","Period=FQ","BEST_FPERIOD_OVERRIDE=FQ","FILING_STATUS=MR","Sort=A","Dates=H","DateFormat=P","Fill=—","Direction=H","UseDPDF=Y")</f>
        <v>19.788900000000002</v>
      </c>
      <c r="N27" s="14">
        <f>_xll.BDH("ITCI US Equity","BVPS_GROWTH","FQ3 2021","FQ3 2021","Currency=USD","Period=FQ","BEST_FPERIOD_OVERRIDE=FQ","FILING_STATUS=MR","Sort=A","Dates=H","DateFormat=P","Fill=—","Direction=H","UseDPDF=Y")</f>
        <v>-32.425400000000003</v>
      </c>
      <c r="O27" s="14">
        <f>_xll.BDH("ITCI US Equity","BVPS_GROWTH","FQ4 2021","FQ4 2021","Currency=USD","Period=FQ","BEST_FPERIOD_OVERRIDE=FQ","FILING_STATUS=MR","Sort=A","Dates=H","DateFormat=P","Fill=—","Direction=H","UseDPDF=Y")</f>
        <v>-37.486800000000002</v>
      </c>
      <c r="P27" s="14">
        <f>_xll.BDH("ITCI US Equity","BVPS_GROWTH","FQ1 2022","FQ1 2022","Currency=USD","Period=FQ","BEST_FPERIOD_OVERRIDE=FQ","FILING_STATUS=MR","Sort=A","Dates=H","DateFormat=P","Fill=—","Direction=H","UseDPDF=Y")</f>
        <v>11.752800000000001</v>
      </c>
      <c r="Q27" s="14">
        <f>_xll.BDH("ITCI US Equity","BVPS_GROWTH","FQ2 2022","FQ2 2022","Currency=USD","Period=FQ","BEST_FPERIOD_OVERRIDE=FQ","FILING_STATUS=MR","Sort=A","Dates=H","DateFormat=P","Fill=—","Direction=H","UseDPDF=Y")</f>
        <v>12.409599999999999</v>
      </c>
      <c r="R27" s="14">
        <f>_xll.BDH("ITCI US Equity","BVPS_GROWTH","FQ3 2022","FQ3 2022","Currency=USD","Period=FQ","BEST_FPERIOD_OVERRIDE=FQ","FILING_STATUS=MR","Sort=A","Dates=H","DateFormat=P","Fill=—","Direction=H","UseDPDF=Y")</f>
        <v>21.002099999999999</v>
      </c>
      <c r="S27" s="14">
        <f>_xll.BDH("ITCI US Equity","BVPS_GROWTH","FQ4 2022","FQ4 2022","Currency=USD","Period=FQ","BEST_FPERIOD_OVERRIDE=FQ","FILING_STATUS=MR","Sort=A","Dates=H","DateFormat=P","Fill=—","Direction=H","UseDPDF=Y")</f>
        <v>35.568100000000001</v>
      </c>
      <c r="T27" s="14">
        <f>_xll.BDH("ITCI US Equity","BVPS_GROWTH","FQ1 2023","FQ1 2023","Currency=USD","Period=FQ","BEST_FPERIOD_OVERRIDE=FQ","FILING_STATUS=MR","Sort=A","Dates=H","DateFormat=P","Fill=—","Direction=H","UseDPDF=Y")</f>
        <v>-22.204499999999999</v>
      </c>
      <c r="U27" s="14">
        <f>_xll.BDH("ITCI US Equity","BVPS_GROWTH","FQ2 2023","FQ2 2023","Currency=USD","Period=FQ","BEST_FPERIOD_OVERRIDE=FQ","FILING_STATUS=MR","Sort=A","Dates=H","DateFormat=P","Fill=—","Direction=H","UseDPDF=Y")</f>
        <v>-17.439900000000002</v>
      </c>
      <c r="V27" s="14">
        <f>_xll.BDH("ITCI US Equity","BVPS_GROWTH","FQ3 2023","FQ3 2023","Currency=USD","Period=FQ","BEST_FPERIOD_OVERRIDE=FQ","FILING_STATUS=MR","Sort=A","Dates=H","DateFormat=P","Fill=—","Direction=H","UseDPDF=Y")</f>
        <v>-13.751300000000001</v>
      </c>
      <c r="W27" s="14">
        <f>_xll.BDH("ITCI US Equity","BVPS_GROWTH","FQ4 2023","FQ4 2023","Currency=USD","Period=FQ","BEST_FPERIOD_OVERRIDE=FQ","FILING_STATUS=MR","Sort=A","Dates=H","DateFormat=P","Fill=—","Direction=H","UseDPDF=Y")</f>
        <v>-11.3033</v>
      </c>
      <c r="X27" s="14">
        <f>_xll.BDH("ITCI US Equity","BVPS_GROWTH","FQ1 2024","FQ1 2024","Currency=USD","Period=FQ","BEST_FPERIOD_OVERRIDE=FQ","FILING_STATUS=MR","Sort=A","Dates=H","DateFormat=P","Fill=—","Direction=H","UseDPDF=Y")</f>
        <v>-6.2408999999999999</v>
      </c>
      <c r="Y27" s="14">
        <f>_xll.BDH("ITCI US Equity","BVPS_GROWTH","FQ2 2024","FQ2 2024","Currency=USD","Period=FQ","BEST_FPERIOD_OVERRIDE=FQ","FILING_STATUS=MR","Sort=A","Dates=H","DateFormat=P","Fill=—","Direction=H","UseDPDF=Y")</f>
        <v>71.509100000000004</v>
      </c>
      <c r="Z27" s="14">
        <f>_xll.BDH("ITCI US Equity","BVPS_GROWTH","FQ3 2024","FQ3 2024","Currency=USD","Period=FQ","BEST_FPERIOD_OVERRIDE=FQ","FILING_STATUS=MR","Sort=A","Dates=H","DateFormat=P","Fill=—","Direction=H","UseDPDF=Y")</f>
        <v>73.015699999999995</v>
      </c>
      <c r="AA27" s="14">
        <f>_xll.BDH("ITCI US Equity","BVPS_GROWTH","FQ4 2024","FQ4 2024","Currency=USD","Period=FQ","BEST_FPERIOD_OVERRIDE=FQ","FILING_STATUS=MR","Sort=A","Dates=H","DateFormat=P","Fill=—","Direction=H","UseDPDF=Y")</f>
        <v>76.1631</v>
      </c>
    </row>
    <row r="28" spans="1:27" x14ac:dyDescent="0.25">
      <c r="A28" s="10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25">
      <c r="A29" s="10" t="s">
        <v>124</v>
      </c>
      <c r="B29" s="10" t="s">
        <v>1137</v>
      </c>
      <c r="C29" s="14">
        <f>_xll.BDH("ITCI US Equity","CASH_FLOW_GROWTH","FQ4 2018","FQ4 2018","Currency=USD","Period=FQ","BEST_FPERIOD_OVERRIDE=FQ","FILING_STATUS=MR","Sort=A","Dates=H","DateFormat=P","Fill=—","Direction=H","UseDPDF=Y")</f>
        <v>-17.621300000000002</v>
      </c>
      <c r="D29" s="14">
        <f>_xll.BDH("ITCI US Equity","CASH_FLOW_GROWTH","FQ1 2019","FQ1 2019","Currency=USD","Period=FQ","BEST_FPERIOD_OVERRIDE=FQ","FILING_STATUS=MR","Sort=A","Dates=H","DateFormat=P","Fill=—","Direction=H","UseDPDF=Y")</f>
        <v>-32.038699999999999</v>
      </c>
      <c r="E29" s="14">
        <f>_xll.BDH("ITCI US Equity","CASH_FLOW_GROWTH","FQ2 2019","FQ2 2019","Currency=USD","Period=FQ","BEST_FPERIOD_OVERRIDE=FQ","FILING_STATUS=MR","Sort=A","Dates=H","DateFormat=P","Fill=—","Direction=H","UseDPDF=Y")</f>
        <v>18.757999999999999</v>
      </c>
      <c r="F29" s="14">
        <f>_xll.BDH("ITCI US Equity","CASH_FLOW_GROWTH","FQ3 2019","FQ3 2019","Currency=USD","Period=FQ","BEST_FPERIOD_OVERRIDE=FQ","FILING_STATUS=MR","Sort=A","Dates=H","DateFormat=P","Fill=—","Direction=H","UseDPDF=Y")</f>
        <v>-5.5606</v>
      </c>
      <c r="G29" s="14">
        <f>_xll.BDH("ITCI US Equity","CASH_FLOW_GROWTH","FQ4 2019","FQ4 2019","Currency=USD","Period=FQ","BEST_FPERIOD_OVERRIDE=FQ","FILING_STATUS=MR","Sort=A","Dates=H","DateFormat=P","Fill=—","Direction=H","UseDPDF=Y")</f>
        <v>-20.212900000000001</v>
      </c>
      <c r="H29" s="14">
        <f>_xll.BDH("ITCI US Equity","CASH_FLOW_GROWTH","FQ1 2020","FQ1 2020","Currency=USD","Period=FQ","BEST_FPERIOD_OVERRIDE=FQ","FILING_STATUS=MR","Sort=A","Dates=H","DateFormat=P","Fill=—","Direction=H","UseDPDF=Y")</f>
        <v>-43.775399999999998</v>
      </c>
      <c r="I29" s="14">
        <f>_xll.BDH("ITCI US Equity","CASH_FLOW_GROWTH","FQ2 2020","FQ2 2020","Currency=USD","Period=FQ","BEST_FPERIOD_OVERRIDE=FQ","FILING_STATUS=MR","Sort=A","Dates=H","DateFormat=P","Fill=—","Direction=H","UseDPDF=Y")</f>
        <v>-72.197100000000006</v>
      </c>
      <c r="J29" s="14">
        <f>_xll.BDH("ITCI US Equity","CASH_FLOW_GROWTH","FQ3 2020","FQ3 2020","Currency=USD","Period=FQ","BEST_FPERIOD_OVERRIDE=FQ","FILING_STATUS=MR","Sort=A","Dates=H","DateFormat=P","Fill=—","Direction=H","UseDPDF=Y")</f>
        <v>-112.0061</v>
      </c>
      <c r="K29" s="14">
        <f>_xll.BDH("ITCI US Equity","CASH_FLOW_GROWTH","FQ4 2020","FQ4 2020","Currency=USD","Period=FQ","BEST_FPERIOD_OVERRIDE=FQ","FILING_STATUS=MR","Sort=A","Dates=H","DateFormat=P","Fill=—","Direction=H","UseDPDF=Y")</f>
        <v>-94.668199999999999</v>
      </c>
      <c r="L29" s="14">
        <f>_xll.BDH("ITCI US Equity","CASH_FLOW_GROWTH","FQ1 2021","FQ1 2021","Currency=USD","Period=FQ","BEST_FPERIOD_OVERRIDE=FQ","FILING_STATUS=MR","Sort=A","Dates=H","DateFormat=P","Fill=—","Direction=H","UseDPDF=Y")</f>
        <v>6.7529000000000003</v>
      </c>
      <c r="M29" s="14">
        <f>_xll.BDH("ITCI US Equity","CASH_FLOW_GROWTH","FQ2 2021","FQ2 2021","Currency=USD","Period=FQ","BEST_FPERIOD_OVERRIDE=FQ","FILING_STATUS=MR","Sort=A","Dates=H","DateFormat=P","Fill=—","Direction=H","UseDPDF=Y")</f>
        <v>-26.157299999999999</v>
      </c>
      <c r="N29" s="14">
        <f>_xll.BDH("ITCI US Equity","CASH_FLOW_GROWTH","FQ3 2021","FQ3 2021","Currency=USD","Period=FQ","BEST_FPERIOD_OVERRIDE=FQ","FILING_STATUS=MR","Sort=A","Dates=H","DateFormat=P","Fill=—","Direction=H","UseDPDF=Y")</f>
        <v>-24.674199999999999</v>
      </c>
      <c r="O29" s="14">
        <f>_xll.BDH("ITCI US Equity","CASH_FLOW_GROWTH","FQ4 2021","FQ4 2021","Currency=USD","Period=FQ","BEST_FPERIOD_OVERRIDE=FQ","FILING_STATUS=MR","Sort=A","Dates=H","DateFormat=P","Fill=—","Direction=H","UseDPDF=Y")</f>
        <v>-7.2415000000000003</v>
      </c>
      <c r="P29" s="14">
        <f>_xll.BDH("ITCI US Equity","CASH_FLOW_GROWTH","FQ1 2022","FQ1 2022","Currency=USD","Period=FQ","BEST_FPERIOD_OVERRIDE=FQ","FILING_STATUS=MR","Sort=A","Dates=H","DateFormat=P","Fill=—","Direction=H","UseDPDF=Y")</f>
        <v>-73.444199999999995</v>
      </c>
      <c r="Q29" s="14">
        <f>_xll.BDH("ITCI US Equity","CASH_FLOW_GROWTH","FQ2 2022","FQ2 2022","Currency=USD","Period=FQ","BEST_FPERIOD_OVERRIDE=FQ","FILING_STATUS=MR","Sort=A","Dates=H","DateFormat=P","Fill=—","Direction=H","UseDPDF=Y")</f>
        <v>-59.785299999999999</v>
      </c>
      <c r="R29" s="14">
        <f>_xll.BDH("ITCI US Equity","CASH_FLOW_GROWTH","FQ3 2022","FQ3 2022","Currency=USD","Period=FQ","BEST_FPERIOD_OVERRIDE=FQ","FILING_STATUS=MR","Sort=A","Dates=H","DateFormat=P","Fill=—","Direction=H","UseDPDF=Y")</f>
        <v>32.694400000000002</v>
      </c>
      <c r="S29" s="14">
        <f>_xll.BDH("ITCI US Equity","CASH_FLOW_GROWTH","FQ4 2022","FQ4 2022","Currency=USD","Period=FQ","BEST_FPERIOD_OVERRIDE=FQ","FILING_STATUS=MR","Sort=A","Dates=H","DateFormat=P","Fill=—","Direction=H","UseDPDF=Y")</f>
        <v>46.446300000000001</v>
      </c>
      <c r="T29" s="14">
        <f>_xll.BDH("ITCI US Equity","CASH_FLOW_GROWTH","FQ1 2023","FQ1 2023","Currency=USD","Period=FQ","BEST_FPERIOD_OVERRIDE=FQ","FILING_STATUS=MR","Sort=A","Dates=H","DateFormat=P","Fill=—","Direction=H","UseDPDF=Y")</f>
        <v>27.499400000000001</v>
      </c>
      <c r="U29" s="14">
        <f>_xll.BDH("ITCI US Equity","CASH_FLOW_GROWTH","FQ2 2023","FQ2 2023","Currency=USD","Period=FQ","BEST_FPERIOD_OVERRIDE=FQ","FILING_STATUS=MR","Sort=A","Dates=H","DateFormat=P","Fill=—","Direction=H","UseDPDF=Y")</f>
        <v>61.176499999999997</v>
      </c>
      <c r="V29" s="14">
        <f>_xll.BDH("ITCI US Equity","CASH_FLOW_GROWTH","FQ3 2023","FQ3 2023","Currency=USD","Period=FQ","BEST_FPERIOD_OVERRIDE=FQ","FILING_STATUS=MR","Sort=A","Dates=H","DateFormat=P","Fill=—","Direction=H","UseDPDF=Y")</f>
        <v>52.634399999999999</v>
      </c>
      <c r="W29" s="14">
        <f>_xll.BDH("ITCI US Equity","CASH_FLOW_GROWTH","FQ4 2023","FQ4 2023","Currency=USD","Period=FQ","BEST_FPERIOD_OVERRIDE=FQ","FILING_STATUS=MR","Sort=A","Dates=H","DateFormat=P","Fill=—","Direction=H","UseDPDF=Y")</f>
        <v>94.741399999999999</v>
      </c>
      <c r="X29" s="14">
        <f>_xll.BDH("ITCI US Equity","CASH_FLOW_GROWTH","FQ1 2024","FQ1 2024","Currency=USD","Period=FQ","BEST_FPERIOD_OVERRIDE=FQ","FILING_STATUS=MR","Sort=A","Dates=H","DateFormat=P","Fill=—","Direction=H","UseDPDF=Y")</f>
        <v>43.202500000000001</v>
      </c>
      <c r="Y29" s="14" t="str">
        <f>_xll.BDH("ITCI US Equity","CASH_FLOW_GROWTH","FQ2 2024","FQ2 2024","Currency=USD","Period=FQ","BEST_FPERIOD_OVERRIDE=FQ","FILING_STATUS=MR","Sort=A","Dates=H","DateFormat=P","Fill=—","Direction=H","UseDPDF=Y")</f>
        <v>—</v>
      </c>
      <c r="Z29" s="14">
        <f>_xll.BDH("ITCI US Equity","CASH_FLOW_GROWTH","FQ3 2024","FQ3 2024","Currency=USD","Period=FQ","BEST_FPERIOD_OVERRIDE=FQ","FILING_STATUS=MR","Sort=A","Dates=H","DateFormat=P","Fill=—","Direction=H","UseDPDF=Y")</f>
        <v>-4.9664000000000001</v>
      </c>
      <c r="AA29" s="14">
        <f>_xll.BDH("ITCI US Equity","CASH_FLOW_GROWTH","FQ4 2024","FQ4 2024","Currency=USD","Period=FQ","BEST_FPERIOD_OVERRIDE=FQ","FILING_STATUS=MR","Sort=A","Dates=H","DateFormat=P","Fill=—","Direction=H","UseDPDF=Y")</f>
        <v>-534.54629999999997</v>
      </c>
    </row>
    <row r="30" spans="1:27" x14ac:dyDescent="0.25">
      <c r="A30" s="10" t="s">
        <v>86</v>
      </c>
      <c r="B30" s="10" t="s">
        <v>1138</v>
      </c>
      <c r="C30" s="14">
        <f>_xll.BDH("ITCI US Equity","TOT_CAP_EXPEND_GROWTH","FQ4 2018","FQ4 2018","Currency=USD","Period=FQ","BEST_FPERIOD_OVERRIDE=FQ","FILING_STATUS=MR","Sort=A","Dates=H","DateFormat=P","Fill=—","Direction=H","UseDPDF=Y")</f>
        <v>-88.617599999999996</v>
      </c>
      <c r="D30" s="14">
        <f>_xll.BDH("ITCI US Equity","TOT_CAP_EXPEND_GROWTH","FQ1 2019","FQ1 2019","Currency=USD","Period=FQ","BEST_FPERIOD_OVERRIDE=FQ","FILING_STATUS=MR","Sort=A","Dates=H","DateFormat=P","Fill=—","Direction=H","UseDPDF=Y")</f>
        <v>-77.229799999999997</v>
      </c>
      <c r="E30" s="14">
        <f>_xll.BDH("ITCI US Equity","TOT_CAP_EXPEND_GROWTH","FQ2 2019","FQ2 2019","Currency=USD","Period=FQ","BEST_FPERIOD_OVERRIDE=FQ","FILING_STATUS=MR","Sort=A","Dates=H","DateFormat=P","Fill=—","Direction=H","UseDPDF=Y")</f>
        <v>4864.4065000000001</v>
      </c>
      <c r="F30" s="14">
        <f>_xll.BDH("ITCI US Equity","TOT_CAP_EXPEND_GROWTH","FQ3 2019","FQ3 2019","Currency=USD","Period=FQ","BEST_FPERIOD_OVERRIDE=FQ","FILING_STATUS=MR","Sort=A","Dates=H","DateFormat=P","Fill=—","Direction=H","UseDPDF=Y")</f>
        <v>1279.9663</v>
      </c>
      <c r="G30" s="14" t="str">
        <f>_xll.BDH("ITCI US Equity","TOT_CAP_EXPEND_GROWTH","FQ4 2019","FQ4 2019","Currency=USD","Period=FQ","BEST_FPERIOD_OVERRIDE=FQ","FILING_STATUS=MR","Sort=A","Dates=H","DateFormat=P","Fill=—","Direction=H","UseDPDF=Y")</f>
        <v>—</v>
      </c>
      <c r="H30" s="14">
        <f>_xll.BDH("ITCI US Equity","TOT_CAP_EXPEND_GROWTH","FQ1 2020","FQ1 2020","Currency=USD","Period=FQ","BEST_FPERIOD_OVERRIDE=FQ","FILING_STATUS=MR","Sort=A","Dates=H","DateFormat=P","Fill=—","Direction=H","UseDPDF=Y")</f>
        <v>-67.185599999999994</v>
      </c>
      <c r="I30" s="14">
        <f>_xll.BDH("ITCI US Equity","TOT_CAP_EXPEND_GROWTH","FQ2 2020","FQ2 2020","Currency=USD","Period=FQ","BEST_FPERIOD_OVERRIDE=FQ","FILING_STATUS=MR","Sort=A","Dates=H","DateFormat=P","Fill=—","Direction=H","UseDPDF=Y")</f>
        <v>-100</v>
      </c>
      <c r="J30" s="14">
        <f>_xll.BDH("ITCI US Equity","TOT_CAP_EXPEND_GROWTH","FQ3 2020","FQ3 2020","Currency=USD","Period=FQ","BEST_FPERIOD_OVERRIDE=FQ","FILING_STATUS=MR","Sort=A","Dates=H","DateFormat=P","Fill=—","Direction=H","UseDPDF=Y")</f>
        <v>-23.157</v>
      </c>
      <c r="K30" s="14" t="str">
        <f>_xll.BDH("ITCI US Equity","TOT_CAP_EXPEND_GROWTH","FQ4 2020","FQ4 2020","Currency=USD","Period=FQ","BEST_FPERIOD_OVERRIDE=FQ","FILING_STATUS=MR","Sort=A","Dates=H","DateFormat=P","Fill=—","Direction=H","UseDPDF=Y")</f>
        <v>—</v>
      </c>
      <c r="L30" s="14">
        <f>_xll.BDH("ITCI US Equity","TOT_CAP_EXPEND_GROWTH","FQ1 2021","FQ1 2021","Currency=USD","Period=FQ","BEST_FPERIOD_OVERRIDE=FQ","FILING_STATUS=MR","Sort=A","Dates=H","DateFormat=P","Fill=—","Direction=H","UseDPDF=Y")</f>
        <v>-100</v>
      </c>
      <c r="M30" s="14" t="str">
        <f>_xll.BDH("ITCI US Equity","TOT_CAP_EXPEND_GROWTH","FQ2 2021","FQ2 2021","Currency=USD","Period=FQ","BEST_FPERIOD_OVERRIDE=FQ","FILING_STATUS=MR","Sort=A","Dates=H","DateFormat=P","Fill=—","Direction=H","UseDPDF=Y")</f>
        <v>—</v>
      </c>
      <c r="N30" s="14">
        <f>_xll.BDH("ITCI US Equity","TOT_CAP_EXPEND_GROWTH","FQ3 2021","FQ3 2021","Currency=USD","Period=FQ","BEST_FPERIOD_OVERRIDE=FQ","FILING_STATUS=MR","Sort=A","Dates=H","DateFormat=P","Fill=—","Direction=H","UseDPDF=Y")</f>
        <v>82.010400000000004</v>
      </c>
      <c r="O30" s="14">
        <f>_xll.BDH("ITCI US Equity","TOT_CAP_EXPEND_GROWTH","FQ4 2021","FQ4 2021","Currency=USD","Period=FQ","BEST_FPERIOD_OVERRIDE=FQ","FILING_STATUS=MR","Sort=A","Dates=H","DateFormat=P","Fill=—","Direction=H","UseDPDF=Y")</f>
        <v>-98.338800000000006</v>
      </c>
      <c r="P30" s="14" t="str">
        <f>_xll.BDH("ITCI US Equity","TOT_CAP_EXPEND_GROWTH","FQ1 2022","FQ1 2022","Currency=USD","Period=FQ","BEST_FPERIOD_OVERRIDE=FQ","FILING_STATUS=MR","Sort=A","Dates=H","DateFormat=P","Fill=—","Direction=H","UseDPDF=Y")</f>
        <v>—</v>
      </c>
      <c r="Q30" s="14">
        <f>_xll.BDH("ITCI US Equity","TOT_CAP_EXPEND_GROWTH","FQ2 2022","FQ2 2022","Currency=USD","Period=FQ","BEST_FPERIOD_OVERRIDE=FQ","FILING_STATUS=MR","Sort=A","Dates=H","DateFormat=P","Fill=—","Direction=H","UseDPDF=Y")</f>
        <v>706.87480000000005</v>
      </c>
      <c r="R30" s="14">
        <f>_xll.BDH("ITCI US Equity","TOT_CAP_EXPEND_GROWTH","FQ3 2022","FQ3 2022","Currency=USD","Period=FQ","BEST_FPERIOD_OVERRIDE=FQ","FILING_STATUS=MR","Sort=A","Dates=H","DateFormat=P","Fill=—","Direction=H","UseDPDF=Y")</f>
        <v>-62.166800000000002</v>
      </c>
      <c r="S30" s="14">
        <f>_xll.BDH("ITCI US Equity","TOT_CAP_EXPEND_GROWTH","FQ4 2022","FQ4 2022","Currency=USD","Period=FQ","BEST_FPERIOD_OVERRIDE=FQ","FILING_STATUS=MR","Sort=A","Dates=H","DateFormat=P","Fill=—","Direction=H","UseDPDF=Y")</f>
        <v>-100</v>
      </c>
      <c r="T30" s="14">
        <f>_xll.BDH("ITCI US Equity","TOT_CAP_EXPEND_GROWTH","FQ1 2023","FQ1 2023","Currency=USD","Period=FQ","BEST_FPERIOD_OVERRIDE=FQ","FILING_STATUS=MR","Sort=A","Dates=H","DateFormat=P","Fill=—","Direction=H","UseDPDF=Y")</f>
        <v>-100</v>
      </c>
      <c r="U30" s="14">
        <f>_xll.BDH("ITCI US Equity","TOT_CAP_EXPEND_GROWTH","FQ2 2023","FQ2 2023","Currency=USD","Period=FQ","BEST_FPERIOD_OVERRIDE=FQ","FILING_STATUS=MR","Sort=A","Dates=H","DateFormat=P","Fill=—","Direction=H","UseDPDF=Y")</f>
        <v>-100</v>
      </c>
      <c r="V30" s="14">
        <f>_xll.BDH("ITCI US Equity","TOT_CAP_EXPEND_GROWTH","FQ3 2023","FQ3 2023","Currency=USD","Period=FQ","BEST_FPERIOD_OVERRIDE=FQ","FILING_STATUS=MR","Sort=A","Dates=H","DateFormat=P","Fill=—","Direction=H","UseDPDF=Y")</f>
        <v>129.0598</v>
      </c>
      <c r="W30" s="14" t="str">
        <f>_xll.BDH("ITCI US Equity","TOT_CAP_EXPEND_GROWTH","FQ4 2023","FQ4 2023","Currency=USD","Period=FQ","BEST_FPERIOD_OVERRIDE=FQ","FILING_STATUS=MR","Sort=A","Dates=H","DateFormat=P","Fill=—","Direction=H","UseDPDF=Y")</f>
        <v>—</v>
      </c>
      <c r="X30" s="14" t="str">
        <f>_xll.BDH("ITCI US Equity","TOT_CAP_EXPEND_GROWTH","FQ1 2024","FQ1 2024","Currency=USD","Period=FQ","BEST_FPERIOD_OVERRIDE=FQ","FILING_STATUS=MR","Sort=A","Dates=H","DateFormat=P","Fill=—","Direction=H","UseDPDF=Y")</f>
        <v>—</v>
      </c>
      <c r="Y30" s="14" t="str">
        <f>_xll.BDH("ITCI US Equity","TOT_CAP_EXPEND_GROWTH","FQ2 2024","FQ2 2024","Currency=USD","Period=FQ","BEST_FPERIOD_OVERRIDE=FQ","FILING_STATUS=MR","Sort=A","Dates=H","DateFormat=P","Fill=—","Direction=H","UseDPDF=Y")</f>
        <v>—</v>
      </c>
      <c r="Z30" s="14">
        <f>_xll.BDH("ITCI US Equity","TOT_CAP_EXPEND_GROWTH","FQ3 2024","FQ3 2024","Currency=USD","Period=FQ","BEST_FPERIOD_OVERRIDE=FQ","FILING_STATUS=MR","Sort=A","Dates=H","DateFormat=P","Fill=—","Direction=H","UseDPDF=Y")</f>
        <v>159.70150000000001</v>
      </c>
      <c r="AA30" s="14" t="str">
        <f>_xll.BDH("ITCI US Equity","TOT_CAP_EXPEND_GROWTH","FQ4 2024","FQ4 2024","Currency=USD","Period=FQ","BEST_FPERIOD_OVERRIDE=FQ","FILING_STATUS=MR","Sort=A","Dates=H","DateFormat=P","Fill=—","Direction=H","UseDPDF=Y")</f>
        <v>—</v>
      </c>
    </row>
    <row r="31" spans="1:27" x14ac:dyDescent="0.25">
      <c r="A31" s="10" t="s">
        <v>1070</v>
      </c>
      <c r="B31" s="10" t="s">
        <v>1139</v>
      </c>
      <c r="C31" s="14">
        <f>_xll.BDH("ITCI US Equity","NET_CHANGE_IN_CASH_1_YEAR_GROWTH","FQ4 2018","FQ4 2018","Currency=USD","Period=FQ","BEST_FPERIOD_OVERRIDE=FQ","FILING_STATUS=MR","Sort=A","Dates=H","DateFormat=P","Fill=—","Direction=H","UseDPDF=Y")</f>
        <v>-1.9177999999999999</v>
      </c>
      <c r="D31" s="14">
        <f>_xll.BDH("ITCI US Equity","NET_CHANGE_IN_CASH_1_YEAR_GROWTH","FQ1 2019","FQ1 2019","Currency=USD","Period=FQ","BEST_FPERIOD_OVERRIDE=FQ","FILING_STATUS=MR","Sort=A","Dates=H","DateFormat=P","Fill=—","Direction=H","UseDPDF=Y")</f>
        <v>-75.038899999999998</v>
      </c>
      <c r="E31" s="14" t="str">
        <f>_xll.BDH("ITCI US Equity","NET_CHANGE_IN_CASH_1_YEAR_GROWTH","FQ2 2019","FQ2 2019","Currency=USD","Period=FQ","BEST_FPERIOD_OVERRIDE=FQ","FILING_STATUS=MR","Sort=A","Dates=H","DateFormat=P","Fill=—","Direction=H","UseDPDF=Y")</f>
        <v>—</v>
      </c>
      <c r="F31" s="14">
        <f>_xll.BDH("ITCI US Equity","NET_CHANGE_IN_CASH_1_YEAR_GROWTH","FQ3 2019","FQ3 2019","Currency=USD","Period=FQ","BEST_FPERIOD_OVERRIDE=FQ","FILING_STATUS=MR","Sort=A","Dates=H","DateFormat=P","Fill=—","Direction=H","UseDPDF=Y")</f>
        <v>104830.0172</v>
      </c>
      <c r="G31" s="14" t="str">
        <f>_xll.BDH("ITCI US Equity","NET_CHANGE_IN_CASH_1_YEAR_GROWTH","FQ4 2019","FQ4 2019","Currency=USD","Period=FQ","BEST_FPERIOD_OVERRIDE=FQ","FILING_STATUS=MR","Sort=A","Dates=H","DateFormat=P","Fill=—","Direction=H","UseDPDF=Y")</f>
        <v>—</v>
      </c>
      <c r="H31" s="14">
        <f>_xll.BDH("ITCI US Equity","NET_CHANGE_IN_CASH_1_YEAR_GROWTH","FQ1 2020","FQ1 2020","Currency=USD","Period=FQ","BEST_FPERIOD_OVERRIDE=FQ","FILING_STATUS=MR","Sort=A","Dates=H","DateFormat=P","Fill=—","Direction=H","UseDPDF=Y")</f>
        <v>702.27</v>
      </c>
      <c r="I31" s="14" t="str">
        <f>_xll.BDH("ITCI US Equity","NET_CHANGE_IN_CASH_1_YEAR_GROWTH","FQ2 2020","FQ2 2020","Currency=USD","Period=FQ","BEST_FPERIOD_OVERRIDE=FQ","FILING_STATUS=MR","Sort=A","Dates=H","DateFormat=P","Fill=—","Direction=H","UseDPDF=Y")</f>
        <v>—</v>
      </c>
      <c r="J31" s="14">
        <f>_xll.BDH("ITCI US Equity","NET_CHANGE_IN_CASH_1_YEAR_GROWTH","FQ3 2020","FQ3 2020","Currency=USD","Period=FQ","BEST_FPERIOD_OVERRIDE=FQ","FILING_STATUS=MR","Sort=A","Dates=H","DateFormat=P","Fill=—","Direction=H","UseDPDF=Y")</f>
        <v>1551.0087000000001</v>
      </c>
      <c r="K31" s="14" t="str">
        <f>_xll.BDH("ITCI US Equity","NET_CHANGE_IN_CASH_1_YEAR_GROWTH","FQ4 2020","FQ4 2020","Currency=USD","Period=FQ","BEST_FPERIOD_OVERRIDE=FQ","FILING_STATUS=MR","Sort=A","Dates=H","DateFormat=P","Fill=—","Direction=H","UseDPDF=Y")</f>
        <v>—</v>
      </c>
      <c r="L31" s="14">
        <f>_xll.BDH("ITCI US Equity","NET_CHANGE_IN_CASH_1_YEAR_GROWTH","FQ1 2021","FQ1 2021","Currency=USD","Period=FQ","BEST_FPERIOD_OVERRIDE=FQ","FILING_STATUS=MR","Sort=A","Dates=H","DateFormat=P","Fill=—","Direction=H","UseDPDF=Y")</f>
        <v>-4.6651999999999996</v>
      </c>
      <c r="M31" s="14">
        <f>_xll.BDH("ITCI US Equity","NET_CHANGE_IN_CASH_1_YEAR_GROWTH","FQ2 2021","FQ2 2021","Currency=USD","Period=FQ","BEST_FPERIOD_OVERRIDE=FQ","FILING_STATUS=MR","Sort=A","Dates=H","DateFormat=P","Fill=—","Direction=H","UseDPDF=Y")</f>
        <v>82.208200000000005</v>
      </c>
      <c r="N31" s="14" t="str">
        <f>_xll.BDH("ITCI US Equity","NET_CHANGE_IN_CASH_1_YEAR_GROWTH","FQ3 2021","FQ3 2021","Currency=USD","Period=FQ","BEST_FPERIOD_OVERRIDE=FQ","FILING_STATUS=MR","Sort=A","Dates=H","DateFormat=P","Fill=—","Direction=H","UseDPDF=Y")</f>
        <v>—</v>
      </c>
      <c r="O31" s="14">
        <f>_xll.BDH("ITCI US Equity","NET_CHANGE_IN_CASH_1_YEAR_GROWTH","FQ4 2021","FQ4 2021","Currency=USD","Period=FQ","BEST_FPERIOD_OVERRIDE=FQ","FILING_STATUS=MR","Sort=A","Dates=H","DateFormat=P","Fill=—","Direction=H","UseDPDF=Y")</f>
        <v>94.288700000000006</v>
      </c>
      <c r="P31" s="14">
        <f>_xll.BDH("ITCI US Equity","NET_CHANGE_IN_CASH_1_YEAR_GROWTH","FQ1 2022","FQ1 2022","Currency=USD","Period=FQ","BEST_FPERIOD_OVERRIDE=FQ","FILING_STATUS=MR","Sort=A","Dates=H","DateFormat=P","Fill=—","Direction=H","UseDPDF=Y")</f>
        <v>-47.192999999999998</v>
      </c>
      <c r="Q31" s="14">
        <f>_xll.BDH("ITCI US Equity","NET_CHANGE_IN_CASH_1_YEAR_GROWTH","FQ2 2022","FQ2 2022","Currency=USD","Period=FQ","BEST_FPERIOD_OVERRIDE=FQ","FILING_STATUS=MR","Sort=A","Dates=H","DateFormat=P","Fill=—","Direction=H","UseDPDF=Y")</f>
        <v>-481.69310000000002</v>
      </c>
      <c r="R31" s="14" t="str">
        <f>_xll.BDH("ITCI US Equity","NET_CHANGE_IN_CASH_1_YEAR_GROWTH","FQ3 2022","FQ3 2022","Currency=USD","Period=FQ","BEST_FPERIOD_OVERRIDE=FQ","FILING_STATUS=MR","Sort=A","Dates=H","DateFormat=P","Fill=—","Direction=H","UseDPDF=Y")</f>
        <v>—</v>
      </c>
      <c r="S31" s="14" t="str">
        <f>_xll.BDH("ITCI US Equity","NET_CHANGE_IN_CASH_1_YEAR_GROWTH","FQ4 2022","FQ4 2022","Currency=USD","Period=FQ","BEST_FPERIOD_OVERRIDE=FQ","FILING_STATUS=MR","Sort=A","Dates=H","DateFormat=P","Fill=—","Direction=H","UseDPDF=Y")</f>
        <v>—</v>
      </c>
      <c r="T31" s="14" t="str">
        <f>_xll.BDH("ITCI US Equity","NET_CHANGE_IN_CASH_1_YEAR_GROWTH","FQ1 2023","FQ1 2023","Currency=USD","Period=FQ","BEST_FPERIOD_OVERRIDE=FQ","FILING_STATUS=MR","Sort=A","Dates=H","DateFormat=P","Fill=—","Direction=H","UseDPDF=Y")</f>
        <v>—</v>
      </c>
      <c r="U31" s="14" t="str">
        <f>_xll.BDH("ITCI US Equity","NET_CHANGE_IN_CASH_1_YEAR_GROWTH","FQ2 2023","FQ2 2023","Currency=USD","Period=FQ","BEST_FPERIOD_OVERRIDE=FQ","FILING_STATUS=MR","Sort=A","Dates=H","DateFormat=P","Fill=—","Direction=H","UseDPDF=Y")</f>
        <v>—</v>
      </c>
      <c r="V31" s="14" t="str">
        <f>_xll.BDH("ITCI US Equity","NET_CHANGE_IN_CASH_1_YEAR_GROWTH","FQ3 2023","FQ3 2023","Currency=USD","Period=FQ","BEST_FPERIOD_OVERRIDE=FQ","FILING_STATUS=MR","Sort=A","Dates=H","DateFormat=P","Fill=—","Direction=H","UseDPDF=Y")</f>
        <v>—</v>
      </c>
      <c r="W31" s="14">
        <f>_xll.BDH("ITCI US Equity","NET_CHANGE_IN_CASH_1_YEAR_GROWTH","FQ4 2023","FQ4 2023","Currency=USD","Period=FQ","BEST_FPERIOD_OVERRIDE=FQ","FILING_STATUS=MR","Sort=A","Dates=H","DateFormat=P","Fill=—","Direction=H","UseDPDF=Y")</f>
        <v>264.8261</v>
      </c>
      <c r="X31" s="14">
        <f>_xll.BDH("ITCI US Equity","NET_CHANGE_IN_CASH_1_YEAR_GROWTH","FQ1 2024","FQ1 2024","Currency=USD","Period=FQ","BEST_FPERIOD_OVERRIDE=FQ","FILING_STATUS=MR","Sort=A","Dates=H","DateFormat=P","Fill=—","Direction=H","UseDPDF=Y")</f>
        <v>89.095600000000005</v>
      </c>
      <c r="Y31" s="14">
        <f>_xll.BDH("ITCI US Equity","NET_CHANGE_IN_CASH_1_YEAR_GROWTH","FQ2 2024","FQ2 2024","Currency=USD","Period=FQ","BEST_FPERIOD_OVERRIDE=FQ","FILING_STATUS=MR","Sort=A","Dates=H","DateFormat=P","Fill=—","Direction=H","UseDPDF=Y")</f>
        <v>731.92349999999999</v>
      </c>
      <c r="Z31" s="14">
        <f>_xll.BDH("ITCI US Equity","NET_CHANGE_IN_CASH_1_YEAR_GROWTH","FQ3 2024","FQ3 2024","Currency=USD","Period=FQ","BEST_FPERIOD_OVERRIDE=FQ","FILING_STATUS=MR","Sort=A","Dates=H","DateFormat=P","Fill=—","Direction=H","UseDPDF=Y")</f>
        <v>-434.33359999999999</v>
      </c>
      <c r="AA31" s="14" t="str">
        <f>_xll.BDH("ITCI US Equity","NET_CHANGE_IN_CASH_1_YEAR_GROWTH","FQ4 2024","FQ4 2024","Currency=USD","Period=FQ","BEST_FPERIOD_OVERRIDE=FQ","FILING_STATUS=MR","Sort=A","Dates=H","DateFormat=P","Fill=—","Direction=H","UseDPDF=Y")</f>
        <v>—</v>
      </c>
    </row>
    <row r="32" spans="1:27" x14ac:dyDescent="0.25">
      <c r="A32" s="10" t="s">
        <v>88</v>
      </c>
      <c r="B32" s="10" t="s">
        <v>1140</v>
      </c>
      <c r="C32" s="14">
        <f>_xll.BDH("ITCI US Equity","FREE_CASH_FLOW_1_YEAR_GROWTH","FQ4 2018","FQ4 2018","Currency=USD","Period=FQ","BEST_FPERIOD_OVERRIDE=FQ","FILING_STATUS=MR","Sort=A","Dates=H","DateFormat=P","Fill=—","Direction=H","UseDPDF=Y")</f>
        <v>-15.454599999999999</v>
      </c>
      <c r="D32" s="14">
        <f>_xll.BDH("ITCI US Equity","FREE_CASH_FLOW_1_YEAR_GROWTH","FQ1 2019","FQ1 2019","Currency=USD","Period=FQ","BEST_FPERIOD_OVERRIDE=FQ","FILING_STATUS=MR","Sort=A","Dates=H","DateFormat=P","Fill=—","Direction=H","UseDPDF=Y")</f>
        <v>-30.8567</v>
      </c>
      <c r="E32" s="14">
        <f>_xll.BDH("ITCI US Equity","FREE_CASH_FLOW_1_YEAR_GROWTH","FQ2 2019","FQ2 2019","Currency=USD","Period=FQ","BEST_FPERIOD_OVERRIDE=FQ","FILING_STATUS=MR","Sort=A","Dates=H","DateFormat=P","Fill=—","Direction=H","UseDPDF=Y")</f>
        <v>15.651199999999999</v>
      </c>
      <c r="F32" s="14">
        <f>_xll.BDH("ITCI US Equity","FREE_CASH_FLOW_1_YEAR_GROWTH","FQ3 2019","FQ3 2019","Currency=USD","Period=FQ","BEST_FPERIOD_OVERRIDE=FQ","FILING_STATUS=MR","Sort=A","Dates=H","DateFormat=P","Fill=—","Direction=H","UseDPDF=Y")</f>
        <v>-6.2789999999999999</v>
      </c>
      <c r="G32" s="14" t="str">
        <f>_xll.BDH("ITCI US Equity","FREE_CASH_FLOW_1_YEAR_GROWTH","FQ4 2019","FQ4 2019","Currency=USD","Period=FQ","BEST_FPERIOD_OVERRIDE=FQ","FILING_STATUS=MR","Sort=A","Dates=H","DateFormat=P","Fill=—","Direction=H","UseDPDF=Y")</f>
        <v>—</v>
      </c>
      <c r="H32" s="14">
        <f>_xll.BDH("ITCI US Equity","FREE_CASH_FLOW_1_YEAR_GROWTH","FQ1 2020","FQ1 2020","Currency=USD","Period=FQ","BEST_FPERIOD_OVERRIDE=FQ","FILING_STATUS=MR","Sort=A","Dates=H","DateFormat=P","Fill=—","Direction=H","UseDPDF=Y")</f>
        <v>-43.566600000000001</v>
      </c>
      <c r="I32" s="14">
        <f>_xll.BDH("ITCI US Equity","FREE_CASH_FLOW_1_YEAR_GROWTH","FQ2 2020","FQ2 2020","Currency=USD","Period=FQ","BEST_FPERIOD_OVERRIDE=FQ","FILING_STATUS=MR","Sort=A","Dates=H","DateFormat=P","Fill=—","Direction=H","UseDPDF=Y")</f>
        <v>-65.748999999999995</v>
      </c>
      <c r="J32" s="14">
        <f>_xll.BDH("ITCI US Equity","FREE_CASH_FLOW_1_YEAR_GROWTH","FQ3 2020","FQ3 2020","Currency=USD","Period=FQ","BEST_FPERIOD_OVERRIDE=FQ","FILING_STATUS=MR","Sort=A","Dates=H","DateFormat=P","Fill=—","Direction=H","UseDPDF=Y")</f>
        <v>-111.0168</v>
      </c>
      <c r="K32" s="14" t="str">
        <f>_xll.BDH("ITCI US Equity","FREE_CASH_FLOW_1_YEAR_GROWTH","FQ4 2020","FQ4 2020","Currency=USD","Period=FQ","BEST_FPERIOD_OVERRIDE=FQ","FILING_STATUS=MR","Sort=A","Dates=H","DateFormat=P","Fill=—","Direction=H","UseDPDF=Y")</f>
        <v>—</v>
      </c>
      <c r="L32" s="14">
        <f>_xll.BDH("ITCI US Equity","FREE_CASH_FLOW_1_YEAR_GROWTH","FQ1 2021","FQ1 2021","Currency=USD","Period=FQ","BEST_FPERIOD_OVERRIDE=FQ","FILING_STATUS=MR","Sort=A","Dates=H","DateFormat=P","Fill=—","Direction=H","UseDPDF=Y")</f>
        <v>6.7930000000000001</v>
      </c>
      <c r="M32" s="14">
        <f>_xll.BDH("ITCI US Equity","FREE_CASH_FLOW_1_YEAR_GROWTH","FQ2 2021","FQ2 2021","Currency=USD","Period=FQ","BEST_FPERIOD_OVERRIDE=FQ","FILING_STATUS=MR","Sort=A","Dates=H","DateFormat=P","Fill=—","Direction=H","UseDPDF=Y")</f>
        <v>-26.189800000000002</v>
      </c>
      <c r="N32" s="14">
        <f>_xll.BDH("ITCI US Equity","FREE_CASH_FLOW_1_YEAR_GROWTH","FQ3 2021","FQ3 2021","Currency=USD","Period=FQ","BEST_FPERIOD_OVERRIDE=FQ","FILING_STATUS=MR","Sort=A","Dates=H","DateFormat=P","Fill=—","Direction=H","UseDPDF=Y")</f>
        <v>-24.827000000000002</v>
      </c>
      <c r="O32" s="14">
        <f>_xll.BDH("ITCI US Equity","FREE_CASH_FLOW_1_YEAR_GROWTH","FQ4 2021","FQ4 2021","Currency=USD","Period=FQ","BEST_FPERIOD_OVERRIDE=FQ","FILING_STATUS=MR","Sort=A","Dates=H","DateFormat=P","Fill=—","Direction=H","UseDPDF=Y")</f>
        <v>-7.1260000000000003</v>
      </c>
      <c r="P32" s="14">
        <f>_xll.BDH("ITCI US Equity","FREE_CASH_FLOW_1_YEAR_GROWTH","FQ1 2022","FQ1 2022","Currency=USD","Period=FQ","BEST_FPERIOD_OVERRIDE=FQ","FILING_STATUS=MR","Sort=A","Dates=H","DateFormat=P","Fill=—","Direction=H","UseDPDF=Y")</f>
        <v>-74.629099999999994</v>
      </c>
      <c r="Q32" s="14">
        <f>_xll.BDH("ITCI US Equity","FREE_CASH_FLOW_1_YEAR_GROWTH","FQ2 2022","FQ2 2022","Currency=USD","Period=FQ","BEST_FPERIOD_OVERRIDE=FQ","FILING_STATUS=MR","Sort=A","Dates=H","DateFormat=P","Fill=—","Direction=H","UseDPDF=Y")</f>
        <v>-59.951500000000003</v>
      </c>
      <c r="R32" s="14">
        <f>_xll.BDH("ITCI US Equity","FREE_CASH_FLOW_1_YEAR_GROWTH","FQ3 2022","FQ3 2022","Currency=USD","Period=FQ","BEST_FPERIOD_OVERRIDE=FQ","FILING_STATUS=MR","Sort=A","Dates=H","DateFormat=P","Fill=—","Direction=H","UseDPDF=Y")</f>
        <v>32.808900000000001</v>
      </c>
      <c r="S32" s="14">
        <f>_xll.BDH("ITCI US Equity","FREE_CASH_FLOW_1_YEAR_GROWTH","FQ4 2022","FQ4 2022","Currency=USD","Period=FQ","BEST_FPERIOD_OVERRIDE=FQ","FILING_STATUS=MR","Sort=A","Dates=H","DateFormat=P","Fill=—","Direction=H","UseDPDF=Y")</f>
        <v>46.447200000000002</v>
      </c>
      <c r="T32" s="14">
        <f>_xll.BDH("ITCI US Equity","FREE_CASH_FLOW_1_YEAR_GROWTH","FQ1 2023","FQ1 2023","Currency=USD","Period=FQ","BEST_FPERIOD_OVERRIDE=FQ","FILING_STATUS=MR","Sort=A","Dates=H","DateFormat=P","Fill=—","Direction=H","UseDPDF=Y")</f>
        <v>27.991399999999999</v>
      </c>
      <c r="U32" s="14">
        <f>_xll.BDH("ITCI US Equity","FREE_CASH_FLOW_1_YEAR_GROWTH","FQ2 2023","FQ2 2023","Currency=USD","Period=FQ","BEST_FPERIOD_OVERRIDE=FQ","FILING_STATUS=MR","Sort=A","Dates=H","DateFormat=P","Fill=—","Direction=H","UseDPDF=Y")</f>
        <v>61.226799999999997</v>
      </c>
      <c r="V32" s="14">
        <f>_xll.BDH("ITCI US Equity","FREE_CASH_FLOW_1_YEAR_GROWTH","FQ3 2023","FQ3 2023","Currency=USD","Period=FQ","BEST_FPERIOD_OVERRIDE=FQ","FILING_STATUS=MR","Sort=A","Dates=H","DateFormat=P","Fill=—","Direction=H","UseDPDF=Y")</f>
        <v>52.236899999999999</v>
      </c>
      <c r="W32" s="14">
        <f>_xll.BDH("ITCI US Equity","FREE_CASH_FLOW_1_YEAR_GROWTH","FQ4 2023","FQ4 2023","Currency=USD","Period=FQ","BEST_FPERIOD_OVERRIDE=FQ","FILING_STATUS=MR","Sort=A","Dates=H","DateFormat=P","Fill=—","Direction=H","UseDPDF=Y")</f>
        <v>94.738900000000001</v>
      </c>
      <c r="X32" s="14">
        <f>_xll.BDH("ITCI US Equity","FREE_CASH_FLOW_1_YEAR_GROWTH","FQ1 2024","FQ1 2024","Currency=USD","Period=FQ","BEST_FPERIOD_OVERRIDE=FQ","FILING_STATUS=MR","Sort=A","Dates=H","DateFormat=P","Fill=—","Direction=H","UseDPDF=Y")</f>
        <v>43.202500000000001</v>
      </c>
      <c r="Y32" s="14" t="str">
        <f>_xll.BDH("ITCI US Equity","FREE_CASH_FLOW_1_YEAR_GROWTH","FQ2 2024","FQ2 2024","Currency=USD","Period=FQ","BEST_FPERIOD_OVERRIDE=FQ","FILING_STATUS=MR","Sort=A","Dates=H","DateFormat=P","Fill=—","Direction=H","UseDPDF=Y")</f>
        <v>—</v>
      </c>
      <c r="Z32" s="14">
        <f>_xll.BDH("ITCI US Equity","FREE_CASH_FLOW_1_YEAR_GROWTH","FQ3 2024","FQ3 2024","Currency=USD","Period=FQ","BEST_FPERIOD_OVERRIDE=FQ","FILING_STATUS=MR","Sort=A","Dates=H","DateFormat=P","Fill=—","Direction=H","UseDPDF=Y")</f>
        <v>-6.5902000000000003</v>
      </c>
      <c r="AA32" s="14" t="str">
        <f>_xll.BDH("ITCI US Equity","FREE_CASH_FLOW_1_YEAR_GROWTH","FQ4 2024","FQ4 2024","Currency=USD","Period=FQ","BEST_FPERIOD_OVERRIDE=FQ","FILING_STATUS=MR","Sort=A","Dates=H","DateFormat=P","Fill=—","Direction=H","UseDPDF=Y")</f>
        <v>—</v>
      </c>
    </row>
    <row r="33" spans="1:27" x14ac:dyDescent="0.25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5">
      <c r="A34" s="6" t="s">
        <v>1141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 x14ac:dyDescent="0.25">
      <c r="A35" s="10" t="s">
        <v>0</v>
      </c>
      <c r="B35" s="10" t="s">
        <v>1142</v>
      </c>
      <c r="C35" s="14">
        <f>_xll.BDH("ITCI US Equity","GEO_GROW_NET_SALES","FQ4 2018","FQ4 2018","Currency=USD","Period=FQ","BEST_FPERIOD_OVERRIDE=FQ","FILING_STATUS=MR","FA_ADJUSTED=GAAP","Sort=A","Dates=H","DateFormat=P","Fill=—","Direction=H","UseDPDF=Y")</f>
        <v>-100</v>
      </c>
      <c r="D35" s="14">
        <f>_xll.BDH("ITCI US Equity","GEO_GROW_NET_SALES","FQ1 2019","FQ1 2019","Currency=USD","Period=FQ","BEST_FPERIOD_OVERRIDE=FQ","FILING_STATUS=MR","FA_ADJUSTED=GAAP","Sort=A","Dates=H","DateFormat=P","Fill=—","Direction=H","UseDPDF=Y")</f>
        <v>-100</v>
      </c>
      <c r="E35" s="14">
        <f>_xll.BDH("ITCI US Equity","GEO_GROW_NET_SALES","FQ2 2019","FQ2 2019","Currency=USD","Period=FQ","BEST_FPERIOD_OVERRIDE=FQ","FILING_STATUS=MR","FA_ADJUSTED=GAAP","Sort=A","Dates=H","DateFormat=P","Fill=—","Direction=H","UseDPDF=Y")</f>
        <v>-100</v>
      </c>
      <c r="F35" s="14">
        <f>_xll.BDH("ITCI US Equity","GEO_GROW_NET_SALES","FQ3 2019","FQ3 2019","Currency=USD","Period=FQ","BEST_FPERIOD_OVERRIDE=FQ","FILING_STATUS=MR","FA_ADJUSTED=GAAP","Sort=A","Dates=H","DateFormat=P","Fill=—","Direction=H","UseDPDF=Y")</f>
        <v>-100</v>
      </c>
      <c r="G35" s="14">
        <f>_xll.BDH("ITCI US Equity","GEO_GROW_NET_SALES","FQ4 2019","FQ4 2019","Currency=USD","Period=FQ","BEST_FPERIOD_OVERRIDE=FQ","FILING_STATUS=MR","FA_ADJUSTED=GAAP","Sort=A","Dates=H","DateFormat=P","Fill=—","Direction=H","UseDPDF=Y")</f>
        <v>-1.6473</v>
      </c>
      <c r="H35" s="14">
        <f>_xll.BDH("ITCI US Equity","GEO_GROW_NET_SALES","FQ1 2020","FQ1 2020","Currency=USD","Period=FQ","BEST_FPERIOD_OVERRIDE=FQ","FILING_STATUS=MR","FA_ADJUSTED=GAAP","Sort=A","Dates=H","DateFormat=P","Fill=—","Direction=H","UseDPDF=Y")</f>
        <v>218.32249999999999</v>
      </c>
      <c r="I35" s="14">
        <f>_xll.BDH("ITCI US Equity","GEO_GROW_NET_SALES","FQ2 2020","FQ2 2020","Currency=USD","Period=FQ","BEST_FPERIOD_OVERRIDE=FQ","FILING_STATUS=MR","FA_ADJUSTED=GAAP","Sort=A","Dates=H","DateFormat=P","Fill=—","Direction=H","UseDPDF=Y")</f>
        <v>101.5052</v>
      </c>
      <c r="J35" s="14" t="str">
        <f>_xll.BDH("ITCI US Equity","GEO_GROW_NET_SALES","FQ3 2020","FQ3 2020","Currency=USD","Period=FQ","BEST_FPERIOD_OVERRIDE=FQ","FILING_STATUS=MR","FA_ADJUSTED=GAAP","Sort=A","Dates=H","DateFormat=P","Fill=—","Direction=H","UseDPDF=Y")</f>
        <v>—</v>
      </c>
      <c r="K35" s="14">
        <f>_xll.BDH("ITCI US Equity","GEO_GROW_NET_SALES","FQ4 2020","FQ4 2020","Currency=USD","Period=FQ","BEST_FPERIOD_OVERRIDE=FQ","FILING_STATUS=MR","FA_ADJUSTED=GAAP","Sort=A","Dates=H","DateFormat=P","Fill=—","Direction=H","UseDPDF=Y")</f>
        <v>232.46969999999999</v>
      </c>
      <c r="L35" s="14" t="str">
        <f>_xll.BDH("ITCI US Equity","GEO_GROW_NET_SALES","FQ1 2021","FQ1 2021","Currency=USD","Period=FQ","BEST_FPERIOD_OVERRIDE=FQ","FILING_STATUS=MR","FA_ADJUSTED=GAAP","Sort=A","Dates=H","DateFormat=P","Fill=—","Direction=H","UseDPDF=Y")</f>
        <v>—</v>
      </c>
      <c r="M35" s="14">
        <f>_xll.BDH("ITCI US Equity","GEO_GROW_NET_SALES","FQ2 2021","FQ2 2021","Currency=USD","Period=FQ","BEST_FPERIOD_OVERRIDE=FQ","FILING_STATUS=MR","FA_ADJUSTED=GAAP","Sort=A","Dates=H","DateFormat=P","Fill=—","Direction=H","UseDPDF=Y")</f>
        <v>144.71</v>
      </c>
      <c r="N35" s="14">
        <f>_xll.BDH("ITCI US Equity","GEO_GROW_NET_SALES","FQ3 2021","FQ3 2021","Currency=USD","Period=FQ","BEST_FPERIOD_OVERRIDE=FQ","FILING_STATUS=MR","FA_ADJUSTED=GAAP","Sort=A","Dates=H","DateFormat=P","Fill=—","Direction=H","UseDPDF=Y")</f>
        <v>451.26650000000001</v>
      </c>
      <c r="O35" s="14">
        <f>_xll.BDH("ITCI US Equity","GEO_GROW_NET_SALES","FQ4 2021","FQ4 2021","Currency=USD","Period=FQ","BEST_FPERIOD_OVERRIDE=FQ","FILING_STATUS=MR","FA_ADJUSTED=GAAP","Sort=A","Dates=H","DateFormat=P","Fill=—","Direction=H","UseDPDF=Y")</f>
        <v>204.6044</v>
      </c>
      <c r="P35" s="14">
        <f>_xll.BDH("ITCI US Equity","GEO_GROW_NET_SALES","FQ1 2022","FQ1 2022","Currency=USD","Period=FQ","BEST_FPERIOD_OVERRIDE=FQ","FILING_STATUS=MR","FA_ADJUSTED=GAAP","Sort=A","Dates=H","DateFormat=P","Fill=—","Direction=H","UseDPDF=Y")</f>
        <v>225.83439999999999</v>
      </c>
      <c r="Q35" s="14">
        <f>_xll.BDH("ITCI US Equity","GEO_GROW_NET_SALES","FQ2 2022","FQ2 2022","Currency=USD","Period=FQ","BEST_FPERIOD_OVERRIDE=FQ","FILING_STATUS=MR","FA_ADJUSTED=GAAP","Sort=A","Dates=H","DateFormat=P","Fill=—","Direction=H","UseDPDF=Y")</f>
        <v>244.38040000000001</v>
      </c>
      <c r="R35" s="14">
        <f>_xll.BDH("ITCI US Equity","GEO_GROW_NET_SALES","FQ3 2022","FQ3 2022","Currency=USD","Period=FQ","BEST_FPERIOD_OVERRIDE=FQ","FILING_STATUS=MR","FA_ADJUSTED=GAAP","Sort=A","Dates=H","DateFormat=P","Fill=—","Direction=H","UseDPDF=Y")</f>
        <v>371.7688</v>
      </c>
      <c r="S35" s="14">
        <f>_xll.BDH("ITCI US Equity","GEO_GROW_NET_SALES","FQ4 2022","FQ4 2022","Currency=USD","Period=FQ","BEST_FPERIOD_OVERRIDE=FQ","FILING_STATUS=MR","FA_ADJUSTED=GAAP","Sort=A","Dates=H","DateFormat=P","Fill=—","Direction=H","UseDPDF=Y")</f>
        <v>604.73019999999997</v>
      </c>
      <c r="T35" s="14" t="str">
        <f>_xll.BDH("ITCI US Equity","GEO_GROW_NET_SALES","FQ1 2023","FQ1 2023","Currency=USD","Period=FQ","BEST_FPERIOD_OVERRIDE=FQ","FILING_STATUS=MR","FA_ADJUSTED=GAAP","Sort=A","Dates=H","DateFormat=P","Fill=—","Direction=H","UseDPDF=Y")</f>
        <v>—</v>
      </c>
      <c r="U35" s="14" t="str">
        <f>_xll.BDH("ITCI US Equity","GEO_GROW_NET_SALES","FQ2 2023","FQ2 2023","Currency=USD","Period=FQ","BEST_FPERIOD_OVERRIDE=FQ","FILING_STATUS=MR","FA_ADJUSTED=GAAP","Sort=A","Dates=H","DateFormat=P","Fill=—","Direction=H","UseDPDF=Y")</f>
        <v>—</v>
      </c>
      <c r="V35" s="14" t="str">
        <f>_xll.BDH("ITCI US Equity","GEO_GROW_NET_SALES","FQ3 2023","FQ3 2023","Currency=USD","Period=FQ","BEST_FPERIOD_OVERRIDE=FQ","FILING_STATUS=MR","FA_ADJUSTED=GAAP","Sort=A","Dates=H","DateFormat=P","Fill=—","Direction=H","UseDPDF=Y")</f>
        <v>—</v>
      </c>
      <c r="W35" s="14" t="str">
        <f>_xll.BDH("ITCI US Equity","GEO_GROW_NET_SALES","FQ4 2023","FQ4 2023","Currency=USD","Period=FQ","BEST_FPERIOD_OVERRIDE=FQ","FILING_STATUS=MR","FA_ADJUSTED=GAAP","Sort=A","Dates=H","DateFormat=P","Fill=—","Direction=H","UseDPDF=Y")</f>
        <v>—</v>
      </c>
      <c r="X35" s="14" t="str">
        <f>_xll.BDH("ITCI US Equity","GEO_GROW_NET_SALES","FQ1 2024","FQ1 2024","Currency=USD","Period=FQ","BEST_FPERIOD_OVERRIDE=FQ","FILING_STATUS=MR","FA_ADJUSTED=GAAP","Sort=A","Dates=H","DateFormat=P","Fill=—","Direction=H","UseDPDF=Y")</f>
        <v>—</v>
      </c>
      <c r="Y35" s="14" t="str">
        <f>_xll.BDH("ITCI US Equity","GEO_GROW_NET_SALES","FQ2 2024","FQ2 2024","Currency=USD","Period=FQ","BEST_FPERIOD_OVERRIDE=FQ","FILING_STATUS=MR","FA_ADJUSTED=GAAP","Sort=A","Dates=H","DateFormat=P","Fill=—","Direction=H","UseDPDF=Y")</f>
        <v>—</v>
      </c>
      <c r="Z35" s="14" t="str">
        <f>_xll.BDH("ITCI US Equity","GEO_GROW_NET_SALES","FQ3 2024","FQ3 2024","Currency=USD","Period=FQ","BEST_FPERIOD_OVERRIDE=FQ","FILING_STATUS=MR","FA_ADJUSTED=GAAP","Sort=A","Dates=H","DateFormat=P","Fill=—","Direction=H","UseDPDF=Y")</f>
        <v>—</v>
      </c>
      <c r="AA35" s="14">
        <f>_xll.BDH("ITCI US Equity","GEO_GROW_NET_SALES","FQ4 2024","FQ4 2024","Currency=USD","Period=FQ","BEST_FPERIOD_OVERRIDE=FQ","FILING_STATUS=MR","FA_ADJUSTED=GAAP","Sort=A","Dates=H","DateFormat=P","Fill=—","Direction=H","UseDPDF=Y")</f>
        <v>405.07369999999997</v>
      </c>
    </row>
    <row r="36" spans="1:27" x14ac:dyDescent="0.25">
      <c r="A36" s="10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5">
      <c r="A37" s="10" t="s">
        <v>1113</v>
      </c>
      <c r="B37" s="10" t="s">
        <v>1143</v>
      </c>
      <c r="C37" s="14">
        <f>_xll.BDH("ITCI US Equity","ACCOUNTS_RECEIVABLE_5_YR_GROWTH","FQ4 2018","FQ4 2018","Currency=USD","Period=FQ","BEST_FPERIOD_OVERRIDE=FQ","FILING_STATUS=MR","Sort=A","Dates=H","DateFormat=P","Fill=—","Direction=H","UseDPDF=Y")</f>
        <v>-100</v>
      </c>
      <c r="D37" s="14">
        <f>_xll.BDH("ITCI US Equity","ACCOUNTS_RECEIVABLE_5_YR_GROWTH","FQ1 2019","FQ1 2019","Currency=USD","Period=FQ","BEST_FPERIOD_OVERRIDE=FQ","FILING_STATUS=MR","Sort=A","Dates=H","DateFormat=P","Fill=—","Direction=H","UseDPDF=Y")</f>
        <v>-100</v>
      </c>
      <c r="E37" s="14">
        <f>_xll.BDH("ITCI US Equity","ACCOUNTS_RECEIVABLE_5_YR_GROWTH","FQ2 2019","FQ2 2019","Currency=USD","Period=FQ","BEST_FPERIOD_OVERRIDE=FQ","FILING_STATUS=MR","Sort=A","Dates=H","DateFormat=P","Fill=—","Direction=H","UseDPDF=Y")</f>
        <v>-100</v>
      </c>
      <c r="F37" s="14">
        <f>_xll.BDH("ITCI US Equity","ACCOUNTS_RECEIVABLE_5_YR_GROWTH","FQ3 2019","FQ3 2019","Currency=USD","Period=FQ","BEST_FPERIOD_OVERRIDE=FQ","FILING_STATUS=MR","Sort=A","Dates=H","DateFormat=P","Fill=—","Direction=H","UseDPDF=Y")</f>
        <v>-100</v>
      </c>
      <c r="G37" s="14">
        <f>_xll.BDH("ITCI US Equity","ACCOUNTS_RECEIVABLE_5_YR_GROWTH","FQ4 2019","FQ4 2019","Currency=USD","Period=FQ","BEST_FPERIOD_OVERRIDE=FQ","FILING_STATUS=MR","Sort=A","Dates=H","DateFormat=P","Fill=—","Direction=H","UseDPDF=Y")</f>
        <v>-100</v>
      </c>
      <c r="H37" s="14">
        <f>_xll.BDH("ITCI US Equity","ACCOUNTS_RECEIVABLE_5_YR_GROWTH","FQ1 2020","FQ1 2020","Currency=USD","Period=FQ","BEST_FPERIOD_OVERRIDE=FQ","FILING_STATUS=MR","Sort=A","Dates=H","DateFormat=P","Fill=—","Direction=H","UseDPDF=Y")</f>
        <v>232.6865</v>
      </c>
      <c r="I37" s="14">
        <f>_xll.BDH("ITCI US Equity","ACCOUNTS_RECEIVABLE_5_YR_GROWTH","FQ2 2020","FQ2 2020","Currency=USD","Period=FQ","BEST_FPERIOD_OVERRIDE=FQ","FILING_STATUS=MR","Sort=A","Dates=H","DateFormat=P","Fill=—","Direction=H","UseDPDF=Y")</f>
        <v>203.63640000000001</v>
      </c>
      <c r="J37" s="14" t="str">
        <f>_xll.BDH("ITCI US Equity","ACCOUNTS_RECEIVABLE_5_YR_GROWTH","FQ3 2020","FQ3 2020","Currency=USD","Period=FQ","BEST_FPERIOD_OVERRIDE=FQ","FILING_STATUS=MR","Sort=A","Dates=H","DateFormat=P","Fill=—","Direction=H","UseDPDF=Y")</f>
        <v>—</v>
      </c>
      <c r="K37" s="14">
        <f>_xll.BDH("ITCI US Equity","ACCOUNTS_RECEIVABLE_5_YR_GROWTH","FQ4 2020","FQ4 2020","Currency=USD","Period=FQ","BEST_FPERIOD_OVERRIDE=FQ","FILING_STATUS=MR","Sort=A","Dates=H","DateFormat=P","Fill=—","Direction=H","UseDPDF=Y")</f>
        <v>222.9126</v>
      </c>
      <c r="L37" s="14" t="str">
        <f>_xll.BDH("ITCI US Equity","ACCOUNTS_RECEIVABLE_5_YR_GROWTH","FQ1 2021","FQ1 2021","Currency=USD","Period=FQ","BEST_FPERIOD_OVERRIDE=FQ","FILING_STATUS=MR","Sort=A","Dates=H","DateFormat=P","Fill=—","Direction=H","UseDPDF=Y")</f>
        <v>—</v>
      </c>
      <c r="M37" s="14">
        <f>_xll.BDH("ITCI US Equity","ACCOUNTS_RECEIVABLE_5_YR_GROWTH","FQ2 2021","FQ2 2021","Currency=USD","Period=FQ","BEST_FPERIOD_OVERRIDE=FQ","FILING_STATUS=MR","Sort=A","Dates=H","DateFormat=P","Fill=—","Direction=H","UseDPDF=Y")</f>
        <v>174.0573</v>
      </c>
      <c r="N37" s="14">
        <f>_xll.BDH("ITCI US Equity","ACCOUNTS_RECEIVABLE_5_YR_GROWTH","FQ3 2021","FQ3 2021","Currency=USD","Period=FQ","BEST_FPERIOD_OVERRIDE=FQ","FILING_STATUS=MR","Sort=A","Dates=H","DateFormat=P","Fill=—","Direction=H","UseDPDF=Y")</f>
        <v>564.30229999999995</v>
      </c>
      <c r="O37" s="14">
        <f>_xll.BDH("ITCI US Equity","ACCOUNTS_RECEIVABLE_5_YR_GROWTH","FQ4 2021","FQ4 2021","Currency=USD","Period=FQ","BEST_FPERIOD_OVERRIDE=FQ","FILING_STATUS=MR","Sort=A","Dates=H","DateFormat=P","Fill=—","Direction=H","UseDPDF=Y")</f>
        <v>192.3766</v>
      </c>
      <c r="P37" s="14">
        <f>_xll.BDH("ITCI US Equity","ACCOUNTS_RECEIVABLE_5_YR_GROWTH","FQ1 2022","FQ1 2022","Currency=USD","Period=FQ","BEST_FPERIOD_OVERRIDE=FQ","FILING_STATUS=MR","Sort=A","Dates=H","DateFormat=P","Fill=—","Direction=H","UseDPDF=Y")</f>
        <v>243.95580000000001</v>
      </c>
      <c r="Q37" s="14">
        <f>_xll.BDH("ITCI US Equity","ACCOUNTS_RECEIVABLE_5_YR_GROWTH","FQ2 2022","FQ2 2022","Currency=USD","Period=FQ","BEST_FPERIOD_OVERRIDE=FQ","FILING_STATUS=MR","Sort=A","Dates=H","DateFormat=P","Fill=—","Direction=H","UseDPDF=Y")</f>
        <v>276.6934</v>
      </c>
      <c r="R37" s="14">
        <f>_xll.BDH("ITCI US Equity","ACCOUNTS_RECEIVABLE_5_YR_GROWTH","FQ3 2022","FQ3 2022","Currency=USD","Period=FQ","BEST_FPERIOD_OVERRIDE=FQ","FILING_STATUS=MR","Sort=A","Dates=H","DateFormat=P","Fill=—","Direction=H","UseDPDF=Y")</f>
        <v>527.82209999999998</v>
      </c>
      <c r="S37" s="14" t="str">
        <f>_xll.BDH("ITCI US Equity","ACCOUNTS_RECEIVABLE_5_YR_GROWTH","FQ4 2022","FQ4 2022","Currency=USD","Period=FQ","BEST_FPERIOD_OVERRIDE=FQ","FILING_STATUS=MR","Sort=A","Dates=H","DateFormat=P","Fill=—","Direction=H","UseDPDF=Y")</f>
        <v>—</v>
      </c>
      <c r="T37" s="14" t="str">
        <f>_xll.BDH("ITCI US Equity","ACCOUNTS_RECEIVABLE_5_YR_GROWTH","FQ1 2023","FQ1 2023","Currency=USD","Period=FQ","BEST_FPERIOD_OVERRIDE=FQ","FILING_STATUS=MR","Sort=A","Dates=H","DateFormat=P","Fill=—","Direction=H","UseDPDF=Y")</f>
        <v>—</v>
      </c>
      <c r="U37" s="14" t="str">
        <f>_xll.BDH("ITCI US Equity","ACCOUNTS_RECEIVABLE_5_YR_GROWTH","FQ2 2023","FQ2 2023","Currency=USD","Period=FQ","BEST_FPERIOD_OVERRIDE=FQ","FILING_STATUS=MR","Sort=A","Dates=H","DateFormat=P","Fill=—","Direction=H","UseDPDF=Y")</f>
        <v>—</v>
      </c>
      <c r="V37" s="14" t="str">
        <f>_xll.BDH("ITCI US Equity","ACCOUNTS_RECEIVABLE_5_YR_GROWTH","FQ3 2023","FQ3 2023","Currency=USD","Period=FQ","BEST_FPERIOD_OVERRIDE=FQ","FILING_STATUS=MR","Sort=A","Dates=H","DateFormat=P","Fill=—","Direction=H","UseDPDF=Y")</f>
        <v>—</v>
      </c>
      <c r="W37" s="14" t="str">
        <f>_xll.BDH("ITCI US Equity","ACCOUNTS_RECEIVABLE_5_YR_GROWTH","FQ4 2023","FQ4 2023","Currency=USD","Period=FQ","BEST_FPERIOD_OVERRIDE=FQ","FILING_STATUS=MR","Sort=A","Dates=H","DateFormat=P","Fill=—","Direction=H","UseDPDF=Y")</f>
        <v>—</v>
      </c>
      <c r="X37" s="14" t="str">
        <f>_xll.BDH("ITCI US Equity","ACCOUNTS_RECEIVABLE_5_YR_GROWTH","FQ1 2024","FQ1 2024","Currency=USD","Period=FQ","BEST_FPERIOD_OVERRIDE=FQ","FILING_STATUS=MR","Sort=A","Dates=H","DateFormat=P","Fill=—","Direction=H","UseDPDF=Y")</f>
        <v>—</v>
      </c>
      <c r="Y37" s="14" t="str">
        <f>_xll.BDH("ITCI US Equity","ACCOUNTS_RECEIVABLE_5_YR_GROWTH","FQ2 2024","FQ2 2024","Currency=USD","Period=FQ","BEST_FPERIOD_OVERRIDE=FQ","FILING_STATUS=MR","Sort=A","Dates=H","DateFormat=P","Fill=—","Direction=H","UseDPDF=Y")</f>
        <v>—</v>
      </c>
      <c r="Z37" s="14" t="str">
        <f>_xll.BDH("ITCI US Equity","ACCOUNTS_RECEIVABLE_5_YR_GROWTH","FQ3 2024","FQ3 2024","Currency=USD","Period=FQ","BEST_FPERIOD_OVERRIDE=FQ","FILING_STATUS=MR","Sort=A","Dates=H","DateFormat=P","Fill=—","Direction=H","UseDPDF=Y")</f>
        <v>—</v>
      </c>
      <c r="AA37" s="14" t="str">
        <f>_xll.BDH("ITCI US Equity","ACCOUNTS_RECEIVABLE_5_YR_GROWTH","FQ4 2024","FQ4 2024","Currency=USD","Period=FQ","BEST_FPERIOD_OVERRIDE=FQ","FILING_STATUS=MR","Sort=A","Dates=H","DateFormat=P","Fill=—","Direction=H","UseDPDF=Y")</f>
        <v>—</v>
      </c>
    </row>
    <row r="38" spans="1:27" x14ac:dyDescent="0.25">
      <c r="A38" s="10" t="s">
        <v>1117</v>
      </c>
      <c r="B38" s="10" t="s">
        <v>1144</v>
      </c>
      <c r="C38" s="14">
        <f>_xll.BDH("ITCI US Equity","NET_FIXED_ASSETS_5_YEAR_GROWTH","FQ4 2018","FQ4 2018","Currency=USD","Period=FQ","BEST_FPERIOD_OVERRIDE=FQ","FILING_STATUS=MR","Sort=A","Dates=H","DateFormat=P","Fill=—","Direction=H","UseDPDF=Y")</f>
        <v>76.207999999999998</v>
      </c>
      <c r="D38" s="14">
        <f>_xll.BDH("ITCI US Equity","NET_FIXED_ASSETS_5_YEAR_GROWTH","FQ1 2019","FQ1 2019","Currency=USD","Period=FQ","BEST_FPERIOD_OVERRIDE=FQ","FILING_STATUS=MR","Sort=A","Dates=H","DateFormat=P","Fill=—","Direction=H","UseDPDF=Y")</f>
        <v>218.20480000000001</v>
      </c>
      <c r="E38" s="14">
        <f>_xll.BDH("ITCI US Equity","NET_FIXED_ASSETS_5_YEAR_GROWTH","FQ2 2019","FQ2 2019","Currency=USD","Period=FQ","BEST_FPERIOD_OVERRIDE=FQ","FILING_STATUS=MR","Sort=A","Dates=H","DateFormat=P","Fill=—","Direction=H","UseDPDF=Y")</f>
        <v>218.4341</v>
      </c>
      <c r="F38" s="14">
        <f>_xll.BDH("ITCI US Equity","NET_FIXED_ASSETS_5_YEAR_GROWTH","FQ3 2019","FQ3 2019","Currency=USD","Period=FQ","BEST_FPERIOD_OVERRIDE=FQ","FILING_STATUS=MR","Sort=A","Dates=H","DateFormat=P","Fill=—","Direction=H","UseDPDF=Y")</f>
        <v>224.65029999999999</v>
      </c>
      <c r="G38" s="14">
        <f>_xll.BDH("ITCI US Equity","NET_FIXED_ASSETS_5_YEAR_GROWTH","FQ4 2019","FQ4 2019","Currency=USD","Period=FQ","BEST_FPERIOD_OVERRIDE=FQ","FILING_STATUS=MR","Sort=A","Dates=H","DateFormat=P","Fill=—","Direction=H","UseDPDF=Y")</f>
        <v>227.36859999999999</v>
      </c>
      <c r="H38" s="14">
        <f>_xll.BDH("ITCI US Equity","NET_FIXED_ASSETS_5_YEAR_GROWTH","FQ1 2020","FQ1 2020","Currency=USD","Period=FQ","BEST_FPERIOD_OVERRIDE=FQ","FILING_STATUS=MR","Sort=A","Dates=H","DateFormat=P","Fill=—","Direction=H","UseDPDF=Y")</f>
        <v>104.83750000000001</v>
      </c>
      <c r="I38" s="14">
        <f>_xll.BDH("ITCI US Equity","NET_FIXED_ASSETS_5_YEAR_GROWTH","FQ2 2020","FQ2 2020","Currency=USD","Period=FQ","BEST_FPERIOD_OVERRIDE=FQ","FILING_STATUS=MR","Sort=A","Dates=H","DateFormat=P","Fill=—","Direction=H","UseDPDF=Y")</f>
        <v>98.53</v>
      </c>
      <c r="J38" s="14">
        <f>_xll.BDH("ITCI US Equity","NET_FIXED_ASSETS_5_YEAR_GROWTH","FQ3 2020","FQ3 2020","Currency=USD","Period=FQ","BEST_FPERIOD_OVERRIDE=FQ","FILING_STATUS=MR","Sort=A","Dates=H","DateFormat=P","Fill=—","Direction=H","UseDPDF=Y")</f>
        <v>101.8807</v>
      </c>
      <c r="K38" s="14">
        <f>_xll.BDH("ITCI US Equity","NET_FIXED_ASSETS_5_YEAR_GROWTH","FQ4 2020","FQ4 2020","Currency=USD","Period=FQ","BEST_FPERIOD_OVERRIDE=FQ","FILING_STATUS=MR","Sort=A","Dates=H","DateFormat=P","Fill=—","Direction=H","UseDPDF=Y")</f>
        <v>102.3712</v>
      </c>
      <c r="L38" s="14">
        <f>_xll.BDH("ITCI US Equity","NET_FIXED_ASSETS_5_YEAR_GROWTH","FQ1 2021","FQ1 2021","Currency=USD","Period=FQ","BEST_FPERIOD_OVERRIDE=FQ","FILING_STATUS=MR","Sort=A","Dates=H","DateFormat=P","Fill=—","Direction=H","UseDPDF=Y")</f>
        <v>103.14060000000001</v>
      </c>
      <c r="M38" s="14">
        <f>_xll.BDH("ITCI US Equity","NET_FIXED_ASSETS_5_YEAR_GROWTH","FQ2 2021","FQ2 2021","Currency=USD","Period=FQ","BEST_FPERIOD_OVERRIDE=FQ","FILING_STATUS=MR","Sort=A","Dates=H","DateFormat=P","Fill=—","Direction=H","UseDPDF=Y")</f>
        <v>102.2287</v>
      </c>
      <c r="N38" s="14">
        <f>_xll.BDH("ITCI US Equity","NET_FIXED_ASSETS_5_YEAR_GROWTH","FQ3 2021","FQ3 2021","Currency=USD","Period=FQ","BEST_FPERIOD_OVERRIDE=FQ","FILING_STATUS=MR","Sort=A","Dates=H","DateFormat=P","Fill=—","Direction=H","UseDPDF=Y")</f>
        <v>103.492</v>
      </c>
      <c r="O38" s="14">
        <f>_xll.BDH("ITCI US Equity","NET_FIXED_ASSETS_5_YEAR_GROWTH","FQ4 2021","FQ4 2021","Currency=USD","Period=FQ","BEST_FPERIOD_OVERRIDE=FQ","FILING_STATUS=MR","Sort=A","Dates=H","DateFormat=P","Fill=—","Direction=H","UseDPDF=Y")</f>
        <v>104.69670000000001</v>
      </c>
      <c r="P38" s="14">
        <f>_xll.BDH("ITCI US Equity","NET_FIXED_ASSETS_5_YEAR_GROWTH","FQ1 2022","FQ1 2022","Currency=USD","Period=FQ","BEST_FPERIOD_OVERRIDE=FQ","FILING_STATUS=MR","Sort=A","Dates=H","DateFormat=P","Fill=—","Direction=H","UseDPDF=Y")</f>
        <v>101.5647</v>
      </c>
      <c r="Q38" s="14">
        <f>_xll.BDH("ITCI US Equity","NET_FIXED_ASSETS_5_YEAR_GROWTH","FQ2 2022","FQ2 2022","Currency=USD","Period=FQ","BEST_FPERIOD_OVERRIDE=FQ","FILING_STATUS=MR","Sort=A","Dates=H","DateFormat=P","Fill=—","Direction=H","UseDPDF=Y")</f>
        <v>104.71939999999999</v>
      </c>
      <c r="R38" s="14">
        <f>_xll.BDH("ITCI US Equity","NET_FIXED_ASSETS_5_YEAR_GROWTH","FQ3 2022","FQ3 2022","Currency=USD","Period=FQ","BEST_FPERIOD_OVERRIDE=FQ","FILING_STATUS=MR","Sort=A","Dates=H","DateFormat=P","Fill=—","Direction=H","UseDPDF=Y")</f>
        <v>100.7478</v>
      </c>
      <c r="S38" s="14">
        <f>_xll.BDH("ITCI US Equity","NET_FIXED_ASSETS_5_YEAR_GROWTH","FQ4 2022","FQ4 2022","Currency=USD","Period=FQ","BEST_FPERIOD_OVERRIDE=FQ","FILING_STATUS=MR","Sort=A","Dates=H","DateFormat=P","Fill=—","Direction=H","UseDPDF=Y")</f>
        <v>71.226299999999995</v>
      </c>
      <c r="T38" s="14">
        <f>_xll.BDH("ITCI US Equity","NET_FIXED_ASSETS_5_YEAR_GROWTH","FQ1 2023","FQ1 2023","Currency=USD","Period=FQ","BEST_FPERIOD_OVERRIDE=FQ","FILING_STATUS=MR","Sort=A","Dates=H","DateFormat=P","Fill=—","Direction=H","UseDPDF=Y")</f>
        <v>63.927900000000001</v>
      </c>
      <c r="U38" s="14">
        <f>_xll.BDH("ITCI US Equity","NET_FIXED_ASSETS_5_YEAR_GROWTH","FQ2 2023","FQ2 2023","Currency=USD","Period=FQ","BEST_FPERIOD_OVERRIDE=FQ","FILING_STATUS=MR","Sort=A","Dates=H","DateFormat=P","Fill=—","Direction=H","UseDPDF=Y")</f>
        <v>64.671300000000002</v>
      </c>
      <c r="V38" s="14">
        <f>_xll.BDH("ITCI US Equity","NET_FIXED_ASSETS_5_YEAR_GROWTH","FQ3 2023","FQ3 2023","Currency=USD","Period=FQ","BEST_FPERIOD_OVERRIDE=FQ","FILING_STATUS=MR","Sort=A","Dates=H","DateFormat=P","Fill=—","Direction=H","UseDPDF=Y")</f>
        <v>66.156999999999996</v>
      </c>
      <c r="W38" s="14">
        <f>_xll.BDH("ITCI US Equity","NET_FIXED_ASSETS_5_YEAR_GROWTH","FQ4 2023","FQ4 2023","Currency=USD","Period=FQ","BEST_FPERIOD_OVERRIDE=FQ","FILING_STATUS=MR","Sort=A","Dates=H","DateFormat=P","Fill=—","Direction=H","UseDPDF=Y")</f>
        <v>65.916399999999996</v>
      </c>
      <c r="X38" s="14">
        <f>_xll.BDH("ITCI US Equity","NET_FIXED_ASSETS_5_YEAR_GROWTH","FQ1 2024","FQ1 2024","Currency=USD","Period=FQ","BEST_FPERIOD_OVERRIDE=FQ","FILING_STATUS=MR","Sort=A","Dates=H","DateFormat=P","Fill=—","Direction=H","UseDPDF=Y")</f>
        <v>-7.9858000000000002</v>
      </c>
      <c r="Y38" s="14">
        <f>_xll.BDH("ITCI US Equity","NET_FIXED_ASSETS_5_YEAR_GROWTH","FQ2 2024","FQ2 2024","Currency=USD","Period=FQ","BEST_FPERIOD_OVERRIDE=FQ","FILING_STATUS=MR","Sort=A","Dates=H","DateFormat=P","Fill=—","Direction=H","UseDPDF=Y")</f>
        <v>-5.2648000000000001</v>
      </c>
      <c r="Z38" s="14">
        <f>_xll.BDH("ITCI US Equity","NET_FIXED_ASSETS_5_YEAR_GROWTH","FQ3 2024","FQ3 2024","Currency=USD","Period=FQ","BEST_FPERIOD_OVERRIDE=FQ","FILING_STATUS=MR","Sort=A","Dates=H","DateFormat=P","Fill=—","Direction=H","UseDPDF=Y")</f>
        <v>-5.0156000000000001</v>
      </c>
      <c r="AA38" s="14">
        <f>_xll.BDH("ITCI US Equity","NET_FIXED_ASSETS_5_YEAR_GROWTH","FQ4 2024","FQ4 2024","Currency=USD","Period=FQ","BEST_FPERIOD_OVERRIDE=FQ","FILING_STATUS=MR","Sort=A","Dates=H","DateFormat=P","Fill=—","Direction=H","UseDPDF=Y")</f>
        <v>-6.1978</v>
      </c>
    </row>
    <row r="39" spans="1:27" x14ac:dyDescent="0.25">
      <c r="A39" s="10" t="s">
        <v>112</v>
      </c>
      <c r="B39" s="10" t="s">
        <v>1145</v>
      </c>
      <c r="C39" s="14">
        <f>_xll.BDH("ITCI US Equity","GEO_GROW_TOT_ASSET","FQ4 2018","FQ4 2018","Currency=USD","Period=FQ","BEST_FPERIOD_OVERRIDE=FQ","FILING_STATUS=MR","Sort=A","Dates=H","DateFormat=P","Fill=—","Direction=H","UseDPDF=Y")</f>
        <v>56.173099999999998</v>
      </c>
      <c r="D39" s="14">
        <f>_xll.BDH("ITCI US Equity","GEO_GROW_TOT_ASSET","FQ1 2019","FQ1 2019","Currency=USD","Period=FQ","BEST_FPERIOD_OVERRIDE=FQ","FILING_STATUS=MR","Sort=A","Dates=H","DateFormat=P","Fill=—","Direction=H","UseDPDF=Y")</f>
        <v>18.523199999999999</v>
      </c>
      <c r="E39" s="14">
        <f>_xll.BDH("ITCI US Equity","GEO_GROW_TOT_ASSET","FQ2 2019","FQ2 2019","Currency=USD","Period=FQ","BEST_FPERIOD_OVERRIDE=FQ","FILING_STATUS=MR","Sort=A","Dates=H","DateFormat=P","Fill=—","Direction=H","UseDPDF=Y")</f>
        <v>16.998200000000001</v>
      </c>
      <c r="F39" s="14">
        <f>_xll.BDH("ITCI US Equity","GEO_GROW_TOT_ASSET","FQ3 2019","FQ3 2019","Currency=USD","Period=FQ","BEST_FPERIOD_OVERRIDE=FQ","FILING_STATUS=MR","Sort=A","Dates=H","DateFormat=P","Fill=—","Direction=H","UseDPDF=Y")</f>
        <v>15.3093</v>
      </c>
      <c r="G39" s="14">
        <f>_xll.BDH("ITCI US Equity","GEO_GROW_TOT_ASSET","FQ4 2019","FQ4 2019","Currency=USD","Period=FQ","BEST_FPERIOD_OVERRIDE=FQ","FILING_STATUS=MR","Sort=A","Dates=H","DateFormat=P","Fill=—","Direction=H","UseDPDF=Y")</f>
        <v>13.886200000000001</v>
      </c>
      <c r="H39" s="14">
        <f>_xll.BDH("ITCI US Equity","GEO_GROW_TOT_ASSET","FQ1 2020","FQ1 2020","Currency=USD","Period=FQ","BEST_FPERIOD_OVERRIDE=FQ","FILING_STATUS=MR","Sort=A","Dates=H","DateFormat=P","Fill=—","Direction=H","UseDPDF=Y")</f>
        <v>15.206300000000001</v>
      </c>
      <c r="I39" s="14">
        <f>_xll.BDH("ITCI US Equity","GEO_GROW_TOT_ASSET","FQ2 2020","FQ2 2020","Currency=USD","Period=FQ","BEST_FPERIOD_OVERRIDE=FQ","FILING_STATUS=MR","Sort=A","Dates=H","DateFormat=P","Fill=—","Direction=H","UseDPDF=Y")</f>
        <v>15.620200000000001</v>
      </c>
      <c r="J39" s="14">
        <f>_xll.BDH("ITCI US Equity","GEO_GROW_TOT_ASSET","FQ3 2020","FQ3 2020","Currency=USD","Period=FQ","BEST_FPERIOD_OVERRIDE=FQ","FILING_STATUS=MR","Sort=A","Dates=H","DateFormat=P","Fill=—","Direction=H","UseDPDF=Y")</f>
        <v>8.4924999999999997</v>
      </c>
      <c r="K39" s="14">
        <f>_xll.BDH("ITCI US Equity","GEO_GROW_TOT_ASSET","FQ4 2020","FQ4 2020","Currency=USD","Period=FQ","BEST_FPERIOD_OVERRIDE=FQ","FILING_STATUS=MR","Sort=A","Dates=H","DateFormat=P","Fill=—","Direction=H","UseDPDF=Y")</f>
        <v>8.1818000000000008</v>
      </c>
      <c r="L39" s="14">
        <f>_xll.BDH("ITCI US Equity","GEO_GROW_TOT_ASSET","FQ1 2021","FQ1 2021","Currency=USD","Period=FQ","BEST_FPERIOD_OVERRIDE=FQ","FILING_STATUS=MR","Sort=A","Dates=H","DateFormat=P","Fill=—","Direction=H","UseDPDF=Y")</f>
        <v>7.7840999999999996</v>
      </c>
      <c r="M39" s="14">
        <f>_xll.BDH("ITCI US Equity","GEO_GROW_TOT_ASSET","FQ2 2021","FQ2 2021","Currency=USD","Period=FQ","BEST_FPERIOD_OVERRIDE=FQ","FILING_STATUS=MR","Sort=A","Dates=H","DateFormat=P","Fill=—","Direction=H","UseDPDF=Y")</f>
        <v>6.9287000000000001</v>
      </c>
      <c r="N39" s="14">
        <f>_xll.BDH("ITCI US Equity","GEO_GROW_TOT_ASSET","FQ3 2021","FQ3 2021","Currency=USD","Period=FQ","BEST_FPERIOD_OVERRIDE=FQ","FILING_STATUS=MR","Sort=A","Dates=H","DateFormat=P","Fill=—","Direction=H","UseDPDF=Y")</f>
        <v>0.52539999999999998</v>
      </c>
      <c r="O39" s="14">
        <f>_xll.BDH("ITCI US Equity","GEO_GROW_TOT_ASSET","FQ4 2021","FQ4 2021","Currency=USD","Period=FQ","BEST_FPERIOD_OVERRIDE=FQ","FILING_STATUS=MR","Sort=A","Dates=H","DateFormat=P","Fill=—","Direction=H","UseDPDF=Y")</f>
        <v>4.7266000000000004</v>
      </c>
      <c r="P39" s="14">
        <f>_xll.BDH("ITCI US Equity","GEO_GROW_TOT_ASSET","FQ1 2022","FQ1 2022","Currency=USD","Period=FQ","BEST_FPERIOD_OVERRIDE=FQ","FILING_STATUS=MR","Sort=A","Dates=H","DateFormat=P","Fill=—","Direction=H","UseDPDF=Y")</f>
        <v>18.463699999999999</v>
      </c>
      <c r="Q39" s="14">
        <f>_xll.BDH("ITCI US Equity","GEO_GROW_TOT_ASSET","FQ2 2022","FQ2 2022","Currency=USD","Period=FQ","BEST_FPERIOD_OVERRIDE=FQ","FILING_STATUS=MR","Sort=A","Dates=H","DateFormat=P","Fill=—","Direction=H","UseDPDF=Y")</f>
        <v>18.359200000000001</v>
      </c>
      <c r="R39" s="14">
        <f>_xll.BDH("ITCI US Equity","GEO_GROW_TOT_ASSET","FQ3 2022","FQ3 2022","Currency=USD","Period=FQ","BEST_FPERIOD_OVERRIDE=FQ","FILING_STATUS=MR","Sort=A","Dates=H","DateFormat=P","Fill=—","Direction=H","UseDPDF=Y")</f>
        <v>18.533799999999999</v>
      </c>
      <c r="S39" s="14">
        <f>_xll.BDH("ITCI US Equity","GEO_GROW_TOT_ASSET","FQ4 2022","FQ4 2022","Currency=USD","Period=FQ","BEST_FPERIOD_OVERRIDE=FQ","FILING_STATUS=MR","Sort=A","Dates=H","DateFormat=P","Fill=—","Direction=H","UseDPDF=Y")</f>
        <v>9.8676999999999992</v>
      </c>
      <c r="T39" s="14">
        <f>_xll.BDH("ITCI US Equity","GEO_GROW_TOT_ASSET","FQ1 2023","FQ1 2023","Currency=USD","Period=FQ","BEST_FPERIOD_OVERRIDE=FQ","FILING_STATUS=MR","Sort=A","Dates=H","DateFormat=P","Fill=—","Direction=H","UseDPDF=Y")</f>
        <v>10.136100000000001</v>
      </c>
      <c r="U39" s="14">
        <f>_xll.BDH("ITCI US Equity","GEO_GROW_TOT_ASSET","FQ2 2023","FQ2 2023","Currency=USD","Period=FQ","BEST_FPERIOD_OVERRIDE=FQ","FILING_STATUS=MR","Sort=A","Dates=H","DateFormat=P","Fill=—","Direction=H","UseDPDF=Y")</f>
        <v>11.6082</v>
      </c>
      <c r="V39" s="14">
        <f>_xll.BDH("ITCI US Equity","GEO_GROW_TOT_ASSET","FQ3 2023","FQ3 2023","Currency=USD","Period=FQ","BEST_FPERIOD_OVERRIDE=FQ","FILING_STATUS=MR","Sort=A","Dates=H","DateFormat=P","Fill=—","Direction=H","UseDPDF=Y")</f>
        <v>13.2295</v>
      </c>
      <c r="W39" s="14">
        <f>_xll.BDH("ITCI US Equity","GEO_GROW_TOT_ASSET","FQ4 2023","FQ4 2023","Currency=USD","Period=FQ","BEST_FPERIOD_OVERRIDE=FQ","FILING_STATUS=MR","Sort=A","Dates=H","DateFormat=P","Fill=—","Direction=H","UseDPDF=Y")</f>
        <v>15.312799999999999</v>
      </c>
      <c r="X39" s="14">
        <f>_xll.BDH("ITCI US Equity","GEO_GROW_TOT_ASSET","FQ1 2024","FQ1 2024","Currency=USD","Period=FQ","BEST_FPERIOD_OVERRIDE=FQ","FILING_STATUS=MR","Sort=A","Dates=H","DateFormat=P","Fill=—","Direction=H","UseDPDF=Y")</f>
        <v>16.846699999999998</v>
      </c>
      <c r="Y39" s="14">
        <f>_xll.BDH("ITCI US Equity","GEO_GROW_TOT_ASSET","FQ2 2024","FQ2 2024","Currency=USD","Period=FQ","BEST_FPERIOD_OVERRIDE=FQ","FILING_STATUS=MR","Sort=A","Dates=H","DateFormat=P","Fill=—","Direction=H","UseDPDF=Y")</f>
        <v>33.633099999999999</v>
      </c>
      <c r="Z39" s="14">
        <f>_xll.BDH("ITCI US Equity","GEO_GROW_TOT_ASSET","FQ3 2024","FQ3 2024","Currency=USD","Period=FQ","BEST_FPERIOD_OVERRIDE=FQ","FILING_STATUS=MR","Sort=A","Dates=H","DateFormat=P","Fill=—","Direction=H","UseDPDF=Y")</f>
        <v>36.3996</v>
      </c>
      <c r="AA39" s="14">
        <f>_xll.BDH("ITCI US Equity","GEO_GROW_TOT_ASSET","FQ4 2024","FQ4 2024","Currency=USD","Period=FQ","BEST_FPERIOD_OVERRIDE=FQ","FILING_STATUS=MR","Sort=A","Dates=H","DateFormat=P","Fill=—","Direction=H","UseDPDF=Y")</f>
        <v>40.329500000000003</v>
      </c>
    </row>
    <row r="40" spans="1:27" x14ac:dyDescent="0.25">
      <c r="A40" s="10" t="s">
        <v>1122</v>
      </c>
      <c r="B40" s="10" t="s">
        <v>1146</v>
      </c>
      <c r="C40" s="14">
        <f>_xll.BDH("ITCI US Equity","WORKING_CAPITAL_5_YEAR_GROWTH","FQ4 2018","FQ4 2018","Currency=USD","Period=FQ","BEST_FPERIOD_OVERRIDE=FQ","FILING_STATUS=MR","Sort=A","Dates=H","DateFormat=P","Fill=—","Direction=H","UseDPDF=Y")</f>
        <v>58.989100000000001</v>
      </c>
      <c r="D40" s="14">
        <f>_xll.BDH("ITCI US Equity","WORKING_CAPITAL_5_YEAR_GROWTH","FQ1 2019","FQ1 2019","Currency=USD","Period=FQ","BEST_FPERIOD_OVERRIDE=FQ","FILING_STATUS=MR","Sort=A","Dates=H","DateFormat=P","Fill=—","Direction=H","UseDPDF=Y")</f>
        <v>15.0875</v>
      </c>
      <c r="E40" s="14">
        <f>_xll.BDH("ITCI US Equity","WORKING_CAPITAL_5_YEAR_GROWTH","FQ2 2019","FQ2 2019","Currency=USD","Period=FQ","BEST_FPERIOD_OVERRIDE=FQ","FILING_STATUS=MR","Sort=A","Dates=H","DateFormat=P","Fill=—","Direction=H","UseDPDF=Y")</f>
        <v>13.0616</v>
      </c>
      <c r="F40" s="14">
        <f>_xll.BDH("ITCI US Equity","WORKING_CAPITAL_5_YEAR_GROWTH","FQ3 2019","FQ3 2019","Currency=USD","Period=FQ","BEST_FPERIOD_OVERRIDE=FQ","FILING_STATUS=MR","Sort=A","Dates=H","DateFormat=P","Fill=—","Direction=H","UseDPDF=Y")</f>
        <v>11.0441</v>
      </c>
      <c r="G40" s="14">
        <f>_xll.BDH("ITCI US Equity","WORKING_CAPITAL_5_YEAR_GROWTH","FQ4 2019","FQ4 2019","Currency=USD","Period=FQ","BEST_FPERIOD_OVERRIDE=FQ","FILING_STATUS=MR","Sort=A","Dates=H","DateFormat=P","Fill=—","Direction=H","UseDPDF=Y")</f>
        <v>10.0167</v>
      </c>
      <c r="H40" s="14">
        <f>_xll.BDH("ITCI US Equity","WORKING_CAPITAL_5_YEAR_GROWTH","FQ1 2020","FQ1 2020","Currency=USD","Period=FQ","BEST_FPERIOD_OVERRIDE=FQ","FILING_STATUS=MR","Sort=A","Dates=H","DateFormat=P","Fill=—","Direction=H","UseDPDF=Y")</f>
        <v>14.1404</v>
      </c>
      <c r="I40" s="14">
        <f>_xll.BDH("ITCI US Equity","WORKING_CAPITAL_5_YEAR_GROWTH","FQ2 2020","FQ2 2020","Currency=USD","Period=FQ","BEST_FPERIOD_OVERRIDE=FQ","FILING_STATUS=MR","Sort=A","Dates=H","DateFormat=P","Fill=—","Direction=H","UseDPDF=Y")</f>
        <v>13.227</v>
      </c>
      <c r="J40" s="14">
        <f>_xll.BDH("ITCI US Equity","WORKING_CAPITAL_5_YEAR_GROWTH","FQ3 2020","FQ3 2020","Currency=USD","Period=FQ","BEST_FPERIOD_OVERRIDE=FQ","FILING_STATUS=MR","Sort=A","Dates=H","DateFormat=P","Fill=—","Direction=H","UseDPDF=Y")</f>
        <v>7.0888999999999998</v>
      </c>
      <c r="K40" s="14">
        <f>_xll.BDH("ITCI US Equity","WORKING_CAPITAL_5_YEAR_GROWTH","FQ4 2020","FQ4 2020","Currency=USD","Period=FQ","BEST_FPERIOD_OVERRIDE=FQ","FILING_STATUS=MR","Sort=A","Dates=H","DateFormat=P","Fill=—","Direction=H","UseDPDF=Y")</f>
        <v>6.5172999999999996</v>
      </c>
      <c r="L40" s="14">
        <f>_xll.BDH("ITCI US Equity","WORKING_CAPITAL_5_YEAR_GROWTH","FQ1 2021","FQ1 2021","Currency=USD","Period=FQ","BEST_FPERIOD_OVERRIDE=FQ","FILING_STATUS=MR","Sort=A","Dates=H","DateFormat=P","Fill=—","Direction=H","UseDPDF=Y")</f>
        <v>6.0683999999999996</v>
      </c>
      <c r="M40" s="14">
        <f>_xll.BDH("ITCI US Equity","WORKING_CAPITAL_5_YEAR_GROWTH","FQ2 2021","FQ2 2021","Currency=USD","Period=FQ","BEST_FPERIOD_OVERRIDE=FQ","FILING_STATUS=MR","Sort=A","Dates=H","DateFormat=P","Fill=—","Direction=H","UseDPDF=Y")</f>
        <v>5.2057000000000002</v>
      </c>
      <c r="N40" s="14">
        <f>_xll.BDH("ITCI US Equity","WORKING_CAPITAL_5_YEAR_GROWTH","FQ3 2021","FQ3 2021","Currency=USD","Period=FQ","BEST_FPERIOD_OVERRIDE=FQ","FILING_STATUS=MR","Sort=A","Dates=H","DateFormat=P","Fill=—","Direction=H","UseDPDF=Y")</f>
        <v>3.7995000000000001</v>
      </c>
      <c r="O40" s="14">
        <f>_xll.BDH("ITCI US Equity","WORKING_CAPITAL_5_YEAR_GROWTH","FQ4 2021","FQ4 2021","Currency=USD","Period=FQ","BEST_FPERIOD_OVERRIDE=FQ","FILING_STATUS=MR","Sort=A","Dates=H","DateFormat=P","Fill=—","Direction=H","UseDPDF=Y")</f>
        <v>1.8503000000000001</v>
      </c>
      <c r="P40" s="14">
        <f>_xll.BDH("ITCI US Equity","WORKING_CAPITAL_5_YEAR_GROWTH","FQ1 2022","FQ1 2022","Currency=USD","Period=FQ","BEST_FPERIOD_OVERRIDE=FQ","FILING_STATUS=MR","Sort=A","Dates=H","DateFormat=P","Fill=—","Direction=H","UseDPDF=Y")</f>
        <v>17.308</v>
      </c>
      <c r="Q40" s="14">
        <f>_xll.BDH("ITCI US Equity","WORKING_CAPITAL_5_YEAR_GROWTH","FQ2 2022","FQ2 2022","Currency=USD","Period=FQ","BEST_FPERIOD_OVERRIDE=FQ","FILING_STATUS=MR","Sort=A","Dates=H","DateFormat=P","Fill=—","Direction=H","UseDPDF=Y")</f>
        <v>16.0169</v>
      </c>
      <c r="R40" s="14">
        <f>_xll.BDH("ITCI US Equity","WORKING_CAPITAL_5_YEAR_GROWTH","FQ3 2022","FQ3 2022","Currency=USD","Period=FQ","BEST_FPERIOD_OVERRIDE=FQ","FILING_STATUS=MR","Sort=A","Dates=H","DateFormat=P","Fill=—","Direction=H","UseDPDF=Y")</f>
        <v>16.238099999999999</v>
      </c>
      <c r="S40" s="14">
        <f>_xll.BDH("ITCI US Equity","WORKING_CAPITAL_5_YEAR_GROWTH","FQ4 2022","FQ4 2022","Currency=USD","Period=FQ","BEST_FPERIOD_OVERRIDE=FQ","FILING_STATUS=MR","Sort=A","Dates=H","DateFormat=P","Fill=—","Direction=H","UseDPDF=Y")</f>
        <v>7.5494000000000003</v>
      </c>
      <c r="T40" s="14">
        <f>_xll.BDH("ITCI US Equity","WORKING_CAPITAL_5_YEAR_GROWTH","FQ1 2023","FQ1 2023","Currency=USD","Period=FQ","BEST_FPERIOD_OVERRIDE=FQ","FILING_STATUS=MR","Sort=A","Dates=H","DateFormat=P","Fill=—","Direction=H","UseDPDF=Y")</f>
        <v>8.1470000000000002</v>
      </c>
      <c r="U40" s="14">
        <f>_xll.BDH("ITCI US Equity","WORKING_CAPITAL_5_YEAR_GROWTH","FQ2 2023","FQ2 2023","Currency=USD","Period=FQ","BEST_FPERIOD_OVERRIDE=FQ","FILING_STATUS=MR","Sort=A","Dates=H","DateFormat=P","Fill=—","Direction=H","UseDPDF=Y")</f>
        <v>9.1739999999999995</v>
      </c>
      <c r="V40" s="14">
        <f>_xll.BDH("ITCI US Equity","WORKING_CAPITAL_5_YEAR_GROWTH","FQ3 2023","FQ3 2023","Currency=USD","Period=FQ","BEST_FPERIOD_OVERRIDE=FQ","FILING_STATUS=MR","Sort=A","Dates=H","DateFormat=P","Fill=—","Direction=H","UseDPDF=Y")</f>
        <v>11.097</v>
      </c>
      <c r="W40" s="14">
        <f>_xll.BDH("ITCI US Equity","WORKING_CAPITAL_5_YEAR_GROWTH","FQ4 2023","FQ4 2023","Currency=USD","Period=FQ","BEST_FPERIOD_OVERRIDE=FQ","FILING_STATUS=MR","Sort=A","Dates=H","DateFormat=P","Fill=—","Direction=H","UseDPDF=Y")</f>
        <v>11.266400000000001</v>
      </c>
      <c r="X40" s="14">
        <f>_xll.BDH("ITCI US Equity","WORKING_CAPITAL_5_YEAR_GROWTH","FQ1 2024","FQ1 2024","Currency=USD","Period=FQ","BEST_FPERIOD_OVERRIDE=FQ","FILING_STATUS=MR","Sort=A","Dates=H","DateFormat=P","Fill=—","Direction=H","UseDPDF=Y")</f>
        <v>14.079000000000001</v>
      </c>
      <c r="Y40" s="14">
        <f>_xll.BDH("ITCI US Equity","WORKING_CAPITAL_5_YEAR_GROWTH","FQ2 2024","FQ2 2024","Currency=USD","Period=FQ","BEST_FPERIOD_OVERRIDE=FQ","FILING_STATUS=MR","Sort=A","Dates=H","DateFormat=P","Fill=—","Direction=H","UseDPDF=Y")</f>
        <v>33.933300000000003</v>
      </c>
      <c r="Z40" s="14">
        <f>_xll.BDH("ITCI US Equity","WORKING_CAPITAL_5_YEAR_GROWTH","FQ3 2024","FQ3 2024","Currency=USD","Period=FQ","BEST_FPERIOD_OVERRIDE=FQ","FILING_STATUS=MR","Sort=A","Dates=H","DateFormat=P","Fill=—","Direction=H","UseDPDF=Y")</f>
        <v>37.362200000000001</v>
      </c>
      <c r="AA40" s="14">
        <f>_xll.BDH("ITCI US Equity","WORKING_CAPITAL_5_YEAR_GROWTH","FQ4 2024","FQ4 2024","Currency=USD","Period=FQ","BEST_FPERIOD_OVERRIDE=FQ","FILING_STATUS=MR","Sort=A","Dates=H","DateFormat=P","Fill=—","Direction=H","UseDPDF=Y")</f>
        <v>41.515599999999999</v>
      </c>
    </row>
    <row r="41" spans="1:27" x14ac:dyDescent="0.25">
      <c r="A41" s="10" t="s">
        <v>1124</v>
      </c>
      <c r="B41" s="10" t="s">
        <v>1147</v>
      </c>
      <c r="C41" s="14">
        <f>_xll.BDH("ITCI US Equity","EMPLOYEES_5_YEAR_GROWTH","FQ4 2018","FQ4 2018","Currency=USD","Period=FQ","BEST_FPERIOD_OVERRIDE=FQ","FILING_STATUS=MR","Sort=A","Dates=H","DateFormat=P","Fill=—","Direction=H","UseDPDF=Y")</f>
        <v>27.110099999999999</v>
      </c>
      <c r="D41" s="14" t="str">
        <f>_xll.BDH("ITCI US Equity","EMPLOYEES_5_YEAR_GROWTH","FQ1 2019","FQ1 2019","Currency=USD","Period=FQ","BEST_FPERIOD_OVERRIDE=FQ","FILING_STATUS=MR","Sort=A","Dates=H","DateFormat=P","Fill=—","Direction=H","UseDPDF=Y")</f>
        <v>—</v>
      </c>
      <c r="E41" s="14" t="str">
        <f>_xll.BDH("ITCI US Equity","EMPLOYEES_5_YEAR_GROWTH","FQ2 2019","FQ2 2019","Currency=USD","Period=FQ","BEST_FPERIOD_OVERRIDE=FQ","FILING_STATUS=MR","Sort=A","Dates=H","DateFormat=P","Fill=—","Direction=H","UseDPDF=Y")</f>
        <v>—</v>
      </c>
      <c r="F41" s="14" t="str">
        <f>_xll.BDH("ITCI US Equity","EMPLOYEES_5_YEAR_GROWTH","FQ3 2019","FQ3 2019","Currency=USD","Period=FQ","BEST_FPERIOD_OVERRIDE=FQ","FILING_STATUS=MR","Sort=A","Dates=H","DateFormat=P","Fill=—","Direction=H","UseDPDF=Y")</f>
        <v>—</v>
      </c>
      <c r="G41" s="14">
        <f>_xll.BDH("ITCI US Equity","EMPLOYEES_5_YEAR_GROWTH","FQ4 2019","FQ4 2019","Currency=USD","Period=FQ","BEST_FPERIOD_OVERRIDE=FQ","FILING_STATUS=MR","Sort=A","Dates=H","DateFormat=P","Fill=—","Direction=H","UseDPDF=Y")</f>
        <v>64.375200000000007</v>
      </c>
      <c r="H41" s="14" t="str">
        <f>_xll.BDH("ITCI US Equity","EMPLOYEES_5_YEAR_GROWTH","FQ1 2020","FQ1 2020","Currency=USD","Period=FQ","BEST_FPERIOD_OVERRIDE=FQ","FILING_STATUS=MR","Sort=A","Dates=H","DateFormat=P","Fill=—","Direction=H","UseDPDF=Y")</f>
        <v>—</v>
      </c>
      <c r="I41" s="14" t="str">
        <f>_xll.BDH("ITCI US Equity","EMPLOYEES_5_YEAR_GROWTH","FQ2 2020","FQ2 2020","Currency=USD","Period=FQ","BEST_FPERIOD_OVERRIDE=FQ","FILING_STATUS=MR","Sort=A","Dates=H","DateFormat=P","Fill=—","Direction=H","UseDPDF=Y")</f>
        <v>—</v>
      </c>
      <c r="J41" s="14" t="str">
        <f>_xll.BDH("ITCI US Equity","EMPLOYEES_5_YEAR_GROWTH","FQ3 2020","FQ3 2020","Currency=USD","Period=FQ","BEST_FPERIOD_OVERRIDE=FQ","FILING_STATUS=MR","Sort=A","Dates=H","DateFormat=P","Fill=—","Direction=H","UseDPDF=Y")</f>
        <v>—</v>
      </c>
      <c r="K41" s="14">
        <f>_xll.BDH("ITCI US Equity","EMPLOYEES_5_YEAR_GROWTH","FQ4 2020","FQ4 2020","Currency=USD","Period=FQ","BEST_FPERIOD_OVERRIDE=FQ","FILING_STATUS=MR","Sort=A","Dates=H","DateFormat=P","Fill=—","Direction=H","UseDPDF=Y")</f>
        <v>59.587699999999998</v>
      </c>
      <c r="L41" s="14" t="str">
        <f>_xll.BDH("ITCI US Equity","EMPLOYEES_5_YEAR_GROWTH","FQ1 2021","FQ1 2021","Currency=USD","Period=FQ","BEST_FPERIOD_OVERRIDE=FQ","FILING_STATUS=MR","Sort=A","Dates=H","DateFormat=P","Fill=—","Direction=H","UseDPDF=Y")</f>
        <v>—</v>
      </c>
      <c r="M41" s="14" t="str">
        <f>_xll.BDH("ITCI US Equity","EMPLOYEES_5_YEAR_GROWTH","FQ2 2021","FQ2 2021","Currency=USD","Period=FQ","BEST_FPERIOD_OVERRIDE=FQ","FILING_STATUS=MR","Sort=A","Dates=H","DateFormat=P","Fill=—","Direction=H","UseDPDF=Y")</f>
        <v>—</v>
      </c>
      <c r="N41" s="14" t="str">
        <f>_xll.BDH("ITCI US Equity","EMPLOYEES_5_YEAR_GROWTH","FQ3 2021","FQ3 2021","Currency=USD","Period=FQ","BEST_FPERIOD_OVERRIDE=FQ","FILING_STATUS=MR","Sort=A","Dates=H","DateFormat=P","Fill=—","Direction=H","UseDPDF=Y")</f>
        <v>—</v>
      </c>
      <c r="O41" s="14">
        <f>_xll.BDH("ITCI US Equity","EMPLOYEES_5_YEAR_GROWTH","FQ4 2021","FQ4 2021","Currency=USD","Period=FQ","BEST_FPERIOD_OVERRIDE=FQ","FILING_STATUS=MR","Sort=A","Dates=H","DateFormat=P","Fill=—","Direction=H","UseDPDF=Y")</f>
        <v>64.893699999999995</v>
      </c>
      <c r="P41" s="14" t="str">
        <f>_xll.BDH("ITCI US Equity","EMPLOYEES_5_YEAR_GROWTH","FQ1 2022","FQ1 2022","Currency=USD","Period=FQ","BEST_FPERIOD_OVERRIDE=FQ","FILING_STATUS=MR","Sort=A","Dates=H","DateFormat=P","Fill=—","Direction=H","UseDPDF=Y")</f>
        <v>—</v>
      </c>
      <c r="Q41" s="14" t="str">
        <f>_xll.BDH("ITCI US Equity","EMPLOYEES_5_YEAR_GROWTH","FQ2 2022","FQ2 2022","Currency=USD","Period=FQ","BEST_FPERIOD_OVERRIDE=FQ","FILING_STATUS=MR","Sort=A","Dates=H","DateFormat=P","Fill=—","Direction=H","UseDPDF=Y")</f>
        <v>—</v>
      </c>
      <c r="R41" s="14" t="str">
        <f>_xll.BDH("ITCI US Equity","EMPLOYEES_5_YEAR_GROWTH","FQ3 2022","FQ3 2022","Currency=USD","Period=FQ","BEST_FPERIOD_OVERRIDE=FQ","FILING_STATUS=MR","Sort=A","Dates=H","DateFormat=P","Fill=—","Direction=H","UseDPDF=Y")</f>
        <v>—</v>
      </c>
      <c r="S41" s="14">
        <f>_xll.BDH("ITCI US Equity","EMPLOYEES_5_YEAR_GROWTH","FQ4 2022","FQ4 2022","Currency=USD","Period=FQ","BEST_FPERIOD_OVERRIDE=FQ","FILING_STATUS=MR","Sort=A","Dates=H","DateFormat=P","Fill=—","Direction=H","UseDPDF=Y")</f>
        <v>62.8371</v>
      </c>
      <c r="T41" s="14" t="str">
        <f>_xll.BDH("ITCI US Equity","EMPLOYEES_5_YEAR_GROWTH","FQ1 2023","FQ1 2023","Currency=USD","Period=FQ","BEST_FPERIOD_OVERRIDE=FQ","FILING_STATUS=MR","Sort=A","Dates=H","DateFormat=P","Fill=—","Direction=H","UseDPDF=Y")</f>
        <v>—</v>
      </c>
      <c r="U41" s="14" t="str">
        <f>_xll.BDH("ITCI US Equity","EMPLOYEES_5_YEAR_GROWTH","FQ2 2023","FQ2 2023","Currency=USD","Period=FQ","BEST_FPERIOD_OVERRIDE=FQ","FILING_STATUS=MR","Sort=A","Dates=H","DateFormat=P","Fill=—","Direction=H","UseDPDF=Y")</f>
        <v>—</v>
      </c>
      <c r="V41" s="14" t="str">
        <f>_xll.BDH("ITCI US Equity","EMPLOYEES_5_YEAR_GROWTH","FQ3 2023","FQ3 2023","Currency=USD","Period=FQ","BEST_FPERIOD_OVERRIDE=FQ","FILING_STATUS=MR","Sort=A","Dates=H","DateFormat=P","Fill=—","Direction=H","UseDPDF=Y")</f>
        <v>—</v>
      </c>
      <c r="W41" s="14" t="str">
        <f>_xll.BDH("ITCI US Equity","EMPLOYEES_5_YEAR_GROWTH","FQ4 2023","FQ4 2023","Currency=USD","Period=FQ","BEST_FPERIOD_OVERRIDE=FQ","FILING_STATUS=MR","Sort=A","Dates=H","DateFormat=P","Fill=—","Direction=H","UseDPDF=Y")</f>
        <v>—</v>
      </c>
      <c r="X41" s="14" t="str">
        <f>_xll.BDH("ITCI US Equity","EMPLOYEES_5_YEAR_GROWTH","FQ1 2024","FQ1 2024","Currency=USD","Period=FQ","BEST_FPERIOD_OVERRIDE=FQ","FILING_STATUS=MR","Sort=A","Dates=H","DateFormat=P","Fill=—","Direction=H","UseDPDF=Y")</f>
        <v>—</v>
      </c>
      <c r="Y41" s="14" t="str">
        <f>_xll.BDH("ITCI US Equity","EMPLOYEES_5_YEAR_GROWTH","FQ2 2024","FQ2 2024","Currency=USD","Period=FQ","BEST_FPERIOD_OVERRIDE=FQ","FILING_STATUS=MR","Sort=A","Dates=H","DateFormat=P","Fill=—","Direction=H","UseDPDF=Y")</f>
        <v>—</v>
      </c>
      <c r="Z41" s="14" t="str">
        <f>_xll.BDH("ITCI US Equity","EMPLOYEES_5_YEAR_GROWTH","FQ3 2024","FQ3 2024","Currency=USD","Period=FQ","BEST_FPERIOD_OVERRIDE=FQ","FILING_STATUS=MR","Sort=A","Dates=H","DateFormat=P","Fill=—","Direction=H","UseDPDF=Y")</f>
        <v>—</v>
      </c>
      <c r="AA41" s="14" t="str">
        <f>_xll.BDH("ITCI US Equity","EMPLOYEES_5_YEAR_GROWTH","FQ4 2024","FQ4 2024","Currency=USD","Period=FQ","BEST_FPERIOD_OVERRIDE=FQ","FILING_STATUS=MR","Sort=A","Dates=H","DateFormat=P","Fill=—","Direction=H","UseDPDF=Y")</f>
        <v>—</v>
      </c>
    </row>
    <row r="42" spans="1:27" x14ac:dyDescent="0.25">
      <c r="A42" s="10" t="s">
        <v>1126</v>
      </c>
      <c r="B42" s="10" t="s">
        <v>1148</v>
      </c>
      <c r="C42" s="14">
        <f>_xll.BDH("ITCI US Equity","ACCOUNTS_PAYABLE_5_YEAR_GROWTH","FQ4 2018","FQ4 2018","Currency=USD","Period=FQ","BEST_FPERIOD_OVERRIDE=FQ","FILING_STATUS=MR","Sort=A","Dates=H","DateFormat=P","Fill=—","Direction=H","UseDPDF=Y")</f>
        <v>32.682600000000001</v>
      </c>
      <c r="D42" s="14">
        <f>_xll.BDH("ITCI US Equity","ACCOUNTS_PAYABLE_5_YEAR_GROWTH","FQ1 2019","FQ1 2019","Currency=USD","Period=FQ","BEST_FPERIOD_OVERRIDE=FQ","FILING_STATUS=MR","Sort=A","Dates=H","DateFormat=P","Fill=—","Direction=H","UseDPDF=Y")</f>
        <v>31.960999999999999</v>
      </c>
      <c r="E42" s="14">
        <f>_xll.BDH("ITCI US Equity","ACCOUNTS_PAYABLE_5_YEAR_GROWTH","FQ2 2019","FQ2 2019","Currency=USD","Period=FQ","BEST_FPERIOD_OVERRIDE=FQ","FILING_STATUS=MR","Sort=A","Dates=H","DateFormat=P","Fill=—","Direction=H","UseDPDF=Y")</f>
        <v>68.410700000000006</v>
      </c>
      <c r="F42" s="14">
        <f>_xll.BDH("ITCI US Equity","ACCOUNTS_PAYABLE_5_YEAR_GROWTH","FQ3 2019","FQ3 2019","Currency=USD","Period=FQ","BEST_FPERIOD_OVERRIDE=FQ","FILING_STATUS=MR","Sort=A","Dates=H","DateFormat=P","Fill=—","Direction=H","UseDPDF=Y")</f>
        <v>65.365399999999994</v>
      </c>
      <c r="G42" s="14">
        <f>_xll.BDH("ITCI US Equity","ACCOUNTS_PAYABLE_5_YEAR_GROWTH","FQ4 2019","FQ4 2019","Currency=USD","Period=FQ","BEST_FPERIOD_OVERRIDE=FQ","FILING_STATUS=MR","Sort=A","Dates=H","DateFormat=P","Fill=—","Direction=H","UseDPDF=Y")</f>
        <v>29.3218</v>
      </c>
      <c r="H42" s="14">
        <f>_xll.BDH("ITCI US Equity","ACCOUNTS_PAYABLE_5_YEAR_GROWTH","FQ1 2020","FQ1 2020","Currency=USD","Period=FQ","BEST_FPERIOD_OVERRIDE=FQ","FILING_STATUS=MR","Sort=A","Dates=H","DateFormat=P","Fill=—","Direction=H","UseDPDF=Y")</f>
        <v>19.169699999999999</v>
      </c>
      <c r="I42" s="14">
        <f>_xll.BDH("ITCI US Equity","ACCOUNTS_PAYABLE_5_YEAR_GROWTH","FQ2 2020","FQ2 2020","Currency=USD","Period=FQ","BEST_FPERIOD_OVERRIDE=FQ","FILING_STATUS=MR","Sort=A","Dates=H","DateFormat=P","Fill=—","Direction=H","UseDPDF=Y")</f>
        <v>2.1903000000000001</v>
      </c>
      <c r="J42" s="14">
        <f>_xll.BDH("ITCI US Equity","ACCOUNTS_PAYABLE_5_YEAR_GROWTH","FQ3 2020","FQ3 2020","Currency=USD","Period=FQ","BEST_FPERIOD_OVERRIDE=FQ","FILING_STATUS=MR","Sort=A","Dates=H","DateFormat=P","Fill=—","Direction=H","UseDPDF=Y")</f>
        <v>64.795100000000005</v>
      </c>
      <c r="K42" s="14">
        <f>_xll.BDH("ITCI US Equity","ACCOUNTS_PAYABLE_5_YEAR_GROWTH","FQ4 2020","FQ4 2020","Currency=USD","Period=FQ","BEST_FPERIOD_OVERRIDE=FQ","FILING_STATUS=MR","Sort=A","Dates=H","DateFormat=P","Fill=—","Direction=H","UseDPDF=Y")</f>
        <v>27.499700000000001</v>
      </c>
      <c r="L42" s="14">
        <f>_xll.BDH("ITCI US Equity","ACCOUNTS_PAYABLE_5_YEAR_GROWTH","FQ1 2021","FQ1 2021","Currency=USD","Period=FQ","BEST_FPERIOD_OVERRIDE=FQ","FILING_STATUS=MR","Sort=A","Dates=H","DateFormat=P","Fill=—","Direction=H","UseDPDF=Y")</f>
        <v>34.801200000000001</v>
      </c>
      <c r="M42" s="14">
        <f>_xll.BDH("ITCI US Equity","ACCOUNTS_PAYABLE_5_YEAR_GROWTH","FQ2 2021","FQ2 2021","Currency=USD","Period=FQ","BEST_FPERIOD_OVERRIDE=FQ","FILING_STATUS=MR","Sort=A","Dates=H","DateFormat=P","Fill=—","Direction=H","UseDPDF=Y")</f>
        <v>32.593299999999999</v>
      </c>
      <c r="N42" s="14">
        <f>_xll.BDH("ITCI US Equity","ACCOUNTS_PAYABLE_5_YEAR_GROWTH","FQ3 2021","FQ3 2021","Currency=USD","Period=FQ","BEST_FPERIOD_OVERRIDE=FQ","FILING_STATUS=MR","Sort=A","Dates=H","DateFormat=P","Fill=—","Direction=H","UseDPDF=Y")</f>
        <v>17.3001</v>
      </c>
      <c r="O42" s="14">
        <f>_xll.BDH("ITCI US Equity","ACCOUNTS_PAYABLE_5_YEAR_GROWTH","FQ4 2021","FQ4 2021","Currency=USD","Period=FQ","BEST_FPERIOD_OVERRIDE=FQ","FILING_STATUS=MR","Sort=A","Dates=H","DateFormat=P","Fill=—","Direction=H","UseDPDF=Y")</f>
        <v>18.2776</v>
      </c>
      <c r="P42" s="14">
        <f>_xll.BDH("ITCI US Equity","ACCOUNTS_PAYABLE_5_YEAR_GROWTH","FQ1 2022","FQ1 2022","Currency=USD","Period=FQ","BEST_FPERIOD_OVERRIDE=FQ","FILING_STATUS=MR","Sort=A","Dates=H","DateFormat=P","Fill=—","Direction=H","UseDPDF=Y")</f>
        <v>10.230700000000001</v>
      </c>
      <c r="Q42" s="14">
        <f>_xll.BDH("ITCI US Equity","ACCOUNTS_PAYABLE_5_YEAR_GROWTH","FQ2 2022","FQ2 2022","Currency=USD","Period=FQ","BEST_FPERIOD_OVERRIDE=FQ","FILING_STATUS=MR","Sort=A","Dates=H","DateFormat=P","Fill=—","Direction=H","UseDPDF=Y")</f>
        <v>43.357900000000001</v>
      </c>
      <c r="R42" s="14">
        <f>_xll.BDH("ITCI US Equity","ACCOUNTS_PAYABLE_5_YEAR_GROWTH","FQ3 2022","FQ3 2022","Currency=USD","Period=FQ","BEST_FPERIOD_OVERRIDE=FQ","FILING_STATUS=MR","Sort=A","Dates=H","DateFormat=P","Fill=—","Direction=H","UseDPDF=Y")</f>
        <v>26.395700000000001</v>
      </c>
      <c r="S42" s="14">
        <f>_xll.BDH("ITCI US Equity","ACCOUNTS_PAYABLE_5_YEAR_GROWTH","FQ4 2022","FQ4 2022","Currency=USD","Period=FQ","BEST_FPERIOD_OVERRIDE=FQ","FILING_STATUS=MR","Sort=A","Dates=H","DateFormat=P","Fill=—","Direction=H","UseDPDF=Y")</f>
        <v>10.9834</v>
      </c>
      <c r="T42" s="14">
        <f>_xll.BDH("ITCI US Equity","ACCOUNTS_PAYABLE_5_YEAR_GROWTH","FQ1 2023","FQ1 2023","Currency=USD","Period=FQ","BEST_FPERIOD_OVERRIDE=FQ","FILING_STATUS=MR","Sort=A","Dates=H","DateFormat=P","Fill=—","Direction=H","UseDPDF=Y")</f>
        <v>-3.4077999999999999</v>
      </c>
      <c r="U42" s="14">
        <f>_xll.BDH("ITCI US Equity","ACCOUNTS_PAYABLE_5_YEAR_GROWTH","FQ2 2023","FQ2 2023","Currency=USD","Period=FQ","BEST_FPERIOD_OVERRIDE=FQ","FILING_STATUS=MR","Sort=A","Dates=H","DateFormat=P","Fill=—","Direction=H","UseDPDF=Y")</f>
        <v>7.5304000000000002</v>
      </c>
      <c r="V42" s="14">
        <f>_xll.BDH("ITCI US Equity","ACCOUNTS_PAYABLE_5_YEAR_GROWTH","FQ3 2023","FQ3 2023","Currency=USD","Period=FQ","BEST_FPERIOD_OVERRIDE=FQ","FILING_STATUS=MR","Sort=A","Dates=H","DateFormat=P","Fill=—","Direction=H","UseDPDF=Y")</f>
        <v>0.3039</v>
      </c>
      <c r="W42" s="14">
        <f>_xll.BDH("ITCI US Equity","ACCOUNTS_PAYABLE_5_YEAR_GROWTH","FQ4 2023","FQ4 2023","Currency=USD","Period=FQ","BEST_FPERIOD_OVERRIDE=FQ","FILING_STATUS=MR","Sort=A","Dates=H","DateFormat=P","Fill=—","Direction=H","UseDPDF=Y")</f>
        <v>-3.8847</v>
      </c>
      <c r="X42" s="14">
        <f>_xll.BDH("ITCI US Equity","ACCOUNTS_PAYABLE_5_YEAR_GROWTH","FQ1 2024","FQ1 2024","Currency=USD","Period=FQ","BEST_FPERIOD_OVERRIDE=FQ","FILING_STATUS=MR","Sort=A","Dates=H","DateFormat=P","Fill=—","Direction=H","UseDPDF=Y")</f>
        <v>6.1059999999999999</v>
      </c>
      <c r="Y42" s="14">
        <f>_xll.BDH("ITCI US Equity","ACCOUNTS_PAYABLE_5_YEAR_GROWTH","FQ2 2024","FQ2 2024","Currency=USD","Period=FQ","BEST_FPERIOD_OVERRIDE=FQ","FILING_STATUS=MR","Sort=A","Dates=H","DateFormat=P","Fill=—","Direction=H","UseDPDF=Y")</f>
        <v>25.516500000000001</v>
      </c>
      <c r="Z42" s="14">
        <f>_xll.BDH("ITCI US Equity","ACCOUNTS_PAYABLE_5_YEAR_GROWTH","FQ3 2024","FQ3 2024","Currency=USD","Period=FQ","BEST_FPERIOD_OVERRIDE=FQ","FILING_STATUS=MR","Sort=A","Dates=H","DateFormat=P","Fill=—","Direction=H","UseDPDF=Y")</f>
        <v>10.656499999999999</v>
      </c>
      <c r="AA42" s="14">
        <f>_xll.BDH("ITCI US Equity","ACCOUNTS_PAYABLE_5_YEAR_GROWTH","FQ4 2024","FQ4 2024","Currency=USD","Period=FQ","BEST_FPERIOD_OVERRIDE=FQ","FILING_STATUS=MR","Sort=A","Dates=H","DateFormat=P","Fill=—","Direction=H","UseDPDF=Y")</f>
        <v>28.558800000000002</v>
      </c>
    </row>
    <row r="43" spans="1:27" x14ac:dyDescent="0.25">
      <c r="A43" s="10" t="s">
        <v>1128</v>
      </c>
      <c r="B43" s="10" t="s">
        <v>1149</v>
      </c>
      <c r="C43" s="14" t="str">
        <f>_xll.BDH("ITCI US Equity","SHORT_TERM_DEBT_5_YEAR_GROWTH","FQ4 2018","FQ4 2018","Currency=USD","Period=FQ","BEST_FPERIOD_OVERRIDE=FQ","FILING_STATUS=MR","Sort=A","Dates=H","DateFormat=P","Fill=—","Direction=H","UseDPDF=Y")</f>
        <v>—</v>
      </c>
      <c r="D43" s="14" t="str">
        <f>_xll.BDH("ITCI US Equity","SHORT_TERM_DEBT_5_YEAR_GROWTH","FQ1 2019","FQ1 2019","Currency=USD","Period=FQ","BEST_FPERIOD_OVERRIDE=FQ","FILING_STATUS=MR","Sort=A","Dates=H","DateFormat=P","Fill=—","Direction=H","UseDPDF=Y")</f>
        <v>—</v>
      </c>
      <c r="E43" s="14" t="str">
        <f>_xll.BDH("ITCI US Equity","SHORT_TERM_DEBT_5_YEAR_GROWTH","FQ2 2019","FQ2 2019","Currency=USD","Period=FQ","BEST_FPERIOD_OVERRIDE=FQ","FILING_STATUS=MR","Sort=A","Dates=H","DateFormat=P","Fill=—","Direction=H","UseDPDF=Y")</f>
        <v>—</v>
      </c>
      <c r="F43" s="14" t="str">
        <f>_xll.BDH("ITCI US Equity","SHORT_TERM_DEBT_5_YEAR_GROWTH","FQ3 2019","FQ3 2019","Currency=USD","Period=FQ","BEST_FPERIOD_OVERRIDE=FQ","FILING_STATUS=MR","Sort=A","Dates=H","DateFormat=P","Fill=—","Direction=H","UseDPDF=Y")</f>
        <v>—</v>
      </c>
      <c r="G43" s="14" t="str">
        <f>_xll.BDH("ITCI US Equity","SHORT_TERM_DEBT_5_YEAR_GROWTH","FQ4 2019","FQ4 2019","Currency=USD","Period=FQ","BEST_FPERIOD_OVERRIDE=FQ","FILING_STATUS=MR","Sort=A","Dates=H","DateFormat=P","Fill=—","Direction=H","UseDPDF=Y")</f>
        <v>—</v>
      </c>
      <c r="H43" s="14" t="str">
        <f>_xll.BDH("ITCI US Equity","SHORT_TERM_DEBT_5_YEAR_GROWTH","FQ1 2020","FQ1 2020","Currency=USD","Period=FQ","BEST_FPERIOD_OVERRIDE=FQ","FILING_STATUS=MR","Sort=A","Dates=H","DateFormat=P","Fill=—","Direction=H","UseDPDF=Y")</f>
        <v>—</v>
      </c>
      <c r="I43" s="14" t="str">
        <f>_xll.BDH("ITCI US Equity","SHORT_TERM_DEBT_5_YEAR_GROWTH","FQ2 2020","FQ2 2020","Currency=USD","Period=FQ","BEST_FPERIOD_OVERRIDE=FQ","FILING_STATUS=MR","Sort=A","Dates=H","DateFormat=P","Fill=—","Direction=H","UseDPDF=Y")</f>
        <v>—</v>
      </c>
      <c r="J43" s="14" t="str">
        <f>_xll.BDH("ITCI US Equity","SHORT_TERM_DEBT_5_YEAR_GROWTH","FQ3 2020","FQ3 2020","Currency=USD","Period=FQ","BEST_FPERIOD_OVERRIDE=FQ","FILING_STATUS=MR","Sort=A","Dates=H","DateFormat=P","Fill=—","Direction=H","UseDPDF=Y")</f>
        <v>—</v>
      </c>
      <c r="K43" s="14" t="str">
        <f>_xll.BDH("ITCI US Equity","SHORT_TERM_DEBT_5_YEAR_GROWTH","FQ4 2020","FQ4 2020","Currency=USD","Period=FQ","BEST_FPERIOD_OVERRIDE=FQ","FILING_STATUS=MR","Sort=A","Dates=H","DateFormat=P","Fill=—","Direction=H","UseDPDF=Y")</f>
        <v>—</v>
      </c>
      <c r="L43" s="14" t="str">
        <f>_xll.BDH("ITCI US Equity","SHORT_TERM_DEBT_5_YEAR_GROWTH","FQ1 2021","FQ1 2021","Currency=USD","Period=FQ","BEST_FPERIOD_OVERRIDE=FQ","FILING_STATUS=MR","Sort=A","Dates=H","DateFormat=P","Fill=—","Direction=H","UseDPDF=Y")</f>
        <v>—</v>
      </c>
      <c r="M43" s="14" t="str">
        <f>_xll.BDH("ITCI US Equity","SHORT_TERM_DEBT_5_YEAR_GROWTH","FQ2 2021","FQ2 2021","Currency=USD","Period=FQ","BEST_FPERIOD_OVERRIDE=FQ","FILING_STATUS=MR","Sort=A","Dates=H","DateFormat=P","Fill=—","Direction=H","UseDPDF=Y")</f>
        <v>—</v>
      </c>
      <c r="N43" s="14">
        <f>_xll.BDH("ITCI US Equity","SHORT_TERM_DEBT_5_YEAR_GROWTH","FQ3 2021","FQ3 2021","Currency=USD","Period=FQ","BEST_FPERIOD_OVERRIDE=FQ","FILING_STATUS=MR","Sort=A","Dates=H","DateFormat=P","Fill=—","Direction=H","UseDPDF=Y")</f>
        <v>-45.370399999999997</v>
      </c>
      <c r="O43" s="14" t="str">
        <f>_xll.BDH("ITCI US Equity","SHORT_TERM_DEBT_5_YEAR_GROWTH","FQ4 2021","FQ4 2021","Currency=USD","Period=FQ","BEST_FPERIOD_OVERRIDE=FQ","FILING_STATUS=MR","Sort=A","Dates=H","DateFormat=P","Fill=—","Direction=H","UseDPDF=Y")</f>
        <v>—</v>
      </c>
      <c r="P43" s="14" t="str">
        <f>_xll.BDH("ITCI US Equity","SHORT_TERM_DEBT_5_YEAR_GROWTH","FQ1 2022","FQ1 2022","Currency=USD","Period=FQ","BEST_FPERIOD_OVERRIDE=FQ","FILING_STATUS=MR","Sort=A","Dates=H","DateFormat=P","Fill=—","Direction=H","UseDPDF=Y")</f>
        <v>—</v>
      </c>
      <c r="Q43" s="14" t="str">
        <f>_xll.BDH("ITCI US Equity","SHORT_TERM_DEBT_5_YEAR_GROWTH","FQ2 2022","FQ2 2022","Currency=USD","Period=FQ","BEST_FPERIOD_OVERRIDE=FQ","FILING_STATUS=MR","Sort=A","Dates=H","DateFormat=P","Fill=—","Direction=H","UseDPDF=Y")</f>
        <v>—</v>
      </c>
      <c r="R43" s="14" t="str">
        <f>_xll.BDH("ITCI US Equity","SHORT_TERM_DEBT_5_YEAR_GROWTH","FQ3 2022","FQ3 2022","Currency=USD","Period=FQ","BEST_FPERIOD_OVERRIDE=FQ","FILING_STATUS=MR","Sort=A","Dates=H","DateFormat=P","Fill=—","Direction=H","UseDPDF=Y")</f>
        <v>—</v>
      </c>
      <c r="S43" s="14" t="str">
        <f>_xll.BDH("ITCI US Equity","SHORT_TERM_DEBT_5_YEAR_GROWTH","FQ4 2022","FQ4 2022","Currency=USD","Period=FQ","BEST_FPERIOD_OVERRIDE=FQ","FILING_STATUS=MR","Sort=A","Dates=H","DateFormat=P","Fill=—","Direction=H","UseDPDF=Y")</f>
        <v>—</v>
      </c>
      <c r="T43" s="14" t="str">
        <f>_xll.BDH("ITCI US Equity","SHORT_TERM_DEBT_5_YEAR_GROWTH","FQ1 2023","FQ1 2023","Currency=USD","Period=FQ","BEST_FPERIOD_OVERRIDE=FQ","FILING_STATUS=MR","Sort=A","Dates=H","DateFormat=P","Fill=—","Direction=H","UseDPDF=Y")</f>
        <v>—</v>
      </c>
      <c r="U43" s="14" t="str">
        <f>_xll.BDH("ITCI US Equity","SHORT_TERM_DEBT_5_YEAR_GROWTH","FQ2 2023","FQ2 2023","Currency=USD","Period=FQ","BEST_FPERIOD_OVERRIDE=FQ","FILING_STATUS=MR","Sort=A","Dates=H","DateFormat=P","Fill=—","Direction=H","UseDPDF=Y")</f>
        <v>—</v>
      </c>
      <c r="V43" s="14" t="str">
        <f>_xll.BDH("ITCI US Equity","SHORT_TERM_DEBT_5_YEAR_GROWTH","FQ3 2023","FQ3 2023","Currency=USD","Period=FQ","BEST_FPERIOD_OVERRIDE=FQ","FILING_STATUS=MR","Sort=A","Dates=H","DateFormat=P","Fill=—","Direction=H","UseDPDF=Y")</f>
        <v>—</v>
      </c>
      <c r="W43" s="14" t="str">
        <f>_xll.BDH("ITCI US Equity","SHORT_TERM_DEBT_5_YEAR_GROWTH","FQ4 2023","FQ4 2023","Currency=USD","Period=FQ","BEST_FPERIOD_OVERRIDE=FQ","FILING_STATUS=MR","Sort=A","Dates=H","DateFormat=P","Fill=—","Direction=H","UseDPDF=Y")</f>
        <v>—</v>
      </c>
      <c r="X43" s="14">
        <f>_xll.BDH("ITCI US Equity","SHORT_TERM_DEBT_5_YEAR_GROWTH","FQ1 2024","FQ1 2024","Currency=USD","Period=FQ","BEST_FPERIOD_OVERRIDE=FQ","FILING_STATUS=MR","Sort=A","Dates=H","DateFormat=P","Fill=—","Direction=H","UseDPDF=Y")</f>
        <v>4.8403999999999998</v>
      </c>
      <c r="Y43" s="14">
        <f>_xll.BDH("ITCI US Equity","SHORT_TERM_DEBT_5_YEAR_GROWTH","FQ2 2024","FQ2 2024","Currency=USD","Period=FQ","BEST_FPERIOD_OVERRIDE=FQ","FILING_STATUS=MR","Sort=A","Dates=H","DateFormat=P","Fill=—","Direction=H","UseDPDF=Y")</f>
        <v>13.008699999999999</v>
      </c>
      <c r="Z43" s="14">
        <f>_xll.BDH("ITCI US Equity","SHORT_TERM_DEBT_5_YEAR_GROWTH","FQ3 2024","FQ3 2024","Currency=USD","Period=FQ","BEST_FPERIOD_OVERRIDE=FQ","FILING_STATUS=MR","Sort=A","Dates=H","DateFormat=P","Fill=—","Direction=H","UseDPDF=Y")</f>
        <v>12.944000000000001</v>
      </c>
      <c r="AA43" s="14">
        <f>_xll.BDH("ITCI US Equity","SHORT_TERM_DEBT_5_YEAR_GROWTH","FQ4 2024","FQ4 2024","Currency=USD","Period=FQ","BEST_FPERIOD_OVERRIDE=FQ","FILING_STATUS=MR","Sort=A","Dates=H","DateFormat=P","Fill=—","Direction=H","UseDPDF=Y")</f>
        <v>5.8379000000000003</v>
      </c>
    </row>
    <row r="44" spans="1:27" x14ac:dyDescent="0.25">
      <c r="A44" s="10" t="s">
        <v>1130</v>
      </c>
      <c r="B44" s="10" t="s">
        <v>1150</v>
      </c>
      <c r="C44" s="14" t="str">
        <f>_xll.BDH("ITCI US Equity","TOTAL_DEBT_5_YEAR_GROWTH","FQ4 2018","FQ4 2018","Currency=USD","Period=FQ","BEST_FPERIOD_OVERRIDE=FQ","FILING_STATUS=MR","Sort=A","Dates=H","DateFormat=P","Fill=—","Direction=H","UseDPDF=Y")</f>
        <v>—</v>
      </c>
      <c r="D44" s="14" t="str">
        <f>_xll.BDH("ITCI US Equity","TOTAL_DEBT_5_YEAR_GROWTH","FQ1 2019","FQ1 2019","Currency=USD","Period=FQ","BEST_FPERIOD_OVERRIDE=FQ","FILING_STATUS=MR","Sort=A","Dates=H","DateFormat=P","Fill=—","Direction=H","UseDPDF=Y")</f>
        <v>—</v>
      </c>
      <c r="E44" s="14" t="str">
        <f>_xll.BDH("ITCI US Equity","TOTAL_DEBT_5_YEAR_GROWTH","FQ2 2019","FQ2 2019","Currency=USD","Period=FQ","BEST_FPERIOD_OVERRIDE=FQ","FILING_STATUS=MR","Sort=A","Dates=H","DateFormat=P","Fill=—","Direction=H","UseDPDF=Y")</f>
        <v>—</v>
      </c>
      <c r="F44" s="14" t="str">
        <f>_xll.BDH("ITCI US Equity","TOTAL_DEBT_5_YEAR_GROWTH","FQ3 2019","FQ3 2019","Currency=USD","Period=FQ","BEST_FPERIOD_OVERRIDE=FQ","FILING_STATUS=MR","Sort=A","Dates=H","DateFormat=P","Fill=—","Direction=H","UseDPDF=Y")</f>
        <v>—</v>
      </c>
      <c r="G44" s="14" t="str">
        <f>_xll.BDH("ITCI US Equity","TOTAL_DEBT_5_YEAR_GROWTH","FQ4 2019","FQ4 2019","Currency=USD","Period=FQ","BEST_FPERIOD_OVERRIDE=FQ","FILING_STATUS=MR","Sort=A","Dates=H","DateFormat=P","Fill=—","Direction=H","UseDPDF=Y")</f>
        <v>—</v>
      </c>
      <c r="H44" s="14" t="str">
        <f>_xll.BDH("ITCI US Equity","TOTAL_DEBT_5_YEAR_GROWTH","FQ1 2020","FQ1 2020","Currency=USD","Period=FQ","BEST_FPERIOD_OVERRIDE=FQ","FILING_STATUS=MR","Sort=A","Dates=H","DateFormat=P","Fill=—","Direction=H","UseDPDF=Y")</f>
        <v>—</v>
      </c>
      <c r="I44" s="14" t="str">
        <f>_xll.BDH("ITCI US Equity","TOTAL_DEBT_5_YEAR_GROWTH","FQ2 2020","FQ2 2020","Currency=USD","Period=FQ","BEST_FPERIOD_OVERRIDE=FQ","FILING_STATUS=MR","Sort=A","Dates=H","DateFormat=P","Fill=—","Direction=H","UseDPDF=Y")</f>
        <v>—</v>
      </c>
      <c r="J44" s="14" t="str">
        <f>_xll.BDH("ITCI US Equity","TOTAL_DEBT_5_YEAR_GROWTH","FQ3 2020","FQ3 2020","Currency=USD","Period=FQ","BEST_FPERIOD_OVERRIDE=FQ","FILING_STATUS=MR","Sort=A","Dates=H","DateFormat=P","Fill=—","Direction=H","UseDPDF=Y")</f>
        <v>—</v>
      </c>
      <c r="K44" s="14" t="str">
        <f>_xll.BDH("ITCI US Equity","TOTAL_DEBT_5_YEAR_GROWTH","FQ4 2020","FQ4 2020","Currency=USD","Period=FQ","BEST_FPERIOD_OVERRIDE=FQ","FILING_STATUS=MR","Sort=A","Dates=H","DateFormat=P","Fill=—","Direction=H","UseDPDF=Y")</f>
        <v>—</v>
      </c>
      <c r="L44" s="14" t="str">
        <f>_xll.BDH("ITCI US Equity","TOTAL_DEBT_5_YEAR_GROWTH","FQ1 2021","FQ1 2021","Currency=USD","Period=FQ","BEST_FPERIOD_OVERRIDE=FQ","FILING_STATUS=MR","Sort=A","Dates=H","DateFormat=P","Fill=—","Direction=H","UseDPDF=Y")</f>
        <v>—</v>
      </c>
      <c r="M44" s="14" t="str">
        <f>_xll.BDH("ITCI US Equity","TOTAL_DEBT_5_YEAR_GROWTH","FQ2 2021","FQ2 2021","Currency=USD","Period=FQ","BEST_FPERIOD_OVERRIDE=FQ","FILING_STATUS=MR","Sort=A","Dates=H","DateFormat=P","Fill=—","Direction=H","UseDPDF=Y")</f>
        <v>—</v>
      </c>
      <c r="N44" s="14">
        <f>_xll.BDH("ITCI US Equity","TOTAL_DEBT_5_YEAR_GROWTH","FQ3 2021","FQ3 2021","Currency=USD","Period=FQ","BEST_FPERIOD_OVERRIDE=FQ","FILING_STATUS=MR","Sort=A","Dates=H","DateFormat=P","Fill=—","Direction=H","UseDPDF=Y")</f>
        <v>-26.724599999999999</v>
      </c>
      <c r="O44" s="14" t="str">
        <f>_xll.BDH("ITCI US Equity","TOTAL_DEBT_5_YEAR_GROWTH","FQ4 2021","FQ4 2021","Currency=USD","Period=FQ","BEST_FPERIOD_OVERRIDE=FQ","FILING_STATUS=MR","Sort=A","Dates=H","DateFormat=P","Fill=—","Direction=H","UseDPDF=Y")</f>
        <v>—</v>
      </c>
      <c r="P44" s="14" t="str">
        <f>_xll.BDH("ITCI US Equity","TOTAL_DEBT_5_YEAR_GROWTH","FQ1 2022","FQ1 2022","Currency=USD","Period=FQ","BEST_FPERIOD_OVERRIDE=FQ","FILING_STATUS=MR","Sort=A","Dates=H","DateFormat=P","Fill=—","Direction=H","UseDPDF=Y")</f>
        <v>—</v>
      </c>
      <c r="Q44" s="14" t="str">
        <f>_xll.BDH("ITCI US Equity","TOTAL_DEBT_5_YEAR_GROWTH","FQ2 2022","FQ2 2022","Currency=USD","Period=FQ","BEST_FPERIOD_OVERRIDE=FQ","FILING_STATUS=MR","Sort=A","Dates=H","DateFormat=P","Fill=—","Direction=H","UseDPDF=Y")</f>
        <v>—</v>
      </c>
      <c r="R44" s="14" t="str">
        <f>_xll.BDH("ITCI US Equity","TOTAL_DEBT_5_YEAR_GROWTH","FQ3 2022","FQ3 2022","Currency=USD","Period=FQ","BEST_FPERIOD_OVERRIDE=FQ","FILING_STATUS=MR","Sort=A","Dates=H","DateFormat=P","Fill=—","Direction=H","UseDPDF=Y")</f>
        <v>—</v>
      </c>
      <c r="S44" s="14" t="str">
        <f>_xll.BDH("ITCI US Equity","TOTAL_DEBT_5_YEAR_GROWTH","FQ4 2022","FQ4 2022","Currency=USD","Period=FQ","BEST_FPERIOD_OVERRIDE=FQ","FILING_STATUS=MR","Sort=A","Dates=H","DateFormat=P","Fill=—","Direction=H","UseDPDF=Y")</f>
        <v>—</v>
      </c>
      <c r="T44" s="14" t="str">
        <f>_xll.BDH("ITCI US Equity","TOTAL_DEBT_5_YEAR_GROWTH","FQ1 2023","FQ1 2023","Currency=USD","Period=FQ","BEST_FPERIOD_OVERRIDE=FQ","FILING_STATUS=MR","Sort=A","Dates=H","DateFormat=P","Fill=—","Direction=H","UseDPDF=Y")</f>
        <v>—</v>
      </c>
      <c r="U44" s="14" t="str">
        <f>_xll.BDH("ITCI US Equity","TOTAL_DEBT_5_YEAR_GROWTH","FQ2 2023","FQ2 2023","Currency=USD","Period=FQ","BEST_FPERIOD_OVERRIDE=FQ","FILING_STATUS=MR","Sort=A","Dates=H","DateFormat=P","Fill=—","Direction=H","UseDPDF=Y")</f>
        <v>—</v>
      </c>
      <c r="V44" s="14" t="str">
        <f>_xll.BDH("ITCI US Equity","TOTAL_DEBT_5_YEAR_GROWTH","FQ3 2023","FQ3 2023","Currency=USD","Period=FQ","BEST_FPERIOD_OVERRIDE=FQ","FILING_STATUS=MR","Sort=A","Dates=H","DateFormat=P","Fill=—","Direction=H","UseDPDF=Y")</f>
        <v>—</v>
      </c>
      <c r="W44" s="14" t="str">
        <f>_xll.BDH("ITCI US Equity","TOTAL_DEBT_5_YEAR_GROWTH","FQ4 2023","FQ4 2023","Currency=USD","Period=FQ","BEST_FPERIOD_OVERRIDE=FQ","FILING_STATUS=MR","Sort=A","Dates=H","DateFormat=P","Fill=—","Direction=H","UseDPDF=Y")</f>
        <v>—</v>
      </c>
      <c r="X44" s="14">
        <f>_xll.BDH("ITCI US Equity","TOTAL_DEBT_5_YEAR_GROWTH","FQ1 2024","FQ1 2024","Currency=USD","Period=FQ","BEST_FPERIOD_OVERRIDE=FQ","FILING_STATUS=MR","Sort=A","Dates=H","DateFormat=P","Fill=—","Direction=H","UseDPDF=Y")</f>
        <v>-7.1516000000000002</v>
      </c>
      <c r="Y44" s="14">
        <f>_xll.BDH("ITCI US Equity","TOTAL_DEBT_5_YEAR_GROWTH","FQ2 2024","FQ2 2024","Currency=USD","Period=FQ","BEST_FPERIOD_OVERRIDE=FQ","FILING_STATUS=MR","Sort=A","Dates=H","DateFormat=P","Fill=—","Direction=H","UseDPDF=Y")</f>
        <v>-4.3403</v>
      </c>
      <c r="Z44" s="14">
        <f>_xll.BDH("ITCI US Equity","TOTAL_DEBT_5_YEAR_GROWTH","FQ3 2024","FQ3 2024","Currency=USD","Period=FQ","BEST_FPERIOD_OVERRIDE=FQ","FILING_STATUS=MR","Sort=A","Dates=H","DateFormat=P","Fill=—","Direction=H","UseDPDF=Y")</f>
        <v>-4.7237999999999998</v>
      </c>
      <c r="AA44" s="14">
        <f>_xll.BDH("ITCI US Equity","TOTAL_DEBT_5_YEAR_GROWTH","FQ4 2024","FQ4 2024","Currency=USD","Period=FQ","BEST_FPERIOD_OVERRIDE=FQ","FILING_STATUS=MR","Sort=A","Dates=H","DateFormat=P","Fill=—","Direction=H","UseDPDF=Y")</f>
        <v>-6.0038</v>
      </c>
    </row>
    <row r="45" spans="1:27" x14ac:dyDescent="0.25">
      <c r="A45" s="10" t="s">
        <v>118</v>
      </c>
      <c r="B45" s="10" t="s">
        <v>1151</v>
      </c>
      <c r="C45" s="14">
        <f>_xll.BDH("ITCI US Equity","GEO_GROW_TOT_SHRHLDR_EQY","FQ4 2018","FQ4 2018","Currency=USD","Period=FQ","BEST_FPERIOD_OVERRIDE=FQ","FILING_STATUS=MR","Sort=A","Dates=H","DateFormat=P","Fill=—","Direction=H","UseDPDF=Y")</f>
        <v>58.645600000000002</v>
      </c>
      <c r="D45" s="14">
        <f>_xll.BDH("ITCI US Equity","GEO_GROW_TOT_SHRHLDR_EQY","FQ1 2019","FQ1 2019","Currency=USD","Period=FQ","BEST_FPERIOD_OVERRIDE=FQ","FILING_STATUS=MR","Sort=A","Dates=H","DateFormat=P","Fill=—","Direction=H","UseDPDF=Y")</f>
        <v>15.1234</v>
      </c>
      <c r="E45" s="14">
        <f>_xll.BDH("ITCI US Equity","GEO_GROW_TOT_SHRHLDR_EQY","FQ2 2019","FQ2 2019","Currency=USD","Period=FQ","BEST_FPERIOD_OVERRIDE=FQ","FILING_STATUS=MR","Sort=A","Dates=H","DateFormat=P","Fill=—","Direction=H","UseDPDF=Y")</f>
        <v>13.123699999999999</v>
      </c>
      <c r="F45" s="14">
        <f>_xll.BDH("ITCI US Equity","GEO_GROW_TOT_SHRHLDR_EQY","FQ3 2019","FQ3 2019","Currency=USD","Period=FQ","BEST_FPERIOD_OVERRIDE=FQ","FILING_STATUS=MR","Sort=A","Dates=H","DateFormat=P","Fill=—","Direction=H","UseDPDF=Y")</f>
        <v>11.101000000000001</v>
      </c>
      <c r="G45" s="14">
        <f>_xll.BDH("ITCI US Equity","GEO_GROW_TOT_SHRHLDR_EQY","FQ4 2019","FQ4 2019","Currency=USD","Period=FQ","BEST_FPERIOD_OVERRIDE=FQ","FILING_STATUS=MR","Sort=A","Dates=H","DateFormat=P","Fill=—","Direction=H","UseDPDF=Y")</f>
        <v>10.096500000000001</v>
      </c>
      <c r="H45" s="14">
        <f>_xll.BDH("ITCI US Equity","GEO_GROW_TOT_SHRHLDR_EQY","FQ1 2020","FQ1 2020","Currency=USD","Period=FQ","BEST_FPERIOD_OVERRIDE=FQ","FILING_STATUS=MR","Sort=A","Dates=H","DateFormat=P","Fill=—","Direction=H","UseDPDF=Y")</f>
        <v>14.1214</v>
      </c>
      <c r="I45" s="14">
        <f>_xll.BDH("ITCI US Equity","GEO_GROW_TOT_SHRHLDR_EQY","FQ2 2020","FQ2 2020","Currency=USD","Period=FQ","BEST_FPERIOD_OVERRIDE=FQ","FILING_STATUS=MR","Sort=A","Dates=H","DateFormat=P","Fill=—","Direction=H","UseDPDF=Y")</f>
        <v>13.2683</v>
      </c>
      <c r="J45" s="14">
        <f>_xll.BDH("ITCI US Equity","GEO_GROW_TOT_SHRHLDR_EQY","FQ3 2020","FQ3 2020","Currency=USD","Period=FQ","BEST_FPERIOD_OVERRIDE=FQ","FILING_STATUS=MR","Sort=A","Dates=H","DateFormat=P","Fill=—","Direction=H","UseDPDF=Y")</f>
        <v>7.1673</v>
      </c>
      <c r="K45" s="14">
        <f>_xll.BDH("ITCI US Equity","GEO_GROW_TOT_SHRHLDR_EQY","FQ4 2020","FQ4 2020","Currency=USD","Period=FQ","BEST_FPERIOD_OVERRIDE=FQ","FILING_STATUS=MR","Sort=A","Dates=H","DateFormat=P","Fill=—","Direction=H","UseDPDF=Y")</f>
        <v>6.6421000000000001</v>
      </c>
      <c r="L45" s="14">
        <f>_xll.BDH("ITCI US Equity","GEO_GROW_TOT_SHRHLDR_EQY","FQ1 2021","FQ1 2021","Currency=USD","Period=FQ","BEST_FPERIOD_OVERRIDE=FQ","FILING_STATUS=MR","Sort=A","Dates=H","DateFormat=P","Fill=—","Direction=H","UseDPDF=Y")</f>
        <v>6.2187000000000001</v>
      </c>
      <c r="M45" s="14">
        <f>_xll.BDH("ITCI US Equity","GEO_GROW_TOT_SHRHLDR_EQY","FQ2 2021","FQ2 2021","Currency=USD","Period=FQ","BEST_FPERIOD_OVERRIDE=FQ","FILING_STATUS=MR","Sort=A","Dates=H","DateFormat=P","Fill=—","Direction=H","UseDPDF=Y")</f>
        <v>5.3811</v>
      </c>
      <c r="N45" s="14">
        <f>_xll.BDH("ITCI US Equity","GEO_GROW_TOT_SHRHLDR_EQY","FQ3 2021","FQ3 2021","Currency=USD","Period=FQ","BEST_FPERIOD_OVERRIDE=FQ","FILING_STATUS=MR","Sort=A","Dates=H","DateFormat=P","Fill=—","Direction=H","UseDPDF=Y")</f>
        <v>4.0396000000000001</v>
      </c>
      <c r="O45" s="14">
        <f>_xll.BDH("ITCI US Equity","GEO_GROW_TOT_SHRHLDR_EQY","FQ4 2021","FQ4 2021","Currency=USD","Period=FQ","BEST_FPERIOD_OVERRIDE=FQ","FILING_STATUS=MR","Sort=A","Dates=H","DateFormat=P","Fill=—","Direction=H","UseDPDF=Y")</f>
        <v>2.1621000000000001</v>
      </c>
      <c r="P45" s="14">
        <f>_xll.BDH("ITCI US Equity","GEO_GROW_TOT_SHRHLDR_EQY","FQ1 2022","FQ1 2022","Currency=USD","Period=FQ","BEST_FPERIOD_OVERRIDE=FQ","FILING_STATUS=MR","Sort=A","Dates=H","DateFormat=P","Fill=—","Direction=H","UseDPDF=Y")</f>
        <v>17.561599999999999</v>
      </c>
      <c r="Q45" s="14">
        <f>_xll.BDH("ITCI US Equity","GEO_GROW_TOT_SHRHLDR_EQY","FQ2 2022","FQ2 2022","Currency=USD","Period=FQ","BEST_FPERIOD_OVERRIDE=FQ","FILING_STATUS=MR","Sort=A","Dates=H","DateFormat=P","Fill=—","Direction=H","UseDPDF=Y")</f>
        <v>16.284199999999998</v>
      </c>
      <c r="R45" s="14">
        <f>_xll.BDH("ITCI US Equity","GEO_GROW_TOT_SHRHLDR_EQY","FQ3 2022","FQ3 2022","Currency=USD","Period=FQ","BEST_FPERIOD_OVERRIDE=FQ","FILING_STATUS=MR","Sort=A","Dates=H","DateFormat=P","Fill=—","Direction=H","UseDPDF=Y")</f>
        <v>16.496700000000001</v>
      </c>
      <c r="S45" s="14">
        <f>_xll.BDH("ITCI US Equity","GEO_GROW_TOT_SHRHLDR_EQY","FQ4 2022","FQ4 2022","Currency=USD","Period=FQ","BEST_FPERIOD_OVERRIDE=FQ","FILING_STATUS=MR","Sort=A","Dates=H","DateFormat=P","Fill=—","Direction=H","UseDPDF=Y")</f>
        <v>7.6205999999999996</v>
      </c>
      <c r="T45" s="14">
        <f>_xll.BDH("ITCI US Equity","GEO_GROW_TOT_SHRHLDR_EQY","FQ1 2023","FQ1 2023","Currency=USD","Period=FQ","BEST_FPERIOD_OVERRIDE=FQ","FILING_STATUS=MR","Sort=A","Dates=H","DateFormat=P","Fill=—","Direction=H","UseDPDF=Y")</f>
        <v>8.2010000000000005</v>
      </c>
      <c r="U45" s="14">
        <f>_xll.BDH("ITCI US Equity","GEO_GROW_TOT_SHRHLDR_EQY","FQ2 2023","FQ2 2023","Currency=USD","Period=FQ","BEST_FPERIOD_OVERRIDE=FQ","FILING_STATUS=MR","Sort=A","Dates=H","DateFormat=P","Fill=—","Direction=H","UseDPDF=Y")</f>
        <v>9.2324000000000002</v>
      </c>
      <c r="V45" s="14">
        <f>_xll.BDH("ITCI US Equity","GEO_GROW_TOT_SHRHLDR_EQY","FQ3 2023","FQ3 2023","Currency=USD","Period=FQ","BEST_FPERIOD_OVERRIDE=FQ","FILING_STATUS=MR","Sort=A","Dates=H","DateFormat=P","Fill=—","Direction=H","UseDPDF=Y")</f>
        <v>11.1783</v>
      </c>
      <c r="W45" s="14">
        <f>_xll.BDH("ITCI US Equity","GEO_GROW_TOT_SHRHLDR_EQY","FQ4 2023","FQ4 2023","Currency=USD","Period=FQ","BEST_FPERIOD_OVERRIDE=FQ","FILING_STATUS=MR","Sort=A","Dates=H","DateFormat=P","Fill=—","Direction=H","UseDPDF=Y")</f>
        <v>13.232799999999999</v>
      </c>
      <c r="X45" s="14">
        <f>_xll.BDH("ITCI US Equity","GEO_GROW_TOT_SHRHLDR_EQY","FQ1 2024","FQ1 2024","Currency=USD","Period=FQ","BEST_FPERIOD_OVERRIDE=FQ","FILING_STATUS=MR","Sort=A","Dates=H","DateFormat=P","Fill=—","Direction=H","UseDPDF=Y")</f>
        <v>15.742800000000001</v>
      </c>
      <c r="Y45" s="14">
        <f>_xll.BDH("ITCI US Equity","GEO_GROW_TOT_SHRHLDR_EQY","FQ2 2024","FQ2 2024","Currency=USD","Period=FQ","BEST_FPERIOD_OVERRIDE=FQ","FILING_STATUS=MR","Sort=A","Dates=H","DateFormat=P","Fill=—","Direction=H","UseDPDF=Y")</f>
        <v>34.8414</v>
      </c>
      <c r="Z45" s="14">
        <f>_xll.BDH("ITCI US Equity","GEO_GROW_TOT_SHRHLDR_EQY","FQ3 2024","FQ3 2024","Currency=USD","Period=FQ","BEST_FPERIOD_OVERRIDE=FQ","FILING_STATUS=MR","Sort=A","Dates=H","DateFormat=P","Fill=—","Direction=H","UseDPDF=Y")</f>
        <v>38.2256</v>
      </c>
      <c r="AA45" s="14">
        <f>_xll.BDH("ITCI US Equity","GEO_GROW_TOT_SHRHLDR_EQY","FQ4 2024","FQ4 2024","Currency=USD","Period=FQ","BEST_FPERIOD_OVERRIDE=FQ","FILING_STATUS=MR","Sort=A","Dates=H","DateFormat=P","Fill=—","Direction=H","UseDPDF=Y")</f>
        <v>42.564999999999998</v>
      </c>
    </row>
    <row r="46" spans="1:27" x14ac:dyDescent="0.25">
      <c r="A46" s="10" t="s">
        <v>1152</v>
      </c>
      <c r="B46" s="10" t="s">
        <v>1153</v>
      </c>
      <c r="C46" s="14">
        <f>_xll.BDH("ITCI US Equity","TOTAL_CAPITAL_5_YEAR_GROWTH","FQ4 2018","FQ4 2018","Currency=USD","Period=FQ","BEST_FPERIOD_OVERRIDE=FQ","FILING_STATUS=MR","Sort=A","Dates=H","DateFormat=P","Fill=—","Direction=H","UseDPDF=Y")</f>
        <v>58.645600000000002</v>
      </c>
      <c r="D46" s="14">
        <f>_xll.BDH("ITCI US Equity","TOTAL_CAPITAL_5_YEAR_GROWTH","FQ1 2019","FQ1 2019","Currency=USD","Period=FQ","BEST_FPERIOD_OVERRIDE=FQ","FILING_STATUS=MR","Sort=A","Dates=H","DateFormat=P","Fill=—","Direction=H","UseDPDF=Y")</f>
        <v>16.9573</v>
      </c>
      <c r="E46" s="14">
        <f>_xll.BDH("ITCI US Equity","TOTAL_CAPITAL_5_YEAR_GROWTH","FQ2 2019","FQ2 2019","Currency=USD","Period=FQ","BEST_FPERIOD_OVERRIDE=FQ","FILING_STATUS=MR","Sort=A","Dates=H","DateFormat=P","Fill=—","Direction=H","UseDPDF=Y")</f>
        <v>15.067399999999999</v>
      </c>
      <c r="F46" s="14">
        <f>_xll.BDH("ITCI US Equity","TOTAL_CAPITAL_5_YEAR_GROWTH","FQ3 2019","FQ3 2019","Currency=USD","Period=FQ","BEST_FPERIOD_OVERRIDE=FQ","FILING_STATUS=MR","Sort=A","Dates=H","DateFormat=P","Fill=—","Direction=H","UseDPDF=Y")</f>
        <v>13.2272</v>
      </c>
      <c r="G46" s="14">
        <f>_xll.BDH("ITCI US Equity","TOTAL_CAPITAL_5_YEAR_GROWTH","FQ4 2019","FQ4 2019","Currency=USD","Period=FQ","BEST_FPERIOD_OVERRIDE=FQ","FILING_STATUS=MR","Sort=A","Dates=H","DateFormat=P","Fill=—","Direction=H","UseDPDF=Y")</f>
        <v>12.5937</v>
      </c>
      <c r="H46" s="14">
        <f>_xll.BDH("ITCI US Equity","TOTAL_CAPITAL_5_YEAR_GROWTH","FQ1 2020","FQ1 2020","Currency=USD","Period=FQ","BEST_FPERIOD_OVERRIDE=FQ","FILING_STATUS=MR","Sort=A","Dates=H","DateFormat=P","Fill=—","Direction=H","UseDPDF=Y")</f>
        <v>15.312099999999999</v>
      </c>
      <c r="I46" s="14">
        <f>_xll.BDH("ITCI US Equity","TOTAL_CAPITAL_5_YEAR_GROWTH","FQ2 2020","FQ2 2020","Currency=USD","Period=FQ","BEST_FPERIOD_OVERRIDE=FQ","FILING_STATUS=MR","Sort=A","Dates=H","DateFormat=P","Fill=—","Direction=H","UseDPDF=Y")</f>
        <v>14.7302</v>
      </c>
      <c r="J46" s="14">
        <f>_xll.BDH("ITCI US Equity","TOTAL_CAPITAL_5_YEAR_GROWTH","FQ3 2020","FQ3 2020","Currency=USD","Period=FQ","BEST_FPERIOD_OVERRIDE=FQ","FILING_STATUS=MR","Sort=A","Dates=H","DateFormat=P","Fill=—","Direction=H","UseDPDF=Y")</f>
        <v>8.0335000000000001</v>
      </c>
      <c r="K46" s="14">
        <f>_xll.BDH("ITCI US Equity","TOTAL_CAPITAL_5_YEAR_GROWTH","FQ4 2020","FQ4 2020","Currency=USD","Period=FQ","BEST_FPERIOD_OVERRIDE=FQ","FILING_STATUS=MR","Sort=A","Dates=H","DateFormat=P","Fill=—","Direction=H","UseDPDF=Y")</f>
        <v>7.5720000000000001</v>
      </c>
      <c r="L46" s="14">
        <f>_xll.BDH("ITCI US Equity","TOTAL_CAPITAL_5_YEAR_GROWTH","FQ1 2021","FQ1 2021","Currency=USD","Period=FQ","BEST_FPERIOD_OVERRIDE=FQ","FILING_STATUS=MR","Sort=A","Dates=H","DateFormat=P","Fill=—","Direction=H","UseDPDF=Y")</f>
        <v>7.1801000000000004</v>
      </c>
      <c r="M46" s="14">
        <f>_xll.BDH("ITCI US Equity","TOTAL_CAPITAL_5_YEAR_GROWTH","FQ2 2021","FQ2 2021","Currency=USD","Period=FQ","BEST_FPERIOD_OVERRIDE=FQ","FILING_STATUS=MR","Sort=A","Dates=H","DateFormat=P","Fill=—","Direction=H","UseDPDF=Y")</f>
        <v>6.4</v>
      </c>
      <c r="N46" s="14">
        <f>_xll.BDH("ITCI US Equity","TOTAL_CAPITAL_5_YEAR_GROWTH","FQ3 2021","FQ3 2021","Currency=USD","Period=FQ","BEST_FPERIOD_OVERRIDE=FQ","FILING_STATUS=MR","Sort=A","Dates=H","DateFormat=P","Fill=—","Direction=H","UseDPDF=Y")</f>
        <v>-0.42920000000000003</v>
      </c>
      <c r="O46" s="14">
        <f>_xll.BDH("ITCI US Equity","TOTAL_CAPITAL_5_YEAR_GROWTH","FQ4 2021","FQ4 2021","Currency=USD","Period=FQ","BEST_FPERIOD_OVERRIDE=FQ","FILING_STATUS=MR","Sort=A","Dates=H","DateFormat=P","Fill=—","Direction=H","UseDPDF=Y")</f>
        <v>3.3752</v>
      </c>
      <c r="P46" s="14">
        <f>_xll.BDH("ITCI US Equity","TOTAL_CAPITAL_5_YEAR_GROWTH","FQ1 2022","FQ1 2022","Currency=USD","Period=FQ","BEST_FPERIOD_OVERRIDE=FQ","FILING_STATUS=MR","Sort=A","Dates=H","DateFormat=P","Fill=—","Direction=H","UseDPDF=Y")</f>
        <v>18.276299999999999</v>
      </c>
      <c r="Q46" s="14">
        <f>_xll.BDH("ITCI US Equity","TOTAL_CAPITAL_5_YEAR_GROWTH","FQ2 2022","FQ2 2022","Currency=USD","Period=FQ","BEST_FPERIOD_OVERRIDE=FQ","FILING_STATUS=MR","Sort=A","Dates=H","DateFormat=P","Fill=—","Direction=H","UseDPDF=Y")</f>
        <v>17.135300000000001</v>
      </c>
      <c r="R46" s="14">
        <f>_xll.BDH("ITCI US Equity","TOTAL_CAPITAL_5_YEAR_GROWTH","FQ3 2022","FQ3 2022","Currency=USD","Period=FQ","BEST_FPERIOD_OVERRIDE=FQ","FILING_STATUS=MR","Sort=A","Dates=H","DateFormat=P","Fill=—","Direction=H","UseDPDF=Y")</f>
        <v>17.381</v>
      </c>
      <c r="S46" s="14">
        <f>_xll.BDH("ITCI US Equity","TOTAL_CAPITAL_5_YEAR_GROWTH","FQ4 2022","FQ4 2022","Currency=USD","Period=FQ","BEST_FPERIOD_OVERRIDE=FQ","FILING_STATUS=MR","Sort=A","Dates=H","DateFormat=P","Fill=—","Direction=H","UseDPDF=Y")</f>
        <v>8.2702000000000009</v>
      </c>
      <c r="T46" s="14">
        <f>_xll.BDH("ITCI US Equity","TOTAL_CAPITAL_5_YEAR_GROWTH","FQ1 2023","FQ1 2023","Currency=USD","Period=FQ","BEST_FPERIOD_OVERRIDE=FQ","FILING_STATUS=MR","Sort=A","Dates=H","DateFormat=P","Fill=—","Direction=H","UseDPDF=Y")</f>
        <v>8.8312000000000008</v>
      </c>
      <c r="U46" s="14">
        <f>_xll.BDH("ITCI US Equity","TOTAL_CAPITAL_5_YEAR_GROWTH","FQ2 2023","FQ2 2023","Currency=USD","Period=FQ","BEST_FPERIOD_OVERRIDE=FQ","FILING_STATUS=MR","Sort=A","Dates=H","DateFormat=P","Fill=—","Direction=H","UseDPDF=Y")</f>
        <v>9.8721999999999994</v>
      </c>
      <c r="V46" s="14">
        <f>_xll.BDH("ITCI US Equity","TOTAL_CAPITAL_5_YEAR_GROWTH","FQ3 2023","FQ3 2023","Currency=USD","Period=FQ","BEST_FPERIOD_OVERRIDE=FQ","FILING_STATUS=MR","Sort=A","Dates=H","DateFormat=P","Fill=—","Direction=H","UseDPDF=Y")</f>
        <v>11.8178</v>
      </c>
      <c r="W46" s="14">
        <f>_xll.BDH("ITCI US Equity","TOTAL_CAPITAL_5_YEAR_GROWTH","FQ4 2023","FQ4 2023","Currency=USD","Period=FQ","BEST_FPERIOD_OVERRIDE=FQ","FILING_STATUS=MR","Sort=A","Dates=H","DateFormat=P","Fill=—","Direction=H","UseDPDF=Y")</f>
        <v>13.8741</v>
      </c>
      <c r="X46" s="14">
        <f>_xll.BDH("ITCI US Equity","TOTAL_CAPITAL_5_YEAR_GROWTH","FQ1 2024","FQ1 2024","Currency=USD","Period=FQ","BEST_FPERIOD_OVERRIDE=FQ","FILING_STATUS=MR","Sort=A","Dates=H","DateFormat=P","Fill=—","Direction=H","UseDPDF=Y")</f>
        <v>14.543699999999999</v>
      </c>
      <c r="Y46" s="14">
        <f>_xll.BDH("ITCI US Equity","TOTAL_CAPITAL_5_YEAR_GROWTH","FQ2 2024","FQ2 2024","Currency=USD","Period=FQ","BEST_FPERIOD_OVERRIDE=FQ","FILING_STATUS=MR","Sort=A","Dates=H","DateFormat=P","Fill=—","Direction=H","UseDPDF=Y")</f>
        <v>32.9846</v>
      </c>
      <c r="Z46" s="14">
        <f>_xll.BDH("ITCI US Equity","TOTAL_CAPITAL_5_YEAR_GROWTH","FQ3 2024","FQ3 2024","Currency=USD","Period=FQ","BEST_FPERIOD_OVERRIDE=FQ","FILING_STATUS=MR","Sort=A","Dates=H","DateFormat=P","Fill=—","Direction=H","UseDPDF=Y")</f>
        <v>36.046999999999997</v>
      </c>
      <c r="AA46" s="14">
        <f>_xll.BDH("ITCI US Equity","TOTAL_CAPITAL_5_YEAR_GROWTH","FQ4 2024","FQ4 2024","Currency=USD","Period=FQ","BEST_FPERIOD_OVERRIDE=FQ","FILING_STATUS=MR","Sort=A","Dates=H","DateFormat=P","Fill=—","Direction=H","UseDPDF=Y")</f>
        <v>39.812800000000003</v>
      </c>
    </row>
    <row r="47" spans="1:27" x14ac:dyDescent="0.25">
      <c r="A47" s="10" t="s">
        <v>1135</v>
      </c>
      <c r="B47" s="10" t="s">
        <v>1154</v>
      </c>
      <c r="C47" s="14">
        <f>_xll.BDH("ITCI US Equity","GEO_GROW_BOOK_VAL","FQ4 2018","FQ4 2018","Currency=USD","Period=FQ","BEST_FPERIOD_OVERRIDE=FQ","FILING_STATUS=MR","Sort=A","Dates=H","DateFormat=P","Fill=—","Direction=H","UseDPDF=Y")</f>
        <v>32.322200000000002</v>
      </c>
      <c r="D47" s="14">
        <f>_xll.BDH("ITCI US Equity","GEO_GROW_BOOK_VAL","FQ1 2019","FQ1 2019","Currency=USD","Period=FQ","BEST_FPERIOD_OVERRIDE=FQ","FILING_STATUS=MR","Sort=A","Dates=H","DateFormat=P","Fill=—","Direction=H","UseDPDF=Y")</f>
        <v>1.3977999999999999</v>
      </c>
      <c r="E47" s="14">
        <f>_xll.BDH("ITCI US Equity","GEO_GROW_BOOK_VAL","FQ2 2019","FQ2 2019","Currency=USD","Period=FQ","BEST_FPERIOD_OVERRIDE=FQ","FILING_STATUS=MR","Sort=A","Dates=H","DateFormat=P","Fill=—","Direction=H","UseDPDF=Y")</f>
        <v>-0.30109999999999998</v>
      </c>
      <c r="F47" s="14">
        <f>_xll.BDH("ITCI US Equity","GEO_GROW_BOOK_VAL","FQ3 2019","FQ3 2019","Currency=USD","Period=FQ","BEST_FPERIOD_OVERRIDE=FQ","FILING_STATUS=MR","Sort=A","Dates=H","DateFormat=P","Fill=—","Direction=H","UseDPDF=Y")</f>
        <v>-2.0699000000000001</v>
      </c>
      <c r="G47" s="14">
        <f>_xll.BDH("ITCI US Equity","GEO_GROW_BOOK_VAL","FQ4 2019","FQ4 2019","Currency=USD","Period=FQ","BEST_FPERIOD_OVERRIDE=FQ","FILING_STATUS=MR","Sort=A","Dates=H","DateFormat=P","Fill=—","Direction=H","UseDPDF=Y")</f>
        <v>-2.9792000000000001</v>
      </c>
      <c r="H47" s="14">
        <f>_xll.BDH("ITCI US Equity","GEO_GROW_BOOK_VAL","FQ1 2020","FQ1 2020","Currency=USD","Period=FQ","BEST_FPERIOD_OVERRIDE=FQ","FILING_STATUS=MR","Sort=A","Dates=H","DateFormat=P","Fill=—","Direction=H","UseDPDF=Y")</f>
        <v>0.44500000000000001</v>
      </c>
      <c r="I47" s="14">
        <f>_xll.BDH("ITCI US Equity","GEO_GROW_BOOK_VAL","FQ2 2020","FQ2 2020","Currency=USD","Period=FQ","BEST_FPERIOD_OVERRIDE=FQ","FILING_STATUS=MR","Sort=A","Dates=H","DateFormat=P","Fill=—","Direction=H","UseDPDF=Y")</f>
        <v>-0.43669999999999998</v>
      </c>
      <c r="J47" s="14">
        <f>_xll.BDH("ITCI US Equity","GEO_GROW_BOOK_VAL","FQ3 2020","FQ3 2020","Currency=USD","Period=FQ","BEST_FPERIOD_OVERRIDE=FQ","FILING_STATUS=MR","Sort=A","Dates=H","DateFormat=P","Fill=—","Direction=H","UseDPDF=Y")</f>
        <v>-5.3756000000000004</v>
      </c>
      <c r="K47" s="14">
        <f>_xll.BDH("ITCI US Equity","GEO_GROW_BOOK_VAL","FQ4 2020","FQ4 2020","Currency=USD","Period=FQ","BEST_FPERIOD_OVERRIDE=FQ","FILING_STATUS=MR","Sort=A","Dates=H","DateFormat=P","Fill=—","Direction=H","UseDPDF=Y")</f>
        <v>-5.8506</v>
      </c>
      <c r="L47" s="14">
        <f>_xll.BDH("ITCI US Equity","GEO_GROW_BOOK_VAL","FQ1 2021","FQ1 2021","Currency=USD","Period=FQ","BEST_FPERIOD_OVERRIDE=FQ","FILING_STATUS=MR","Sort=A","Dates=H","DateFormat=P","Fill=—","Direction=H","UseDPDF=Y")</f>
        <v>-6.3467000000000002</v>
      </c>
      <c r="M47" s="14">
        <f>_xll.BDH("ITCI US Equity","GEO_GROW_BOOK_VAL","FQ2 2021","FQ2 2021","Currency=USD","Period=FQ","BEST_FPERIOD_OVERRIDE=FQ","FILING_STATUS=MR","Sort=A","Dates=H","DateFormat=P","Fill=—","Direction=H","UseDPDF=Y")</f>
        <v>-7.1184000000000003</v>
      </c>
      <c r="N47" s="14">
        <f>_xll.BDH("ITCI US Equity","GEO_GROW_BOOK_VAL","FQ3 2021","FQ3 2021","Currency=USD","Period=FQ","BEST_FPERIOD_OVERRIDE=FQ","FILING_STATUS=MR","Sort=A","Dates=H","DateFormat=P","Fill=—","Direction=H","UseDPDF=Y")</f>
        <v>-8.3079999999999998</v>
      </c>
      <c r="O47" s="14">
        <f>_xll.BDH("ITCI US Equity","GEO_GROW_BOOK_VAL","FQ4 2021","FQ4 2021","Currency=USD","Period=FQ","BEST_FPERIOD_OVERRIDE=FQ","FILING_STATUS=MR","Sort=A","Dates=H","DateFormat=P","Fill=—","Direction=H","UseDPDF=Y")</f>
        <v>-10.0647</v>
      </c>
      <c r="P47" s="14">
        <f>_xll.BDH("ITCI US Equity","GEO_GROW_BOOK_VAL","FQ1 2022","FQ1 2022","Currency=USD","Period=FQ","BEST_FPERIOD_OVERRIDE=FQ","FILING_STATUS=MR","Sort=A","Dates=H","DateFormat=P","Fill=—","Direction=H","UseDPDF=Y")</f>
        <v>0.72809999999999997</v>
      </c>
      <c r="Q47" s="14">
        <f>_xll.BDH("ITCI US Equity","GEO_GROW_BOOK_VAL","FQ2 2022","FQ2 2022","Currency=USD","Period=FQ","BEST_FPERIOD_OVERRIDE=FQ","FILING_STATUS=MR","Sort=A","Dates=H","DateFormat=P","Fill=—","Direction=H","UseDPDF=Y")</f>
        <v>-0.43580000000000002</v>
      </c>
      <c r="R47" s="14">
        <f>_xll.BDH("ITCI US Equity","GEO_GROW_BOOK_VAL","FQ3 2022","FQ3 2022","Currency=USD","Period=FQ","BEST_FPERIOD_OVERRIDE=FQ","FILING_STATUS=MR","Sort=A","Dates=H","DateFormat=P","Fill=—","Direction=H","UseDPDF=Y")</f>
        <v>-0.32300000000000001</v>
      </c>
      <c r="S47" s="14">
        <f>_xll.BDH("ITCI US Equity","GEO_GROW_BOOK_VAL","FQ4 2022","FQ4 2022","Currency=USD","Period=FQ","BEST_FPERIOD_OVERRIDE=FQ","FILING_STATUS=MR","Sort=A","Dates=H","DateFormat=P","Fill=—","Direction=H","UseDPDF=Y")</f>
        <v>-3.6301999999999999</v>
      </c>
      <c r="T47" s="14">
        <f>_xll.BDH("ITCI US Equity","GEO_GROW_BOOK_VAL","FQ1 2023","FQ1 2023","Currency=USD","Period=FQ","BEST_FPERIOD_OVERRIDE=FQ","FILING_STATUS=MR","Sort=A","Dates=H","DateFormat=P","Fill=—","Direction=H","UseDPDF=Y")</f>
        <v>-3.2488999999999999</v>
      </c>
      <c r="U47" s="14">
        <f>_xll.BDH("ITCI US Equity","GEO_GROW_BOOK_VAL","FQ2 2023","FQ2 2023","Currency=USD","Period=FQ","BEST_FPERIOD_OVERRIDE=FQ","FILING_STATUS=MR","Sort=A","Dates=H","DateFormat=P","Fill=—","Direction=H","UseDPDF=Y")</f>
        <v>-2.4066999999999998</v>
      </c>
      <c r="V47" s="14">
        <f>_xll.BDH("ITCI US Equity","GEO_GROW_BOOK_VAL","FQ3 2023","FQ3 2023","Currency=USD","Period=FQ","BEST_FPERIOD_OVERRIDE=FQ","FILING_STATUS=MR","Sort=A","Dates=H","DateFormat=P","Fill=—","Direction=H","UseDPDF=Y")</f>
        <v>-0.69269999999999998</v>
      </c>
      <c r="W47" s="14">
        <f>_xll.BDH("ITCI US Equity","GEO_GROW_BOOK_VAL","FQ4 2023","FQ4 2023","Currency=USD","Period=FQ","BEST_FPERIOD_OVERRIDE=FQ","FILING_STATUS=MR","Sort=A","Dates=H","DateFormat=P","Fill=—","Direction=H","UseDPDF=Y")</f>
        <v>1.1771</v>
      </c>
      <c r="X47" s="14">
        <f>_xll.BDH("ITCI US Equity","GEO_GROW_BOOK_VAL","FQ1 2024","FQ1 2024","Currency=USD","Period=FQ","BEST_FPERIOD_OVERRIDE=FQ","FILING_STATUS=MR","Sort=A","Dates=H","DateFormat=P","Fill=—","Direction=H","UseDPDF=Y")</f>
        <v>3.2743000000000002</v>
      </c>
      <c r="Y47" s="14">
        <f>_xll.BDH("ITCI US Equity","GEO_GROW_BOOK_VAL","FQ2 2024","FQ2 2024","Currency=USD","Period=FQ","BEST_FPERIOD_OVERRIDE=FQ","FILING_STATUS=MR","Sort=A","Dates=H","DateFormat=P","Fill=—","Direction=H","UseDPDF=Y")</f>
        <v>18.423300000000001</v>
      </c>
      <c r="Z47" s="14">
        <f>_xll.BDH("ITCI US Equity","GEO_GROW_BOOK_VAL","FQ3 2024","FQ3 2024","Currency=USD","Period=FQ","BEST_FPERIOD_OVERRIDE=FQ","FILING_STATUS=MR","Sort=A","Dates=H","DateFormat=P","Fill=—","Direction=H","UseDPDF=Y")</f>
        <v>21.336400000000001</v>
      </c>
      <c r="AA47" s="14">
        <f>_xll.BDH("ITCI US Equity","GEO_GROW_BOOK_VAL","FQ4 2024","FQ4 2024","Currency=USD","Period=FQ","BEST_FPERIOD_OVERRIDE=FQ","FILING_STATUS=MR","Sort=A","Dates=H","DateFormat=P","Fill=—","Direction=H","UseDPDF=Y")</f>
        <v>25.206199999999999</v>
      </c>
    </row>
    <row r="48" spans="1:27" x14ac:dyDescent="0.25">
      <c r="A48" s="10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x14ac:dyDescent="0.25">
      <c r="A49" s="10" t="s">
        <v>1070</v>
      </c>
      <c r="B49" s="10" t="s">
        <v>1155</v>
      </c>
      <c r="C49" s="14" t="str">
        <f>_xll.BDH("ITCI US Equity","NET_CHANGE_IN_CASH_5_YEAR_GROWTH","FQ4 2018","FQ4 2018","Currency=USD","Period=FQ","BEST_FPERIOD_OVERRIDE=FQ","FILING_STATUS=MR","Sort=A","Dates=H","DateFormat=P","Fill=—","Direction=H","UseDPDF=Y")</f>
        <v>—</v>
      </c>
      <c r="D49" s="14" t="str">
        <f>_xll.BDH("ITCI US Equity","NET_CHANGE_IN_CASH_5_YEAR_GROWTH","FQ1 2019","FQ1 2019","Currency=USD","Period=FQ","BEST_FPERIOD_OVERRIDE=FQ","FILING_STATUS=MR","Sort=A","Dates=H","DateFormat=P","Fill=—","Direction=H","UseDPDF=Y")</f>
        <v>—</v>
      </c>
      <c r="E49" s="14" t="str">
        <f>_xll.BDH("ITCI US Equity","NET_CHANGE_IN_CASH_5_YEAR_GROWTH","FQ2 2019","FQ2 2019","Currency=USD","Period=FQ","BEST_FPERIOD_OVERRIDE=FQ","FILING_STATUS=MR","Sort=A","Dates=H","DateFormat=P","Fill=—","Direction=H","UseDPDF=Y")</f>
        <v>—</v>
      </c>
      <c r="F49" s="14" t="str">
        <f>_xll.BDH("ITCI US Equity","NET_CHANGE_IN_CASH_5_YEAR_GROWTH","FQ3 2019","FQ3 2019","Currency=USD","Period=FQ","BEST_FPERIOD_OVERRIDE=FQ","FILING_STATUS=MR","Sort=A","Dates=H","DateFormat=P","Fill=—","Direction=H","UseDPDF=Y")</f>
        <v>—</v>
      </c>
      <c r="G49" s="14" t="str">
        <f>_xll.BDH("ITCI US Equity","NET_CHANGE_IN_CASH_5_YEAR_GROWTH","FQ4 2019","FQ4 2019","Currency=USD","Period=FQ","BEST_FPERIOD_OVERRIDE=FQ","FILING_STATUS=MR","Sort=A","Dates=H","DateFormat=P","Fill=—","Direction=H","UseDPDF=Y")</f>
        <v>—</v>
      </c>
      <c r="H49" s="14" t="str">
        <f>_xll.BDH("ITCI US Equity","NET_CHANGE_IN_CASH_5_YEAR_GROWTH","FQ1 2020","FQ1 2020","Currency=USD","Period=FQ","BEST_FPERIOD_OVERRIDE=FQ","FILING_STATUS=MR","Sort=A","Dates=H","DateFormat=P","Fill=—","Direction=H","UseDPDF=Y")</f>
        <v>—</v>
      </c>
      <c r="I49" s="14" t="str">
        <f>_xll.BDH("ITCI US Equity","NET_CHANGE_IN_CASH_5_YEAR_GROWTH","FQ2 2020","FQ2 2020","Currency=USD","Period=FQ","BEST_FPERIOD_OVERRIDE=FQ","FILING_STATUS=MR","Sort=A","Dates=H","DateFormat=P","Fill=—","Direction=H","UseDPDF=Y")</f>
        <v>—</v>
      </c>
      <c r="J49" s="14">
        <f>_xll.BDH("ITCI US Equity","NET_CHANGE_IN_CASH_5_YEAR_GROWTH","FQ3 2020","FQ3 2020","Currency=USD","Period=FQ","BEST_FPERIOD_OVERRIDE=FQ","FILING_STATUS=MR","Sort=A","Dates=H","DateFormat=P","Fill=—","Direction=H","UseDPDF=Y")</f>
        <v>-8.0632999999999999</v>
      </c>
      <c r="K49" s="14" t="str">
        <f>_xll.BDH("ITCI US Equity","NET_CHANGE_IN_CASH_5_YEAR_GROWTH","FQ4 2020","FQ4 2020","Currency=USD","Period=FQ","BEST_FPERIOD_OVERRIDE=FQ","FILING_STATUS=MR","Sort=A","Dates=H","DateFormat=P","Fill=—","Direction=H","UseDPDF=Y")</f>
        <v>—</v>
      </c>
      <c r="L49" s="14" t="str">
        <f>_xll.BDH("ITCI US Equity","NET_CHANGE_IN_CASH_5_YEAR_GROWTH","FQ1 2021","FQ1 2021","Currency=USD","Period=FQ","BEST_FPERIOD_OVERRIDE=FQ","FILING_STATUS=MR","Sort=A","Dates=H","DateFormat=P","Fill=—","Direction=H","UseDPDF=Y")</f>
        <v>—</v>
      </c>
      <c r="M49" s="14" t="str">
        <f>_xll.BDH("ITCI US Equity","NET_CHANGE_IN_CASH_5_YEAR_GROWTH","FQ2 2021","FQ2 2021","Currency=USD","Period=FQ","BEST_FPERIOD_OVERRIDE=FQ","FILING_STATUS=MR","Sort=A","Dates=H","DateFormat=P","Fill=—","Direction=H","UseDPDF=Y")</f>
        <v>—</v>
      </c>
      <c r="N49" s="14" t="str">
        <f>_xll.BDH("ITCI US Equity","NET_CHANGE_IN_CASH_5_YEAR_GROWTH","FQ3 2021","FQ3 2021","Currency=USD","Period=FQ","BEST_FPERIOD_OVERRIDE=FQ","FILING_STATUS=MR","Sort=A","Dates=H","DateFormat=P","Fill=—","Direction=H","UseDPDF=Y")</f>
        <v>—</v>
      </c>
      <c r="O49" s="14" t="str">
        <f>_xll.BDH("ITCI US Equity","NET_CHANGE_IN_CASH_5_YEAR_GROWTH","FQ4 2021","FQ4 2021","Currency=USD","Period=FQ","BEST_FPERIOD_OVERRIDE=FQ","FILING_STATUS=MR","Sort=A","Dates=H","DateFormat=P","Fill=—","Direction=H","UseDPDF=Y")</f>
        <v>—</v>
      </c>
      <c r="P49" s="14" t="str">
        <f>_xll.BDH("ITCI US Equity","NET_CHANGE_IN_CASH_5_YEAR_GROWTH","FQ1 2022","FQ1 2022","Currency=USD","Period=FQ","BEST_FPERIOD_OVERRIDE=FQ","FILING_STATUS=MR","Sort=A","Dates=H","DateFormat=P","Fill=—","Direction=H","UseDPDF=Y")</f>
        <v>—</v>
      </c>
      <c r="Q49" s="14" t="str">
        <f>_xll.BDH("ITCI US Equity","NET_CHANGE_IN_CASH_5_YEAR_GROWTH","FQ2 2022","FQ2 2022","Currency=USD","Period=FQ","BEST_FPERIOD_OVERRIDE=FQ","FILING_STATUS=MR","Sort=A","Dates=H","DateFormat=P","Fill=—","Direction=H","UseDPDF=Y")</f>
        <v>—</v>
      </c>
      <c r="R49" s="14">
        <f>_xll.BDH("ITCI US Equity","NET_CHANGE_IN_CASH_5_YEAR_GROWTH","FQ3 2022","FQ3 2022","Currency=USD","Period=FQ","BEST_FPERIOD_OVERRIDE=FQ","FILING_STATUS=MR","Sort=A","Dates=H","DateFormat=P","Fill=—","Direction=H","UseDPDF=Y")</f>
        <v>20.779900000000001</v>
      </c>
      <c r="S49" s="14" t="str">
        <f>_xll.BDH("ITCI US Equity","NET_CHANGE_IN_CASH_5_YEAR_GROWTH","FQ4 2022","FQ4 2022","Currency=USD","Period=FQ","BEST_FPERIOD_OVERRIDE=FQ","FILING_STATUS=MR","Sort=A","Dates=H","DateFormat=P","Fill=—","Direction=H","UseDPDF=Y")</f>
        <v>—</v>
      </c>
      <c r="T49" s="14" t="str">
        <f>_xll.BDH("ITCI US Equity","NET_CHANGE_IN_CASH_5_YEAR_GROWTH","FQ1 2023","FQ1 2023","Currency=USD","Period=FQ","BEST_FPERIOD_OVERRIDE=FQ","FILING_STATUS=MR","Sort=A","Dates=H","DateFormat=P","Fill=—","Direction=H","UseDPDF=Y")</f>
        <v>—</v>
      </c>
      <c r="U49" s="14" t="str">
        <f>_xll.BDH("ITCI US Equity","NET_CHANGE_IN_CASH_5_YEAR_GROWTH","FQ2 2023","FQ2 2023","Currency=USD","Period=FQ","BEST_FPERIOD_OVERRIDE=FQ","FILING_STATUS=MR","Sort=A","Dates=H","DateFormat=P","Fill=—","Direction=H","UseDPDF=Y")</f>
        <v>—</v>
      </c>
      <c r="V49" s="14" t="str">
        <f>_xll.BDH("ITCI US Equity","NET_CHANGE_IN_CASH_5_YEAR_GROWTH","FQ3 2023","FQ3 2023","Currency=USD","Period=FQ","BEST_FPERIOD_OVERRIDE=FQ","FILING_STATUS=MR","Sort=A","Dates=H","DateFormat=P","Fill=—","Direction=H","UseDPDF=Y")</f>
        <v>—</v>
      </c>
      <c r="W49" s="14" t="str">
        <f>_xll.BDH("ITCI US Equity","NET_CHANGE_IN_CASH_5_YEAR_GROWTH","FQ4 2023","FQ4 2023","Currency=USD","Period=FQ","BEST_FPERIOD_OVERRIDE=FQ","FILING_STATUS=MR","Sort=A","Dates=H","DateFormat=P","Fill=—","Direction=H","UseDPDF=Y")</f>
        <v>—</v>
      </c>
      <c r="X49" s="14" t="str">
        <f>_xll.BDH("ITCI US Equity","NET_CHANGE_IN_CASH_5_YEAR_GROWTH","FQ1 2024","FQ1 2024","Currency=USD","Period=FQ","BEST_FPERIOD_OVERRIDE=FQ","FILING_STATUS=MR","Sort=A","Dates=H","DateFormat=P","Fill=—","Direction=H","UseDPDF=Y")</f>
        <v>—</v>
      </c>
      <c r="Y49" s="14" t="str">
        <f>_xll.BDH("ITCI US Equity","NET_CHANGE_IN_CASH_5_YEAR_GROWTH","FQ2 2024","FQ2 2024","Currency=USD","Period=FQ","BEST_FPERIOD_OVERRIDE=FQ","FILING_STATUS=MR","Sort=A","Dates=H","DateFormat=P","Fill=—","Direction=H","UseDPDF=Y")</f>
        <v>—</v>
      </c>
      <c r="Z49" s="14" t="str">
        <f>_xll.BDH("ITCI US Equity","NET_CHANGE_IN_CASH_5_YEAR_GROWTH","FQ3 2024","FQ3 2024","Currency=USD","Period=FQ","BEST_FPERIOD_OVERRIDE=FQ","FILING_STATUS=MR","Sort=A","Dates=H","DateFormat=P","Fill=—","Direction=H","UseDPDF=Y")</f>
        <v>—</v>
      </c>
      <c r="AA49" s="14" t="str">
        <f>_xll.BDH("ITCI US Equity","NET_CHANGE_IN_CASH_5_YEAR_GROWTH","FQ4 2024","FQ4 2024","Currency=USD","Period=FQ","BEST_FPERIOD_OVERRIDE=FQ","FILING_STATUS=MR","Sort=A","Dates=H","DateFormat=P","Fill=—","Direction=H","UseDPDF=Y")</f>
        <v>—</v>
      </c>
    </row>
    <row r="50" spans="1:27" x14ac:dyDescent="0.25">
      <c r="A50" s="10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x14ac:dyDescent="0.25">
      <c r="A51" s="6" t="s">
        <v>1156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x14ac:dyDescent="0.25">
      <c r="A52" s="10" t="s">
        <v>0</v>
      </c>
      <c r="B52" s="10" t="s">
        <v>1157</v>
      </c>
      <c r="C52" s="14" t="str">
        <f>_xll.BDH("ITCI US Equity","REVENUE_SEQUENTIAL_GROWTH","FQ4 2018","FQ4 2018","Currency=USD","Period=FQ","BEST_FPERIOD_OVERRIDE=FQ","FILING_STATUS=MR","FA_ADJUSTED=GAAP","Sort=A","Dates=H","DateFormat=P","Fill=—","Direction=H","UseDPDF=Y")</f>
        <v>—</v>
      </c>
      <c r="D52" s="14" t="str">
        <f>_xll.BDH("ITCI US Equity","REVENUE_SEQUENTIAL_GROWTH","FQ1 2019","FQ1 2019","Currency=USD","Period=FQ","BEST_FPERIOD_OVERRIDE=FQ","FILING_STATUS=MR","FA_ADJUSTED=GAAP","Sort=A","Dates=H","DateFormat=P","Fill=—","Direction=H","UseDPDF=Y")</f>
        <v>—</v>
      </c>
      <c r="E52" s="14" t="str">
        <f>_xll.BDH("ITCI US Equity","REVENUE_SEQUENTIAL_GROWTH","FQ2 2019","FQ2 2019","Currency=USD","Period=FQ","BEST_FPERIOD_OVERRIDE=FQ","FILING_STATUS=MR","FA_ADJUSTED=GAAP","Sort=A","Dates=H","DateFormat=P","Fill=—","Direction=H","UseDPDF=Y")</f>
        <v>—</v>
      </c>
      <c r="F52" s="14" t="str">
        <f>_xll.BDH("ITCI US Equity","REVENUE_SEQUENTIAL_GROWTH","FQ3 2019","FQ3 2019","Currency=USD","Period=FQ","BEST_FPERIOD_OVERRIDE=FQ","FILING_STATUS=MR","FA_ADJUSTED=GAAP","Sort=A","Dates=H","DateFormat=P","Fill=—","Direction=H","UseDPDF=Y")</f>
        <v>—</v>
      </c>
      <c r="G52" s="14" t="str">
        <f>_xll.BDH("ITCI US Equity","REVENUE_SEQUENTIAL_GROWTH","FQ4 2019","FQ4 2019","Currency=USD","Period=FQ","BEST_FPERIOD_OVERRIDE=FQ","FILING_STATUS=MR","FA_ADJUSTED=GAAP","Sort=A","Dates=H","DateFormat=P","Fill=—","Direction=H","UseDPDF=Y")</f>
        <v>—</v>
      </c>
      <c r="H52" s="14">
        <f>_xll.BDH("ITCI US Equity","REVENUE_SEQUENTIAL_GROWTH","FQ1 2020","FQ1 2020","Currency=USD","Period=FQ","BEST_FPERIOD_OVERRIDE=FQ","FILING_STATUS=MR","FA_ADJUSTED=GAAP","Sort=A","Dates=H","DateFormat=P","Fill=—","Direction=H","UseDPDF=Y")</f>
        <v>1687.5356999999999</v>
      </c>
      <c r="I52" s="14">
        <f>_xll.BDH("ITCI US Equity","REVENUE_SEQUENTIAL_GROWTH","FQ2 2020","FQ2 2020","Currency=USD","Period=FQ","BEST_FPERIOD_OVERRIDE=FQ","FILING_STATUS=MR","FA_ADJUSTED=GAAP","Sort=A","Dates=H","DateFormat=P","Fill=—","Direction=H","UseDPDF=Y")</f>
        <v>75.973500000000001</v>
      </c>
      <c r="J52" s="14">
        <f>_xll.BDH("ITCI US Equity","REVENUE_SEQUENTIAL_GROWTH","FQ3 2020","FQ3 2020","Currency=USD","Period=FQ","BEST_FPERIOD_OVERRIDE=FQ","FILING_STATUS=MR","FA_ADJUSTED=GAAP","Sort=A","Dates=H","DateFormat=P","Fill=—","Direction=H","UseDPDF=Y")</f>
        <v>286.47089999999997</v>
      </c>
      <c r="K52" s="14">
        <f>_xll.BDH("ITCI US Equity","REVENUE_SEQUENTIAL_GROWTH","FQ4 2020","FQ4 2020","Currency=USD","Period=FQ","BEST_FPERIOD_OVERRIDE=FQ","FILING_STATUS=MR","FA_ADJUSTED=GAAP","Sort=A","Dates=H","DateFormat=P","Fill=—","Direction=H","UseDPDF=Y")</f>
        <v>69.018299999999996</v>
      </c>
      <c r="L52" s="14">
        <f>_xll.BDH("ITCI US Equity","REVENUE_SEQUENTIAL_GROWTH","FQ1 2021","FQ1 2021","Currency=USD","Period=FQ","BEST_FPERIOD_OVERRIDE=FQ","FILING_STATUS=MR","FA_ADJUSTED=GAAP","Sort=A","Dates=H","DateFormat=P","Fill=—","Direction=H","UseDPDF=Y")</f>
        <v>27.493099999999998</v>
      </c>
      <c r="M52" s="14">
        <f>_xll.BDH("ITCI US Equity","REVENUE_SEQUENTIAL_GROWTH","FQ2 2021","FQ2 2021","Currency=USD","Period=FQ","BEST_FPERIOD_OVERRIDE=FQ","FILING_STATUS=MR","FA_ADJUSTED=GAAP","Sort=A","Dates=H","DateFormat=P","Fill=—","Direction=H","UseDPDF=Y")</f>
        <v>26.251100000000001</v>
      </c>
      <c r="N52" s="14">
        <f>_xll.BDH("ITCI US Equity","REVENUE_SEQUENTIAL_GROWTH","FQ3 2021","FQ3 2021","Currency=USD","Period=FQ","BEST_FPERIOD_OVERRIDE=FQ","FILING_STATUS=MR","FA_ADJUSTED=GAAP","Sort=A","Dates=H","DateFormat=P","Fill=—","Direction=H","UseDPDF=Y")</f>
        <v>10.7781</v>
      </c>
      <c r="O52" s="14">
        <f>_xll.BDH("ITCI US Equity","REVENUE_SEQUENTIAL_GROWTH","FQ4 2021","FQ4 2021","Currency=USD","Period=FQ","BEST_FPERIOD_OVERRIDE=FQ","FILING_STATUS=MR","FA_ADJUSTED=GAAP","Sort=A","Dates=H","DateFormat=P","Fill=—","Direction=H","UseDPDF=Y")</f>
        <v>15.597300000000001</v>
      </c>
      <c r="P52" s="14">
        <f>_xll.BDH("ITCI US Equity","REVENUE_SEQUENTIAL_GROWTH","FQ1 2022","FQ1 2022","Currency=USD","Period=FQ","BEST_FPERIOD_OVERRIDE=FQ","FILING_STATUS=MR","FA_ADJUSTED=GAAP","Sort=A","Dates=H","DateFormat=P","Fill=—","Direction=H","UseDPDF=Y")</f>
        <v>36.325400000000002</v>
      </c>
      <c r="Q52" s="14">
        <f>_xll.BDH("ITCI US Equity","REVENUE_SEQUENTIAL_GROWTH","FQ2 2022","FQ2 2022","Currency=USD","Period=FQ","BEST_FPERIOD_OVERRIDE=FQ","FILING_STATUS=MR","FA_ADJUSTED=GAAP","Sort=A","Dates=H","DateFormat=P","Fill=—","Direction=H","UseDPDF=Y")</f>
        <v>58.815300000000001</v>
      </c>
      <c r="R52" s="14">
        <f>_xll.BDH("ITCI US Equity","REVENUE_SEQUENTIAL_GROWTH","FQ3 2022","FQ3 2022","Currency=USD","Period=FQ","BEST_FPERIOD_OVERRIDE=FQ","FILING_STATUS=MR","FA_ADJUSTED=GAAP","Sort=A","Dates=H","DateFormat=P","Fill=—","Direction=H","UseDPDF=Y")</f>
        <v>29.311399999999999</v>
      </c>
      <c r="S52" s="14">
        <f>_xll.BDH("ITCI US Equity","REVENUE_SEQUENTIAL_GROWTH","FQ4 2022","FQ4 2022","Currency=USD","Period=FQ","BEST_FPERIOD_OVERRIDE=FQ","FILING_STATUS=MR","FA_ADJUSTED=GAAP","Sort=A","Dates=H","DateFormat=P","Fill=—","Direction=H","UseDPDF=Y")</f>
        <v>22.260999999999999</v>
      </c>
      <c r="T52" s="14">
        <f>_xll.BDH("ITCI US Equity","REVENUE_SEQUENTIAL_GROWTH","FQ1 2023","FQ1 2023","Currency=USD","Period=FQ","BEST_FPERIOD_OVERRIDE=FQ","FILING_STATUS=MR","FA_ADJUSTED=GAAP","Sort=A","Dates=H","DateFormat=P","Fill=—","Direction=H","UseDPDF=Y")</f>
        <v>8.4636999999999993</v>
      </c>
      <c r="U52" s="14">
        <f>_xll.BDH("ITCI US Equity","REVENUE_SEQUENTIAL_GROWTH","FQ2 2023","FQ2 2023","Currency=USD","Period=FQ","BEST_FPERIOD_OVERRIDE=FQ","FILING_STATUS=MR","FA_ADJUSTED=GAAP","Sort=A","Dates=H","DateFormat=P","Fill=—","Direction=H","UseDPDF=Y")</f>
        <v>16.248699999999999</v>
      </c>
      <c r="V52" s="14">
        <f>_xll.BDH("ITCI US Equity","REVENUE_SEQUENTIAL_GROWTH","FQ3 2023","FQ3 2023","Currency=USD","Period=FQ","BEST_FPERIOD_OVERRIDE=FQ","FILING_STATUS=MR","FA_ADJUSTED=GAAP","Sort=A","Dates=H","DateFormat=P","Fill=—","Direction=H","UseDPDF=Y")</f>
        <v>13.8828</v>
      </c>
      <c r="W52" s="14">
        <f>_xll.BDH("ITCI US Equity","REVENUE_SEQUENTIAL_GROWTH","FQ4 2023","FQ4 2023","Currency=USD","Period=FQ","BEST_FPERIOD_OVERRIDE=FQ","FILING_STATUS=MR","FA_ADJUSTED=GAAP","Sort=A","Dates=H","DateFormat=P","Fill=—","Direction=H","UseDPDF=Y")</f>
        <v>4.6966999999999999</v>
      </c>
      <c r="X52" s="14">
        <f>_xll.BDH("ITCI US Equity","REVENUE_SEQUENTIAL_GROWTH","FQ1 2024","FQ1 2024","Currency=USD","Period=FQ","BEST_FPERIOD_OVERRIDE=FQ","FILING_STATUS=MR","FA_ADJUSTED=GAAP","Sort=A","Dates=H","DateFormat=P","Fill=—","Direction=H","UseDPDF=Y")</f>
        <v>9.6646999999999998</v>
      </c>
      <c r="Y52" s="14">
        <f>_xll.BDH("ITCI US Equity","REVENUE_SEQUENTIAL_GROWTH","FQ2 2024","FQ2 2024","Currency=USD","Period=FQ","BEST_FPERIOD_OVERRIDE=FQ","FILING_STATUS=MR","FA_ADJUSTED=GAAP","Sort=A","Dates=H","DateFormat=P","Fill=—","Direction=H","UseDPDF=Y")</f>
        <v>11.404999999999999</v>
      </c>
      <c r="Z52" s="14">
        <f>_xll.BDH("ITCI US Equity","REVENUE_SEQUENTIAL_GROWTH","FQ3 2024","FQ3 2024","Currency=USD","Period=FQ","BEST_FPERIOD_OVERRIDE=FQ","FILING_STATUS=MR","FA_ADJUSTED=GAAP","Sort=A","Dates=H","DateFormat=P","Fill=—","Direction=H","UseDPDF=Y")</f>
        <v>8.6667000000000005</v>
      </c>
      <c r="AA52" s="14">
        <f>_xll.BDH("ITCI US Equity","REVENUE_SEQUENTIAL_GROWTH","FQ4 2024","FQ4 2024","Currency=USD","Period=FQ","BEST_FPERIOD_OVERRIDE=FQ","FILING_STATUS=MR","FA_ADJUSTED=GAAP","Sort=A","Dates=H","DateFormat=P","Fill=—","Direction=H","UseDPDF=Y")</f>
        <v>13.5983</v>
      </c>
    </row>
    <row r="53" spans="1:27" x14ac:dyDescent="0.25">
      <c r="A53" s="10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x14ac:dyDescent="0.25">
      <c r="A54" s="10" t="s">
        <v>1113</v>
      </c>
      <c r="B54" s="10" t="s">
        <v>1158</v>
      </c>
      <c r="C54" s="14" t="str">
        <f>_xll.BDH("ITCI US Equity","ACCOUNTS_RECEIVABLE_SEQ_GROWTH","FQ4 2018","FQ4 2018","Currency=USD","Period=FQ","BEST_FPERIOD_OVERRIDE=FQ","FILING_STATUS=MR","Sort=A","Dates=H","DateFormat=P","Fill=—","Direction=H","UseDPDF=Y")</f>
        <v>—</v>
      </c>
      <c r="D54" s="14" t="str">
        <f>_xll.BDH("ITCI US Equity","ACCOUNTS_RECEIVABLE_SEQ_GROWTH","FQ1 2019","FQ1 2019","Currency=USD","Period=FQ","BEST_FPERIOD_OVERRIDE=FQ","FILING_STATUS=MR","Sort=A","Dates=H","DateFormat=P","Fill=—","Direction=H","UseDPDF=Y")</f>
        <v>—</v>
      </c>
      <c r="E54" s="14" t="str">
        <f>_xll.BDH("ITCI US Equity","ACCOUNTS_RECEIVABLE_SEQ_GROWTH","FQ2 2019","FQ2 2019","Currency=USD","Period=FQ","BEST_FPERIOD_OVERRIDE=FQ","FILING_STATUS=MR","Sort=A","Dates=H","DateFormat=P","Fill=—","Direction=H","UseDPDF=Y")</f>
        <v>—</v>
      </c>
      <c r="F54" s="14" t="str">
        <f>_xll.BDH("ITCI US Equity","ACCOUNTS_RECEIVABLE_SEQ_GROWTH","FQ3 2019","FQ3 2019","Currency=USD","Period=FQ","BEST_FPERIOD_OVERRIDE=FQ","FILING_STATUS=MR","Sort=A","Dates=H","DateFormat=P","Fill=—","Direction=H","UseDPDF=Y")</f>
        <v>—</v>
      </c>
      <c r="G54" s="14" t="str">
        <f>_xll.BDH("ITCI US Equity","ACCOUNTS_RECEIVABLE_SEQ_GROWTH","FQ4 2019","FQ4 2019","Currency=USD","Period=FQ","BEST_FPERIOD_OVERRIDE=FQ","FILING_STATUS=MR","Sort=A","Dates=H","DateFormat=P","Fill=—","Direction=H","UseDPDF=Y")</f>
        <v>—</v>
      </c>
      <c r="H54" s="14" t="str">
        <f>_xll.BDH("ITCI US Equity","ACCOUNTS_RECEIVABLE_SEQ_GROWTH","FQ1 2020","FQ1 2020","Currency=USD","Period=FQ","BEST_FPERIOD_OVERRIDE=FQ","FILING_STATUS=MR","Sort=A","Dates=H","DateFormat=P","Fill=—","Direction=H","UseDPDF=Y")</f>
        <v>—</v>
      </c>
      <c r="I54" s="14">
        <f>_xll.BDH("ITCI US Equity","ACCOUNTS_RECEIVABLE_SEQ_GROWTH","FQ2 2020","FQ2 2020","Currency=USD","Period=FQ","BEST_FPERIOD_OVERRIDE=FQ","FILING_STATUS=MR","Sort=A","Dates=H","DateFormat=P","Fill=—","Direction=H","UseDPDF=Y")</f>
        <v>74.1845</v>
      </c>
      <c r="J54" s="14">
        <f>_xll.BDH("ITCI US Equity","ACCOUNTS_RECEIVABLE_SEQ_GROWTH","FQ3 2020","FQ3 2020","Currency=USD","Period=FQ","BEST_FPERIOD_OVERRIDE=FQ","FILING_STATUS=MR","Sort=A","Dates=H","DateFormat=P","Fill=—","Direction=H","UseDPDF=Y")</f>
        <v>217.88329999999999</v>
      </c>
      <c r="K54" s="14">
        <f>_xll.BDH("ITCI US Equity","ACCOUNTS_RECEIVABLE_SEQ_GROWTH","FQ4 2020","FQ4 2020","Currency=USD","Period=FQ","BEST_FPERIOD_OVERRIDE=FQ","FILING_STATUS=MR","Sort=A","Dates=H","DateFormat=P","Fill=—","Direction=H","UseDPDF=Y")</f>
        <v>43.899900000000002</v>
      </c>
      <c r="L54" s="14">
        <f>_xll.BDH("ITCI US Equity","ACCOUNTS_RECEIVABLE_SEQ_GROWTH","FQ1 2021","FQ1 2021","Currency=USD","Period=FQ","BEST_FPERIOD_OVERRIDE=FQ","FILING_STATUS=MR","Sort=A","Dates=H","DateFormat=P","Fill=—","Direction=H","UseDPDF=Y")</f>
        <v>26.9161</v>
      </c>
      <c r="M54" s="14">
        <f>_xll.BDH("ITCI US Equity","ACCOUNTS_RECEIVABLE_SEQ_GROWTH","FQ2 2021","FQ2 2021","Currency=USD","Period=FQ","BEST_FPERIOD_OVERRIDE=FQ","FILING_STATUS=MR","Sort=A","Dates=H","DateFormat=P","Fill=—","Direction=H","UseDPDF=Y")</f>
        <v>11.1684</v>
      </c>
      <c r="N54" s="14">
        <f>_xll.BDH("ITCI US Equity","ACCOUNTS_RECEIVABLE_SEQ_GROWTH","FQ3 2021","FQ3 2021","Currency=USD","Period=FQ","BEST_FPERIOD_OVERRIDE=FQ","FILING_STATUS=MR","Sort=A","Dates=H","DateFormat=P","Fill=—","Direction=H","UseDPDF=Y")</f>
        <v>11.499599999999999</v>
      </c>
      <c r="O54" s="14">
        <f>_xll.BDH("ITCI US Equity","ACCOUNTS_RECEIVABLE_SEQ_GROWTH","FQ4 2021","FQ4 2021","Currency=USD","Period=FQ","BEST_FPERIOD_OVERRIDE=FQ","FILING_STATUS=MR","Sort=A","Dates=H","DateFormat=P","Fill=—","Direction=H","UseDPDF=Y")</f>
        <v>19.0243</v>
      </c>
      <c r="P54" s="14">
        <f>_xll.BDH("ITCI US Equity","ACCOUNTS_RECEIVABLE_SEQ_GROWTH","FQ1 2022","FQ1 2022","Currency=USD","Period=FQ","BEST_FPERIOD_OVERRIDE=FQ","FILING_STATUS=MR","Sort=A","Dates=H","DateFormat=P","Fill=—","Direction=H","UseDPDF=Y")</f>
        <v>62.889499999999998</v>
      </c>
      <c r="Q54" s="14">
        <f>_xll.BDH("ITCI US Equity","ACCOUNTS_RECEIVABLE_SEQ_GROWTH","FQ2 2022","FQ2 2022","Currency=USD","Period=FQ","BEST_FPERIOD_OVERRIDE=FQ","FILING_STATUS=MR","Sort=A","Dates=H","DateFormat=P","Fill=—","Direction=H","UseDPDF=Y")</f>
        <v>43.079900000000002</v>
      </c>
      <c r="R54" s="14">
        <f>_xll.BDH("ITCI US Equity","ACCOUNTS_RECEIVABLE_SEQ_GROWTH","FQ3 2022","FQ3 2022","Currency=USD","Period=FQ","BEST_FPERIOD_OVERRIDE=FQ","FILING_STATUS=MR","Sort=A","Dates=H","DateFormat=P","Fill=—","Direction=H","UseDPDF=Y")</f>
        <v>30.998799999999999</v>
      </c>
      <c r="S54" s="14">
        <f>_xll.BDH("ITCI US Equity","ACCOUNTS_RECEIVABLE_SEQ_GROWTH","FQ4 2022","FQ4 2022","Currency=USD","Period=FQ","BEST_FPERIOD_OVERRIDE=FQ","FILING_STATUS=MR","Sort=A","Dates=H","DateFormat=P","Fill=—","Direction=H","UseDPDF=Y")</f>
        <v>22.183</v>
      </c>
      <c r="T54" s="14">
        <f>_xll.BDH("ITCI US Equity","ACCOUNTS_RECEIVABLE_SEQ_GROWTH","FQ1 2023","FQ1 2023","Currency=USD","Period=FQ","BEST_FPERIOD_OVERRIDE=FQ","FILING_STATUS=MR","Sort=A","Dates=H","DateFormat=P","Fill=—","Direction=H","UseDPDF=Y")</f>
        <v>8.4534000000000002</v>
      </c>
      <c r="U54" s="14">
        <f>_xll.BDH("ITCI US Equity","ACCOUNTS_RECEIVABLE_SEQ_GROWTH","FQ2 2023","FQ2 2023","Currency=USD","Period=FQ","BEST_FPERIOD_OVERRIDE=FQ","FILING_STATUS=MR","Sort=A","Dates=H","DateFormat=P","Fill=—","Direction=H","UseDPDF=Y")</f>
        <v>17.682300000000001</v>
      </c>
      <c r="V54" s="14">
        <f>_xll.BDH("ITCI US Equity","ACCOUNTS_RECEIVABLE_SEQ_GROWTH","FQ3 2023","FQ3 2023","Currency=USD","Period=FQ","BEST_FPERIOD_OVERRIDE=FQ","FILING_STATUS=MR","Sort=A","Dates=H","DateFormat=P","Fill=—","Direction=H","UseDPDF=Y")</f>
        <v>6.9880000000000004</v>
      </c>
      <c r="W54" s="14">
        <f>_xll.BDH("ITCI US Equity","ACCOUNTS_RECEIVABLE_SEQ_GROWTH","FQ4 2023","FQ4 2023","Currency=USD","Period=FQ","BEST_FPERIOD_OVERRIDE=FQ","FILING_STATUS=MR","Sort=A","Dates=H","DateFormat=P","Fill=—","Direction=H","UseDPDF=Y")</f>
        <v>11.052899999999999</v>
      </c>
      <c r="X54" s="14">
        <f>_xll.BDH("ITCI US Equity","ACCOUNTS_RECEIVABLE_SEQ_GROWTH","FQ1 2024","FQ1 2024","Currency=USD","Period=FQ","BEST_FPERIOD_OVERRIDE=FQ","FILING_STATUS=MR","Sort=A","Dates=H","DateFormat=P","Fill=—","Direction=H","UseDPDF=Y")</f>
        <v>15.0318</v>
      </c>
      <c r="Y54" s="14">
        <f>_xll.BDH("ITCI US Equity","ACCOUNTS_RECEIVABLE_SEQ_GROWTH","FQ2 2024","FQ2 2024","Currency=USD","Period=FQ","BEST_FPERIOD_OVERRIDE=FQ","FILING_STATUS=MR","Sort=A","Dates=H","DateFormat=P","Fill=—","Direction=H","UseDPDF=Y")</f>
        <v>11.0989</v>
      </c>
      <c r="Z54" s="14">
        <f>_xll.BDH("ITCI US Equity","ACCOUNTS_RECEIVABLE_SEQ_GROWTH","FQ3 2024","FQ3 2024","Currency=USD","Period=FQ","BEST_FPERIOD_OVERRIDE=FQ","FILING_STATUS=MR","Sort=A","Dates=H","DateFormat=P","Fill=—","Direction=H","UseDPDF=Y")</f>
        <v>-7.2700000000000001E-2</v>
      </c>
      <c r="AA54" s="14">
        <f>_xll.BDH("ITCI US Equity","ACCOUNTS_RECEIVABLE_SEQ_GROWTH","FQ4 2024","FQ4 2024","Currency=USD","Period=FQ","BEST_FPERIOD_OVERRIDE=FQ","FILING_STATUS=MR","Sort=A","Dates=H","DateFormat=P","Fill=—","Direction=H","UseDPDF=Y")</f>
        <v>14.348100000000001</v>
      </c>
    </row>
    <row r="55" spans="1:27" x14ac:dyDescent="0.25">
      <c r="A55" s="10" t="s">
        <v>1115</v>
      </c>
      <c r="B55" s="10" t="s">
        <v>1159</v>
      </c>
      <c r="C55" s="14" t="str">
        <f>_xll.BDH("ITCI US Equity","INVENTORY_SEQUENTIAL_GROWTH","FQ4 2018","FQ4 2018","Currency=USD","Period=FQ","BEST_FPERIOD_OVERRIDE=FQ","FILING_STATUS=MR","Sort=A","Dates=H","DateFormat=P","Fill=—","Direction=H","UseDPDF=Y")</f>
        <v>—</v>
      </c>
      <c r="D55" s="14" t="str">
        <f>_xll.BDH("ITCI US Equity","INVENTORY_SEQUENTIAL_GROWTH","FQ1 2019","FQ1 2019","Currency=USD","Period=FQ","BEST_FPERIOD_OVERRIDE=FQ","FILING_STATUS=MR","Sort=A","Dates=H","DateFormat=P","Fill=—","Direction=H","UseDPDF=Y")</f>
        <v>—</v>
      </c>
      <c r="E55" s="14" t="str">
        <f>_xll.BDH("ITCI US Equity","INVENTORY_SEQUENTIAL_GROWTH","FQ2 2019","FQ2 2019","Currency=USD","Period=FQ","BEST_FPERIOD_OVERRIDE=FQ","FILING_STATUS=MR","Sort=A","Dates=H","DateFormat=P","Fill=—","Direction=H","UseDPDF=Y")</f>
        <v>—</v>
      </c>
      <c r="F55" s="14" t="str">
        <f>_xll.BDH("ITCI US Equity","INVENTORY_SEQUENTIAL_GROWTH","FQ3 2019","FQ3 2019","Currency=USD","Period=FQ","BEST_FPERIOD_OVERRIDE=FQ","FILING_STATUS=MR","Sort=A","Dates=H","DateFormat=P","Fill=—","Direction=H","UseDPDF=Y")</f>
        <v>—</v>
      </c>
      <c r="G55" s="14" t="str">
        <f>_xll.BDH("ITCI US Equity","INVENTORY_SEQUENTIAL_GROWTH","FQ4 2019","FQ4 2019","Currency=USD","Period=FQ","BEST_FPERIOD_OVERRIDE=FQ","FILING_STATUS=MR","Sort=A","Dates=H","DateFormat=P","Fill=—","Direction=H","UseDPDF=Y")</f>
        <v>—</v>
      </c>
      <c r="H55" s="14" t="str">
        <f>_xll.BDH("ITCI US Equity","INVENTORY_SEQUENTIAL_GROWTH","FQ1 2020","FQ1 2020","Currency=USD","Period=FQ","BEST_FPERIOD_OVERRIDE=FQ","FILING_STATUS=MR","Sort=A","Dates=H","DateFormat=P","Fill=—","Direction=H","UseDPDF=Y")</f>
        <v>—</v>
      </c>
      <c r="I55" s="14">
        <f>_xll.BDH("ITCI US Equity","INVENTORY_SEQUENTIAL_GROWTH","FQ2 2020","FQ2 2020","Currency=USD","Period=FQ","BEST_FPERIOD_OVERRIDE=FQ","FILING_STATUS=MR","Sort=A","Dates=H","DateFormat=P","Fill=—","Direction=H","UseDPDF=Y")</f>
        <v>67.852900000000005</v>
      </c>
      <c r="J55" s="14">
        <f>_xll.BDH("ITCI US Equity","INVENTORY_SEQUENTIAL_GROWTH","FQ3 2020","FQ3 2020","Currency=USD","Period=FQ","BEST_FPERIOD_OVERRIDE=FQ","FILING_STATUS=MR","Sort=A","Dates=H","DateFormat=P","Fill=—","Direction=H","UseDPDF=Y")</f>
        <v>26.2135</v>
      </c>
      <c r="K55" s="14">
        <f>_xll.BDH("ITCI US Equity","INVENTORY_SEQUENTIAL_GROWTH","FQ4 2020","FQ4 2020","Currency=USD","Period=FQ","BEST_FPERIOD_OVERRIDE=FQ","FILING_STATUS=MR","Sort=A","Dates=H","DateFormat=P","Fill=—","Direction=H","UseDPDF=Y")</f>
        <v>139.43180000000001</v>
      </c>
      <c r="L55" s="14">
        <f>_xll.BDH("ITCI US Equity","INVENTORY_SEQUENTIAL_GROWTH","FQ1 2021","FQ1 2021","Currency=USD","Period=FQ","BEST_FPERIOD_OVERRIDE=FQ","FILING_STATUS=MR","Sort=A","Dates=H","DateFormat=P","Fill=—","Direction=H","UseDPDF=Y")</f>
        <v>7.4118000000000004</v>
      </c>
      <c r="M55" s="14">
        <f>_xll.BDH("ITCI US Equity","INVENTORY_SEQUENTIAL_GROWTH","FQ2 2021","FQ2 2021","Currency=USD","Period=FQ","BEST_FPERIOD_OVERRIDE=FQ","FILING_STATUS=MR","Sort=A","Dates=H","DateFormat=P","Fill=—","Direction=H","UseDPDF=Y")</f>
        <v>2.4996</v>
      </c>
      <c r="N55" s="14">
        <f>_xll.BDH("ITCI US Equity","INVENTORY_SEQUENTIAL_GROWTH","FQ3 2021","FQ3 2021","Currency=USD","Period=FQ","BEST_FPERIOD_OVERRIDE=FQ","FILING_STATUS=MR","Sort=A","Dates=H","DateFormat=P","Fill=—","Direction=H","UseDPDF=Y")</f>
        <v>5.1241000000000003</v>
      </c>
      <c r="O55" s="14">
        <f>_xll.BDH("ITCI US Equity","INVENTORY_SEQUENTIAL_GROWTH","FQ4 2021","FQ4 2021","Currency=USD","Period=FQ","BEST_FPERIOD_OVERRIDE=FQ","FILING_STATUS=MR","Sort=A","Dates=H","DateFormat=P","Fill=—","Direction=H","UseDPDF=Y")</f>
        <v>-2.6791999999999998</v>
      </c>
      <c r="P55" s="14">
        <f>_xll.BDH("ITCI US Equity","INVENTORY_SEQUENTIAL_GROWTH","FQ1 2022","FQ1 2022","Currency=USD","Period=FQ","BEST_FPERIOD_OVERRIDE=FQ","FILING_STATUS=MR","Sort=A","Dates=H","DateFormat=P","Fill=—","Direction=H","UseDPDF=Y")</f>
        <v>-0.69359999999999999</v>
      </c>
      <c r="Q55" s="14">
        <f>_xll.BDH("ITCI US Equity","INVENTORY_SEQUENTIAL_GROWTH","FQ2 2022","FQ2 2022","Currency=USD","Period=FQ","BEST_FPERIOD_OVERRIDE=FQ","FILING_STATUS=MR","Sort=A","Dates=H","DateFormat=P","Fill=—","Direction=H","UseDPDF=Y")</f>
        <v>217.01509999999999</v>
      </c>
      <c r="R55" s="14">
        <f>_xll.BDH("ITCI US Equity","INVENTORY_SEQUENTIAL_GROWTH","FQ3 2022","FQ3 2022","Currency=USD","Period=FQ","BEST_FPERIOD_OVERRIDE=FQ","FILING_STATUS=MR","Sort=A","Dates=H","DateFormat=P","Fill=—","Direction=H","UseDPDF=Y")</f>
        <v>-5.6950000000000003</v>
      </c>
      <c r="S55" s="14">
        <f>_xll.BDH("ITCI US Equity","INVENTORY_SEQUENTIAL_GROWTH","FQ4 2022","FQ4 2022","Currency=USD","Period=FQ","BEST_FPERIOD_OVERRIDE=FQ","FILING_STATUS=MR","Sort=A","Dates=H","DateFormat=P","Fill=—","Direction=H","UseDPDF=Y")</f>
        <v>1.3688</v>
      </c>
      <c r="T55" s="14">
        <f>_xll.BDH("ITCI US Equity","INVENTORY_SEQUENTIAL_GROWTH","FQ1 2023","FQ1 2023","Currency=USD","Period=FQ","BEST_FPERIOD_OVERRIDE=FQ","FILING_STATUS=MR","Sort=A","Dates=H","DateFormat=P","Fill=—","Direction=H","UseDPDF=Y")</f>
        <v>18.482399999999998</v>
      </c>
      <c r="U55" s="14">
        <f>_xll.BDH("ITCI US Equity","INVENTORY_SEQUENTIAL_GROWTH","FQ2 2023","FQ2 2023","Currency=USD","Period=FQ","BEST_FPERIOD_OVERRIDE=FQ","FILING_STATUS=MR","Sort=A","Dates=H","DateFormat=P","Fill=—","Direction=H","UseDPDF=Y")</f>
        <v>47.8247</v>
      </c>
      <c r="V55" s="14">
        <f>_xll.BDH("ITCI US Equity","INVENTORY_SEQUENTIAL_GROWTH","FQ3 2023","FQ3 2023","Currency=USD","Period=FQ","BEST_FPERIOD_OVERRIDE=FQ","FILING_STATUS=MR","Sort=A","Dates=H","DateFormat=P","Fill=—","Direction=H","UseDPDF=Y")</f>
        <v>2.6040999999999999</v>
      </c>
      <c r="W55" s="14">
        <f>_xll.BDH("ITCI US Equity","INVENTORY_SEQUENTIAL_GROWTH","FQ4 2023","FQ4 2023","Currency=USD","Period=FQ","BEST_FPERIOD_OVERRIDE=FQ","FILING_STATUS=MR","Sort=A","Dates=H","DateFormat=P","Fill=—","Direction=H","UseDPDF=Y")</f>
        <v>-72.905100000000004</v>
      </c>
      <c r="X55" s="14">
        <f>_xll.BDH("ITCI US Equity","INVENTORY_SEQUENTIAL_GROWTH","FQ1 2024","FQ1 2024","Currency=USD","Period=FQ","BEST_FPERIOD_OVERRIDE=FQ","FILING_STATUS=MR","Sort=A","Dates=H","DateFormat=P","Fill=—","Direction=H","UseDPDF=Y")</f>
        <v>36.936599999999999</v>
      </c>
      <c r="Y55" s="14">
        <f>_xll.BDH("ITCI US Equity","INVENTORY_SEQUENTIAL_GROWTH","FQ2 2024","FQ2 2024","Currency=USD","Period=FQ","BEST_FPERIOD_OVERRIDE=FQ","FILING_STATUS=MR","Sort=A","Dates=H","DateFormat=P","Fill=—","Direction=H","UseDPDF=Y")</f>
        <v>25.913900000000002</v>
      </c>
      <c r="Z55" s="14">
        <f>_xll.BDH("ITCI US Equity","INVENTORY_SEQUENTIAL_GROWTH","FQ3 2024","FQ3 2024","Currency=USD","Period=FQ","BEST_FPERIOD_OVERRIDE=FQ","FILING_STATUS=MR","Sort=A","Dates=H","DateFormat=P","Fill=—","Direction=H","UseDPDF=Y")</f>
        <v>17.214400000000001</v>
      </c>
      <c r="AA55" s="14">
        <f>_xll.BDH("ITCI US Equity","INVENTORY_SEQUENTIAL_GROWTH","FQ4 2024","FQ4 2024","Currency=USD","Period=FQ","BEST_FPERIOD_OVERRIDE=FQ","FILING_STATUS=MR","Sort=A","Dates=H","DateFormat=P","Fill=—","Direction=H","UseDPDF=Y")</f>
        <v>11.6572</v>
      </c>
    </row>
    <row r="56" spans="1:27" x14ac:dyDescent="0.25">
      <c r="A56" s="10" t="s">
        <v>1117</v>
      </c>
      <c r="B56" s="10" t="s">
        <v>1160</v>
      </c>
      <c r="C56" s="14">
        <f>_xll.BDH("ITCI US Equity","FIXED_ASSETS_SEQUENTIAL_GROWTH","FQ4 2018","FQ4 2018","Currency=USD","Period=FQ","BEST_FPERIOD_OVERRIDE=FQ","FILING_STATUS=MR","Sort=A","Dates=H","DateFormat=P","Fill=—","Direction=H","UseDPDF=Y")</f>
        <v>-3.0684999999999998</v>
      </c>
      <c r="D56" s="14">
        <f>_xll.BDH("ITCI US Equity","FIXED_ASSETS_SEQUENTIAL_GROWTH","FQ1 2019","FQ1 2019","Currency=USD","Period=FQ","BEST_FPERIOD_OVERRIDE=FQ","FILING_STATUS=MR","Sort=A","Dates=H","DateFormat=P","Fill=—","Direction=H","UseDPDF=Y")</f>
        <v>1730.5318</v>
      </c>
      <c r="E56" s="14">
        <f>_xll.BDH("ITCI US Equity","FIXED_ASSETS_SEQUENTIAL_GROWTH","FQ2 2019","FQ2 2019","Currency=USD","Period=FQ","BEST_FPERIOD_OVERRIDE=FQ","FILING_STATUS=MR","Sort=A","Dates=H","DateFormat=P","Fill=—","Direction=H","UseDPDF=Y")</f>
        <v>-1.5284</v>
      </c>
      <c r="F56" s="14">
        <f>_xll.BDH("ITCI US Equity","FIXED_ASSETS_SEQUENTIAL_GROWTH","FQ3 2019","FQ3 2019","Currency=USD","Period=FQ","BEST_FPERIOD_OVERRIDE=FQ","FILING_STATUS=MR","Sort=A","Dates=H","DateFormat=P","Fill=—","Direction=H","UseDPDF=Y")</f>
        <v>-0.90890000000000004</v>
      </c>
      <c r="G56" s="14">
        <f>_xll.BDH("ITCI US Equity","FIXED_ASSETS_SEQUENTIAL_GROWTH","FQ4 2019","FQ4 2019","Currency=USD","Period=FQ","BEST_FPERIOD_OVERRIDE=FQ","FILING_STATUS=MR","Sort=A","Dates=H","DateFormat=P","Fill=—","Direction=H","UseDPDF=Y")</f>
        <v>-0.98280000000000001</v>
      </c>
      <c r="H56" s="14">
        <f>_xll.BDH("ITCI US Equity","FIXED_ASSETS_SEQUENTIAL_GROWTH","FQ1 2020","FQ1 2020","Currency=USD","Period=FQ","BEST_FPERIOD_OVERRIDE=FQ","FILING_STATUS=MR","Sort=A","Dates=H","DateFormat=P","Fill=—","Direction=H","UseDPDF=Y")</f>
        <v>-1.5974999999999999</v>
      </c>
      <c r="I56" s="14">
        <f>_xll.BDH("ITCI US Equity","FIXED_ASSETS_SEQUENTIAL_GROWTH","FQ2 2020","FQ2 2020","Currency=USD","Period=FQ","BEST_FPERIOD_OVERRIDE=FQ","FILING_STATUS=MR","Sort=A","Dates=H","DateFormat=P","Fill=—","Direction=H","UseDPDF=Y")</f>
        <v>10.3409</v>
      </c>
      <c r="J56" s="14">
        <f>_xll.BDH("ITCI US Equity","FIXED_ASSETS_SEQUENTIAL_GROWTH","FQ3 2020","FQ3 2020","Currency=USD","Period=FQ","BEST_FPERIOD_OVERRIDE=FQ","FILING_STATUS=MR","Sort=A","Dates=H","DateFormat=P","Fill=—","Direction=H","UseDPDF=Y")</f>
        <v>18.276199999999999</v>
      </c>
      <c r="K56" s="14">
        <f>_xll.BDH("ITCI US Equity","FIXED_ASSETS_SEQUENTIAL_GROWTH","FQ4 2020","FQ4 2020","Currency=USD","Period=FQ","BEST_FPERIOD_OVERRIDE=FQ","FILING_STATUS=MR","Sort=A","Dates=H","DateFormat=P","Fill=—","Direction=H","UseDPDF=Y")</f>
        <v>-7.0699999999999999E-2</v>
      </c>
      <c r="L56" s="14">
        <f>_xll.BDH("ITCI US Equity","FIXED_ASSETS_SEQUENTIAL_GROWTH","FQ1 2021","FQ1 2021","Currency=USD","Period=FQ","BEST_FPERIOD_OVERRIDE=FQ","FILING_STATUS=MR","Sort=A","Dates=H","DateFormat=P","Fill=—","Direction=H","UseDPDF=Y")</f>
        <v>-3.879</v>
      </c>
      <c r="M56" s="14">
        <f>_xll.BDH("ITCI US Equity","FIXED_ASSETS_SEQUENTIAL_GROWTH","FQ2 2021","FQ2 2021","Currency=USD","Period=FQ","BEST_FPERIOD_OVERRIDE=FQ","FILING_STATUS=MR","Sort=A","Dates=H","DateFormat=P","Fill=—","Direction=H","UseDPDF=Y")</f>
        <v>-3.9312999999999998</v>
      </c>
      <c r="N56" s="14">
        <f>_xll.BDH("ITCI US Equity","FIXED_ASSETS_SEQUENTIAL_GROWTH","FQ3 2021","FQ3 2021","Currency=USD","Period=FQ","BEST_FPERIOD_OVERRIDE=FQ","FILING_STATUS=MR","Sort=A","Dates=H","DateFormat=P","Fill=—","Direction=H","UseDPDF=Y")</f>
        <v>-2.7166999999999999</v>
      </c>
      <c r="O56" s="14">
        <f>_xll.BDH("ITCI US Equity","FIXED_ASSETS_SEQUENTIAL_GROWTH","FQ4 2021","FQ4 2021","Currency=USD","Period=FQ","BEST_FPERIOD_OVERRIDE=FQ","FILING_STATUS=MR","Sort=A","Dates=H","DateFormat=P","Fill=—","Direction=H","UseDPDF=Y")</f>
        <v>-4.6170999999999998</v>
      </c>
      <c r="P56" s="14">
        <f>_xll.BDH("ITCI US Equity","FIXED_ASSETS_SEQUENTIAL_GROWTH","FQ1 2022","FQ1 2022","Currency=USD","Period=FQ","BEST_FPERIOD_OVERRIDE=FQ","FILING_STATUS=MR","Sort=A","Dates=H","DateFormat=P","Fill=—","Direction=H","UseDPDF=Y")</f>
        <v>-10.6547</v>
      </c>
      <c r="Q56" s="14">
        <f>_xll.BDH("ITCI US Equity","FIXED_ASSETS_SEQUENTIAL_GROWTH","FQ2 2022","FQ2 2022","Currency=USD","Period=FQ","BEST_FPERIOD_OVERRIDE=FQ","FILING_STATUS=MR","Sort=A","Dates=H","DateFormat=P","Fill=—","Direction=H","UseDPDF=Y")</f>
        <v>12.2171</v>
      </c>
      <c r="R56" s="14">
        <f>_xll.BDH("ITCI US Equity","FIXED_ASSETS_SEQUENTIAL_GROWTH","FQ3 2022","FQ3 2022","Currency=USD","Period=FQ","BEST_FPERIOD_OVERRIDE=FQ","FILING_STATUS=MR","Sort=A","Dates=H","DateFormat=P","Fill=—","Direction=H","UseDPDF=Y")</f>
        <v>-2.0209000000000001</v>
      </c>
      <c r="S56" s="14">
        <f>_xll.BDH("ITCI US Equity","FIXED_ASSETS_SEQUENTIAL_GROWTH","FQ4 2022","FQ4 2022","Currency=USD","Period=FQ","BEST_FPERIOD_OVERRIDE=FQ","FILING_STATUS=MR","Sort=A","Dates=H","DateFormat=P","Fill=—","Direction=H","UseDPDF=Y")</f>
        <v>-24.4618</v>
      </c>
      <c r="T56" s="14">
        <f>_xll.BDH("ITCI US Equity","FIXED_ASSETS_SEQUENTIAL_GROWTH","FQ1 2023","FQ1 2023","Currency=USD","Period=FQ","BEST_FPERIOD_OVERRIDE=FQ","FILING_STATUS=MR","Sort=A","Dates=H","DateFormat=P","Fill=—","Direction=H","UseDPDF=Y")</f>
        <v>-4.5349000000000004</v>
      </c>
      <c r="U56" s="14">
        <f>_xll.BDH("ITCI US Equity","FIXED_ASSETS_SEQUENTIAL_GROWTH","FQ2 2023","FQ2 2023","Currency=USD","Period=FQ","BEST_FPERIOD_OVERRIDE=FQ","FILING_STATUS=MR","Sort=A","Dates=H","DateFormat=P","Fill=—","Direction=H","UseDPDF=Y")</f>
        <v>-3.3483999999999998</v>
      </c>
      <c r="V56" s="14">
        <f>_xll.BDH("ITCI US Equity","FIXED_ASSETS_SEQUENTIAL_GROWTH","FQ3 2023","FQ3 2023","Currency=USD","Period=FQ","BEST_FPERIOD_OVERRIDE=FQ","FILING_STATUS=MR","Sort=A","Dates=H","DateFormat=P","Fill=—","Direction=H","UseDPDF=Y")</f>
        <v>-1.8778999999999999</v>
      </c>
      <c r="W56" s="14">
        <f>_xll.BDH("ITCI US Equity","FIXED_ASSETS_SEQUENTIAL_GROWTH","FQ4 2023","FQ4 2023","Currency=USD","Period=FQ","BEST_FPERIOD_OVERRIDE=FQ","FILING_STATUS=MR","Sort=A","Dates=H","DateFormat=P","Fill=—","Direction=H","UseDPDF=Y")</f>
        <v>-3.7682000000000002</v>
      </c>
      <c r="X56" s="14">
        <f>_xll.BDH("ITCI US Equity","FIXED_ASSETS_SEQUENTIAL_GROWTH","FQ1 2024","FQ1 2024","Currency=USD","Period=FQ","BEST_FPERIOD_OVERRIDE=FQ","FILING_STATUS=MR","Sort=A","Dates=H","DateFormat=P","Fill=—","Direction=H","UseDPDF=Y")</f>
        <v>-3.9706000000000001</v>
      </c>
      <c r="Y56" s="14">
        <f>_xll.BDH("ITCI US Equity","FIXED_ASSETS_SEQUENTIAL_GROWTH","FQ2 2024","FQ2 2024","Currency=USD","Period=FQ","BEST_FPERIOD_OVERRIDE=FQ","FILING_STATUS=MR","Sort=A","Dates=H","DateFormat=P","Fill=—","Direction=H","UseDPDF=Y")</f>
        <v>13.9184</v>
      </c>
      <c r="Z56" s="14">
        <f>_xll.BDH("ITCI US Equity","FIXED_ASSETS_SEQUENTIAL_GROWTH","FQ3 2024","FQ3 2024","Currency=USD","Period=FQ","BEST_FPERIOD_OVERRIDE=FQ","FILING_STATUS=MR","Sort=A","Dates=H","DateFormat=P","Fill=—","Direction=H","UseDPDF=Y")</f>
        <v>0.4012</v>
      </c>
      <c r="AA56" s="14">
        <f>_xll.BDH("ITCI US Equity","FIXED_ASSETS_SEQUENTIAL_GROWTH","FQ4 2024","FQ4 2024","Currency=USD","Period=FQ","BEST_FPERIOD_OVERRIDE=FQ","FILING_STATUS=MR","Sort=A","Dates=H","DateFormat=P","Fill=—","Direction=H","UseDPDF=Y")</f>
        <v>-6.9930000000000003</v>
      </c>
    </row>
    <row r="57" spans="1:27" x14ac:dyDescent="0.25">
      <c r="A57" s="10" t="s">
        <v>112</v>
      </c>
      <c r="B57" s="10" t="s">
        <v>1161</v>
      </c>
      <c r="C57" s="14">
        <f>_xll.BDH("ITCI US Equity","TOTAL_ASSETS_SEQUENTIAL_GROWTH","FQ4 2018","FQ4 2018","Currency=USD","Period=FQ","BEST_FPERIOD_OVERRIDE=FQ","FILING_STATUS=MR","Sort=A","Dates=H","DateFormat=P","Fill=—","Direction=H","UseDPDF=Y")</f>
        <v>-7.3604000000000003</v>
      </c>
      <c r="D57" s="14">
        <f>_xll.BDH("ITCI US Equity","TOTAL_ASSETS_SEQUENTIAL_GROWTH","FQ1 2019","FQ1 2019","Currency=USD","Period=FQ","BEST_FPERIOD_OVERRIDE=FQ","FILING_STATUS=MR","Sort=A","Dates=H","DateFormat=P","Fill=—","Direction=H","UseDPDF=Y")</f>
        <v>-3.9847000000000001</v>
      </c>
      <c r="E57" s="14">
        <f>_xll.BDH("ITCI US Equity","TOTAL_ASSETS_SEQUENTIAL_GROWTH","FQ2 2019","FQ2 2019","Currency=USD","Period=FQ","BEST_FPERIOD_OVERRIDE=FQ","FILING_STATUS=MR","Sort=A","Dates=H","DateFormat=P","Fill=—","Direction=H","UseDPDF=Y")</f>
        <v>-9.6539000000000001</v>
      </c>
      <c r="F57" s="14">
        <f>_xll.BDH("ITCI US Equity","TOTAL_ASSETS_SEQUENTIAL_GROWTH","FQ3 2019","FQ3 2019","Currency=USD","Period=FQ","BEST_FPERIOD_OVERRIDE=FQ","FILING_STATUS=MR","Sort=A","Dates=H","DateFormat=P","Fill=—","Direction=H","UseDPDF=Y")</f>
        <v>-9.4686000000000003</v>
      </c>
      <c r="G57" s="14">
        <f>_xll.BDH("ITCI US Equity","TOTAL_ASSETS_SEQUENTIAL_GROWTH","FQ4 2019","FQ4 2019","Currency=USD","Period=FQ","BEST_FPERIOD_OVERRIDE=FQ","FILING_STATUS=MR","Sort=A","Dates=H","DateFormat=P","Fill=—","Direction=H","UseDPDF=Y")</f>
        <v>-10.457800000000001</v>
      </c>
      <c r="H57" s="14">
        <f>_xll.BDH("ITCI US Equity","TOTAL_ASSETS_SEQUENTIAL_GROWTH","FQ1 2020","FQ1 2020","Currency=USD","Period=FQ","BEST_FPERIOD_OVERRIDE=FQ","FILING_STATUS=MR","Sort=A","Dates=H","DateFormat=P","Fill=—","Direction=H","UseDPDF=Y")</f>
        <v>91.587800000000001</v>
      </c>
      <c r="I57" s="14">
        <f>_xll.BDH("ITCI US Equity","TOTAL_ASSETS_SEQUENTIAL_GROWTH","FQ2 2020","FQ2 2020","Currency=USD","Period=FQ","BEST_FPERIOD_OVERRIDE=FQ","FILING_STATUS=MR","Sort=A","Dates=H","DateFormat=P","Fill=—","Direction=H","UseDPDF=Y")</f>
        <v>-8.3765999999999998</v>
      </c>
      <c r="J57" s="14">
        <f>_xll.BDH("ITCI US Equity","TOTAL_ASSETS_SEQUENTIAL_GROWTH","FQ3 2020","FQ3 2020","Currency=USD","Period=FQ","BEST_FPERIOD_OVERRIDE=FQ","FILING_STATUS=MR","Sort=A","Dates=H","DateFormat=P","Fill=—","Direction=H","UseDPDF=Y")</f>
        <v>74.924000000000007</v>
      </c>
      <c r="K57" s="14">
        <f>_xll.BDH("ITCI US Equity","TOTAL_ASSETS_SEQUENTIAL_GROWTH","FQ4 2020","FQ4 2020","Currency=USD","Period=FQ","BEST_FPERIOD_OVERRIDE=FQ","FILING_STATUS=MR","Sort=A","Dates=H","DateFormat=P","Fill=—","Direction=H","UseDPDF=Y")</f>
        <v>-6.9985999999999997</v>
      </c>
      <c r="L57" s="14">
        <f>_xll.BDH("ITCI US Equity","TOTAL_ASSETS_SEQUENTIAL_GROWTH","FQ1 2021","FQ1 2021","Currency=USD","Period=FQ","BEST_FPERIOD_OVERRIDE=FQ","FILING_STATUS=MR","Sort=A","Dates=H","DateFormat=P","Fill=—","Direction=H","UseDPDF=Y")</f>
        <v>-5.9702000000000002</v>
      </c>
      <c r="M57" s="14">
        <f>_xll.BDH("ITCI US Equity","TOTAL_ASSETS_SEQUENTIAL_GROWTH","FQ2 2021","FQ2 2021","Currency=USD","Period=FQ","BEST_FPERIOD_OVERRIDE=FQ","FILING_STATUS=MR","Sort=A","Dates=H","DateFormat=P","Fill=—","Direction=H","UseDPDF=Y")</f>
        <v>-7.2339000000000002</v>
      </c>
      <c r="N57" s="14">
        <f>_xll.BDH("ITCI US Equity","TOTAL_ASSETS_SEQUENTIAL_GROWTH","FQ3 2021","FQ3 2021","Currency=USD","Period=FQ","BEST_FPERIOD_OVERRIDE=FQ","FILING_STATUS=MR","Sort=A","Dates=H","DateFormat=P","Fill=—","Direction=H","UseDPDF=Y")</f>
        <v>-10.9831</v>
      </c>
      <c r="O57" s="14">
        <f>_xll.BDH("ITCI US Equity","TOTAL_ASSETS_SEQUENTIAL_GROWTH","FQ4 2021","FQ4 2021","Currency=USD","Period=FQ","BEST_FPERIOD_OVERRIDE=FQ","FILING_STATUS=MR","Sort=A","Dates=H","DateFormat=P","Fill=—","Direction=H","UseDPDF=Y")</f>
        <v>-12.0389</v>
      </c>
      <c r="P57" s="14">
        <f>_xll.BDH("ITCI US Equity","TOTAL_ASSETS_SEQUENTIAL_GROWTH","FQ1 2022","FQ1 2022","Currency=USD","Period=FQ","BEST_FPERIOD_OVERRIDE=FQ","FILING_STATUS=MR","Sort=A","Dates=H","DateFormat=P","Fill=—","Direction=H","UseDPDF=Y")</f>
        <v>77.289400000000001</v>
      </c>
      <c r="Q57" s="14">
        <f>_xll.BDH("ITCI US Equity","TOTAL_ASSETS_SEQUENTIAL_GROWTH","FQ2 2022","FQ2 2022","Currency=USD","Period=FQ","BEST_FPERIOD_OVERRIDE=FQ","FILING_STATUS=MR","Sort=A","Dates=H","DateFormat=P","Fill=—","Direction=H","UseDPDF=Y")</f>
        <v>-6.5248999999999997</v>
      </c>
      <c r="R57" s="14">
        <f>_xll.BDH("ITCI US Equity","TOTAL_ASSETS_SEQUENTIAL_GROWTH","FQ3 2022","FQ3 2022","Currency=USD","Period=FQ","BEST_FPERIOD_OVERRIDE=FQ","FILING_STATUS=MR","Sort=A","Dates=H","DateFormat=P","Fill=—","Direction=H","UseDPDF=Y")</f>
        <v>-3.6836000000000002</v>
      </c>
      <c r="S57" s="14">
        <f>_xll.BDH("ITCI US Equity","TOTAL_ASSETS_SEQUENTIAL_GROWTH","FQ4 2022","FQ4 2022","Currency=USD","Period=FQ","BEST_FPERIOD_OVERRIDE=FQ","FILING_STATUS=MR","Sort=A","Dates=H","DateFormat=P","Fill=—","Direction=H","UseDPDF=Y")</f>
        <v>-3.4807000000000001</v>
      </c>
      <c r="T57" s="14">
        <f>_xll.BDH("ITCI US Equity","TOTAL_ASSETS_SEQUENTIAL_GROWTH","FQ1 2023","FQ1 2023","Currency=USD","Period=FQ","BEST_FPERIOD_OVERRIDE=FQ","FILING_STATUS=MR","Sort=A","Dates=H","DateFormat=P","Fill=—","Direction=H","UseDPDF=Y")</f>
        <v>-4.3220999999999998</v>
      </c>
      <c r="U57" s="14">
        <f>_xll.BDH("ITCI US Equity","TOTAL_ASSETS_SEQUENTIAL_GROWTH","FQ2 2023","FQ2 2023","Currency=USD","Period=FQ","BEST_FPERIOD_OVERRIDE=FQ","FILING_STATUS=MR","Sort=A","Dates=H","DateFormat=P","Fill=—","Direction=H","UseDPDF=Y")</f>
        <v>-1.1848000000000001</v>
      </c>
      <c r="V57" s="14">
        <f>_xll.BDH("ITCI US Equity","TOTAL_ASSETS_SEQUENTIAL_GROWTH","FQ3 2023","FQ3 2023","Currency=USD","Period=FQ","BEST_FPERIOD_OVERRIDE=FQ","FILING_STATUS=MR","Sort=A","Dates=H","DateFormat=P","Fill=—","Direction=H","UseDPDF=Y")</f>
        <v>0.56920000000000004</v>
      </c>
      <c r="W57" s="14">
        <f>_xll.BDH("ITCI US Equity","TOTAL_ASSETS_SEQUENTIAL_GROWTH","FQ4 2023","FQ4 2023","Currency=USD","Period=FQ","BEST_FPERIOD_OVERRIDE=FQ","FILING_STATUS=MR","Sort=A","Dates=H","DateFormat=P","Fill=—","Direction=H","UseDPDF=Y")</f>
        <v>1.4813000000000001</v>
      </c>
      <c r="X57" s="14">
        <f>_xll.BDH("ITCI US Equity","TOTAL_ASSETS_SEQUENTIAL_GROWTH","FQ1 2024","FQ1 2024","Currency=USD","Period=FQ","BEST_FPERIOD_OVERRIDE=FQ","FILING_STATUS=MR","Sort=A","Dates=H","DateFormat=P","Fill=—","Direction=H","UseDPDF=Y")</f>
        <v>2.5733000000000001</v>
      </c>
      <c r="Y57" s="14">
        <f>_xll.BDH("ITCI US Equity","TOTAL_ASSETS_SEQUENTIAL_GROWTH","FQ2 2024","FQ2 2024","Currency=USD","Period=FQ","BEST_FPERIOD_OVERRIDE=FQ","FILING_STATUS=MR","Sort=A","Dates=H","DateFormat=P","Fill=—","Direction=H","UseDPDF=Y")</f>
        <v>76.765799999999999</v>
      </c>
      <c r="Z57" s="14">
        <f>_xll.BDH("ITCI US Equity","TOTAL_ASSETS_SEQUENTIAL_GROWTH","FQ3 2024","FQ3 2024","Currency=USD","Period=FQ","BEST_FPERIOD_OVERRIDE=FQ","FILING_STATUS=MR","Sort=A","Dates=H","DateFormat=P","Fill=—","Direction=H","UseDPDF=Y")</f>
        <v>0.2984</v>
      </c>
      <c r="AA57" s="14">
        <f>_xll.BDH("ITCI US Equity","TOTAL_ASSETS_SEQUENTIAL_GROWTH","FQ4 2024","FQ4 2024","Currency=USD","Period=FQ","BEST_FPERIOD_OVERRIDE=FQ","FILING_STATUS=MR","Sort=A","Dates=H","DateFormat=P","Fill=—","Direction=H","UseDPDF=Y")</f>
        <v>3.2063999999999999</v>
      </c>
    </row>
    <row r="58" spans="1:27" x14ac:dyDescent="0.25">
      <c r="A58" s="10" t="s">
        <v>1120</v>
      </c>
      <c r="B58" s="10" t="s">
        <v>1162</v>
      </c>
      <c r="C58" s="14" t="str">
        <f>_xll.BDH("ITCI US Equity","MODIFIED_WORKING_CPTL_SEQ_GRWTH","FQ4 2018","FQ4 2018","Currency=USD","Period=FQ","BEST_FPERIOD_OVERRIDE=FQ","FILING_STATUS=MR","Sort=A","Dates=H","DateFormat=P","Fill=—","Direction=H","UseDPDF=Y")</f>
        <v>—</v>
      </c>
      <c r="D58" s="14" t="str">
        <f>_xll.BDH("ITCI US Equity","MODIFIED_WORKING_CPTL_SEQ_GRWTH","FQ1 2019","FQ1 2019","Currency=USD","Period=FQ","BEST_FPERIOD_OVERRIDE=FQ","FILING_STATUS=MR","Sort=A","Dates=H","DateFormat=P","Fill=—","Direction=H","UseDPDF=Y")</f>
        <v>—</v>
      </c>
      <c r="E58" s="14" t="str">
        <f>_xll.BDH("ITCI US Equity","MODIFIED_WORKING_CPTL_SEQ_GRWTH","FQ2 2019","FQ2 2019","Currency=USD","Period=FQ","BEST_FPERIOD_OVERRIDE=FQ","FILING_STATUS=MR","Sort=A","Dates=H","DateFormat=P","Fill=—","Direction=H","UseDPDF=Y")</f>
        <v>—</v>
      </c>
      <c r="F58" s="14" t="str">
        <f>_xll.BDH("ITCI US Equity","MODIFIED_WORKING_CPTL_SEQ_GRWTH","FQ3 2019","FQ3 2019","Currency=USD","Period=FQ","BEST_FPERIOD_OVERRIDE=FQ","FILING_STATUS=MR","Sort=A","Dates=H","DateFormat=P","Fill=—","Direction=H","UseDPDF=Y")</f>
        <v>—</v>
      </c>
      <c r="G58" s="14" t="str">
        <f>_xll.BDH("ITCI US Equity","MODIFIED_WORKING_CPTL_SEQ_GRWTH","FQ4 2019","FQ4 2019","Currency=USD","Period=FQ","BEST_FPERIOD_OVERRIDE=FQ","FILING_STATUS=MR","Sort=A","Dates=H","DateFormat=P","Fill=—","Direction=H","UseDPDF=Y")</f>
        <v>—</v>
      </c>
      <c r="H58" s="14" t="str">
        <f>_xll.BDH("ITCI US Equity","MODIFIED_WORKING_CPTL_SEQ_GRWTH","FQ1 2020","FQ1 2020","Currency=USD","Period=FQ","BEST_FPERIOD_OVERRIDE=FQ","FILING_STATUS=MR","Sort=A","Dates=H","DateFormat=P","Fill=—","Direction=H","UseDPDF=Y")</f>
        <v>—</v>
      </c>
      <c r="I58" s="14" t="str">
        <f>_xll.BDH("ITCI US Equity","MODIFIED_WORKING_CPTL_SEQ_GRWTH","FQ2 2020","FQ2 2020","Currency=USD","Period=FQ","BEST_FPERIOD_OVERRIDE=FQ","FILING_STATUS=MR","Sort=A","Dates=H","DateFormat=P","Fill=—","Direction=H","UseDPDF=Y")</f>
        <v>—</v>
      </c>
      <c r="J58" s="14" t="str">
        <f>_xll.BDH("ITCI US Equity","MODIFIED_WORKING_CPTL_SEQ_GRWTH","FQ3 2020","FQ3 2020","Currency=USD","Period=FQ","BEST_FPERIOD_OVERRIDE=FQ","FILING_STATUS=MR","Sort=A","Dates=H","DateFormat=P","Fill=—","Direction=H","UseDPDF=Y")</f>
        <v>—</v>
      </c>
      <c r="K58" s="14">
        <f>_xll.BDH("ITCI US Equity","MODIFIED_WORKING_CPTL_SEQ_GRWTH","FQ4 2020","FQ4 2020","Currency=USD","Period=FQ","BEST_FPERIOD_OVERRIDE=FQ","FILING_STATUS=MR","Sort=A","Dates=H","DateFormat=P","Fill=—","Direction=H","UseDPDF=Y")</f>
        <v>562.82060000000001</v>
      </c>
      <c r="L58" s="14">
        <f>_xll.BDH("ITCI US Equity","MODIFIED_WORKING_CPTL_SEQ_GRWTH","FQ1 2021","FQ1 2021","Currency=USD","Period=FQ","BEST_FPERIOD_OVERRIDE=FQ","FILING_STATUS=MR","Sort=A","Dates=H","DateFormat=P","Fill=—","Direction=H","UseDPDF=Y")</f>
        <v>1.6338999999999999</v>
      </c>
      <c r="M58" s="14">
        <f>_xll.BDH("ITCI US Equity","MODIFIED_WORKING_CPTL_SEQ_GRWTH","FQ2 2021","FQ2 2021","Currency=USD","Period=FQ","BEST_FPERIOD_OVERRIDE=FQ","FILING_STATUS=MR","Sort=A","Dates=H","DateFormat=P","Fill=—","Direction=H","UseDPDF=Y")</f>
        <v>-43.964300000000001</v>
      </c>
      <c r="N58" s="14">
        <f>_xll.BDH("ITCI US Equity","MODIFIED_WORKING_CPTL_SEQ_GRWTH","FQ3 2021","FQ3 2021","Currency=USD","Period=FQ","BEST_FPERIOD_OVERRIDE=FQ","FILING_STATUS=MR","Sort=A","Dates=H","DateFormat=P","Fill=—","Direction=H","UseDPDF=Y")</f>
        <v>86.300600000000003</v>
      </c>
      <c r="O58" s="14">
        <f>_xll.BDH("ITCI US Equity","MODIFIED_WORKING_CPTL_SEQ_GRWTH","FQ4 2021","FQ4 2021","Currency=USD","Period=FQ","BEST_FPERIOD_OVERRIDE=FQ","FILING_STATUS=MR","Sort=A","Dates=H","DateFormat=P","Fill=—","Direction=H","UseDPDF=Y")</f>
        <v>48.522599999999997</v>
      </c>
      <c r="P58" s="14">
        <f>_xll.BDH("ITCI US Equity","MODIFIED_WORKING_CPTL_SEQ_GRWTH","FQ1 2022","FQ1 2022","Currency=USD","Period=FQ","BEST_FPERIOD_OVERRIDE=FQ","FILING_STATUS=MR","Sort=A","Dates=H","DateFormat=P","Fill=—","Direction=H","UseDPDF=Y")</f>
        <v>49.776699999999998</v>
      </c>
      <c r="Q58" s="14">
        <f>_xll.BDH("ITCI US Equity","MODIFIED_WORKING_CPTL_SEQ_GRWTH","FQ2 2022","FQ2 2022","Currency=USD","Period=FQ","BEST_FPERIOD_OVERRIDE=FQ","FILING_STATUS=MR","Sort=A","Dates=H","DateFormat=P","Fill=—","Direction=H","UseDPDF=Y")</f>
        <v>110.6514</v>
      </c>
      <c r="R58" s="14">
        <f>_xll.BDH("ITCI US Equity","MODIFIED_WORKING_CPTL_SEQ_GRWTH","FQ3 2022","FQ3 2022","Currency=USD","Period=FQ","BEST_FPERIOD_OVERRIDE=FQ","FILING_STATUS=MR","Sort=A","Dates=H","DateFormat=P","Fill=—","Direction=H","UseDPDF=Y")</f>
        <v>15.783099999999999</v>
      </c>
      <c r="S58" s="14">
        <f>_xll.BDH("ITCI US Equity","MODIFIED_WORKING_CPTL_SEQ_GRWTH","FQ4 2022","FQ4 2022","Currency=USD","Period=FQ","BEST_FPERIOD_OVERRIDE=FQ","FILING_STATUS=MR","Sort=A","Dates=H","DateFormat=P","Fill=—","Direction=H","UseDPDF=Y")</f>
        <v>25.097300000000001</v>
      </c>
      <c r="T58" s="14">
        <f>_xll.BDH("ITCI US Equity","MODIFIED_WORKING_CPTL_SEQ_GRWTH","FQ1 2023","FQ1 2023","Currency=USD","Period=FQ","BEST_FPERIOD_OVERRIDE=FQ","FILING_STATUS=MR","Sort=A","Dates=H","DateFormat=P","Fill=—","Direction=H","UseDPDF=Y")</f>
        <v>14.3506</v>
      </c>
      <c r="U58" s="14">
        <f>_xll.BDH("ITCI US Equity","MODIFIED_WORKING_CPTL_SEQ_GRWTH","FQ2 2023","FQ2 2023","Currency=USD","Period=FQ","BEST_FPERIOD_OVERRIDE=FQ","FILING_STATUS=MR","Sort=A","Dates=H","DateFormat=P","Fill=—","Direction=H","UseDPDF=Y")</f>
        <v>28.272500000000001</v>
      </c>
      <c r="V58" s="14">
        <f>_xll.BDH("ITCI US Equity","MODIFIED_WORKING_CPTL_SEQ_GRWTH","FQ3 2023","FQ3 2023","Currency=USD","Period=FQ","BEST_FPERIOD_OVERRIDE=FQ","FILING_STATUS=MR","Sort=A","Dates=H","DateFormat=P","Fill=—","Direction=H","UseDPDF=Y")</f>
        <v>3.7786</v>
      </c>
      <c r="W58" s="14">
        <f>_xll.BDH("ITCI US Equity","MODIFIED_WORKING_CPTL_SEQ_GRWTH","FQ4 2023","FQ4 2023","Currency=USD","Period=FQ","BEST_FPERIOD_OVERRIDE=FQ","FILING_STATUS=MR","Sort=A","Dates=H","DateFormat=P","Fill=—","Direction=H","UseDPDF=Y")</f>
        <v>-15.4247</v>
      </c>
      <c r="X58" s="14">
        <f>_xll.BDH("ITCI US Equity","MODIFIED_WORKING_CPTL_SEQ_GRWTH","FQ1 2024","FQ1 2024","Currency=USD","Period=FQ","BEST_FPERIOD_OVERRIDE=FQ","FILING_STATUS=MR","Sort=A","Dates=H","DateFormat=P","Fill=—","Direction=H","UseDPDF=Y")</f>
        <v>18.7028</v>
      </c>
      <c r="Y58" s="14">
        <f>_xll.BDH("ITCI US Equity","MODIFIED_WORKING_CPTL_SEQ_GRWTH","FQ2 2024","FQ2 2024","Currency=USD","Period=FQ","BEST_FPERIOD_OVERRIDE=FQ","FILING_STATUS=MR","Sort=A","Dates=H","DateFormat=P","Fill=—","Direction=H","UseDPDF=Y")</f>
        <v>9.3483999999999998</v>
      </c>
      <c r="Z58" s="14">
        <f>_xll.BDH("ITCI US Equity","MODIFIED_WORKING_CPTL_SEQ_GRWTH","FQ3 2024","FQ3 2024","Currency=USD","Period=FQ","BEST_FPERIOD_OVERRIDE=FQ","FILING_STATUS=MR","Sort=A","Dates=H","DateFormat=P","Fill=—","Direction=H","UseDPDF=Y")</f>
        <v>7.1238999999999999</v>
      </c>
      <c r="AA58" s="14">
        <f>_xll.BDH("ITCI US Equity","MODIFIED_WORKING_CPTL_SEQ_GRWTH","FQ4 2024","FQ4 2024","Currency=USD","Period=FQ","BEST_FPERIOD_OVERRIDE=FQ","FILING_STATUS=MR","Sort=A","Dates=H","DateFormat=P","Fill=—","Direction=H","UseDPDF=Y")</f>
        <v>4.9744999999999999</v>
      </c>
    </row>
    <row r="59" spans="1:27" x14ac:dyDescent="0.25">
      <c r="A59" s="10" t="s">
        <v>1122</v>
      </c>
      <c r="B59" s="10" t="s">
        <v>1163</v>
      </c>
      <c r="C59" s="14">
        <f>_xll.BDH("ITCI US Equity","WORKING_CAPITAL_SEQ_GROWTH","FQ4 2018","FQ4 2018","Currency=USD","Period=FQ","BEST_FPERIOD_OVERRIDE=FQ","FILING_STATUS=MR","Sort=A","Dates=H","DateFormat=P","Fill=—","Direction=H","UseDPDF=Y")</f>
        <v>-9.8793000000000006</v>
      </c>
      <c r="D59" s="14">
        <f>_xll.BDH("ITCI US Equity","WORKING_CAPITAL_SEQ_GROWTH","FQ1 2019","FQ1 2019","Currency=USD","Period=FQ","BEST_FPERIOD_OVERRIDE=FQ","FILING_STATUS=MR","Sort=A","Dates=H","DateFormat=P","Fill=—","Direction=H","UseDPDF=Y")</f>
        <v>-9.8737999999999992</v>
      </c>
      <c r="E59" s="14">
        <f>_xll.BDH("ITCI US Equity","WORKING_CAPITAL_SEQ_GROWTH","FQ2 2019","FQ2 2019","Currency=USD","Period=FQ","BEST_FPERIOD_OVERRIDE=FQ","FILING_STATUS=MR","Sort=A","Dates=H","DateFormat=P","Fill=—","Direction=H","UseDPDF=Y")</f>
        <v>-11.0604</v>
      </c>
      <c r="F59" s="14">
        <f>_xll.BDH("ITCI US Equity","WORKING_CAPITAL_SEQ_GROWTH","FQ3 2019","FQ3 2019","Currency=USD","Period=FQ","BEST_FPERIOD_OVERRIDE=FQ","FILING_STATUS=MR","Sort=A","Dates=H","DateFormat=P","Fill=—","Direction=H","UseDPDF=Y")</f>
        <v>-11.622299999999999</v>
      </c>
      <c r="G59" s="14">
        <f>_xll.BDH("ITCI US Equity","WORKING_CAPITAL_SEQ_GROWTH","FQ4 2019","FQ4 2019","Currency=USD","Period=FQ","BEST_FPERIOD_OVERRIDE=FQ","FILING_STATUS=MR","Sort=A","Dates=H","DateFormat=P","Fill=—","Direction=H","UseDPDF=Y")</f>
        <v>-14.1469</v>
      </c>
      <c r="H59" s="14">
        <f>_xll.BDH("ITCI US Equity","WORKING_CAPITAL_SEQ_GROWTH","FQ1 2020","FQ1 2020","Currency=USD","Period=FQ","BEST_FPERIOD_OVERRIDE=FQ","FILING_STATUS=MR","Sort=A","Dates=H","DateFormat=P","Fill=—","Direction=H","UseDPDF=Y")</f>
        <v>121.48180000000001</v>
      </c>
      <c r="I59" s="14">
        <f>_xll.BDH("ITCI US Equity","WORKING_CAPITAL_SEQ_GROWTH","FQ2 2020","FQ2 2020","Currency=USD","Period=FQ","BEST_FPERIOD_OVERRIDE=FQ","FILING_STATUS=MR","Sort=A","Dates=H","DateFormat=P","Fill=—","Direction=H","UseDPDF=Y")</f>
        <v>-11.994899999999999</v>
      </c>
      <c r="J59" s="14">
        <f>_xll.BDH("ITCI US Equity","WORKING_CAPITAL_SEQ_GROWTH","FQ3 2020","FQ3 2020","Currency=USD","Period=FQ","BEST_FPERIOD_OVERRIDE=FQ","FILING_STATUS=MR","Sort=A","Dates=H","DateFormat=P","Fill=—","Direction=H","UseDPDF=Y")</f>
        <v>86.830600000000004</v>
      </c>
      <c r="K59" s="14">
        <f>_xll.BDH("ITCI US Equity","WORKING_CAPITAL_SEQ_GROWTH","FQ4 2020","FQ4 2020","Currency=USD","Period=FQ","BEST_FPERIOD_OVERRIDE=FQ","FILING_STATUS=MR","Sort=A","Dates=H","DateFormat=P","Fill=—","Direction=H","UseDPDF=Y")</f>
        <v>-7.4679000000000002</v>
      </c>
      <c r="L59" s="14">
        <f>_xll.BDH("ITCI US Equity","WORKING_CAPITAL_SEQ_GROWTH","FQ1 2021","FQ1 2021","Currency=USD","Period=FQ","BEST_FPERIOD_OVERRIDE=FQ","FILING_STATUS=MR","Sort=A","Dates=H","DateFormat=P","Fill=—","Direction=H","UseDPDF=Y")</f>
        <v>-6.8270999999999997</v>
      </c>
      <c r="M59" s="14">
        <f>_xll.BDH("ITCI US Equity","WORKING_CAPITAL_SEQ_GROWTH","FQ2 2021","FQ2 2021","Currency=USD","Period=FQ","BEST_FPERIOD_OVERRIDE=FQ","FILING_STATUS=MR","Sort=A","Dates=H","DateFormat=P","Fill=—","Direction=H","UseDPDF=Y")</f>
        <v>-9.6024999999999991</v>
      </c>
      <c r="N59" s="14">
        <f>_xll.BDH("ITCI US Equity","WORKING_CAPITAL_SEQ_GROWTH","FQ3 2021","FQ3 2021","Currency=USD","Period=FQ","BEST_FPERIOD_OVERRIDE=FQ","FILING_STATUS=MR","Sort=A","Dates=H","DateFormat=P","Fill=—","Direction=H","UseDPDF=Y")</f>
        <v>-12.2593</v>
      </c>
      <c r="O59" s="14">
        <f>_xll.BDH("ITCI US Equity","WORKING_CAPITAL_SEQ_GROWTH","FQ4 2021","FQ4 2021","Currency=USD","Period=FQ","BEST_FPERIOD_OVERRIDE=FQ","FILING_STATUS=MR","Sort=A","Dates=H","DateFormat=P","Fill=—","Direction=H","UseDPDF=Y")</f>
        <v>-14.3629</v>
      </c>
      <c r="P59" s="14">
        <f>_xll.BDH("ITCI US Equity","WORKING_CAPITAL_SEQ_GROWTH","FQ1 2022","FQ1 2022","Currency=USD","Period=FQ","BEST_FPERIOD_OVERRIDE=FQ","FILING_STATUS=MR","Sort=A","Dates=H","DateFormat=P","Fill=—","Direction=H","UseDPDF=Y")</f>
        <v>90.679299999999998</v>
      </c>
      <c r="Q59" s="14">
        <f>_xll.BDH("ITCI US Equity","WORKING_CAPITAL_SEQ_GROWTH","FQ2 2022","FQ2 2022","Currency=USD","Period=FQ","BEST_FPERIOD_OVERRIDE=FQ","FILING_STATUS=MR","Sort=A","Dates=H","DateFormat=P","Fill=—","Direction=H","UseDPDF=Y")</f>
        <v>-8.9572000000000003</v>
      </c>
      <c r="R59" s="14">
        <f>_xll.BDH("ITCI US Equity","WORKING_CAPITAL_SEQ_GROWTH","FQ3 2022","FQ3 2022","Currency=USD","Period=FQ","BEST_FPERIOD_OVERRIDE=FQ","FILING_STATUS=MR","Sort=A","Dates=H","DateFormat=P","Fill=—","Direction=H","UseDPDF=Y")</f>
        <v>-5.0414000000000003</v>
      </c>
      <c r="S59" s="14">
        <f>_xll.BDH("ITCI US Equity","WORKING_CAPITAL_SEQ_GROWTH","FQ4 2022","FQ4 2022","Currency=USD","Period=FQ","BEST_FPERIOD_OVERRIDE=FQ","FILING_STATUS=MR","Sort=A","Dates=H","DateFormat=P","Fill=—","Direction=H","UseDPDF=Y")</f>
        <v>-4.0484999999999998</v>
      </c>
      <c r="T59" s="14">
        <f>_xll.BDH("ITCI US Equity","WORKING_CAPITAL_SEQ_GROWTH","FQ1 2023","FQ1 2023","Currency=USD","Period=FQ","BEST_FPERIOD_OVERRIDE=FQ","FILING_STATUS=MR","Sort=A","Dates=H","DateFormat=P","Fill=—","Direction=H","UseDPDF=Y")</f>
        <v>-4.3093000000000004</v>
      </c>
      <c r="U59" s="14">
        <f>_xll.BDH("ITCI US Equity","WORKING_CAPITAL_SEQ_GROWTH","FQ2 2023","FQ2 2023","Currency=USD","Period=FQ","BEST_FPERIOD_OVERRIDE=FQ","FILING_STATUS=MR","Sort=A","Dates=H","DateFormat=P","Fill=—","Direction=H","UseDPDF=Y")</f>
        <v>-3.2743000000000002</v>
      </c>
      <c r="V59" s="14">
        <f>_xll.BDH("ITCI US Equity","WORKING_CAPITAL_SEQ_GROWTH","FQ3 2023","FQ3 2023","Currency=USD","Period=FQ","BEST_FPERIOD_OVERRIDE=FQ","FILING_STATUS=MR","Sort=A","Dates=H","DateFormat=P","Fill=—","Direction=H","UseDPDF=Y")</f>
        <v>-1.099</v>
      </c>
      <c r="W59" s="14">
        <f>_xll.BDH("ITCI US Equity","WORKING_CAPITAL_SEQ_GROWTH","FQ4 2023","FQ4 2023","Currency=USD","Period=FQ","BEST_FPERIOD_OVERRIDE=FQ","FILING_STATUS=MR","Sort=A","Dates=H","DateFormat=P","Fill=—","Direction=H","UseDPDF=Y")</f>
        <v>-9.19</v>
      </c>
      <c r="X59" s="14">
        <f>_xll.BDH("ITCI US Equity","WORKING_CAPITAL_SEQ_GROWTH","FQ1 2024","FQ1 2024","Currency=USD","Period=FQ","BEST_FPERIOD_OVERRIDE=FQ","FILING_STATUS=MR","Sort=A","Dates=H","DateFormat=P","Fill=—","Direction=H","UseDPDF=Y")</f>
        <v>2.1078000000000001</v>
      </c>
      <c r="Y59" s="14">
        <f>_xll.BDH("ITCI US Equity","WORKING_CAPITAL_SEQ_GROWTH","FQ2 2024","FQ2 2024","Currency=USD","Period=FQ","BEST_FPERIOD_OVERRIDE=FQ","FILING_STATUS=MR","Sort=A","Dates=H","DateFormat=P","Fill=—","Direction=H","UseDPDF=Y")</f>
        <v>98.384799999999998</v>
      </c>
      <c r="Z59" s="14">
        <f>_xll.BDH("ITCI US Equity","WORKING_CAPITAL_SEQ_GROWTH","FQ3 2024","FQ3 2024","Currency=USD","Period=FQ","BEST_FPERIOD_OVERRIDE=FQ","FILING_STATUS=MR","Sort=A","Dates=H","DateFormat=P","Fill=—","Direction=H","UseDPDF=Y")</f>
        <v>0.28499999999999998</v>
      </c>
      <c r="AA59" s="14">
        <f>_xll.BDH("ITCI US Equity","WORKING_CAPITAL_SEQ_GROWTH","FQ4 2024","FQ4 2024","Currency=USD","Period=FQ","BEST_FPERIOD_OVERRIDE=FQ","FILING_STATUS=MR","Sort=A","Dates=H","DateFormat=P","Fill=—","Direction=H","UseDPDF=Y")</f>
        <v>-0.35799999999999998</v>
      </c>
    </row>
    <row r="60" spans="1:27" x14ac:dyDescent="0.25">
      <c r="A60" s="10" t="s">
        <v>1126</v>
      </c>
      <c r="B60" s="10" t="s">
        <v>1164</v>
      </c>
      <c r="C60" s="14">
        <f>_xll.BDH("ITCI US Equity","ACCOUNTS_PAYABLE_SEQ_GROWTH","FQ4 2018","FQ4 2018","Currency=USD","Period=FQ","BEST_FPERIOD_OVERRIDE=FQ","FILING_STATUS=MR","Sort=A","Dates=H","DateFormat=P","Fill=—","Direction=H","UseDPDF=Y")</f>
        <v>33.557899999999997</v>
      </c>
      <c r="D60" s="14">
        <f>_xll.BDH("ITCI US Equity","ACCOUNTS_PAYABLE_SEQ_GROWTH","FQ1 2019","FQ1 2019","Currency=USD","Period=FQ","BEST_FPERIOD_OVERRIDE=FQ","FILING_STATUS=MR","Sort=A","Dates=H","DateFormat=P","Fill=—","Direction=H","UseDPDF=Y")</f>
        <v>-38.583199999999998</v>
      </c>
      <c r="E60" s="14">
        <f>_xll.BDH("ITCI US Equity","ACCOUNTS_PAYABLE_SEQ_GROWTH","FQ2 2019","FQ2 2019","Currency=USD","Period=FQ","BEST_FPERIOD_OVERRIDE=FQ","FILING_STATUS=MR","Sort=A","Dates=H","DateFormat=P","Fill=—","Direction=H","UseDPDF=Y")</f>
        <v>-34.307200000000002</v>
      </c>
      <c r="F60" s="14">
        <f>_xll.BDH("ITCI US Equity","ACCOUNTS_PAYABLE_SEQ_GROWTH","FQ3 2019","FQ3 2019","Currency=USD","Period=FQ","BEST_FPERIOD_OVERRIDE=FQ","FILING_STATUS=MR","Sort=A","Dates=H","DateFormat=P","Fill=—","Direction=H","UseDPDF=Y")</f>
        <v>10.6189</v>
      </c>
      <c r="G60" s="14">
        <f>_xll.BDH("ITCI US Equity","ACCOUNTS_PAYABLE_SEQ_GROWTH","FQ4 2019","FQ4 2019","Currency=USD","Period=FQ","BEST_FPERIOD_OVERRIDE=FQ","FILING_STATUS=MR","Sort=A","Dates=H","DateFormat=P","Fill=—","Direction=H","UseDPDF=Y")</f>
        <v>19.164100000000001</v>
      </c>
      <c r="H60" s="14">
        <f>_xll.BDH("ITCI US Equity","ACCOUNTS_PAYABLE_SEQ_GROWTH","FQ1 2020","FQ1 2020","Currency=USD","Period=FQ","BEST_FPERIOD_OVERRIDE=FQ","FILING_STATUS=MR","Sort=A","Dates=H","DateFormat=P","Fill=—","Direction=H","UseDPDF=Y")</f>
        <v>48.067999999999998</v>
      </c>
      <c r="I60" s="14">
        <f>_xll.BDH("ITCI US Equity","ACCOUNTS_PAYABLE_SEQ_GROWTH","FQ2 2020","FQ2 2020","Currency=USD","Period=FQ","BEST_FPERIOD_OVERRIDE=FQ","FILING_STATUS=MR","Sort=A","Dates=H","DateFormat=P","Fill=—","Direction=H","UseDPDF=Y")</f>
        <v>-50.218800000000002</v>
      </c>
      <c r="J60" s="14">
        <f>_xll.BDH("ITCI US Equity","ACCOUNTS_PAYABLE_SEQ_GROWTH","FQ3 2020","FQ3 2020","Currency=USD","Period=FQ","BEST_FPERIOD_OVERRIDE=FQ","FILING_STATUS=MR","Sort=A","Dates=H","DateFormat=P","Fill=—","Direction=H","UseDPDF=Y")</f>
        <v>56.5717</v>
      </c>
      <c r="K60" s="14">
        <f>_xll.BDH("ITCI US Equity","ACCOUNTS_PAYABLE_SEQ_GROWTH","FQ4 2020","FQ4 2020","Currency=USD","Period=FQ","BEST_FPERIOD_OVERRIDE=FQ","FILING_STATUS=MR","Sort=A","Dates=H","DateFormat=P","Fill=—","Direction=H","UseDPDF=Y")</f>
        <v>-35.795000000000002</v>
      </c>
      <c r="L60" s="14">
        <f>_xll.BDH("ITCI US Equity","ACCOUNTS_PAYABLE_SEQ_GROWTH","FQ1 2021","FQ1 2021","Currency=USD","Period=FQ","BEST_FPERIOD_OVERRIDE=FQ","FILING_STATUS=MR","Sort=A","Dates=H","DateFormat=P","Fill=—","Direction=H","UseDPDF=Y")</f>
        <v>58.510300000000001</v>
      </c>
      <c r="M60" s="14">
        <f>_xll.BDH("ITCI US Equity","ACCOUNTS_PAYABLE_SEQ_GROWTH","FQ2 2021","FQ2 2021","Currency=USD","Period=FQ","BEST_FPERIOD_OVERRIDE=FQ","FILING_STATUS=MR","Sort=A","Dates=H","DateFormat=P","Fill=—","Direction=H","UseDPDF=Y")</f>
        <v>82.786799999999999</v>
      </c>
      <c r="N60" s="14">
        <f>_xll.BDH("ITCI US Equity","ACCOUNTS_PAYABLE_SEQ_GROWTH","FQ3 2021","FQ3 2021","Currency=USD","Period=FQ","BEST_FPERIOD_OVERRIDE=FQ","FILING_STATUS=MR","Sort=A","Dates=H","DateFormat=P","Fill=—","Direction=H","UseDPDF=Y")</f>
        <v>-24.529199999999999</v>
      </c>
      <c r="O60" s="14">
        <f>_xll.BDH("ITCI US Equity","ACCOUNTS_PAYABLE_SEQ_GROWTH","FQ4 2021","FQ4 2021","Currency=USD","Period=FQ","BEST_FPERIOD_OVERRIDE=FQ","FILING_STATUS=MR","Sort=A","Dates=H","DateFormat=P","Fill=—","Direction=H","UseDPDF=Y")</f>
        <v>-27.7575</v>
      </c>
      <c r="P60" s="14">
        <f>_xll.BDH("ITCI US Equity","ACCOUNTS_PAYABLE_SEQ_GROWTH","FQ1 2022","FQ1 2022","Currency=USD","Period=FQ","BEST_FPERIOD_OVERRIDE=FQ","FILING_STATUS=MR","Sort=A","Dates=H","DateFormat=P","Fill=—","Direction=H","UseDPDF=Y")</f>
        <v>34.031799999999997</v>
      </c>
      <c r="Q60" s="14">
        <f>_xll.BDH("ITCI US Equity","ACCOUNTS_PAYABLE_SEQ_GROWTH","FQ2 2022","FQ2 2022","Currency=USD","Period=FQ","BEST_FPERIOD_OVERRIDE=FQ","FILING_STATUS=MR","Sort=A","Dates=H","DateFormat=P","Fill=—","Direction=H","UseDPDF=Y")</f>
        <v>-7.726</v>
      </c>
      <c r="R60" s="14">
        <f>_xll.BDH("ITCI US Equity","ACCOUNTS_PAYABLE_SEQ_GROWTH","FQ3 2022","FQ3 2022","Currency=USD","Period=FQ","BEST_FPERIOD_OVERRIDE=FQ","FILING_STATUS=MR","Sort=A","Dates=H","DateFormat=P","Fill=—","Direction=H","UseDPDF=Y")</f>
        <v>32.2821</v>
      </c>
      <c r="S60" s="14">
        <f>_xll.BDH("ITCI US Equity","ACCOUNTS_PAYABLE_SEQ_GROWTH","FQ4 2022","FQ4 2022","Currency=USD","Period=FQ","BEST_FPERIOD_OVERRIDE=FQ","FILING_STATUS=MR","Sort=A","Dates=H","DateFormat=P","Fill=—","Direction=H","UseDPDF=Y")</f>
        <v>-26.893599999999999</v>
      </c>
      <c r="T60" s="14">
        <f>_xll.BDH("ITCI US Equity","ACCOUNTS_PAYABLE_SEQ_GROWTH","FQ1 2023","FQ1 2023","Currency=USD","Period=FQ","BEST_FPERIOD_OVERRIDE=FQ","FILING_STATUS=MR","Sort=A","Dates=H","DateFormat=P","Fill=—","Direction=H","UseDPDF=Y")</f>
        <v>-18.797499999999999</v>
      </c>
      <c r="U60" s="14">
        <f>_xll.BDH("ITCI US Equity","ACCOUNTS_PAYABLE_SEQ_GROWTH","FQ2 2023","FQ2 2023","Currency=USD","Period=FQ","BEST_FPERIOD_OVERRIDE=FQ","FILING_STATUS=MR","Sort=A","Dates=H","DateFormat=P","Fill=—","Direction=H","UseDPDF=Y")</f>
        <v>-8.3876000000000008</v>
      </c>
      <c r="V60" s="14">
        <f>_xll.BDH("ITCI US Equity","ACCOUNTS_PAYABLE_SEQ_GROWTH","FQ3 2023","FQ3 2023","Currency=USD","Period=FQ","BEST_FPERIOD_OVERRIDE=FQ","FILING_STATUS=MR","Sort=A","Dates=H","DateFormat=P","Fill=—","Direction=H","UseDPDF=Y")</f>
        <v>37.243000000000002</v>
      </c>
      <c r="W60" s="14">
        <f>_xll.BDH("ITCI US Equity","ACCOUNTS_PAYABLE_SEQ_GROWTH","FQ4 2023","FQ4 2023","Currency=USD","Period=FQ","BEST_FPERIOD_OVERRIDE=FQ","FILING_STATUS=MR","Sort=A","Dates=H","DateFormat=P","Fill=—","Direction=H","UseDPDF=Y")</f>
        <v>7.9054000000000002</v>
      </c>
      <c r="X60" s="14">
        <f>_xll.BDH("ITCI US Equity","ACCOUNTS_PAYABLE_SEQ_GROWTH","FQ1 2024","FQ1 2024","Currency=USD","Period=FQ","BEST_FPERIOD_OVERRIDE=FQ","FILING_STATUS=MR","Sort=A","Dates=H","DateFormat=P","Fill=—","Direction=H","UseDPDF=Y")</f>
        <v>0.6986</v>
      </c>
      <c r="Y60" s="14">
        <f>_xll.BDH("ITCI US Equity","ACCOUNTS_PAYABLE_SEQ_GROWTH","FQ2 2024","FQ2 2024","Currency=USD","Period=FQ","BEST_FPERIOD_OVERRIDE=FQ","FILING_STATUS=MR","Sort=A","Dates=H","DateFormat=P","Fill=—","Direction=H","UseDPDF=Y")</f>
        <v>52.167900000000003</v>
      </c>
      <c r="Z60" s="14">
        <f>_xll.BDH("ITCI US Equity","ACCOUNTS_PAYABLE_SEQ_GROWTH","FQ3 2024","FQ3 2024","Currency=USD","Period=FQ","BEST_FPERIOD_OVERRIDE=FQ","FILING_STATUS=MR","Sort=A","Dates=H","DateFormat=P","Fill=—","Direction=H","UseDPDF=Y")</f>
        <v>-41.087299999999999</v>
      </c>
      <c r="AA60" s="14">
        <f>_xll.BDH("ITCI US Equity","ACCOUNTS_PAYABLE_SEQ_GROWTH","FQ4 2024","FQ4 2024","Currency=USD","Period=FQ","BEST_FPERIOD_OVERRIDE=FQ","FILING_STATUS=MR","Sort=A","Dates=H","DateFormat=P","Fill=—","Direction=H","UseDPDF=Y")</f>
        <v>152.21510000000001</v>
      </c>
    </row>
    <row r="61" spans="1:27" x14ac:dyDescent="0.25">
      <c r="A61" s="10" t="s">
        <v>1128</v>
      </c>
      <c r="B61" s="10" t="s">
        <v>1165</v>
      </c>
      <c r="C61" s="14" t="str">
        <f>_xll.BDH("ITCI US Equity","ST_DEBT_SEQUENTIAL_GROWTH","FQ4 2018","FQ4 2018","Currency=USD","Period=FQ","BEST_FPERIOD_OVERRIDE=FQ","FILING_STATUS=MR","Sort=A","Dates=H","DateFormat=P","Fill=—","Direction=H","UseDPDF=Y")</f>
        <v>—</v>
      </c>
      <c r="D61" s="14" t="str">
        <f>_xll.BDH("ITCI US Equity","ST_DEBT_SEQUENTIAL_GROWTH","FQ1 2019","FQ1 2019","Currency=USD","Period=FQ","BEST_FPERIOD_OVERRIDE=FQ","FILING_STATUS=MR","Sort=A","Dates=H","DateFormat=P","Fill=—","Direction=H","UseDPDF=Y")</f>
        <v>—</v>
      </c>
      <c r="E61" s="14">
        <f>_xll.BDH("ITCI US Equity","ST_DEBT_SEQUENTIAL_GROWTH","FQ2 2019","FQ2 2019","Currency=USD","Period=FQ","BEST_FPERIOD_OVERRIDE=FQ","FILING_STATUS=MR","Sort=A","Dates=H","DateFormat=P","Fill=—","Direction=H","UseDPDF=Y")</f>
        <v>-21.233599999999999</v>
      </c>
      <c r="F61" s="14">
        <f>_xll.BDH("ITCI US Equity","ST_DEBT_SEQUENTIAL_GROWTH","FQ3 2019","FQ3 2019","Currency=USD","Period=FQ","BEST_FPERIOD_OVERRIDE=FQ","FILING_STATUS=MR","Sort=A","Dates=H","DateFormat=P","Fill=—","Direction=H","UseDPDF=Y")</f>
        <v>1.0565</v>
      </c>
      <c r="G61" s="14">
        <f>_xll.BDH("ITCI US Equity","ST_DEBT_SEQUENTIAL_GROWTH","FQ4 2019","FQ4 2019","Currency=USD","Period=FQ","BEST_FPERIOD_OVERRIDE=FQ","FILING_STATUS=MR","Sort=A","Dates=H","DateFormat=P","Fill=—","Direction=H","UseDPDF=Y")</f>
        <v>39.378900000000002</v>
      </c>
      <c r="H61" s="14">
        <f>_xll.BDH("ITCI US Equity","ST_DEBT_SEQUENTIAL_GROWTH","FQ1 2020","FQ1 2020","Currency=USD","Period=FQ","BEST_FPERIOD_OVERRIDE=FQ","FILING_STATUS=MR","Sort=A","Dates=H","DateFormat=P","Fill=—","Direction=H","UseDPDF=Y")</f>
        <v>0.74670000000000003</v>
      </c>
      <c r="I61" s="14">
        <f>_xll.BDH("ITCI US Equity","ST_DEBT_SEQUENTIAL_GROWTH","FQ2 2020","FQ2 2020","Currency=USD","Period=FQ","BEST_FPERIOD_OVERRIDE=FQ","FILING_STATUS=MR","Sort=A","Dates=H","DateFormat=P","Fill=—","Direction=H","UseDPDF=Y")</f>
        <v>23.750599999999999</v>
      </c>
      <c r="J61" s="14">
        <f>_xll.BDH("ITCI US Equity","ST_DEBT_SEQUENTIAL_GROWTH","FQ3 2020","FQ3 2020","Currency=USD","Period=FQ","BEST_FPERIOD_OVERRIDE=FQ","FILING_STATUS=MR","Sort=A","Dates=H","DateFormat=P","Fill=—","Direction=H","UseDPDF=Y")</f>
        <v>32.5456</v>
      </c>
      <c r="K61" s="14">
        <f>_xll.BDH("ITCI US Equity","ST_DEBT_SEQUENTIAL_GROWTH","FQ4 2020","FQ4 2020","Currency=USD","Period=FQ","BEST_FPERIOD_OVERRIDE=FQ","FILING_STATUS=MR","Sort=A","Dates=H","DateFormat=P","Fill=—","Direction=H","UseDPDF=Y")</f>
        <v>5.2122999999999999</v>
      </c>
      <c r="L61" s="14">
        <f>_xll.BDH("ITCI US Equity","ST_DEBT_SEQUENTIAL_GROWTH","FQ1 2021","FQ1 2021","Currency=USD","Period=FQ","BEST_FPERIOD_OVERRIDE=FQ","FILING_STATUS=MR","Sort=A","Dates=H","DateFormat=P","Fill=—","Direction=H","UseDPDF=Y")</f>
        <v>0.56730000000000003</v>
      </c>
      <c r="M61" s="14">
        <f>_xll.BDH("ITCI US Equity","ST_DEBT_SEQUENTIAL_GROWTH","FQ2 2021","FQ2 2021","Currency=USD","Period=FQ","BEST_FPERIOD_OVERRIDE=FQ","FILING_STATUS=MR","Sort=A","Dates=H","DateFormat=P","Fill=—","Direction=H","UseDPDF=Y")</f>
        <v>0.39150000000000001</v>
      </c>
      <c r="N61" s="14">
        <f>_xll.BDH("ITCI US Equity","ST_DEBT_SEQUENTIAL_GROWTH","FQ3 2021","FQ3 2021","Currency=USD","Period=FQ","BEST_FPERIOD_OVERRIDE=FQ","FILING_STATUS=MR","Sort=A","Dates=H","DateFormat=P","Fill=—","Direction=H","UseDPDF=Y")</f>
        <v>8.7041000000000004</v>
      </c>
      <c r="O61" s="14">
        <f>_xll.BDH("ITCI US Equity","ST_DEBT_SEQUENTIAL_GROWTH","FQ4 2021","FQ4 2021","Currency=USD","Period=FQ","BEST_FPERIOD_OVERRIDE=FQ","FILING_STATUS=MR","Sort=A","Dates=H","DateFormat=P","Fill=—","Direction=H","UseDPDF=Y")</f>
        <v>10.6829</v>
      </c>
      <c r="P61" s="14">
        <f>_xll.BDH("ITCI US Equity","ST_DEBT_SEQUENTIAL_GROWTH","FQ1 2022","FQ1 2022","Currency=USD","Period=FQ","BEST_FPERIOD_OVERRIDE=FQ","FILING_STATUS=MR","Sort=A","Dates=H","DateFormat=P","Fill=—","Direction=H","UseDPDF=Y")</f>
        <v>13.431900000000001</v>
      </c>
      <c r="Q61" s="14">
        <f>_xll.BDH("ITCI US Equity","ST_DEBT_SEQUENTIAL_GROWTH","FQ2 2022","FQ2 2022","Currency=USD","Period=FQ","BEST_FPERIOD_OVERRIDE=FQ","FILING_STATUS=MR","Sort=A","Dates=H","DateFormat=P","Fill=—","Direction=H","UseDPDF=Y")</f>
        <v>1.4013</v>
      </c>
      <c r="R61" s="14">
        <f>_xll.BDH("ITCI US Equity","ST_DEBT_SEQUENTIAL_GROWTH","FQ3 2022","FQ3 2022","Currency=USD","Period=FQ","BEST_FPERIOD_OVERRIDE=FQ","FILING_STATUS=MR","Sort=A","Dates=H","DateFormat=P","Fill=—","Direction=H","UseDPDF=Y")</f>
        <v>-6.4316000000000004</v>
      </c>
      <c r="S61" s="14">
        <f>_xll.BDH("ITCI US Equity","ST_DEBT_SEQUENTIAL_GROWTH","FQ4 2022","FQ4 2022","Currency=USD","Period=FQ","BEST_FPERIOD_OVERRIDE=FQ","FILING_STATUS=MR","Sort=A","Dates=H","DateFormat=P","Fill=—","Direction=H","UseDPDF=Y")</f>
        <v>-36.9634</v>
      </c>
      <c r="T61" s="14">
        <f>_xll.BDH("ITCI US Equity","ST_DEBT_SEQUENTIAL_GROWTH","FQ1 2023","FQ1 2023","Currency=USD","Period=FQ","BEST_FPERIOD_OVERRIDE=FQ","FILING_STATUS=MR","Sort=A","Dates=H","DateFormat=P","Fill=—","Direction=H","UseDPDF=Y")</f>
        <v>-22.6845</v>
      </c>
      <c r="U61" s="14">
        <f>_xll.BDH("ITCI US Equity","ST_DEBT_SEQUENTIAL_GROWTH","FQ2 2023","FQ2 2023","Currency=USD","Period=FQ","BEST_FPERIOD_OVERRIDE=FQ","FILING_STATUS=MR","Sort=A","Dates=H","DateFormat=P","Fill=—","Direction=H","UseDPDF=Y")</f>
        <v>0.76470000000000005</v>
      </c>
      <c r="V61" s="14">
        <f>_xll.BDH("ITCI US Equity","ST_DEBT_SEQUENTIAL_GROWTH","FQ3 2023","FQ3 2023","Currency=USD","Period=FQ","BEST_FPERIOD_OVERRIDE=FQ","FILING_STATUS=MR","Sort=A","Dates=H","DateFormat=P","Fill=—","Direction=H","UseDPDF=Y")</f>
        <v>0.73070000000000002</v>
      </c>
      <c r="W61" s="14">
        <f>_xll.BDH("ITCI US Equity","ST_DEBT_SEQUENTIAL_GROWTH","FQ4 2023","FQ4 2023","Currency=USD","Period=FQ","BEST_FPERIOD_OVERRIDE=FQ","FILING_STATUS=MR","Sort=A","Dates=H","DateFormat=P","Fill=—","Direction=H","UseDPDF=Y")</f>
        <v>0.78129999999999999</v>
      </c>
      <c r="X61" s="14">
        <f>_xll.BDH("ITCI US Equity","ST_DEBT_SEQUENTIAL_GROWTH","FQ1 2024","FQ1 2024","Currency=USD","Period=FQ","BEST_FPERIOD_OVERRIDE=FQ","FILING_STATUS=MR","Sort=A","Dates=H","DateFormat=P","Fill=—","Direction=H","UseDPDF=Y")</f>
        <v>0.74750000000000005</v>
      </c>
      <c r="Y61" s="14">
        <f>_xll.BDH("ITCI US Equity","ST_DEBT_SEQUENTIAL_GROWTH","FQ2 2024","FQ2 2024","Currency=USD","Period=FQ","BEST_FPERIOD_OVERRIDE=FQ","FILING_STATUS=MR","Sort=A","Dates=H","DateFormat=P","Fill=—","Direction=H","UseDPDF=Y")</f>
        <v>14.619400000000001</v>
      </c>
      <c r="Z61" s="14">
        <f>_xll.BDH("ITCI US Equity","ST_DEBT_SEQUENTIAL_GROWTH","FQ3 2024","FQ3 2024","Currency=USD","Period=FQ","BEST_FPERIOD_OVERRIDE=FQ","FILING_STATUS=MR","Sort=A","Dates=H","DateFormat=P","Fill=—","Direction=H","UseDPDF=Y")</f>
        <v>0.76719999999999999</v>
      </c>
      <c r="AA61" s="14">
        <f>_xll.BDH("ITCI US Equity","ST_DEBT_SEQUENTIAL_GROWTH","FQ4 2024","FQ4 2024","Currency=USD","Period=FQ","BEST_FPERIOD_OVERRIDE=FQ","FILING_STATUS=MR","Sort=A","Dates=H","DateFormat=P","Fill=—","Direction=H","UseDPDF=Y")</f>
        <v>0.71379999999999999</v>
      </c>
    </row>
    <row r="62" spans="1:27" x14ac:dyDescent="0.25">
      <c r="A62" s="10" t="s">
        <v>1130</v>
      </c>
      <c r="B62" s="10" t="s">
        <v>1166</v>
      </c>
      <c r="C62" s="14" t="str">
        <f>_xll.BDH("ITCI US Equity","TOTAL_DEBT_SEQUENTIAL_GROWTH","FQ4 2018","FQ4 2018","Currency=USD","Period=FQ","BEST_FPERIOD_OVERRIDE=FQ","FILING_STATUS=MR","Sort=A","Dates=H","DateFormat=P","Fill=—","Direction=H","UseDPDF=Y")</f>
        <v>—</v>
      </c>
      <c r="D62" s="14" t="str">
        <f>_xll.BDH("ITCI US Equity","TOTAL_DEBT_SEQUENTIAL_GROWTH","FQ1 2019","FQ1 2019","Currency=USD","Period=FQ","BEST_FPERIOD_OVERRIDE=FQ","FILING_STATUS=MR","Sort=A","Dates=H","DateFormat=P","Fill=—","Direction=H","UseDPDF=Y")</f>
        <v>—</v>
      </c>
      <c r="E62" s="14">
        <f>_xll.BDH("ITCI US Equity","TOTAL_DEBT_SEQUENTIAL_GROWTH","FQ2 2019","FQ2 2019","Currency=USD","Period=FQ","BEST_FPERIOD_OVERRIDE=FQ","FILING_STATUS=MR","Sort=A","Dates=H","DateFormat=P","Fill=—","Direction=H","UseDPDF=Y")</f>
        <v>-3.7980999999999998</v>
      </c>
      <c r="F62" s="14">
        <f>_xll.BDH("ITCI US Equity","TOTAL_DEBT_SEQUENTIAL_GROWTH","FQ3 2019","FQ3 2019","Currency=USD","Period=FQ","BEST_FPERIOD_OVERRIDE=FQ","FILING_STATUS=MR","Sort=A","Dates=H","DateFormat=P","Fill=—","Direction=H","UseDPDF=Y")</f>
        <v>-1.2011000000000001</v>
      </c>
      <c r="G62" s="14">
        <f>_xll.BDH("ITCI US Equity","TOTAL_DEBT_SEQUENTIAL_GROWTH","FQ4 2019","FQ4 2019","Currency=USD","Period=FQ","BEST_FPERIOD_OVERRIDE=FQ","FILING_STATUS=MR","Sort=A","Dates=H","DateFormat=P","Fill=—","Direction=H","UseDPDF=Y")</f>
        <v>2.5983000000000001</v>
      </c>
      <c r="H62" s="14">
        <f>_xll.BDH("ITCI US Equity","TOTAL_DEBT_SEQUENTIAL_GROWTH","FQ1 2020","FQ1 2020","Currency=USD","Period=FQ","BEST_FPERIOD_OVERRIDE=FQ","FILING_STATUS=MR","Sort=A","Dates=H","DateFormat=P","Fill=—","Direction=H","UseDPDF=Y")</f>
        <v>-0.92200000000000004</v>
      </c>
      <c r="I62" s="14">
        <f>_xll.BDH("ITCI US Equity","TOTAL_DEBT_SEQUENTIAL_GROWTH","FQ2 2020","FQ2 2020","Currency=USD","Period=FQ","BEST_FPERIOD_OVERRIDE=FQ","FILING_STATUS=MR","Sort=A","Dates=H","DateFormat=P","Fill=—","Direction=H","UseDPDF=Y")</f>
        <v>9.6074000000000002</v>
      </c>
      <c r="J62" s="14">
        <f>_xll.BDH("ITCI US Equity","TOTAL_DEBT_SEQUENTIAL_GROWTH","FQ3 2020","FQ3 2020","Currency=USD","Period=FQ","BEST_FPERIOD_OVERRIDE=FQ","FILING_STATUS=MR","Sort=A","Dates=H","DateFormat=P","Fill=—","Direction=H","UseDPDF=Y")</f>
        <v>15.9344</v>
      </c>
      <c r="K62" s="14">
        <f>_xll.BDH("ITCI US Equity","TOTAL_DEBT_SEQUENTIAL_GROWTH","FQ4 2020","FQ4 2020","Currency=USD","Period=FQ","BEST_FPERIOD_OVERRIDE=FQ","FILING_STATUS=MR","Sort=A","Dates=H","DateFormat=P","Fill=—","Direction=H","UseDPDF=Y")</f>
        <v>1.83E-2</v>
      </c>
      <c r="L62" s="14">
        <f>_xll.BDH("ITCI US Equity","TOTAL_DEBT_SEQUENTIAL_GROWTH","FQ1 2021","FQ1 2021","Currency=USD","Period=FQ","BEST_FPERIOD_OVERRIDE=FQ","FILING_STATUS=MR","Sort=A","Dates=H","DateFormat=P","Fill=—","Direction=H","UseDPDF=Y")</f>
        <v>-3.1974999999999998</v>
      </c>
      <c r="M62" s="14">
        <f>_xll.BDH("ITCI US Equity","TOTAL_DEBT_SEQUENTIAL_GROWTH","FQ2 2021","FQ2 2021","Currency=USD","Period=FQ","BEST_FPERIOD_OVERRIDE=FQ","FILING_STATUS=MR","Sort=A","Dates=H","DateFormat=P","Fill=—","Direction=H","UseDPDF=Y")</f>
        <v>-3.2839999999999998</v>
      </c>
      <c r="N62" s="14">
        <f>_xll.BDH("ITCI US Equity","TOTAL_DEBT_SEQUENTIAL_GROWTH","FQ3 2021","FQ3 2021","Currency=USD","Period=FQ","BEST_FPERIOD_OVERRIDE=FQ","FILING_STATUS=MR","Sort=A","Dates=H","DateFormat=P","Fill=—","Direction=H","UseDPDF=Y")</f>
        <v>-3.2178</v>
      </c>
      <c r="O62" s="14">
        <f>_xll.BDH("ITCI US Equity","TOTAL_DEBT_SEQUENTIAL_GROWTH","FQ4 2021","FQ4 2021","Currency=USD","Period=FQ","BEST_FPERIOD_OVERRIDE=FQ","FILING_STATUS=MR","Sort=A","Dates=H","DateFormat=P","Fill=—","Direction=H","UseDPDF=Y")</f>
        <v>-3.7841</v>
      </c>
      <c r="P62" s="14">
        <f>_xll.BDH("ITCI US Equity","TOTAL_DEBT_SEQUENTIAL_GROWTH","FQ1 2022","FQ1 2022","Currency=USD","Period=FQ","BEST_FPERIOD_OVERRIDE=FQ","FILING_STATUS=MR","Sort=A","Dates=H","DateFormat=P","Fill=—","Direction=H","UseDPDF=Y")</f>
        <v>-3.9940000000000002</v>
      </c>
      <c r="Q62" s="14">
        <f>_xll.BDH("ITCI US Equity","TOTAL_DEBT_SEQUENTIAL_GROWTH","FQ2 2022","FQ2 2022","Currency=USD","Period=FQ","BEST_FPERIOD_OVERRIDE=FQ","FILING_STATUS=MR","Sort=A","Dates=H","DateFormat=P","Fill=—","Direction=H","UseDPDF=Y")</f>
        <v>9.9459</v>
      </c>
      <c r="R62" s="14">
        <f>_xll.BDH("ITCI US Equity","TOTAL_DEBT_SEQUENTIAL_GROWTH","FQ3 2022","FQ3 2022","Currency=USD","Period=FQ","BEST_FPERIOD_OVERRIDE=FQ","FILING_STATUS=MR","Sort=A","Dates=H","DateFormat=P","Fill=—","Direction=H","UseDPDF=Y")</f>
        <v>-1.5139</v>
      </c>
      <c r="S62" s="14">
        <f>_xll.BDH("ITCI US Equity","TOTAL_DEBT_SEQUENTIAL_GROWTH","FQ4 2022","FQ4 2022","Currency=USD","Period=FQ","BEST_FPERIOD_OVERRIDE=FQ","FILING_STATUS=MR","Sort=A","Dates=H","DateFormat=P","Fill=—","Direction=H","UseDPDF=Y")</f>
        <v>-24.121600000000001</v>
      </c>
      <c r="T62" s="14">
        <f>_xll.BDH("ITCI US Equity","TOTAL_DEBT_SEQUENTIAL_GROWTH","FQ1 2023","FQ1 2023","Currency=USD","Period=FQ","BEST_FPERIOD_OVERRIDE=FQ","FILING_STATUS=MR","Sort=A","Dates=H","DateFormat=P","Fill=—","Direction=H","UseDPDF=Y")</f>
        <v>-7.7291999999999996</v>
      </c>
      <c r="U62" s="14">
        <f>_xll.BDH("ITCI US Equity","TOTAL_DEBT_SEQUENTIAL_GROWTH","FQ2 2023","FQ2 2023","Currency=USD","Period=FQ","BEST_FPERIOD_OVERRIDE=FQ","FILING_STATUS=MR","Sort=A","Dates=H","DateFormat=P","Fill=—","Direction=H","UseDPDF=Y")</f>
        <v>-2.7147000000000001</v>
      </c>
      <c r="V62" s="14">
        <f>_xll.BDH("ITCI US Equity","TOTAL_DEBT_SEQUENTIAL_GROWTH","FQ3 2023","FQ3 2023","Currency=USD","Period=FQ","BEST_FPERIOD_OVERRIDE=FQ","FILING_STATUS=MR","Sort=A","Dates=H","DateFormat=P","Fill=—","Direction=H","UseDPDF=Y")</f>
        <v>-2.8626999999999998</v>
      </c>
      <c r="W62" s="14">
        <f>_xll.BDH("ITCI US Equity","TOTAL_DEBT_SEQUENTIAL_GROWTH","FQ4 2023","FQ4 2023","Currency=USD","Period=FQ","BEST_FPERIOD_OVERRIDE=FQ","FILING_STATUS=MR","Sort=A","Dates=H","DateFormat=P","Fill=—","Direction=H","UseDPDF=Y")</f>
        <v>-3.073</v>
      </c>
      <c r="X62" s="14">
        <f>_xll.BDH("ITCI US Equity","TOTAL_DEBT_SEQUENTIAL_GROWTH","FQ1 2024","FQ1 2024","Currency=USD","Period=FQ","BEST_FPERIOD_OVERRIDE=FQ","FILING_STATUS=MR","Sort=A","Dates=H","DateFormat=P","Fill=—","Direction=H","UseDPDF=Y")</f>
        <v>-3.3180000000000001</v>
      </c>
      <c r="Y62" s="14">
        <f>_xll.BDH("ITCI US Equity","TOTAL_DEBT_SEQUENTIAL_GROWTH","FQ2 2024","FQ2 2024","Currency=USD","Period=FQ","BEST_FPERIOD_OVERRIDE=FQ","FILING_STATUS=MR","Sort=A","Dates=H","DateFormat=P","Fill=—","Direction=H","UseDPDF=Y")</f>
        <v>11.675599999999999</v>
      </c>
      <c r="Z62" s="14">
        <f>_xll.BDH("ITCI US Equity","TOTAL_DEBT_SEQUENTIAL_GROWTH","FQ3 2024","FQ3 2024","Currency=USD","Period=FQ","BEST_FPERIOD_OVERRIDE=FQ","FILING_STATUS=MR","Sort=A","Dates=H","DateFormat=P","Fill=—","Direction=H","UseDPDF=Y")</f>
        <v>-3.1659999999999999</v>
      </c>
      <c r="AA62" s="14">
        <f>_xll.BDH("ITCI US Equity","TOTAL_DEBT_SEQUENTIAL_GROWTH","FQ4 2024","FQ4 2024","Currency=USD","Period=FQ","BEST_FPERIOD_OVERRIDE=FQ","FILING_STATUS=MR","Sort=A","Dates=H","DateFormat=P","Fill=—","Direction=H","UseDPDF=Y")</f>
        <v>-4.1109</v>
      </c>
    </row>
    <row r="63" spans="1:27" x14ac:dyDescent="0.25">
      <c r="A63" s="10" t="s">
        <v>118</v>
      </c>
      <c r="B63" s="10" t="s">
        <v>1167</v>
      </c>
      <c r="C63" s="14">
        <f>_xll.BDH("ITCI US Equity","TOTAL_EQUITY_SEQUENTIAL_GROWTH","FQ4 2018","FQ4 2018","Currency=USD","Period=FQ","BEST_FPERIOD_OVERRIDE=FQ","FILING_STATUS=MR","Sort=A","Dates=H","DateFormat=P","Fill=—","Direction=H","UseDPDF=Y")</f>
        <v>-10.154999999999999</v>
      </c>
      <c r="D63" s="14">
        <f>_xll.BDH("ITCI US Equity","TOTAL_EQUITY_SEQUENTIAL_GROWTH","FQ1 2019","FQ1 2019","Currency=USD","Period=FQ","BEST_FPERIOD_OVERRIDE=FQ","FILING_STATUS=MR","Sort=A","Dates=H","DateFormat=P","Fill=—","Direction=H","UseDPDF=Y")</f>
        <v>-9.1593</v>
      </c>
      <c r="E63" s="14">
        <f>_xll.BDH("ITCI US Equity","TOTAL_EQUITY_SEQUENTIAL_GROWTH","FQ2 2019","FQ2 2019","Currency=USD","Period=FQ","BEST_FPERIOD_OVERRIDE=FQ","FILING_STATUS=MR","Sort=A","Dates=H","DateFormat=P","Fill=—","Direction=H","UseDPDF=Y")</f>
        <v>-11.0341</v>
      </c>
      <c r="F63" s="14">
        <f>_xll.BDH("ITCI US Equity","TOTAL_EQUITY_SEQUENTIAL_GROWTH","FQ3 2019","FQ3 2019","Currency=USD","Period=FQ","BEST_FPERIOD_OVERRIDE=FQ","FILING_STATUS=MR","Sort=A","Dates=H","DateFormat=P","Fill=—","Direction=H","UseDPDF=Y")</f>
        <v>-11.6401</v>
      </c>
      <c r="G63" s="14">
        <f>_xll.BDH("ITCI US Equity","TOTAL_EQUITY_SEQUENTIAL_GROWTH","FQ4 2019","FQ4 2019","Currency=USD","Period=FQ","BEST_FPERIOD_OVERRIDE=FQ","FILING_STATUS=MR","Sort=A","Dates=H","DateFormat=P","Fill=—","Direction=H","UseDPDF=Y")</f>
        <v>-14.048400000000001</v>
      </c>
      <c r="H63" s="14">
        <f>_xll.BDH("ITCI US Equity","TOTAL_EQUITY_SEQUENTIAL_GROWTH","FQ1 2020","FQ1 2020","Currency=USD","Period=FQ","BEST_FPERIOD_OVERRIDE=FQ","FILING_STATUS=MR","Sort=A","Dates=H","DateFormat=P","Fill=—","Direction=H","UseDPDF=Y")</f>
        <v>120.7345</v>
      </c>
      <c r="I63" s="14">
        <f>_xll.BDH("ITCI US Equity","TOTAL_EQUITY_SEQUENTIAL_GROWTH","FQ2 2020","FQ2 2020","Currency=USD","Period=FQ","BEST_FPERIOD_OVERRIDE=FQ","FILING_STATUS=MR","Sort=A","Dates=H","DateFormat=P","Fill=—","Direction=H","UseDPDF=Y")</f>
        <v>-11.8292</v>
      </c>
      <c r="J63" s="14">
        <f>_xll.BDH("ITCI US Equity","TOTAL_EQUITY_SEQUENTIAL_GROWTH","FQ3 2020","FQ3 2020","Currency=USD","Period=FQ","BEST_FPERIOD_OVERRIDE=FQ","FILING_STATUS=MR","Sort=A","Dates=H","DateFormat=P","Fill=—","Direction=H","UseDPDF=Y")</f>
        <v>86.914299999999997</v>
      </c>
      <c r="K63" s="14">
        <f>_xll.BDH("ITCI US Equity","TOTAL_EQUITY_SEQUENTIAL_GROWTH","FQ4 2020","FQ4 2020","Currency=USD","Period=FQ","BEST_FPERIOD_OVERRIDE=FQ","FILING_STATUS=MR","Sort=A","Dates=H","DateFormat=P","Fill=—","Direction=H","UseDPDF=Y")</f>
        <v>-7.4057000000000004</v>
      </c>
      <c r="L63" s="14">
        <f>_xll.BDH("ITCI US Equity","TOTAL_EQUITY_SEQUENTIAL_GROWTH","FQ1 2021","FQ1 2021","Currency=USD","Period=FQ","BEST_FPERIOD_OVERRIDE=FQ","FILING_STATUS=MR","Sort=A","Dates=H","DateFormat=P","Fill=—","Direction=H","UseDPDF=Y")</f>
        <v>-6.8067000000000002</v>
      </c>
      <c r="M63" s="14">
        <f>_xll.BDH("ITCI US Equity","TOTAL_EQUITY_SEQUENTIAL_GROWTH","FQ2 2021","FQ2 2021","Currency=USD","Period=FQ","BEST_FPERIOD_OVERRIDE=FQ","FILING_STATUS=MR","Sort=A","Dates=H","DateFormat=P","Fill=—","Direction=H","UseDPDF=Y")</f>
        <v>-9.5669000000000004</v>
      </c>
      <c r="N63" s="14">
        <f>_xll.BDH("ITCI US Equity","TOTAL_EQUITY_SEQUENTIAL_GROWTH","FQ3 2021","FQ3 2021","Currency=USD","Period=FQ","BEST_FPERIOD_OVERRIDE=FQ","FILING_STATUS=MR","Sort=A","Dates=H","DateFormat=P","Fill=—","Direction=H","UseDPDF=Y")</f>
        <v>-12.072100000000001</v>
      </c>
      <c r="O63" s="14">
        <f>_xll.BDH("ITCI US Equity","TOTAL_EQUITY_SEQUENTIAL_GROWTH","FQ4 2021","FQ4 2021","Currency=USD","Period=FQ","BEST_FPERIOD_OVERRIDE=FQ","FILING_STATUS=MR","Sort=A","Dates=H","DateFormat=P","Fill=—","Direction=H","UseDPDF=Y")</f>
        <v>-14.1479</v>
      </c>
      <c r="P63" s="14">
        <f>_xll.BDH("ITCI US Equity","TOTAL_EQUITY_SEQUENTIAL_GROWTH","FQ1 2022","FQ1 2022","Currency=USD","Period=FQ","BEST_FPERIOD_OVERRIDE=FQ","FILING_STATUS=MR","Sort=A","Dates=H","DateFormat=P","Fill=—","Direction=H","UseDPDF=Y")</f>
        <v>89.702699999999993</v>
      </c>
      <c r="Q63" s="14">
        <f>_xll.BDH("ITCI US Equity","TOTAL_EQUITY_SEQUENTIAL_GROWTH","FQ2 2022","FQ2 2022","Currency=USD","Period=FQ","BEST_FPERIOD_OVERRIDE=FQ","FILING_STATUS=MR","Sort=A","Dates=H","DateFormat=P","Fill=—","Direction=H","UseDPDF=Y")</f>
        <v>-8.8998000000000008</v>
      </c>
      <c r="R63" s="14">
        <f>_xll.BDH("ITCI US Equity","TOTAL_EQUITY_SEQUENTIAL_GROWTH","FQ3 2022","FQ3 2022","Currency=USD","Period=FQ","BEST_FPERIOD_OVERRIDE=FQ","FILING_STATUS=MR","Sort=A","Dates=H","DateFormat=P","Fill=—","Direction=H","UseDPDF=Y")</f>
        <v>-5.0921000000000003</v>
      </c>
      <c r="S63" s="14">
        <f>_xll.BDH("ITCI US Equity","TOTAL_EQUITY_SEQUENTIAL_GROWTH","FQ4 2022","FQ4 2022","Currency=USD","Period=FQ","BEST_FPERIOD_OVERRIDE=FQ","FILING_STATUS=MR","Sort=A","Dates=H","DateFormat=P","Fill=—","Direction=H","UseDPDF=Y")</f>
        <v>-4.2823000000000002</v>
      </c>
      <c r="T63" s="14">
        <f>_xll.BDH("ITCI US Equity","TOTAL_EQUITY_SEQUENTIAL_GROWTH","FQ1 2023","FQ1 2023","Currency=USD","Period=FQ","BEST_FPERIOD_OVERRIDE=FQ","FILING_STATUS=MR","Sort=A","Dates=H","DateFormat=P","Fill=—","Direction=H","UseDPDF=Y")</f>
        <v>-4.3380000000000001</v>
      </c>
      <c r="U63" s="14">
        <f>_xll.BDH("ITCI US Equity","TOTAL_EQUITY_SEQUENTIAL_GROWTH","FQ2 2023","FQ2 2023","Currency=USD","Period=FQ","BEST_FPERIOD_OVERRIDE=FQ","FILING_STATUS=MR","Sort=A","Dates=H","DateFormat=P","Fill=—","Direction=H","UseDPDF=Y")</f>
        <v>-3.2694999999999999</v>
      </c>
      <c r="V63" s="14">
        <f>_xll.BDH("ITCI US Equity","TOTAL_EQUITY_SEQUENTIAL_GROWTH","FQ3 2023","FQ3 2023","Currency=USD","Period=FQ","BEST_FPERIOD_OVERRIDE=FQ","FILING_STATUS=MR","Sort=A","Dates=H","DateFormat=P","Fill=—","Direction=H","UseDPDF=Y")</f>
        <v>-1.0557000000000001</v>
      </c>
      <c r="W63" s="14">
        <f>_xll.BDH("ITCI US Equity","TOTAL_EQUITY_SEQUENTIAL_GROWTH","FQ4 2023","FQ4 2023","Currency=USD","Period=FQ","BEST_FPERIOD_OVERRIDE=FQ","FILING_STATUS=MR","Sort=A","Dates=H","DateFormat=P","Fill=—","Direction=H","UseDPDF=Y")</f>
        <v>-1.5410999999999999</v>
      </c>
      <c r="X63" s="14">
        <f>_xll.BDH("ITCI US Equity","TOTAL_EQUITY_SEQUENTIAL_GROWTH","FQ1 2024","FQ1 2024","Currency=USD","Period=FQ","BEST_FPERIOD_OVERRIDE=FQ","FILING_STATUS=MR","Sort=A","Dates=H","DateFormat=P","Fill=—","Direction=H","UseDPDF=Y")</f>
        <v>1.3652</v>
      </c>
      <c r="Y63" s="14">
        <f>_xll.BDH("ITCI US Equity","TOTAL_EQUITY_SEQUENTIAL_GROWTH","FQ2 2024","FQ2 2024","Currency=USD","Period=FQ","BEST_FPERIOD_OVERRIDE=FQ","FILING_STATUS=MR","Sort=A","Dates=H","DateFormat=P","Fill=—","Direction=H","UseDPDF=Y")</f>
        <v>90.928399999999996</v>
      </c>
      <c r="Z63" s="14">
        <f>_xll.BDH("ITCI US Equity","TOTAL_EQUITY_SEQUENTIAL_GROWTH","FQ3 2024","FQ3 2024","Currency=USD","Period=FQ","BEST_FPERIOD_OVERRIDE=FQ","FILING_STATUS=MR","Sort=A","Dates=H","DateFormat=P","Fill=—","Direction=H","UseDPDF=Y")</f>
        <v>1.8700000000000001E-2</v>
      </c>
      <c r="AA63" s="14">
        <f>_xll.BDH("ITCI US Equity","TOTAL_EQUITY_SEQUENTIAL_GROWTH","FQ4 2024","FQ4 2024","Currency=USD","Period=FQ","BEST_FPERIOD_OVERRIDE=FQ","FILING_STATUS=MR","Sort=A","Dates=H","DateFormat=P","Fill=—","Direction=H","UseDPDF=Y")</f>
        <v>0.31740000000000002</v>
      </c>
    </row>
    <row r="64" spans="1:27" x14ac:dyDescent="0.25">
      <c r="A64" s="10" t="s">
        <v>1133</v>
      </c>
      <c r="B64" s="10" t="s">
        <v>1168</v>
      </c>
      <c r="C64" s="14">
        <f>_xll.BDH("ITCI US Equity","TOTAL_CAPITAL_SEQUENTIAL_GROWTH","FQ4 2018","FQ4 2018","Currency=USD","Period=FQ","BEST_FPERIOD_OVERRIDE=FQ","FILING_STATUS=MR","Sort=A","Dates=H","DateFormat=P","Fill=—","Direction=H","UseDPDF=Y")</f>
        <v>-10.154999999999999</v>
      </c>
      <c r="D64" s="14">
        <f>_xll.BDH("ITCI US Equity","TOTAL_CAPITAL_SEQUENTIAL_GROWTH","FQ1 2019","FQ1 2019","Currency=USD","Period=FQ","BEST_FPERIOD_OVERRIDE=FQ","FILING_STATUS=MR","Sort=A","Dates=H","DateFormat=P","Fill=—","Direction=H","UseDPDF=Y")</f>
        <v>-1.6897</v>
      </c>
      <c r="E64" s="14">
        <f>_xll.BDH("ITCI US Equity","TOTAL_CAPITAL_SEQUENTIAL_GROWTH","FQ2 2019","FQ2 2019","Currency=USD","Period=FQ","BEST_FPERIOD_OVERRIDE=FQ","FILING_STATUS=MR","Sort=A","Dates=H","DateFormat=P","Fill=—","Direction=H","UseDPDF=Y")</f>
        <v>-10.484299999999999</v>
      </c>
      <c r="F64" s="14">
        <f>_xll.BDH("ITCI US Equity","TOTAL_CAPITAL_SEQUENTIAL_GROWTH","FQ3 2019","FQ3 2019","Currency=USD","Period=FQ","BEST_FPERIOD_OVERRIDE=FQ","FILING_STATUS=MR","Sort=A","Dates=H","DateFormat=P","Fill=—","Direction=H","UseDPDF=Y")</f>
        <v>-10.787699999999999</v>
      </c>
      <c r="G64" s="14">
        <f>_xll.BDH("ITCI US Equity","TOTAL_CAPITAL_SEQUENTIAL_GROWTH","FQ4 2019","FQ4 2019","Currency=USD","Period=FQ","BEST_FPERIOD_OVERRIDE=FQ","FILING_STATUS=MR","Sort=A","Dates=H","DateFormat=P","Fill=—","Direction=H","UseDPDF=Y")</f>
        <v>-12.542999999999999</v>
      </c>
      <c r="H64" s="14">
        <f>_xll.BDH("ITCI US Equity","TOTAL_CAPITAL_SEQUENTIAL_GROWTH","FQ1 2020","FQ1 2020","Currency=USD","Period=FQ","BEST_FPERIOD_OVERRIDE=FQ","FILING_STATUS=MR","Sort=A","Dates=H","DateFormat=P","Fill=—","Direction=H","UseDPDF=Y")</f>
        <v>107.82850000000001</v>
      </c>
      <c r="I64" s="14">
        <f>_xll.BDH("ITCI US Equity","TOTAL_CAPITAL_SEQUENTIAL_GROWTH","FQ2 2020","FQ2 2020","Currency=USD","Period=FQ","BEST_FPERIOD_OVERRIDE=FQ","FILING_STATUS=MR","Sort=A","Dates=H","DateFormat=P","Fill=—","Direction=H","UseDPDF=Y")</f>
        <v>-10.744999999999999</v>
      </c>
      <c r="J64" s="14">
        <f>_xll.BDH("ITCI US Equity","TOTAL_CAPITAL_SEQUENTIAL_GROWTH","FQ3 2020","FQ3 2020","Currency=USD","Period=FQ","BEST_FPERIOD_OVERRIDE=FQ","FILING_STATUS=MR","Sort=A","Dates=H","DateFormat=P","Fill=—","Direction=H","UseDPDF=Y")</f>
        <v>82.506</v>
      </c>
      <c r="K64" s="14">
        <f>_xll.BDH("ITCI US Equity","TOTAL_CAPITAL_SEQUENTIAL_GROWTH","FQ4 2020","FQ4 2020","Currency=USD","Period=FQ","BEST_FPERIOD_OVERRIDE=FQ","FILING_STATUS=MR","Sort=A","Dates=H","DateFormat=P","Fill=—","Direction=H","UseDPDF=Y")</f>
        <v>-7.1128</v>
      </c>
      <c r="L64" s="14">
        <f>_xll.BDH("ITCI US Equity","TOTAL_CAPITAL_SEQUENTIAL_GROWTH","FQ1 2021","FQ1 2021","Currency=USD","Period=FQ","BEST_FPERIOD_OVERRIDE=FQ","FILING_STATUS=MR","Sort=A","Dates=H","DateFormat=P","Fill=—","Direction=H","UseDPDF=Y")</f>
        <v>-6.6534000000000004</v>
      </c>
      <c r="M64" s="14">
        <f>_xll.BDH("ITCI US Equity","TOTAL_CAPITAL_SEQUENTIAL_GROWTH","FQ2 2021","FQ2 2021","Currency=USD","Period=FQ","BEST_FPERIOD_OVERRIDE=FQ","FILING_STATUS=MR","Sort=A","Dates=H","DateFormat=P","Fill=—","Direction=H","UseDPDF=Y")</f>
        <v>-9.2901000000000007</v>
      </c>
      <c r="N64" s="14">
        <f>_xll.BDH("ITCI US Equity","TOTAL_CAPITAL_SEQUENTIAL_GROWTH","FQ3 2021","FQ3 2021","Currency=USD","Period=FQ","BEST_FPERIOD_OVERRIDE=FQ","FILING_STATUS=MR","Sort=A","Dates=H","DateFormat=P","Fill=—","Direction=H","UseDPDF=Y")</f>
        <v>-11.6562</v>
      </c>
      <c r="O64" s="14">
        <f>_xll.BDH("ITCI US Equity","TOTAL_CAPITAL_SEQUENTIAL_GROWTH","FQ4 2021","FQ4 2021","Currency=USD","Period=FQ","BEST_FPERIOD_OVERRIDE=FQ","FILING_STATUS=MR","Sort=A","Dates=H","DateFormat=P","Fill=—","Direction=H","UseDPDF=Y")</f>
        <v>-13.614599999999999</v>
      </c>
      <c r="P64" s="14">
        <f>_xll.BDH("ITCI US Equity","TOTAL_CAPITAL_SEQUENTIAL_GROWTH","FQ1 2022","FQ1 2022","Currency=USD","Period=FQ","BEST_FPERIOD_OVERRIDE=FQ","FILING_STATUS=MR","Sort=A","Dates=H","DateFormat=P","Fill=—","Direction=H","UseDPDF=Y")</f>
        <v>84.332700000000003</v>
      </c>
      <c r="Q64" s="14">
        <f>_xll.BDH("ITCI US Equity","TOTAL_CAPITAL_SEQUENTIAL_GROWTH","FQ2 2022","FQ2 2022","Currency=USD","Period=FQ","BEST_FPERIOD_OVERRIDE=FQ","FILING_STATUS=MR","Sort=A","Dates=H","DateFormat=P","Fill=—","Direction=H","UseDPDF=Y")</f>
        <v>-8.3371999999999993</v>
      </c>
      <c r="R64" s="14">
        <f>_xll.BDH("ITCI US Equity","TOTAL_CAPITAL_SEQUENTIAL_GROWTH","FQ3 2022","FQ3 2022","Currency=USD","Period=FQ","BEST_FPERIOD_OVERRIDE=FQ","FILING_STATUS=MR","Sort=A","Dates=H","DateFormat=P","Fill=—","Direction=H","UseDPDF=Y")</f>
        <v>-4.9640000000000004</v>
      </c>
      <c r="S64" s="14">
        <f>_xll.BDH("ITCI US Equity","TOTAL_CAPITAL_SEQUENTIAL_GROWTH","FQ4 2022","FQ4 2022","Currency=USD","Period=FQ","BEST_FPERIOD_OVERRIDE=FQ","FILING_STATUS=MR","Sort=A","Dates=H","DateFormat=P","Fill=—","Direction=H","UseDPDF=Y")</f>
        <v>-5.0183999999999997</v>
      </c>
      <c r="T64" s="14">
        <f>_xll.BDH("ITCI US Equity","TOTAL_CAPITAL_SEQUENTIAL_GROWTH","FQ1 2023","FQ1 2023","Currency=USD","Period=FQ","BEST_FPERIOD_OVERRIDE=FQ","FILING_STATUS=MR","Sort=A","Dates=H","DateFormat=P","Fill=—","Direction=H","UseDPDF=Y")</f>
        <v>-4.4385000000000003</v>
      </c>
      <c r="U64" s="14">
        <f>_xll.BDH("ITCI US Equity","TOTAL_CAPITAL_SEQUENTIAL_GROWTH","FQ2 2023","FQ2 2023","Currency=USD","Period=FQ","BEST_FPERIOD_OVERRIDE=FQ","FILING_STATUS=MR","Sort=A","Dates=H","DateFormat=P","Fill=—","Direction=H","UseDPDF=Y")</f>
        <v>-3.2536999999999998</v>
      </c>
      <c r="V64" s="14">
        <f>_xll.BDH("ITCI US Equity","TOTAL_CAPITAL_SEQUENTIAL_GROWTH","FQ3 2023","FQ3 2023","Currency=USD","Period=FQ","BEST_FPERIOD_OVERRIDE=FQ","FILING_STATUS=MR","Sort=A","Dates=H","DateFormat=P","Fill=—","Direction=H","UseDPDF=Y")</f>
        <v>-1.1076999999999999</v>
      </c>
      <c r="W64" s="14">
        <f>_xll.BDH("ITCI US Equity","TOTAL_CAPITAL_SEQUENTIAL_GROWTH","FQ4 2023","FQ4 2023","Currency=USD","Period=FQ","BEST_FPERIOD_OVERRIDE=FQ","FILING_STATUS=MR","Sort=A","Dates=H","DateFormat=P","Fill=—","Direction=H","UseDPDF=Y")</f>
        <v>-1.5844</v>
      </c>
      <c r="X64" s="14">
        <f>_xll.BDH("ITCI US Equity","TOTAL_CAPITAL_SEQUENTIAL_GROWTH","FQ1 2024","FQ1 2024","Currency=USD","Period=FQ","BEST_FPERIOD_OVERRIDE=FQ","FILING_STATUS=MR","Sort=A","Dates=H","DateFormat=P","Fill=—","Direction=H","UseDPDF=Y")</f>
        <v>1.2347999999999999</v>
      </c>
      <c r="Y64" s="14">
        <f>_xll.BDH("ITCI US Equity","TOTAL_CAPITAL_SEQUENTIAL_GROWTH","FQ2 2024","FQ2 2024","Currency=USD","Period=FQ","BEST_FPERIOD_OVERRIDE=FQ","FILING_STATUS=MR","Sort=A","Dates=H","DateFormat=P","Fill=—","Direction=H","UseDPDF=Y")</f>
        <v>88.821100000000001</v>
      </c>
      <c r="Z64" s="14">
        <f>_xll.BDH("ITCI US Equity","TOTAL_CAPITAL_SEQUENTIAL_GROWTH","FQ3 2024","FQ3 2024","Currency=USD","Period=FQ","BEST_FPERIOD_OVERRIDE=FQ","FILING_STATUS=MR","Sort=A","Dates=H","DateFormat=P","Fill=—","Direction=H","UseDPDF=Y")</f>
        <v>-3.1399999999999997E-2</v>
      </c>
      <c r="AA64" s="14">
        <f>_xll.BDH("ITCI US Equity","TOTAL_CAPITAL_SEQUENTIAL_GROWTH","FQ4 2024","FQ4 2024","Currency=USD","Period=FQ","BEST_FPERIOD_OVERRIDE=FQ","FILING_STATUS=MR","Sort=A","Dates=H","DateFormat=P","Fill=—","Direction=H","UseDPDF=Y")</f>
        <v>0.25</v>
      </c>
    </row>
    <row r="65" spans="1:27" x14ac:dyDescent="0.25">
      <c r="A65" s="10" t="s">
        <v>1135</v>
      </c>
      <c r="B65" s="10" t="s">
        <v>1169</v>
      </c>
      <c r="C65" s="14">
        <f>_xll.BDH("ITCI US Equity","BPS_SEQUENTIAL_GROWTH","FQ4 2018","FQ4 2018","Currency=USD","Period=FQ","BEST_FPERIOD_OVERRIDE=FQ","FILING_STATUS=MR","Sort=A","Dates=H","DateFormat=P","Fill=—","Direction=H","UseDPDF=Y")</f>
        <v>-10.452</v>
      </c>
      <c r="D65" s="14">
        <f>_xll.BDH("ITCI US Equity","BPS_SEQUENTIAL_GROWTH","FQ1 2019","FQ1 2019","Currency=USD","Period=FQ","BEST_FPERIOD_OVERRIDE=FQ","FILING_STATUS=MR","Sort=A","Dates=H","DateFormat=P","Fill=—","Direction=H","UseDPDF=Y")</f>
        <v>-9.5479000000000003</v>
      </c>
      <c r="E65" s="14">
        <f>_xll.BDH("ITCI US Equity","BPS_SEQUENTIAL_GROWTH","FQ2 2019","FQ2 2019","Currency=USD","Period=FQ","BEST_FPERIOD_OVERRIDE=FQ","FILING_STATUS=MR","Sort=A","Dates=H","DateFormat=P","Fill=—","Direction=H","UseDPDF=Y")</f>
        <v>-11.123799999999999</v>
      </c>
      <c r="F65" s="14">
        <f>_xll.BDH("ITCI US Equity","BPS_SEQUENTIAL_GROWTH","FQ3 2019","FQ3 2019","Currency=USD","Period=FQ","BEST_FPERIOD_OVERRIDE=FQ","FILING_STATUS=MR","Sort=A","Dates=H","DateFormat=P","Fill=—","Direction=H","UseDPDF=Y")</f>
        <v>-11.737399999999999</v>
      </c>
      <c r="G65" s="14">
        <f>_xll.BDH("ITCI US Equity","BPS_SEQUENTIAL_GROWTH","FQ4 2019","FQ4 2019","Currency=USD","Period=FQ","BEST_FPERIOD_OVERRIDE=FQ","FILING_STATUS=MR","Sort=A","Dates=H","DateFormat=P","Fill=—","Direction=H","UseDPDF=Y")</f>
        <v>-14.450900000000001</v>
      </c>
      <c r="H65" s="14">
        <f>_xll.BDH("ITCI US Equity","BPS_SEQUENTIAL_GROWTH","FQ1 2020","FQ1 2020","Currency=USD","Period=FQ","BEST_FPERIOD_OVERRIDE=FQ","FILING_STATUS=MR","Sort=A","Dates=H","DateFormat=P","Fill=—","Direction=H","UseDPDF=Y")</f>
        <v>85.079700000000003</v>
      </c>
      <c r="I65" s="14">
        <f>_xll.BDH("ITCI US Equity","BPS_SEQUENTIAL_GROWTH","FQ2 2020","FQ2 2020","Currency=USD","Period=FQ","BEST_FPERIOD_OVERRIDE=FQ","FILING_STATUS=MR","Sort=A","Dates=H","DateFormat=P","Fill=—","Direction=H","UseDPDF=Y")</f>
        <v>-12.590999999999999</v>
      </c>
      <c r="J65" s="14">
        <f>_xll.BDH("ITCI US Equity","BPS_SEQUENTIAL_GROWTH","FQ3 2020","FQ3 2020","Currency=USD","Period=FQ","BEST_FPERIOD_OVERRIDE=FQ","FILING_STATUS=MR","Sort=A","Dates=H","DateFormat=P","Fill=—","Direction=H","UseDPDF=Y")</f>
        <v>55.743400000000001</v>
      </c>
      <c r="K65" s="14">
        <f>_xll.BDH("ITCI US Equity","BPS_SEQUENTIAL_GROWTH","FQ4 2020","FQ4 2020","Currency=USD","Period=FQ","BEST_FPERIOD_OVERRIDE=FQ","FILING_STATUS=MR","Sort=A","Dates=H","DateFormat=P","Fill=—","Direction=H","UseDPDF=Y")</f>
        <v>-7.7742000000000004</v>
      </c>
      <c r="L65" s="14">
        <f>_xll.BDH("ITCI US Equity","BPS_SEQUENTIAL_GROWTH","FQ1 2021","FQ1 2021","Currency=USD","Period=FQ","BEST_FPERIOD_OVERRIDE=FQ","FILING_STATUS=MR","Sort=A","Dates=H","DateFormat=P","Fill=—","Direction=H","UseDPDF=Y")</f>
        <v>-7.5770999999999997</v>
      </c>
      <c r="M65" s="14">
        <f>_xll.BDH("ITCI US Equity","BPS_SEQUENTIAL_GROWTH","FQ2 2021","FQ2 2021","Currency=USD","Period=FQ","BEST_FPERIOD_OVERRIDE=FQ","FILING_STATUS=MR","Sort=A","Dates=H","DateFormat=P","Fill=—","Direction=H","UseDPDF=Y")</f>
        <v>-9.7649000000000008</v>
      </c>
      <c r="N65" s="14">
        <f>_xll.BDH("ITCI US Equity","BPS_SEQUENTIAL_GROWTH","FQ3 2021","FQ3 2021","Currency=USD","Period=FQ","BEST_FPERIOD_OVERRIDE=FQ","FILING_STATUS=MR","Sort=A","Dates=H","DateFormat=P","Fill=—","Direction=H","UseDPDF=Y")</f>
        <v>-12.142899999999999</v>
      </c>
      <c r="O65" s="14">
        <f>_xll.BDH("ITCI US Equity","BPS_SEQUENTIAL_GROWTH","FQ4 2021","FQ4 2021","Currency=USD","Period=FQ","BEST_FPERIOD_OVERRIDE=FQ","FILING_STATUS=MR","Sort=A","Dates=H","DateFormat=P","Fill=—","Direction=H","UseDPDF=Y")</f>
        <v>-14.6821</v>
      </c>
      <c r="P65" s="14">
        <f>_xll.BDH("ITCI US Equity","BPS_SEQUENTIAL_GROWTH","FQ1 2022","FQ1 2022","Currency=USD","Period=FQ","BEST_FPERIOD_OVERRIDE=FQ","FILING_STATUS=MR","Sort=A","Dates=H","DateFormat=P","Fill=—","Direction=H","UseDPDF=Y")</f>
        <v>65.221299999999999</v>
      </c>
      <c r="Q65" s="14">
        <f>_xll.BDH("ITCI US Equity","BPS_SEQUENTIAL_GROWTH","FQ2 2022","FQ2 2022","Currency=USD","Period=FQ","BEST_FPERIOD_OVERRIDE=FQ","FILING_STATUS=MR","Sort=A","Dates=H","DateFormat=P","Fill=—","Direction=H","UseDPDF=Y")</f>
        <v>-9.2346000000000004</v>
      </c>
      <c r="R65" s="14">
        <f>_xll.BDH("ITCI US Equity","BPS_SEQUENTIAL_GROWTH","FQ3 2022","FQ3 2022","Currency=USD","Period=FQ","BEST_FPERIOD_OVERRIDE=FQ","FILING_STATUS=MR","Sort=A","Dates=H","DateFormat=P","Fill=—","Direction=H","UseDPDF=Y")</f>
        <v>-5.4272999999999998</v>
      </c>
      <c r="S65" s="14">
        <f>_xll.BDH("ITCI US Equity","BPS_SEQUENTIAL_GROWTH","FQ4 2022","FQ4 2022","Currency=USD","Period=FQ","BEST_FPERIOD_OVERRIDE=FQ","FILING_STATUS=MR","Sort=A","Dates=H","DateFormat=P","Fill=—","Direction=H","UseDPDF=Y")</f>
        <v>-4.4116999999999997</v>
      </c>
      <c r="T65" s="14">
        <f>_xll.BDH("ITCI US Equity","BPS_SEQUENTIAL_GROWTH","FQ1 2023","FQ1 2023","Currency=USD","Period=FQ","BEST_FPERIOD_OVERRIDE=FQ","FILING_STATUS=MR","Sort=A","Dates=H","DateFormat=P","Fill=—","Direction=H","UseDPDF=Y")</f>
        <v>-5.1879999999999997</v>
      </c>
      <c r="U65" s="14">
        <f>_xll.BDH("ITCI US Equity","BPS_SEQUENTIAL_GROWTH","FQ2 2023","FQ2 2023","Currency=USD","Period=FQ","BEST_FPERIOD_OVERRIDE=FQ","FILING_STATUS=MR","Sort=A","Dates=H","DateFormat=P","Fill=—","Direction=H","UseDPDF=Y")</f>
        <v>-3.6756000000000002</v>
      </c>
      <c r="V65" s="14">
        <f>_xll.BDH("ITCI US Equity","BPS_SEQUENTIAL_GROWTH","FQ3 2023","FQ3 2023","Currency=USD","Period=FQ","BEST_FPERIOD_OVERRIDE=FQ","FILING_STATUS=MR","Sort=A","Dates=H","DateFormat=P","Fill=—","Direction=H","UseDPDF=Y")</f>
        <v>-1.2019</v>
      </c>
      <c r="W65" s="14">
        <f>_xll.BDH("ITCI US Equity","BPS_SEQUENTIAL_GROWTH","FQ4 2023","FQ4 2023","Currency=USD","Period=FQ","BEST_FPERIOD_OVERRIDE=FQ","FILING_STATUS=MR","Sort=A","Dates=H","DateFormat=P","Fill=—","Direction=H","UseDPDF=Y")</f>
        <v>-1.6986000000000001</v>
      </c>
      <c r="X65" s="14">
        <f>_xll.BDH("ITCI US Equity","BPS_SEQUENTIAL_GROWTH","FQ1 2024","FQ1 2024","Currency=USD","Period=FQ","BEST_FPERIOD_OVERRIDE=FQ","FILING_STATUS=MR","Sort=A","Dates=H","DateFormat=P","Fill=—","Direction=H","UseDPDF=Y")</f>
        <v>0.22339999999999999</v>
      </c>
      <c r="Y65" s="14">
        <f>_xll.BDH("ITCI US Equity","BPS_SEQUENTIAL_GROWTH","FQ2 2024","FQ2 2024","Currency=USD","Period=FQ","BEST_FPERIOD_OVERRIDE=FQ","FILING_STATUS=MR","Sort=A","Dates=H","DateFormat=P","Fill=—","Direction=H","UseDPDF=Y")</f>
        <v>76.201700000000002</v>
      </c>
      <c r="Z65" s="14">
        <f>_xll.BDH("ITCI US Equity","BPS_SEQUENTIAL_GROWTH","FQ3 2024","FQ3 2024","Currency=USD","Period=FQ","BEST_FPERIOD_OVERRIDE=FQ","FILING_STATUS=MR","Sort=A","Dates=H","DateFormat=P","Fill=—","Direction=H","UseDPDF=Y")</f>
        <v>-0.33410000000000001</v>
      </c>
      <c r="AA65" s="14">
        <f>_xll.BDH("ITCI US Equity","BPS_SEQUENTIAL_GROWTH","FQ4 2024","FQ4 2024","Currency=USD","Period=FQ","BEST_FPERIOD_OVERRIDE=FQ","FILING_STATUS=MR","Sort=A","Dates=H","DateFormat=P","Fill=—","Direction=H","UseDPDF=Y")</f>
        <v>8.9700000000000002E-2</v>
      </c>
    </row>
    <row r="66" spans="1:27" x14ac:dyDescent="0.25">
      <c r="A66" s="10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x14ac:dyDescent="0.25">
      <c r="A67" s="10" t="s">
        <v>124</v>
      </c>
      <c r="B67" s="10" t="s">
        <v>1170</v>
      </c>
      <c r="C67" s="14" t="str">
        <f>_xll.BDH("ITCI US Equity","CFO_SEQUENTIAL_GROWTH","FQ4 2018","FQ4 2018","Currency=USD","Period=FQ","BEST_FPERIOD_OVERRIDE=FQ","FILING_STATUS=MR","Sort=A","Dates=H","DateFormat=P","Fill=—","Direction=H","UseDPDF=Y")</f>
        <v>—</v>
      </c>
      <c r="D67" s="14" t="str">
        <f>_xll.BDH("ITCI US Equity","CFO_SEQUENTIAL_GROWTH","FQ1 2019","FQ1 2019","Currency=USD","Period=FQ","BEST_FPERIOD_OVERRIDE=FQ","FILING_STATUS=MR","Sort=A","Dates=H","DateFormat=P","Fill=—","Direction=H","UseDPDF=Y")</f>
        <v>—</v>
      </c>
      <c r="E67" s="14" t="str">
        <f>_xll.BDH("ITCI US Equity","CFO_SEQUENTIAL_GROWTH","FQ2 2019","FQ2 2019","Currency=USD","Period=FQ","BEST_FPERIOD_OVERRIDE=FQ","FILING_STATUS=MR","Sort=A","Dates=H","DateFormat=P","Fill=—","Direction=H","UseDPDF=Y")</f>
        <v>—</v>
      </c>
      <c r="F67" s="14" t="str">
        <f>_xll.BDH("ITCI US Equity","CFO_SEQUENTIAL_GROWTH","FQ3 2019","FQ3 2019","Currency=USD","Period=FQ","BEST_FPERIOD_OVERRIDE=FQ","FILING_STATUS=MR","Sort=A","Dates=H","DateFormat=P","Fill=—","Direction=H","UseDPDF=Y")</f>
        <v>—</v>
      </c>
      <c r="G67" s="14" t="str">
        <f>_xll.BDH("ITCI US Equity","CFO_SEQUENTIAL_GROWTH","FQ4 2019","FQ4 2019","Currency=USD","Period=FQ","BEST_FPERIOD_OVERRIDE=FQ","FILING_STATUS=MR","Sort=A","Dates=H","DateFormat=P","Fill=—","Direction=H","UseDPDF=Y")</f>
        <v>—</v>
      </c>
      <c r="H67" s="14" t="str">
        <f>_xll.BDH("ITCI US Equity","CFO_SEQUENTIAL_GROWTH","FQ1 2020","FQ1 2020","Currency=USD","Period=FQ","BEST_FPERIOD_OVERRIDE=FQ","FILING_STATUS=MR","Sort=A","Dates=H","DateFormat=P","Fill=—","Direction=H","UseDPDF=Y")</f>
        <v>—</v>
      </c>
      <c r="I67" s="14" t="str">
        <f>_xll.BDH("ITCI US Equity","CFO_SEQUENTIAL_GROWTH","FQ2 2020","FQ2 2020","Currency=USD","Period=FQ","BEST_FPERIOD_OVERRIDE=FQ","FILING_STATUS=MR","Sort=A","Dates=H","DateFormat=P","Fill=—","Direction=H","UseDPDF=Y")</f>
        <v>—</v>
      </c>
      <c r="J67" s="14" t="str">
        <f>_xll.BDH("ITCI US Equity","CFO_SEQUENTIAL_GROWTH","FQ3 2020","FQ3 2020","Currency=USD","Period=FQ","BEST_FPERIOD_OVERRIDE=FQ","FILING_STATUS=MR","Sort=A","Dates=H","DateFormat=P","Fill=—","Direction=H","UseDPDF=Y")</f>
        <v>—</v>
      </c>
      <c r="K67" s="14" t="str">
        <f>_xll.BDH("ITCI US Equity","CFO_SEQUENTIAL_GROWTH","FQ4 2020","FQ4 2020","Currency=USD","Period=FQ","BEST_FPERIOD_OVERRIDE=FQ","FILING_STATUS=MR","Sort=A","Dates=H","DateFormat=P","Fill=—","Direction=H","UseDPDF=Y")</f>
        <v>—</v>
      </c>
      <c r="L67" s="14" t="str">
        <f>_xll.BDH("ITCI US Equity","CFO_SEQUENTIAL_GROWTH","FQ1 2021","FQ1 2021","Currency=USD","Period=FQ","BEST_FPERIOD_OVERRIDE=FQ","FILING_STATUS=MR","Sort=A","Dates=H","DateFormat=P","Fill=—","Direction=H","UseDPDF=Y")</f>
        <v>—</v>
      </c>
      <c r="M67" s="14" t="str">
        <f>_xll.BDH("ITCI US Equity","CFO_SEQUENTIAL_GROWTH","FQ2 2021","FQ2 2021","Currency=USD","Period=FQ","BEST_FPERIOD_OVERRIDE=FQ","FILING_STATUS=MR","Sort=A","Dates=H","DateFormat=P","Fill=—","Direction=H","UseDPDF=Y")</f>
        <v>—</v>
      </c>
      <c r="N67" s="14" t="str">
        <f>_xll.BDH("ITCI US Equity","CFO_SEQUENTIAL_GROWTH","FQ3 2021","FQ3 2021","Currency=USD","Period=FQ","BEST_FPERIOD_OVERRIDE=FQ","FILING_STATUS=MR","Sort=A","Dates=H","DateFormat=P","Fill=—","Direction=H","UseDPDF=Y")</f>
        <v>—</v>
      </c>
      <c r="O67" s="14" t="str">
        <f>_xll.BDH("ITCI US Equity","CFO_SEQUENTIAL_GROWTH","FQ4 2021","FQ4 2021","Currency=USD","Period=FQ","BEST_FPERIOD_OVERRIDE=FQ","FILING_STATUS=MR","Sort=A","Dates=H","DateFormat=P","Fill=—","Direction=H","UseDPDF=Y")</f>
        <v>—</v>
      </c>
      <c r="P67" s="14" t="str">
        <f>_xll.BDH("ITCI US Equity","CFO_SEQUENTIAL_GROWTH","FQ1 2022","FQ1 2022","Currency=USD","Period=FQ","BEST_FPERIOD_OVERRIDE=FQ","FILING_STATUS=MR","Sort=A","Dates=H","DateFormat=P","Fill=—","Direction=H","UseDPDF=Y")</f>
        <v>—</v>
      </c>
      <c r="Q67" s="14" t="str">
        <f>_xll.BDH("ITCI US Equity","CFO_SEQUENTIAL_GROWTH","FQ2 2022","FQ2 2022","Currency=USD","Period=FQ","BEST_FPERIOD_OVERRIDE=FQ","FILING_STATUS=MR","Sort=A","Dates=H","DateFormat=P","Fill=—","Direction=H","UseDPDF=Y")</f>
        <v>—</v>
      </c>
      <c r="R67" s="14" t="str">
        <f>_xll.BDH("ITCI US Equity","CFO_SEQUENTIAL_GROWTH","FQ3 2022","FQ3 2022","Currency=USD","Period=FQ","BEST_FPERIOD_OVERRIDE=FQ","FILING_STATUS=MR","Sort=A","Dates=H","DateFormat=P","Fill=—","Direction=H","UseDPDF=Y")</f>
        <v>—</v>
      </c>
      <c r="S67" s="14" t="str">
        <f>_xll.BDH("ITCI US Equity","CFO_SEQUENTIAL_GROWTH","FQ4 2022","FQ4 2022","Currency=USD","Period=FQ","BEST_FPERIOD_OVERRIDE=FQ","FILING_STATUS=MR","Sort=A","Dates=H","DateFormat=P","Fill=—","Direction=H","UseDPDF=Y")</f>
        <v>—</v>
      </c>
      <c r="T67" s="14" t="str">
        <f>_xll.BDH("ITCI US Equity","CFO_SEQUENTIAL_GROWTH","FQ1 2023","FQ1 2023","Currency=USD","Period=FQ","BEST_FPERIOD_OVERRIDE=FQ","FILING_STATUS=MR","Sort=A","Dates=H","DateFormat=P","Fill=—","Direction=H","UseDPDF=Y")</f>
        <v>—</v>
      </c>
      <c r="U67" s="14" t="str">
        <f>_xll.BDH("ITCI US Equity","CFO_SEQUENTIAL_GROWTH","FQ2 2023","FQ2 2023","Currency=USD","Period=FQ","BEST_FPERIOD_OVERRIDE=FQ","FILING_STATUS=MR","Sort=A","Dates=H","DateFormat=P","Fill=—","Direction=H","UseDPDF=Y")</f>
        <v>—</v>
      </c>
      <c r="V67" s="14" t="str">
        <f>_xll.BDH("ITCI US Equity","CFO_SEQUENTIAL_GROWTH","FQ3 2023","FQ3 2023","Currency=USD","Period=FQ","BEST_FPERIOD_OVERRIDE=FQ","FILING_STATUS=MR","Sort=A","Dates=H","DateFormat=P","Fill=—","Direction=H","UseDPDF=Y")</f>
        <v>—</v>
      </c>
      <c r="W67" s="14" t="str">
        <f>_xll.BDH("ITCI US Equity","CFO_SEQUENTIAL_GROWTH","FQ4 2023","FQ4 2023","Currency=USD","Period=FQ","BEST_FPERIOD_OVERRIDE=FQ","FILING_STATUS=MR","Sort=A","Dates=H","DateFormat=P","Fill=—","Direction=H","UseDPDF=Y")</f>
        <v>—</v>
      </c>
      <c r="X67" s="14" t="str">
        <f>_xll.BDH("ITCI US Equity","CFO_SEQUENTIAL_GROWTH","FQ1 2024","FQ1 2024","Currency=USD","Period=FQ","BEST_FPERIOD_OVERRIDE=FQ","FILING_STATUS=MR","Sort=A","Dates=H","DateFormat=P","Fill=—","Direction=H","UseDPDF=Y")</f>
        <v>—</v>
      </c>
      <c r="Y67" s="14" t="str">
        <f>_xll.BDH("ITCI US Equity","CFO_SEQUENTIAL_GROWTH","FQ2 2024","FQ2 2024","Currency=USD","Period=FQ","BEST_FPERIOD_OVERRIDE=FQ","FILING_STATUS=MR","Sort=A","Dates=H","DateFormat=P","Fill=—","Direction=H","UseDPDF=Y")</f>
        <v>—</v>
      </c>
      <c r="Z67" s="14">
        <f>_xll.BDH("ITCI US Equity","CFO_SEQUENTIAL_GROWTH","FQ3 2024","FQ3 2024","Currency=USD","Period=FQ","BEST_FPERIOD_OVERRIDE=FQ","FILING_STATUS=MR","Sort=A","Dates=H","DateFormat=P","Fill=—","Direction=H","UseDPDF=Y")</f>
        <v>-4993.9114</v>
      </c>
      <c r="AA67" s="14" t="str">
        <f>_xll.BDH("ITCI US Equity","CFO_SEQUENTIAL_GROWTH","FQ4 2024","FQ4 2024","Currency=USD","Period=FQ","BEST_FPERIOD_OVERRIDE=FQ","FILING_STATUS=MR","Sort=A","Dates=H","DateFormat=P","Fill=—","Direction=H","UseDPDF=Y")</f>
        <v>—</v>
      </c>
    </row>
    <row r="68" spans="1:27" x14ac:dyDescent="0.25">
      <c r="A68" s="10" t="s">
        <v>86</v>
      </c>
      <c r="B68" s="10" t="s">
        <v>1171</v>
      </c>
      <c r="C68" s="14">
        <f>_xll.BDH("ITCI US Equity","CAPEX_SEQUENTIAL_GROWTH","FQ4 2018","FQ4 2018","Currency=USD","Period=FQ","BEST_FPERIOD_OVERRIDE=FQ","FILING_STATUS=MR","Sort=A","Dates=H","DateFormat=P","Fill=—","Direction=H","UseDPDF=Y")</f>
        <v>266.67910000000001</v>
      </c>
      <c r="D68" s="14">
        <f>_xll.BDH("ITCI US Equity","CAPEX_SEQUENTIAL_GROWTH","FQ1 2019","FQ1 2019","Currency=USD","Period=FQ","BEST_FPERIOD_OVERRIDE=FQ","FILING_STATUS=MR","Sort=A","Dates=H","DateFormat=P","Fill=—","Direction=H","UseDPDF=Y")</f>
        <v>14.3652</v>
      </c>
      <c r="E68" s="14">
        <f>_xll.BDH("ITCI US Equity","CAPEX_SEQUENTIAL_GROWTH","FQ2 2019","FQ2 2019","Currency=USD","Period=FQ","BEST_FPERIOD_OVERRIDE=FQ","FILING_STATUS=MR","Sort=A","Dates=H","DateFormat=P","Fill=—","Direction=H","UseDPDF=Y")</f>
        <v>1481.0917999999999</v>
      </c>
      <c r="F68" s="14">
        <f>_xll.BDH("ITCI US Equity","CAPEX_SEQUENTIAL_GROWTH","FQ3 2019","FQ3 2019","Currency=USD","Period=FQ","BEST_FPERIOD_OVERRIDE=FQ","FILING_STATUS=MR","Sort=A","Dates=H","DateFormat=P","Fill=—","Direction=H","UseDPDF=Y")</f>
        <v>-79.187200000000004</v>
      </c>
      <c r="G68" s="14" t="str">
        <f>_xll.BDH("ITCI US Equity","CAPEX_SEQUENTIAL_GROWTH","FQ4 2019","FQ4 2019","Currency=USD","Period=FQ","BEST_FPERIOD_OVERRIDE=FQ","FILING_STATUS=MR","Sort=A","Dates=H","DateFormat=P","Fill=—","Direction=H","UseDPDF=Y")</f>
        <v>—</v>
      </c>
      <c r="H68" s="14" t="str">
        <f>_xll.BDH("ITCI US Equity","CAPEX_SEQUENTIAL_GROWTH","FQ1 2020","FQ1 2020","Currency=USD","Period=FQ","BEST_FPERIOD_OVERRIDE=FQ","FILING_STATUS=MR","Sort=A","Dates=H","DateFormat=P","Fill=—","Direction=H","UseDPDF=Y")</f>
        <v>—</v>
      </c>
      <c r="I68" s="14">
        <f>_xll.BDH("ITCI US Equity","CAPEX_SEQUENTIAL_GROWTH","FQ2 2020","FQ2 2020","Currency=USD","Period=FQ","BEST_FPERIOD_OVERRIDE=FQ","FILING_STATUS=MR","Sort=A","Dates=H","DateFormat=P","Fill=—","Direction=H","UseDPDF=Y")</f>
        <v>-100</v>
      </c>
      <c r="J68" s="14" t="str">
        <f>_xll.BDH("ITCI US Equity","CAPEX_SEQUENTIAL_GROWTH","FQ3 2020","FQ3 2020","Currency=USD","Period=FQ","BEST_FPERIOD_OVERRIDE=FQ","FILING_STATUS=MR","Sort=A","Dates=H","DateFormat=P","Fill=—","Direction=H","UseDPDF=Y")</f>
        <v>—</v>
      </c>
      <c r="K68" s="14">
        <f>_xll.BDH("ITCI US Equity","CAPEX_SEQUENTIAL_GROWTH","FQ4 2020","FQ4 2020","Currency=USD","Period=FQ","BEST_FPERIOD_OVERRIDE=FQ","FILING_STATUS=MR","Sort=A","Dates=H","DateFormat=P","Fill=—","Direction=H","UseDPDF=Y")</f>
        <v>-55.996400000000001</v>
      </c>
      <c r="L68" s="14">
        <f>_xll.BDH("ITCI US Equity","CAPEX_SEQUENTIAL_GROWTH","FQ1 2021","FQ1 2021","Currency=USD","Period=FQ","BEST_FPERIOD_OVERRIDE=FQ","FILING_STATUS=MR","Sort=A","Dates=H","DateFormat=P","Fill=—","Direction=H","UseDPDF=Y")</f>
        <v>-100</v>
      </c>
      <c r="M68" s="14" t="str">
        <f>_xll.BDH("ITCI US Equity","CAPEX_SEQUENTIAL_GROWTH","FQ2 2021","FQ2 2021","Currency=USD","Period=FQ","BEST_FPERIOD_OVERRIDE=FQ","FILING_STATUS=MR","Sort=A","Dates=H","DateFormat=P","Fill=—","Direction=H","UseDPDF=Y")</f>
        <v>—</v>
      </c>
      <c r="N68" s="14">
        <f>_xll.BDH("ITCI US Equity","CAPEX_SEQUENTIAL_GROWTH","FQ3 2021","FQ3 2021","Currency=USD","Period=FQ","BEST_FPERIOD_OVERRIDE=FQ","FILING_STATUS=MR","Sort=A","Dates=H","DateFormat=P","Fill=—","Direction=H","UseDPDF=Y")</f>
        <v>1928.6801</v>
      </c>
      <c r="O68" s="14">
        <f>_xll.BDH("ITCI US Equity","CAPEX_SEQUENTIAL_GROWTH","FQ4 2021","FQ4 2021","Currency=USD","Period=FQ","BEST_FPERIOD_OVERRIDE=FQ","FILING_STATUS=MR","Sort=A","Dates=H","DateFormat=P","Fill=—","Direction=H","UseDPDF=Y")</f>
        <v>-99.598399999999998</v>
      </c>
      <c r="P68" s="14">
        <f>_xll.BDH("ITCI US Equity","CAPEX_SEQUENTIAL_GROWTH","FQ1 2022","FQ1 2022","Currency=USD","Period=FQ","BEST_FPERIOD_OVERRIDE=FQ","FILING_STATUS=MR","Sort=A","Dates=H","DateFormat=P","Fill=—","Direction=H","UseDPDF=Y")</f>
        <v>45471.658600000002</v>
      </c>
      <c r="Q68" s="14">
        <f>_xll.BDH("ITCI US Equity","CAPEX_SEQUENTIAL_GROWTH","FQ2 2022","FQ2 2022","Currency=USD","Period=FQ","BEST_FPERIOD_OVERRIDE=FQ","FILING_STATUS=MR","Sort=A","Dates=H","DateFormat=P","Fill=—","Direction=H","UseDPDF=Y")</f>
        <v>-78.268600000000006</v>
      </c>
      <c r="R68" s="14">
        <f>_xll.BDH("ITCI US Equity","CAPEX_SEQUENTIAL_GROWTH","FQ3 2022","FQ3 2022","Currency=USD","Period=FQ","BEST_FPERIOD_OVERRIDE=FQ","FILING_STATUS=MR","Sort=A","Dates=H","DateFormat=P","Fill=—","Direction=H","UseDPDF=Y")</f>
        <v>-4.8780000000000001</v>
      </c>
      <c r="S68" s="14">
        <f>_xll.BDH("ITCI US Equity","CAPEX_SEQUENTIAL_GROWTH","FQ4 2022","FQ4 2022","Currency=USD","Period=FQ","BEST_FPERIOD_OVERRIDE=FQ","FILING_STATUS=MR","Sort=A","Dates=H","DateFormat=P","Fill=—","Direction=H","UseDPDF=Y")</f>
        <v>-100</v>
      </c>
      <c r="T68" s="14" t="str">
        <f>_xll.BDH("ITCI US Equity","CAPEX_SEQUENTIAL_GROWTH","FQ1 2023","FQ1 2023","Currency=USD","Period=FQ","BEST_FPERIOD_OVERRIDE=FQ","FILING_STATUS=MR","Sort=A","Dates=H","DateFormat=P","Fill=—","Direction=H","UseDPDF=Y")</f>
        <v>—</v>
      </c>
      <c r="U68" s="14" t="str">
        <f>_xll.BDH("ITCI US Equity","CAPEX_SEQUENTIAL_GROWTH","FQ2 2023","FQ2 2023","Currency=USD","Period=FQ","BEST_FPERIOD_OVERRIDE=FQ","FILING_STATUS=MR","Sort=A","Dates=H","DateFormat=P","Fill=—","Direction=H","UseDPDF=Y")</f>
        <v>—</v>
      </c>
      <c r="V68" s="14" t="str">
        <f>_xll.BDH("ITCI US Equity","CAPEX_SEQUENTIAL_GROWTH","FQ3 2023","FQ3 2023","Currency=USD","Period=FQ","BEST_FPERIOD_OVERRIDE=FQ","FILING_STATUS=MR","Sort=A","Dates=H","DateFormat=P","Fill=—","Direction=H","UseDPDF=Y")</f>
        <v>—</v>
      </c>
      <c r="W68" s="14">
        <f>_xll.BDH("ITCI US Equity","CAPEX_SEQUENTIAL_GROWTH","FQ4 2023","FQ4 2023","Currency=USD","Period=FQ","BEST_FPERIOD_OVERRIDE=FQ","FILING_STATUS=MR","Sort=A","Dates=H","DateFormat=P","Fill=—","Direction=H","UseDPDF=Y")</f>
        <v>-99.626900000000006</v>
      </c>
      <c r="X68" s="14">
        <f>_xll.BDH("ITCI US Equity","CAPEX_SEQUENTIAL_GROWTH","FQ1 2024","FQ1 2024","Currency=USD","Period=FQ","BEST_FPERIOD_OVERRIDE=FQ","FILING_STATUS=MR","Sort=A","Dates=H","DateFormat=P","Fill=—","Direction=H","UseDPDF=Y")</f>
        <v>-100</v>
      </c>
      <c r="Y68" s="14" t="str">
        <f>_xll.BDH("ITCI US Equity","CAPEX_SEQUENTIAL_GROWTH","FQ2 2024","FQ2 2024","Currency=USD","Period=FQ","BEST_FPERIOD_OVERRIDE=FQ","FILING_STATUS=MR","Sort=A","Dates=H","DateFormat=P","Fill=—","Direction=H","UseDPDF=Y")</f>
        <v>—</v>
      </c>
      <c r="Z68" s="14">
        <f>_xll.BDH("ITCI US Equity","CAPEX_SEQUENTIAL_GROWTH","FQ3 2024","FQ3 2024","Currency=USD","Period=FQ","BEST_FPERIOD_OVERRIDE=FQ","FILING_STATUS=MR","Sort=A","Dates=H","DateFormat=P","Fill=—","Direction=H","UseDPDF=Y")</f>
        <v>1213.2075</v>
      </c>
      <c r="AA68" s="14" t="str">
        <f>_xll.BDH("ITCI US Equity","CAPEX_SEQUENTIAL_GROWTH","FQ4 2024","FQ4 2024","Currency=USD","Period=FQ","BEST_FPERIOD_OVERRIDE=FQ","FILING_STATUS=MR","Sort=A","Dates=H","DateFormat=P","Fill=—","Direction=H","UseDPDF=Y")</f>
        <v>—</v>
      </c>
    </row>
    <row r="69" spans="1:27" x14ac:dyDescent="0.25">
      <c r="A69" s="10" t="s">
        <v>1070</v>
      </c>
      <c r="B69" s="10" t="s">
        <v>1172</v>
      </c>
      <c r="C69" s="14">
        <f>_xll.BDH("ITCI US Equity","NET_CHANGE_IN_CASH_SEQ_GROWTH","FQ4 2018","FQ4 2018","Currency=USD","Period=FQ","BEST_FPERIOD_OVERRIDE=FQ","FILING_STATUS=MR","Sort=A","Dates=H","DateFormat=P","Fill=—","Direction=H","UseDPDF=Y")</f>
        <v>-149726.2133</v>
      </c>
      <c r="D69" s="14" t="str">
        <f>_xll.BDH("ITCI US Equity","NET_CHANGE_IN_CASH_SEQ_GROWTH","FQ1 2019","FQ1 2019","Currency=USD","Period=FQ","BEST_FPERIOD_OVERRIDE=FQ","FILING_STATUS=MR","Sort=A","Dates=H","DateFormat=P","Fill=—","Direction=H","UseDPDF=Y")</f>
        <v>—</v>
      </c>
      <c r="E69" s="14">
        <f>_xll.BDH("ITCI US Equity","NET_CHANGE_IN_CASH_SEQ_GROWTH","FQ2 2019","FQ2 2019","Currency=USD","Period=FQ","BEST_FPERIOD_OVERRIDE=FQ","FILING_STATUS=MR","Sort=A","Dates=H","DateFormat=P","Fill=—","Direction=H","UseDPDF=Y")</f>
        <v>202.64179999999999</v>
      </c>
      <c r="F69" s="14">
        <f>_xll.BDH("ITCI US Equity","NET_CHANGE_IN_CASH_SEQ_GROWTH","FQ3 2019","FQ3 2019","Currency=USD","Period=FQ","BEST_FPERIOD_OVERRIDE=FQ","FILING_STATUS=MR","Sort=A","Dates=H","DateFormat=P","Fill=—","Direction=H","UseDPDF=Y")</f>
        <v>-62.418700000000001</v>
      </c>
      <c r="G69" s="14">
        <f>_xll.BDH("ITCI US Equity","NET_CHANGE_IN_CASH_SEQ_GROWTH","FQ4 2019","FQ4 2019","Currency=USD","Period=FQ","BEST_FPERIOD_OVERRIDE=FQ","FILING_STATUS=MR","Sort=A","Dates=H","DateFormat=P","Fill=—","Direction=H","UseDPDF=Y")</f>
        <v>-47.364699999999999</v>
      </c>
      <c r="H69" s="14">
        <f>_xll.BDH("ITCI US Equity","NET_CHANGE_IN_CASH_SEQ_GROWTH","FQ1 2020","FQ1 2020","Currency=USD","Period=FQ","BEST_FPERIOD_OVERRIDE=FQ","FILING_STATUS=MR","Sort=A","Dates=H","DateFormat=P","Fill=—","Direction=H","UseDPDF=Y")</f>
        <v>1240.1162999999999</v>
      </c>
      <c r="I69" s="14">
        <f>_xll.BDH("ITCI US Equity","NET_CHANGE_IN_CASH_SEQ_GROWTH","FQ2 2020","FQ2 2020","Currency=USD","Period=FQ","BEST_FPERIOD_OVERRIDE=FQ","FILING_STATUS=MR","Sort=A","Dates=H","DateFormat=P","Fill=—","Direction=H","UseDPDF=Y")</f>
        <v>-168.57310000000001</v>
      </c>
      <c r="J69" s="14" t="str">
        <f>_xll.BDH("ITCI US Equity","NET_CHANGE_IN_CASH_SEQ_GROWTH","FQ3 2020","FQ3 2020","Currency=USD","Period=FQ","BEST_FPERIOD_OVERRIDE=FQ","FILING_STATUS=MR","Sort=A","Dates=H","DateFormat=P","Fill=—","Direction=H","UseDPDF=Y")</f>
        <v>—</v>
      </c>
      <c r="K69" s="14">
        <f>_xll.BDH("ITCI US Equity","NET_CHANGE_IN_CASH_SEQ_GROWTH","FQ4 2020","FQ4 2020","Currency=USD","Period=FQ","BEST_FPERIOD_OVERRIDE=FQ","FILING_STATUS=MR","Sort=A","Dates=H","DateFormat=P","Fill=—","Direction=H","UseDPDF=Y")</f>
        <v>-240.32910000000001</v>
      </c>
      <c r="L69" s="14" t="str">
        <f>_xll.BDH("ITCI US Equity","NET_CHANGE_IN_CASH_SEQ_GROWTH","FQ1 2021","FQ1 2021","Currency=USD","Period=FQ","BEST_FPERIOD_OVERRIDE=FQ","FILING_STATUS=MR","Sort=A","Dates=H","DateFormat=P","Fill=—","Direction=H","UseDPDF=Y")</f>
        <v>—</v>
      </c>
      <c r="M69" s="14">
        <f>_xll.BDH("ITCI US Equity","NET_CHANGE_IN_CASH_SEQ_GROWTH","FQ2 2021","FQ2 2021","Currency=USD","Period=FQ","BEST_FPERIOD_OVERRIDE=FQ","FILING_STATUS=MR","Sort=A","Dates=H","DateFormat=P","Fill=—","Direction=H","UseDPDF=Y")</f>
        <v>-112.7974</v>
      </c>
      <c r="N69" s="14" t="str">
        <f>_xll.BDH("ITCI US Equity","NET_CHANGE_IN_CASH_SEQ_GROWTH","FQ3 2021","FQ3 2021","Currency=USD","Period=FQ","BEST_FPERIOD_OVERRIDE=FQ","FILING_STATUS=MR","Sort=A","Dates=H","DateFormat=P","Fill=—","Direction=H","UseDPDF=Y")</f>
        <v>—</v>
      </c>
      <c r="O69" s="14" t="str">
        <f>_xll.BDH("ITCI US Equity","NET_CHANGE_IN_CASH_SEQ_GROWTH","FQ4 2021","FQ4 2021","Currency=USD","Period=FQ","BEST_FPERIOD_OVERRIDE=FQ","FILING_STATUS=MR","Sort=A","Dates=H","DateFormat=P","Fill=—","Direction=H","UseDPDF=Y")</f>
        <v>—</v>
      </c>
      <c r="P69" s="14" t="str">
        <f>_xll.BDH("ITCI US Equity","NET_CHANGE_IN_CASH_SEQ_GROWTH","FQ1 2022","FQ1 2022","Currency=USD","Period=FQ","BEST_FPERIOD_OVERRIDE=FQ","FILING_STATUS=MR","Sort=A","Dates=H","DateFormat=P","Fill=—","Direction=H","UseDPDF=Y")</f>
        <v>—</v>
      </c>
      <c r="Q69" s="14">
        <f>_xll.BDH("ITCI US Equity","NET_CHANGE_IN_CASH_SEQ_GROWTH","FQ2 2022","FQ2 2022","Currency=USD","Period=FQ","BEST_FPERIOD_OVERRIDE=FQ","FILING_STATUS=MR","Sort=A","Dates=H","DateFormat=P","Fill=—","Direction=H","UseDPDF=Y")</f>
        <v>-240.96940000000001</v>
      </c>
      <c r="R69" s="14" t="str">
        <f>_xll.BDH("ITCI US Equity","NET_CHANGE_IN_CASH_SEQ_GROWTH","FQ3 2022","FQ3 2022","Currency=USD","Period=FQ","BEST_FPERIOD_OVERRIDE=FQ","FILING_STATUS=MR","Sort=A","Dates=H","DateFormat=P","Fill=—","Direction=H","UseDPDF=Y")</f>
        <v>—</v>
      </c>
      <c r="S69" s="14">
        <f>_xll.BDH("ITCI US Equity","NET_CHANGE_IN_CASH_SEQ_GROWTH","FQ4 2022","FQ4 2022","Currency=USD","Period=FQ","BEST_FPERIOD_OVERRIDE=FQ","FILING_STATUS=MR","Sort=A","Dates=H","DateFormat=P","Fill=—","Direction=H","UseDPDF=Y")</f>
        <v>-77.328000000000003</v>
      </c>
      <c r="T69" s="14">
        <f>_xll.BDH("ITCI US Equity","NET_CHANGE_IN_CASH_SEQ_GROWTH","FQ1 2023","FQ1 2023","Currency=USD","Period=FQ","BEST_FPERIOD_OVERRIDE=FQ","FILING_STATUS=MR","Sort=A","Dates=H","DateFormat=P","Fill=—","Direction=H","UseDPDF=Y")</f>
        <v>-649.80759999999998</v>
      </c>
      <c r="U69" s="14" t="str">
        <f>_xll.BDH("ITCI US Equity","NET_CHANGE_IN_CASH_SEQ_GROWTH","FQ2 2023","FQ2 2023","Currency=USD","Period=FQ","BEST_FPERIOD_OVERRIDE=FQ","FILING_STATUS=MR","Sort=A","Dates=H","DateFormat=P","Fill=—","Direction=H","UseDPDF=Y")</f>
        <v>—</v>
      </c>
      <c r="V69" s="14">
        <f>_xll.BDH("ITCI US Equity","NET_CHANGE_IN_CASH_SEQ_GROWTH","FQ3 2023","FQ3 2023","Currency=USD","Period=FQ","BEST_FPERIOD_OVERRIDE=FQ","FILING_STATUS=MR","Sort=A","Dates=H","DateFormat=P","Fill=—","Direction=H","UseDPDF=Y")</f>
        <v>-164.4151</v>
      </c>
      <c r="W69" s="14" t="str">
        <f>_xll.BDH("ITCI US Equity","NET_CHANGE_IN_CASH_SEQ_GROWTH","FQ4 2023","FQ4 2023","Currency=USD","Period=FQ","BEST_FPERIOD_OVERRIDE=FQ","FILING_STATUS=MR","Sort=A","Dates=H","DateFormat=P","Fill=—","Direction=H","UseDPDF=Y")</f>
        <v>—</v>
      </c>
      <c r="X69" s="14">
        <f>_xll.BDH("ITCI US Equity","NET_CHANGE_IN_CASH_SEQ_GROWTH","FQ1 2024","FQ1 2024","Currency=USD","Period=FQ","BEST_FPERIOD_OVERRIDE=FQ","FILING_STATUS=MR","Sort=A","Dates=H","DateFormat=P","Fill=—","Direction=H","UseDPDF=Y")</f>
        <v>-116.43340000000001</v>
      </c>
      <c r="Y69" s="14" t="str">
        <f>_xll.BDH("ITCI US Equity","NET_CHANGE_IN_CASH_SEQ_GROWTH","FQ2 2024","FQ2 2024","Currency=USD","Period=FQ","BEST_FPERIOD_OVERRIDE=FQ","FILING_STATUS=MR","Sort=A","Dates=H","DateFormat=P","Fill=—","Direction=H","UseDPDF=Y")</f>
        <v>—</v>
      </c>
      <c r="Z69" s="14">
        <f>_xll.BDH("ITCI US Equity","NET_CHANGE_IN_CASH_SEQ_GROWTH","FQ3 2024","FQ3 2024","Currency=USD","Period=FQ","BEST_FPERIOD_OVERRIDE=FQ","FILING_STATUS=MR","Sort=A","Dates=H","DateFormat=P","Fill=—","Direction=H","UseDPDF=Y")</f>
        <v>-141.37299999999999</v>
      </c>
      <c r="AA69" s="14" t="str">
        <f>_xll.BDH("ITCI US Equity","NET_CHANGE_IN_CASH_SEQ_GROWTH","FQ4 2024","FQ4 2024","Currency=USD","Period=FQ","BEST_FPERIOD_OVERRIDE=FQ","FILING_STATUS=MR","Sort=A","Dates=H","DateFormat=P","Fill=—","Direction=H","UseDPDF=Y")</f>
        <v>—</v>
      </c>
    </row>
    <row r="70" spans="1:27" x14ac:dyDescent="0.25">
      <c r="A70" s="10" t="s">
        <v>88</v>
      </c>
      <c r="B70" s="10" t="s">
        <v>1173</v>
      </c>
      <c r="C70" s="14" t="str">
        <f>_xll.BDH("ITCI US Equity","FREE_CASH_FLOW_SEQUENTIAL_GROWTH","FQ4 2018","FQ4 2018","Currency=USD","Period=FQ","BEST_FPERIOD_OVERRIDE=FQ","FILING_STATUS=MR","Sort=A","Dates=H","DateFormat=P","Fill=—","Direction=H","UseDPDF=Y")</f>
        <v>—</v>
      </c>
      <c r="D70" s="14" t="str">
        <f>_xll.BDH("ITCI US Equity","FREE_CASH_FLOW_SEQUENTIAL_GROWTH","FQ1 2019","FQ1 2019","Currency=USD","Period=FQ","BEST_FPERIOD_OVERRIDE=FQ","FILING_STATUS=MR","Sort=A","Dates=H","DateFormat=P","Fill=—","Direction=H","UseDPDF=Y")</f>
        <v>—</v>
      </c>
      <c r="E70" s="14" t="str">
        <f>_xll.BDH("ITCI US Equity","FREE_CASH_FLOW_SEQUENTIAL_GROWTH","FQ2 2019","FQ2 2019","Currency=USD","Period=FQ","BEST_FPERIOD_OVERRIDE=FQ","FILING_STATUS=MR","Sort=A","Dates=H","DateFormat=P","Fill=—","Direction=H","UseDPDF=Y")</f>
        <v>—</v>
      </c>
      <c r="F70" s="14" t="str">
        <f>_xll.BDH("ITCI US Equity","FREE_CASH_FLOW_SEQUENTIAL_GROWTH","FQ3 2019","FQ3 2019","Currency=USD","Period=FQ","BEST_FPERIOD_OVERRIDE=FQ","FILING_STATUS=MR","Sort=A","Dates=H","DateFormat=P","Fill=—","Direction=H","UseDPDF=Y")</f>
        <v>—</v>
      </c>
      <c r="G70" s="14" t="str">
        <f>_xll.BDH("ITCI US Equity","FREE_CASH_FLOW_SEQUENTIAL_GROWTH","FQ4 2019","FQ4 2019","Currency=USD","Period=FQ","BEST_FPERIOD_OVERRIDE=FQ","FILING_STATUS=MR","Sort=A","Dates=H","DateFormat=P","Fill=—","Direction=H","UseDPDF=Y")</f>
        <v>—</v>
      </c>
      <c r="H70" s="14" t="str">
        <f>_xll.BDH("ITCI US Equity","FREE_CASH_FLOW_SEQUENTIAL_GROWTH","FQ1 2020","FQ1 2020","Currency=USD","Period=FQ","BEST_FPERIOD_OVERRIDE=FQ","FILING_STATUS=MR","Sort=A","Dates=H","DateFormat=P","Fill=—","Direction=H","UseDPDF=Y")</f>
        <v>—</v>
      </c>
      <c r="I70" s="14" t="str">
        <f>_xll.BDH("ITCI US Equity","FREE_CASH_FLOW_SEQUENTIAL_GROWTH","FQ2 2020","FQ2 2020","Currency=USD","Period=FQ","BEST_FPERIOD_OVERRIDE=FQ","FILING_STATUS=MR","Sort=A","Dates=H","DateFormat=P","Fill=—","Direction=H","UseDPDF=Y")</f>
        <v>—</v>
      </c>
      <c r="J70" s="14" t="str">
        <f>_xll.BDH("ITCI US Equity","FREE_CASH_FLOW_SEQUENTIAL_GROWTH","FQ3 2020","FQ3 2020","Currency=USD","Period=FQ","BEST_FPERIOD_OVERRIDE=FQ","FILING_STATUS=MR","Sort=A","Dates=H","DateFormat=P","Fill=—","Direction=H","UseDPDF=Y")</f>
        <v>—</v>
      </c>
      <c r="K70" s="14" t="str">
        <f>_xll.BDH("ITCI US Equity","FREE_CASH_FLOW_SEQUENTIAL_GROWTH","FQ4 2020","FQ4 2020","Currency=USD","Period=FQ","BEST_FPERIOD_OVERRIDE=FQ","FILING_STATUS=MR","Sort=A","Dates=H","DateFormat=P","Fill=—","Direction=H","UseDPDF=Y")</f>
        <v>—</v>
      </c>
      <c r="L70" s="14" t="str">
        <f>_xll.BDH("ITCI US Equity","FREE_CASH_FLOW_SEQUENTIAL_GROWTH","FQ1 2021","FQ1 2021","Currency=USD","Period=FQ","BEST_FPERIOD_OVERRIDE=FQ","FILING_STATUS=MR","Sort=A","Dates=H","DateFormat=P","Fill=—","Direction=H","UseDPDF=Y")</f>
        <v>—</v>
      </c>
      <c r="M70" s="14" t="str">
        <f>_xll.BDH("ITCI US Equity","FREE_CASH_FLOW_SEQUENTIAL_GROWTH","FQ2 2021","FQ2 2021","Currency=USD","Period=FQ","BEST_FPERIOD_OVERRIDE=FQ","FILING_STATUS=MR","Sort=A","Dates=H","DateFormat=P","Fill=—","Direction=H","UseDPDF=Y")</f>
        <v>—</v>
      </c>
      <c r="N70" s="14" t="str">
        <f>_xll.BDH("ITCI US Equity","FREE_CASH_FLOW_SEQUENTIAL_GROWTH","FQ3 2021","FQ3 2021","Currency=USD","Period=FQ","BEST_FPERIOD_OVERRIDE=FQ","FILING_STATUS=MR","Sort=A","Dates=H","DateFormat=P","Fill=—","Direction=H","UseDPDF=Y")</f>
        <v>—</v>
      </c>
      <c r="O70" s="14" t="str">
        <f>_xll.BDH("ITCI US Equity","FREE_CASH_FLOW_SEQUENTIAL_GROWTH","FQ4 2021","FQ4 2021","Currency=USD","Period=FQ","BEST_FPERIOD_OVERRIDE=FQ","FILING_STATUS=MR","Sort=A","Dates=H","DateFormat=P","Fill=—","Direction=H","UseDPDF=Y")</f>
        <v>—</v>
      </c>
      <c r="P70" s="14" t="str">
        <f>_xll.BDH("ITCI US Equity","FREE_CASH_FLOW_SEQUENTIAL_GROWTH","FQ1 2022","FQ1 2022","Currency=USD","Period=FQ","BEST_FPERIOD_OVERRIDE=FQ","FILING_STATUS=MR","Sort=A","Dates=H","DateFormat=P","Fill=—","Direction=H","UseDPDF=Y")</f>
        <v>—</v>
      </c>
      <c r="Q70" s="14" t="str">
        <f>_xll.BDH("ITCI US Equity","FREE_CASH_FLOW_SEQUENTIAL_GROWTH","FQ2 2022","FQ2 2022","Currency=USD","Period=FQ","BEST_FPERIOD_OVERRIDE=FQ","FILING_STATUS=MR","Sort=A","Dates=H","DateFormat=P","Fill=—","Direction=H","UseDPDF=Y")</f>
        <v>—</v>
      </c>
      <c r="R70" s="14" t="str">
        <f>_xll.BDH("ITCI US Equity","FREE_CASH_FLOW_SEQUENTIAL_GROWTH","FQ3 2022","FQ3 2022","Currency=USD","Period=FQ","BEST_FPERIOD_OVERRIDE=FQ","FILING_STATUS=MR","Sort=A","Dates=H","DateFormat=P","Fill=—","Direction=H","UseDPDF=Y")</f>
        <v>—</v>
      </c>
      <c r="S70" s="14" t="str">
        <f>_xll.BDH("ITCI US Equity","FREE_CASH_FLOW_SEQUENTIAL_GROWTH","FQ4 2022","FQ4 2022","Currency=USD","Period=FQ","BEST_FPERIOD_OVERRIDE=FQ","FILING_STATUS=MR","Sort=A","Dates=H","DateFormat=P","Fill=—","Direction=H","UseDPDF=Y")</f>
        <v>—</v>
      </c>
      <c r="T70" s="14" t="str">
        <f>_xll.BDH("ITCI US Equity","FREE_CASH_FLOW_SEQUENTIAL_GROWTH","FQ1 2023","FQ1 2023","Currency=USD","Period=FQ","BEST_FPERIOD_OVERRIDE=FQ","FILING_STATUS=MR","Sort=A","Dates=H","DateFormat=P","Fill=—","Direction=H","UseDPDF=Y")</f>
        <v>—</v>
      </c>
      <c r="U70" s="14" t="str">
        <f>_xll.BDH("ITCI US Equity","FREE_CASH_FLOW_SEQUENTIAL_GROWTH","FQ2 2023","FQ2 2023","Currency=USD","Period=FQ","BEST_FPERIOD_OVERRIDE=FQ","FILING_STATUS=MR","Sort=A","Dates=H","DateFormat=P","Fill=—","Direction=H","UseDPDF=Y")</f>
        <v>—</v>
      </c>
      <c r="V70" s="14" t="str">
        <f>_xll.BDH("ITCI US Equity","FREE_CASH_FLOW_SEQUENTIAL_GROWTH","FQ3 2023","FQ3 2023","Currency=USD","Period=FQ","BEST_FPERIOD_OVERRIDE=FQ","FILING_STATUS=MR","Sort=A","Dates=H","DateFormat=P","Fill=—","Direction=H","UseDPDF=Y")</f>
        <v>—</v>
      </c>
      <c r="W70" s="14" t="str">
        <f>_xll.BDH("ITCI US Equity","FREE_CASH_FLOW_SEQUENTIAL_GROWTH","FQ4 2023","FQ4 2023","Currency=USD","Period=FQ","BEST_FPERIOD_OVERRIDE=FQ","FILING_STATUS=MR","Sort=A","Dates=H","DateFormat=P","Fill=—","Direction=H","UseDPDF=Y")</f>
        <v>—</v>
      </c>
      <c r="X70" s="14" t="str">
        <f>_xll.BDH("ITCI US Equity","FREE_CASH_FLOW_SEQUENTIAL_GROWTH","FQ1 2024","FQ1 2024","Currency=USD","Period=FQ","BEST_FPERIOD_OVERRIDE=FQ","FILING_STATUS=MR","Sort=A","Dates=H","DateFormat=P","Fill=—","Direction=H","UseDPDF=Y")</f>
        <v>—</v>
      </c>
      <c r="Y70" s="14" t="str">
        <f>_xll.BDH("ITCI US Equity","FREE_CASH_FLOW_SEQUENTIAL_GROWTH","FQ2 2024","FQ2 2024","Currency=USD","Period=FQ","BEST_FPERIOD_OVERRIDE=FQ","FILING_STATUS=MR","Sort=A","Dates=H","DateFormat=P","Fill=—","Direction=H","UseDPDF=Y")</f>
        <v>—</v>
      </c>
      <c r="Z70" s="14">
        <f>_xll.BDH("ITCI US Equity","FREE_CASH_FLOW_SEQUENTIAL_GROWTH","FQ3 2024","FQ3 2024","Currency=USD","Period=FQ","BEST_FPERIOD_OVERRIDE=FQ","FILING_STATUS=MR","Sort=A","Dates=H","DateFormat=P","Fill=—","Direction=H","UseDPDF=Y")</f>
        <v>-5666.6666999999998</v>
      </c>
      <c r="AA70" s="14" t="str">
        <f>_xll.BDH("ITCI US Equity","FREE_CASH_FLOW_SEQUENTIAL_GROWTH","FQ4 2024","FQ4 2024","Currency=USD","Period=FQ","BEST_FPERIOD_OVERRIDE=FQ","FILING_STATUS=MR","Sort=A","Dates=H","DateFormat=P","Fill=—","Direction=H","UseDPDF=Y")</f>
        <v>—</v>
      </c>
    </row>
    <row r="71" spans="1:27" x14ac:dyDescent="0.25">
      <c r="A71" s="7" t="s">
        <v>90</v>
      </c>
      <c r="B71" s="7"/>
      <c r="C71" s="7" t="s">
        <v>5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33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1174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10" t="s">
        <v>188</v>
      </c>
      <c r="B6" s="10" t="s">
        <v>189</v>
      </c>
      <c r="C6" s="12" t="s">
        <v>1175</v>
      </c>
      <c r="D6" s="12" t="s">
        <v>190</v>
      </c>
      <c r="E6" s="12" t="s">
        <v>190</v>
      </c>
      <c r="F6" s="12" t="s">
        <v>190</v>
      </c>
      <c r="G6" s="12" t="s">
        <v>190</v>
      </c>
      <c r="H6" s="12" t="s">
        <v>190</v>
      </c>
      <c r="I6" s="12" t="s">
        <v>190</v>
      </c>
      <c r="J6" s="12" t="s">
        <v>190</v>
      </c>
      <c r="K6" s="12" t="s">
        <v>190</v>
      </c>
      <c r="L6" s="12" t="s">
        <v>190</v>
      </c>
      <c r="M6" s="12" t="s">
        <v>190</v>
      </c>
      <c r="N6" s="12" t="s">
        <v>190</v>
      </c>
      <c r="O6" s="12" t="s">
        <v>190</v>
      </c>
      <c r="P6" s="12" t="s">
        <v>190</v>
      </c>
      <c r="Q6" s="12" t="s">
        <v>190</v>
      </c>
      <c r="R6" s="12" t="s">
        <v>190</v>
      </c>
      <c r="S6" s="12" t="s">
        <v>190</v>
      </c>
      <c r="T6" s="12" t="s">
        <v>190</v>
      </c>
      <c r="U6" s="12" t="s">
        <v>190</v>
      </c>
      <c r="V6" s="12" t="s">
        <v>190</v>
      </c>
      <c r="W6" s="12" t="s">
        <v>190</v>
      </c>
      <c r="X6" s="12" t="s">
        <v>190</v>
      </c>
      <c r="Y6" s="12" t="s">
        <v>190</v>
      </c>
      <c r="Z6" s="12" t="s">
        <v>190</v>
      </c>
      <c r="AA6" s="12" t="s">
        <v>190</v>
      </c>
    </row>
    <row r="7" spans="1:27" x14ac:dyDescent="0.25">
      <c r="A7" s="10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1130</v>
      </c>
      <c r="B8" s="10" t="s">
        <v>66</v>
      </c>
      <c r="C8" s="13">
        <f>_xll.BDH("ITCI US Equity","SHORT_AND_LONG_TERM_DEBT","FQ4 2018","FQ4 2018","Currency=USD","Period=FQ","BEST_FPERIOD_OVERRIDE=FQ","FILING_STATUS=MR","SCALING_FORMAT=MLN","Sort=A","Dates=H","DateFormat=P","Fill=—","Direction=H","UseDPDF=Y")</f>
        <v>0</v>
      </c>
      <c r="D8" s="13">
        <f>_xll.BDH("ITCI US Equity","SHORT_AND_LONG_TERM_DEBT","FQ1 2019","FQ1 2019","Currency=USD","Period=FQ","BEST_FPERIOD_OVERRIDE=FQ","FILING_STATUS=MR","SCALING_FORMAT=MLN","Sort=A","Dates=H","DateFormat=P","Fill=—","Direction=H","UseDPDF=Y")</f>
        <v>23.732099999999999</v>
      </c>
      <c r="E8" s="13">
        <f>_xll.BDH("ITCI US Equity","SHORT_AND_LONG_TERM_DEBT","FQ2 2019","FQ2 2019","Currency=USD","Period=FQ","BEST_FPERIOD_OVERRIDE=FQ","FILING_STATUS=MR","SCALING_FORMAT=MLN","Sort=A","Dates=H","DateFormat=P","Fill=—","Direction=H","UseDPDF=Y")</f>
        <v>22.8307</v>
      </c>
      <c r="F8" s="13">
        <f>_xll.BDH("ITCI US Equity","SHORT_AND_LONG_TERM_DEBT","FQ3 2019","FQ3 2019","Currency=USD","Period=FQ","BEST_FPERIOD_OVERRIDE=FQ","FILING_STATUS=MR","SCALING_FORMAT=MLN","Sort=A","Dates=H","DateFormat=P","Fill=—","Direction=H","UseDPDF=Y")</f>
        <v>22.5565</v>
      </c>
      <c r="G8" s="13">
        <f>_xll.BDH("ITCI US Equity","SHORT_AND_LONG_TERM_DEBT","FQ4 2019","FQ4 2019","Currency=USD","Period=FQ","BEST_FPERIOD_OVERRIDE=FQ","FILING_STATUS=MR","SCALING_FORMAT=MLN","Sort=A","Dates=H","DateFormat=P","Fill=—","Direction=H","UseDPDF=Y")</f>
        <v>23.142600000000002</v>
      </c>
      <c r="H8" s="13">
        <f>_xll.BDH("ITCI US Equity","SHORT_AND_LONG_TERM_DEBT","FQ1 2020","FQ1 2020","Currency=USD","Period=FQ","BEST_FPERIOD_OVERRIDE=FQ","FILING_STATUS=MR","SCALING_FORMAT=MLN","Sort=A","Dates=H","DateFormat=P","Fill=—","Direction=H","UseDPDF=Y")</f>
        <v>22.929300000000001</v>
      </c>
      <c r="I8" s="13">
        <f>_xll.BDH("ITCI US Equity","SHORT_AND_LONG_TERM_DEBT","FQ2 2020","FQ2 2020","Currency=USD","Period=FQ","BEST_FPERIOD_OVERRIDE=FQ","FILING_STATUS=MR","SCALING_FORMAT=MLN","Sort=A","Dates=H","DateFormat=P","Fill=—","Direction=H","UseDPDF=Y")</f>
        <v>25.132200000000001</v>
      </c>
      <c r="J8" s="13">
        <f>_xll.BDH("ITCI US Equity","SHORT_AND_LONG_TERM_DEBT","FQ3 2020","FQ3 2020","Currency=USD","Period=FQ","BEST_FPERIOD_OVERRIDE=FQ","FILING_STATUS=MR","SCALING_FORMAT=MLN","Sort=A","Dates=H","DateFormat=P","Fill=—","Direction=H","UseDPDF=Y")</f>
        <v>29.136800000000001</v>
      </c>
      <c r="K8" s="13">
        <f>_xll.BDH("ITCI US Equity","SHORT_AND_LONG_TERM_DEBT","FQ4 2020","FQ4 2020","Currency=USD","Period=FQ","BEST_FPERIOD_OVERRIDE=FQ","FILING_STATUS=MR","SCALING_FORMAT=MLN","Sort=A","Dates=H","DateFormat=P","Fill=—","Direction=H","UseDPDF=Y")</f>
        <v>29.142099999999999</v>
      </c>
      <c r="L8" s="13">
        <f>_xll.BDH("ITCI US Equity","SHORT_AND_LONG_TERM_DEBT","FQ1 2021","FQ1 2021","Currency=USD","Period=FQ","BEST_FPERIOD_OVERRIDE=FQ","FILING_STATUS=MR","SCALING_FORMAT=MLN","Sort=A","Dates=H","DateFormat=P","Fill=—","Direction=H","UseDPDF=Y")</f>
        <v>28.2103</v>
      </c>
      <c r="M8" s="13">
        <f>_xll.BDH("ITCI US Equity","SHORT_AND_LONG_TERM_DEBT","FQ2 2021","FQ2 2021","Currency=USD","Period=FQ","BEST_FPERIOD_OVERRIDE=FQ","FILING_STATUS=MR","SCALING_FORMAT=MLN","Sort=A","Dates=H","DateFormat=P","Fill=—","Direction=H","UseDPDF=Y")</f>
        <v>27.283899999999999</v>
      </c>
      <c r="N8" s="13">
        <f>_xll.BDH("ITCI US Equity","SHORT_AND_LONG_TERM_DEBT","FQ3 2021","FQ3 2021","Currency=USD","Period=FQ","BEST_FPERIOD_OVERRIDE=FQ","FILING_STATUS=MR","SCALING_FORMAT=MLN","Sort=A","Dates=H","DateFormat=P","Fill=—","Direction=H","UseDPDF=Y")</f>
        <v>26.405999999999999</v>
      </c>
      <c r="O8" s="13">
        <f>_xll.BDH("ITCI US Equity","SHORT_AND_LONG_TERM_DEBT","FQ4 2021","FQ4 2021","Currency=USD","Period=FQ","BEST_FPERIOD_OVERRIDE=FQ","FILING_STATUS=MR","SCALING_FORMAT=MLN","Sort=A","Dates=H","DateFormat=P","Fill=—","Direction=H","UseDPDF=Y")</f>
        <v>25.406700000000001</v>
      </c>
      <c r="P8" s="13">
        <f>_xll.BDH("ITCI US Equity","SHORT_AND_LONG_TERM_DEBT","FQ1 2022","FQ1 2022","Currency=USD","Period=FQ","BEST_FPERIOD_OVERRIDE=FQ","FILING_STATUS=MR","SCALING_FORMAT=MLN","Sort=A","Dates=H","DateFormat=P","Fill=—","Direction=H","UseDPDF=Y")</f>
        <v>24.391999999999999</v>
      </c>
      <c r="Q8" s="13">
        <f>_xll.BDH("ITCI US Equity","SHORT_AND_LONG_TERM_DEBT","FQ2 2022","FQ2 2022","Currency=USD","Period=FQ","BEST_FPERIOD_OVERRIDE=FQ","FILING_STATUS=MR","SCALING_FORMAT=MLN","Sort=A","Dates=H","DateFormat=P","Fill=—","Direction=H","UseDPDF=Y")</f>
        <v>26.818000000000001</v>
      </c>
      <c r="R8" s="13">
        <f>_xll.BDH("ITCI US Equity","SHORT_AND_LONG_TERM_DEBT","FQ3 2022","FQ3 2022","Currency=USD","Period=FQ","BEST_FPERIOD_OVERRIDE=FQ","FILING_STATUS=MR","SCALING_FORMAT=MLN","Sort=A","Dates=H","DateFormat=P","Fill=—","Direction=H","UseDPDF=Y")</f>
        <v>26.411999999999999</v>
      </c>
      <c r="S8" s="13">
        <f>_xll.BDH("ITCI US Equity","SHORT_AND_LONG_TERM_DEBT","FQ4 2022","FQ4 2022","Currency=USD","Period=FQ","BEST_FPERIOD_OVERRIDE=FQ","FILING_STATUS=MR","SCALING_FORMAT=MLN","Sort=A","Dates=H","DateFormat=P","Fill=—","Direction=H","UseDPDF=Y")</f>
        <v>20.041</v>
      </c>
      <c r="T8" s="13">
        <f>_xll.BDH("ITCI US Equity","SHORT_AND_LONG_TERM_DEBT","FQ1 2023","FQ1 2023","Currency=USD","Period=FQ","BEST_FPERIOD_OVERRIDE=FQ","FILING_STATUS=MR","SCALING_FORMAT=MLN","Sort=A","Dates=H","DateFormat=P","Fill=—","Direction=H","UseDPDF=Y")</f>
        <v>18.492000000000001</v>
      </c>
      <c r="U8" s="13">
        <f>_xll.BDH("ITCI US Equity","SHORT_AND_LONG_TERM_DEBT","FQ2 2023","FQ2 2023","Currency=USD","Period=FQ","BEST_FPERIOD_OVERRIDE=FQ","FILING_STATUS=MR","SCALING_FORMAT=MLN","Sort=A","Dates=H","DateFormat=P","Fill=—","Direction=H","UseDPDF=Y")</f>
        <v>17.989999999999998</v>
      </c>
      <c r="V8" s="13">
        <f>_xll.BDH("ITCI US Equity","SHORT_AND_LONG_TERM_DEBT","FQ3 2023","FQ3 2023","Currency=USD","Period=FQ","BEST_FPERIOD_OVERRIDE=FQ","FILING_STATUS=MR","SCALING_FORMAT=MLN","Sort=A","Dates=H","DateFormat=P","Fill=—","Direction=H","UseDPDF=Y")</f>
        <v>17.475000000000001</v>
      </c>
      <c r="W8" s="13">
        <f>_xll.BDH("ITCI US Equity","SHORT_AND_LONG_TERM_DEBT","FQ4 2023","FQ4 2023","Currency=USD","Period=FQ","BEST_FPERIOD_OVERRIDE=FQ","FILING_STATUS=MR","SCALING_FORMAT=MLN","Sort=A","Dates=H","DateFormat=P","Fill=—","Direction=H","UseDPDF=Y")</f>
        <v>16.937999999999999</v>
      </c>
      <c r="X8" s="13">
        <f>_xll.BDH("ITCI US Equity","SHORT_AND_LONG_TERM_DEBT","FQ1 2024","FQ1 2024","Currency=USD","Period=FQ","BEST_FPERIOD_OVERRIDE=FQ","FILING_STATUS=MR","SCALING_FORMAT=MLN","Sort=A","Dates=H","DateFormat=P","Fill=—","Direction=H","UseDPDF=Y")</f>
        <v>16.376000000000001</v>
      </c>
      <c r="Y8" s="13">
        <f>_xll.BDH("ITCI US Equity","SHORT_AND_LONG_TERM_DEBT","FQ2 2024","FQ2 2024","Currency=USD","Period=FQ","BEST_FPERIOD_OVERRIDE=FQ","FILING_STATUS=MR","SCALING_FORMAT=MLN","Sort=A","Dates=H","DateFormat=P","Fill=—","Direction=H","UseDPDF=Y")</f>
        <v>18.288</v>
      </c>
      <c r="Z8" s="13">
        <f>_xll.BDH("ITCI US Equity","SHORT_AND_LONG_TERM_DEBT","FQ3 2024","FQ3 2024","Currency=USD","Period=FQ","BEST_FPERIOD_OVERRIDE=FQ","FILING_STATUS=MR","SCALING_FORMAT=MLN","Sort=A","Dates=H","DateFormat=P","Fill=—","Direction=H","UseDPDF=Y")</f>
        <v>17.709</v>
      </c>
      <c r="AA8" s="13">
        <f>_xll.BDH("ITCI US Equity","SHORT_AND_LONG_TERM_DEBT","FQ4 2024","FQ4 2024","Currency=USD","Period=FQ","BEST_FPERIOD_OVERRIDE=FQ","FILING_STATUS=MR","SCALING_FORMAT=MLN","Sort=A","Dates=H","DateFormat=P","Fill=—","Direction=H","UseDPDF=Y")</f>
        <v>16.981000000000002</v>
      </c>
    </row>
    <row r="9" spans="1:27" x14ac:dyDescent="0.25">
      <c r="A9" s="10" t="s">
        <v>1176</v>
      </c>
      <c r="B9" s="10" t="s">
        <v>600</v>
      </c>
      <c r="C9" s="13">
        <f>_xll.BDH("ITCI US Equity","BS_ST_BORROW","FQ4 2018","FQ4 2018","Currency=USD","Period=FQ","BEST_FPERIOD_OVERRIDE=FQ","FILING_STATUS=MR","SCALING_FORMAT=MLN","Sort=A","Dates=H","DateFormat=P","Fill=—","Direction=H","UseDPDF=Y")</f>
        <v>0</v>
      </c>
      <c r="D9" s="13">
        <f>_xll.BDH("ITCI US Equity","BS_ST_BORROW","FQ1 2019","FQ1 2019","Currency=USD","Period=FQ","BEST_FPERIOD_OVERRIDE=FQ","FILING_STATUS=MR","SCALING_FORMAT=MLN","Sort=A","Dates=H","DateFormat=P","Fill=—","Direction=H","UseDPDF=Y")</f>
        <v>2.8730000000000002</v>
      </c>
      <c r="E9" s="13">
        <f>_xll.BDH("ITCI US Equity","BS_ST_BORROW","FQ2 2019","FQ2 2019","Currency=USD","Period=FQ","BEST_FPERIOD_OVERRIDE=FQ","FILING_STATUS=MR","SCALING_FORMAT=MLN","Sort=A","Dates=H","DateFormat=P","Fill=—","Direction=H","UseDPDF=Y")</f>
        <v>2.2629999999999999</v>
      </c>
      <c r="F9" s="13">
        <f>_xll.BDH("ITCI US Equity","BS_ST_BORROW","FQ3 2019","FQ3 2019","Currency=USD","Period=FQ","BEST_FPERIOD_OVERRIDE=FQ","FILING_STATUS=MR","SCALING_FORMAT=MLN","Sort=A","Dates=H","DateFormat=P","Fill=—","Direction=H","UseDPDF=Y")</f>
        <v>2.2869000000000002</v>
      </c>
      <c r="G9" s="13">
        <f>_xll.BDH("ITCI US Equity","BS_ST_BORROW","FQ4 2019","FQ4 2019","Currency=USD","Period=FQ","BEST_FPERIOD_OVERRIDE=FQ","FILING_STATUS=MR","SCALING_FORMAT=MLN","Sort=A","Dates=H","DateFormat=P","Fill=—","Direction=H","UseDPDF=Y")</f>
        <v>3.1873999999999998</v>
      </c>
      <c r="H9" s="13">
        <f>_xll.BDH("ITCI US Equity","BS_ST_BORROW","FQ1 2020","FQ1 2020","Currency=USD","Period=FQ","BEST_FPERIOD_OVERRIDE=FQ","FILING_STATUS=MR","SCALING_FORMAT=MLN","Sort=A","Dates=H","DateFormat=P","Fill=—","Direction=H","UseDPDF=Y")</f>
        <v>3.2111999999999998</v>
      </c>
      <c r="I9" s="13">
        <f>_xll.BDH("ITCI US Equity","BS_ST_BORROW","FQ2 2020","FQ2 2020","Currency=USD","Period=FQ","BEST_FPERIOD_OVERRIDE=FQ","FILING_STATUS=MR","SCALING_FORMAT=MLN","Sort=A","Dates=H","DateFormat=P","Fill=—","Direction=H","UseDPDF=Y")</f>
        <v>3.9739</v>
      </c>
      <c r="J9" s="13">
        <f>_xll.BDH("ITCI US Equity","BS_ST_BORROW","FQ3 2020","FQ3 2020","Currency=USD","Period=FQ","BEST_FPERIOD_OVERRIDE=FQ","FILING_STATUS=MR","SCALING_FORMAT=MLN","Sort=A","Dates=H","DateFormat=P","Fill=—","Direction=H","UseDPDF=Y")</f>
        <v>5.2672999999999996</v>
      </c>
      <c r="K9" s="13">
        <f>_xll.BDH("ITCI US Equity","BS_ST_BORROW","FQ4 2020","FQ4 2020","Currency=USD","Period=FQ","BEST_FPERIOD_OVERRIDE=FQ","FILING_STATUS=MR","SCALING_FORMAT=MLN","Sort=A","Dates=H","DateFormat=P","Fill=—","Direction=H","UseDPDF=Y")</f>
        <v>5.5418000000000003</v>
      </c>
      <c r="L9" s="13">
        <f>_xll.BDH("ITCI US Equity","BS_ST_BORROW","FQ1 2021","FQ1 2021","Currency=USD","Period=FQ","BEST_FPERIOD_OVERRIDE=FQ","FILING_STATUS=MR","SCALING_FORMAT=MLN","Sort=A","Dates=H","DateFormat=P","Fill=—","Direction=H","UseDPDF=Y")</f>
        <v>5.5731999999999999</v>
      </c>
      <c r="M9" s="13">
        <f>_xll.BDH("ITCI US Equity","BS_ST_BORROW","FQ2 2021","FQ2 2021","Currency=USD","Period=FQ","BEST_FPERIOD_OVERRIDE=FQ","FILING_STATUS=MR","SCALING_FORMAT=MLN","Sort=A","Dates=H","DateFormat=P","Fill=—","Direction=H","UseDPDF=Y")</f>
        <v>5.5951000000000004</v>
      </c>
      <c r="N9" s="13">
        <f>_xll.BDH("ITCI US Equity","BS_ST_BORROW","FQ3 2021","FQ3 2021","Currency=USD","Period=FQ","BEST_FPERIOD_OVERRIDE=FQ","FILING_STATUS=MR","SCALING_FORMAT=MLN","Sort=A","Dates=H","DateFormat=P","Fill=—","Direction=H","UseDPDF=Y")</f>
        <v>6.0820999999999996</v>
      </c>
      <c r="O9" s="13">
        <f>_xll.BDH("ITCI US Equity","BS_ST_BORROW","FQ4 2021","FQ4 2021","Currency=USD","Period=FQ","BEST_FPERIOD_OVERRIDE=FQ","FILING_STATUS=MR","SCALING_FORMAT=MLN","Sort=A","Dates=H","DateFormat=P","Fill=—","Direction=H","UseDPDF=Y")</f>
        <v>6.7317999999999998</v>
      </c>
      <c r="P9" s="13">
        <f>_xll.BDH("ITCI US Equity","BS_ST_BORROW","FQ1 2022","FQ1 2022","Currency=USD","Period=FQ","BEST_FPERIOD_OVERRIDE=FQ","FILING_STATUS=MR","SCALING_FORMAT=MLN","Sort=A","Dates=H","DateFormat=P","Fill=—","Direction=H","UseDPDF=Y")</f>
        <v>7.6360000000000001</v>
      </c>
      <c r="Q9" s="13">
        <f>_xll.BDH("ITCI US Equity","BS_ST_BORROW","FQ2 2022","FQ2 2022","Currency=USD","Period=FQ","BEST_FPERIOD_OVERRIDE=FQ","FILING_STATUS=MR","SCALING_FORMAT=MLN","Sort=A","Dates=H","DateFormat=P","Fill=—","Direction=H","UseDPDF=Y")</f>
        <v>7.7430000000000003</v>
      </c>
      <c r="R9" s="13">
        <f>_xll.BDH("ITCI US Equity","BS_ST_BORROW","FQ3 2022","FQ3 2022","Currency=USD","Period=FQ","BEST_FPERIOD_OVERRIDE=FQ","FILING_STATUS=MR","SCALING_FORMAT=MLN","Sort=A","Dates=H","DateFormat=P","Fill=—","Direction=H","UseDPDF=Y")</f>
        <v>7.2450000000000001</v>
      </c>
      <c r="S9" s="13">
        <f>_xll.BDH("ITCI US Equity","BS_ST_BORROW","FQ4 2022","FQ4 2022","Currency=USD","Period=FQ","BEST_FPERIOD_OVERRIDE=FQ","FILING_STATUS=MR","SCALING_FORMAT=MLN","Sort=A","Dates=H","DateFormat=P","Fill=—","Direction=H","UseDPDF=Y")</f>
        <v>4.5670000000000002</v>
      </c>
      <c r="T9" s="13">
        <f>_xll.BDH("ITCI US Equity","BS_ST_BORROW","FQ1 2023","FQ1 2023","Currency=USD","Period=FQ","BEST_FPERIOD_OVERRIDE=FQ","FILING_STATUS=MR","SCALING_FORMAT=MLN","Sort=A","Dates=H","DateFormat=P","Fill=—","Direction=H","UseDPDF=Y")</f>
        <v>3.5310000000000001</v>
      </c>
      <c r="U9" s="13">
        <f>_xll.BDH("ITCI US Equity","BS_ST_BORROW","FQ2 2023","FQ2 2023","Currency=USD","Period=FQ","BEST_FPERIOD_OVERRIDE=FQ","FILING_STATUS=MR","SCALING_FORMAT=MLN","Sort=A","Dates=H","DateFormat=P","Fill=—","Direction=H","UseDPDF=Y")</f>
        <v>3.5579999999999998</v>
      </c>
      <c r="V9" s="13">
        <f>_xll.BDH("ITCI US Equity","BS_ST_BORROW","FQ3 2023","FQ3 2023","Currency=USD","Period=FQ","BEST_FPERIOD_OVERRIDE=FQ","FILING_STATUS=MR","SCALING_FORMAT=MLN","Sort=A","Dates=H","DateFormat=P","Fill=—","Direction=H","UseDPDF=Y")</f>
        <v>3.5840000000000001</v>
      </c>
      <c r="W9" s="13">
        <f>_xll.BDH("ITCI US Equity","BS_ST_BORROW","FQ4 2023","FQ4 2023","Currency=USD","Period=FQ","BEST_FPERIOD_OVERRIDE=FQ","FILING_STATUS=MR","SCALING_FORMAT=MLN","Sort=A","Dates=H","DateFormat=P","Fill=—","Direction=H","UseDPDF=Y")</f>
        <v>3.6120000000000001</v>
      </c>
      <c r="X9" s="13">
        <f>_xll.BDH("ITCI US Equity","BS_ST_BORROW","FQ1 2024","FQ1 2024","Currency=USD","Period=FQ","BEST_FPERIOD_OVERRIDE=FQ","FILING_STATUS=MR","SCALING_FORMAT=MLN","Sort=A","Dates=H","DateFormat=P","Fill=—","Direction=H","UseDPDF=Y")</f>
        <v>3.6389999999999998</v>
      </c>
      <c r="Y9" s="13">
        <f>_xll.BDH("ITCI US Equity","BS_ST_BORROW","FQ2 2024","FQ2 2024","Currency=USD","Period=FQ","BEST_FPERIOD_OVERRIDE=FQ","FILING_STATUS=MR","SCALING_FORMAT=MLN","Sort=A","Dates=H","DateFormat=P","Fill=—","Direction=H","UseDPDF=Y")</f>
        <v>4.1710000000000003</v>
      </c>
      <c r="Z9" s="13">
        <f>_xll.BDH("ITCI US Equity","BS_ST_BORROW","FQ3 2024","FQ3 2024","Currency=USD","Period=FQ","BEST_FPERIOD_OVERRIDE=FQ","FILING_STATUS=MR","SCALING_FORMAT=MLN","Sort=A","Dates=H","DateFormat=P","Fill=—","Direction=H","UseDPDF=Y")</f>
        <v>4.2030000000000003</v>
      </c>
      <c r="AA9" s="13">
        <f>_xll.BDH("ITCI US Equity","BS_ST_BORROW","FQ4 2024","FQ4 2024","Currency=USD","Period=FQ","BEST_FPERIOD_OVERRIDE=FQ","FILING_STATUS=MR","SCALING_FORMAT=MLN","Sort=A","Dates=H","DateFormat=P","Fill=—","Direction=H","UseDPDF=Y")</f>
        <v>4.2329999999999997</v>
      </c>
    </row>
    <row r="10" spans="1:27" x14ac:dyDescent="0.25">
      <c r="A10" s="10" t="s">
        <v>1177</v>
      </c>
      <c r="B10" s="10" t="s">
        <v>618</v>
      </c>
      <c r="C10" s="13">
        <f>_xll.BDH("ITCI US Equity","BS_LT_BORROW","FQ4 2018","FQ4 2018","Currency=USD","Period=FQ","BEST_FPERIOD_OVERRIDE=FQ","FILING_STATUS=MR","SCALING_FORMAT=MLN","Sort=A","Dates=H","DateFormat=P","Fill=—","Direction=H","UseDPDF=Y")</f>
        <v>0</v>
      </c>
      <c r="D10" s="13">
        <f>_xll.BDH("ITCI US Equity","BS_LT_BORROW","FQ1 2019","FQ1 2019","Currency=USD","Period=FQ","BEST_FPERIOD_OVERRIDE=FQ","FILING_STATUS=MR","SCALING_FORMAT=MLN","Sort=A","Dates=H","DateFormat=P","Fill=—","Direction=H","UseDPDF=Y")</f>
        <v>20.859100000000002</v>
      </c>
      <c r="E10" s="13">
        <f>_xll.BDH("ITCI US Equity","BS_LT_BORROW","FQ2 2019","FQ2 2019","Currency=USD","Period=FQ","BEST_FPERIOD_OVERRIDE=FQ","FILING_STATUS=MR","SCALING_FORMAT=MLN","Sort=A","Dates=H","DateFormat=P","Fill=—","Direction=H","UseDPDF=Y")</f>
        <v>20.567799999999998</v>
      </c>
      <c r="F10" s="13">
        <f>_xll.BDH("ITCI US Equity","BS_LT_BORROW","FQ3 2019","FQ3 2019","Currency=USD","Period=FQ","BEST_FPERIOD_OVERRIDE=FQ","FILING_STATUS=MR","SCALING_FORMAT=MLN","Sort=A","Dates=H","DateFormat=P","Fill=—","Direction=H","UseDPDF=Y")</f>
        <v>20.269600000000001</v>
      </c>
      <c r="G10" s="13">
        <f>_xll.BDH("ITCI US Equity","BS_LT_BORROW","FQ4 2019","FQ4 2019","Currency=USD","Period=FQ","BEST_FPERIOD_OVERRIDE=FQ","FILING_STATUS=MR","SCALING_FORMAT=MLN","Sort=A","Dates=H","DateFormat=P","Fill=—","Direction=H","UseDPDF=Y")</f>
        <v>19.955200000000001</v>
      </c>
      <c r="H10" s="13">
        <f>_xll.BDH("ITCI US Equity","BS_LT_BORROW","FQ1 2020","FQ1 2020","Currency=USD","Period=FQ","BEST_FPERIOD_OVERRIDE=FQ","FILING_STATUS=MR","SCALING_FORMAT=MLN","Sort=A","Dates=H","DateFormat=P","Fill=—","Direction=H","UseDPDF=Y")</f>
        <v>19.718</v>
      </c>
      <c r="I10" s="13">
        <f>_xll.BDH("ITCI US Equity","BS_LT_BORROW","FQ2 2020","FQ2 2020","Currency=USD","Period=FQ","BEST_FPERIOD_OVERRIDE=FQ","FILING_STATUS=MR","SCALING_FORMAT=MLN","Sort=A","Dates=H","DateFormat=P","Fill=—","Direction=H","UseDPDF=Y")</f>
        <v>21.158200000000001</v>
      </c>
      <c r="J10" s="13">
        <f>_xll.BDH("ITCI US Equity","BS_LT_BORROW","FQ3 2020","FQ3 2020","Currency=USD","Period=FQ","BEST_FPERIOD_OVERRIDE=FQ","FILING_STATUS=MR","SCALING_FORMAT=MLN","Sort=A","Dates=H","DateFormat=P","Fill=—","Direction=H","UseDPDF=Y")</f>
        <v>23.869599999999998</v>
      </c>
      <c r="K10" s="13">
        <f>_xll.BDH("ITCI US Equity","BS_LT_BORROW","FQ4 2020","FQ4 2020","Currency=USD","Period=FQ","BEST_FPERIOD_OVERRIDE=FQ","FILING_STATUS=MR","SCALING_FORMAT=MLN","Sort=A","Dates=H","DateFormat=P","Fill=—","Direction=H","UseDPDF=Y")</f>
        <v>23.600300000000001</v>
      </c>
      <c r="L10" s="13">
        <f>_xll.BDH("ITCI US Equity","BS_LT_BORROW","FQ1 2021","FQ1 2021","Currency=USD","Period=FQ","BEST_FPERIOD_OVERRIDE=FQ","FILING_STATUS=MR","SCALING_FORMAT=MLN","Sort=A","Dates=H","DateFormat=P","Fill=—","Direction=H","UseDPDF=Y")</f>
        <v>22.6371</v>
      </c>
      <c r="M10" s="13">
        <f>_xll.BDH("ITCI US Equity","BS_LT_BORROW","FQ2 2021","FQ2 2021","Currency=USD","Period=FQ","BEST_FPERIOD_OVERRIDE=FQ","FILING_STATUS=MR","SCALING_FORMAT=MLN","Sort=A","Dates=H","DateFormat=P","Fill=—","Direction=H","UseDPDF=Y")</f>
        <v>21.6889</v>
      </c>
      <c r="N10" s="13">
        <f>_xll.BDH("ITCI US Equity","BS_LT_BORROW","FQ3 2021","FQ3 2021","Currency=USD","Period=FQ","BEST_FPERIOD_OVERRIDE=FQ","FILING_STATUS=MR","SCALING_FORMAT=MLN","Sort=A","Dates=H","DateFormat=P","Fill=—","Direction=H","UseDPDF=Y")</f>
        <v>20.323899999999998</v>
      </c>
      <c r="O10" s="13">
        <f>_xll.BDH("ITCI US Equity","BS_LT_BORROW","FQ4 2021","FQ4 2021","Currency=USD","Period=FQ","BEST_FPERIOD_OVERRIDE=FQ","FILING_STATUS=MR","SCALING_FORMAT=MLN","Sort=A","Dates=H","DateFormat=P","Fill=—","Direction=H","UseDPDF=Y")</f>
        <v>18.674900000000001</v>
      </c>
      <c r="P10" s="13">
        <f>_xll.BDH("ITCI US Equity","BS_LT_BORROW","FQ1 2022","FQ1 2022","Currency=USD","Period=FQ","BEST_FPERIOD_OVERRIDE=FQ","FILING_STATUS=MR","SCALING_FORMAT=MLN","Sort=A","Dates=H","DateFormat=P","Fill=—","Direction=H","UseDPDF=Y")</f>
        <v>16.756</v>
      </c>
      <c r="Q10" s="13">
        <f>_xll.BDH("ITCI US Equity","BS_LT_BORROW","FQ2 2022","FQ2 2022","Currency=USD","Period=FQ","BEST_FPERIOD_OVERRIDE=FQ","FILING_STATUS=MR","SCALING_FORMAT=MLN","Sort=A","Dates=H","DateFormat=P","Fill=—","Direction=H","UseDPDF=Y")</f>
        <v>19.074999999999999</v>
      </c>
      <c r="R10" s="13">
        <f>_xll.BDH("ITCI US Equity","BS_LT_BORROW","FQ3 2022","FQ3 2022","Currency=USD","Period=FQ","BEST_FPERIOD_OVERRIDE=FQ","FILING_STATUS=MR","SCALING_FORMAT=MLN","Sort=A","Dates=H","DateFormat=P","Fill=—","Direction=H","UseDPDF=Y")</f>
        <v>19.167000000000002</v>
      </c>
      <c r="S10" s="13">
        <f>_xll.BDH("ITCI US Equity","BS_LT_BORROW","FQ4 2022","FQ4 2022","Currency=USD","Period=FQ","BEST_FPERIOD_OVERRIDE=FQ","FILING_STATUS=MR","SCALING_FORMAT=MLN","Sort=A","Dates=H","DateFormat=P","Fill=—","Direction=H","UseDPDF=Y")</f>
        <v>15.474</v>
      </c>
      <c r="T10" s="13">
        <f>_xll.BDH("ITCI US Equity","BS_LT_BORROW","FQ1 2023","FQ1 2023","Currency=USD","Period=FQ","BEST_FPERIOD_OVERRIDE=FQ","FILING_STATUS=MR","SCALING_FORMAT=MLN","Sort=A","Dates=H","DateFormat=P","Fill=—","Direction=H","UseDPDF=Y")</f>
        <v>14.961</v>
      </c>
      <c r="U10" s="13">
        <f>_xll.BDH("ITCI US Equity","BS_LT_BORROW","FQ2 2023","FQ2 2023","Currency=USD","Period=FQ","BEST_FPERIOD_OVERRIDE=FQ","FILING_STATUS=MR","SCALING_FORMAT=MLN","Sort=A","Dates=H","DateFormat=P","Fill=—","Direction=H","UseDPDF=Y")</f>
        <v>14.432</v>
      </c>
      <c r="V10" s="13">
        <f>_xll.BDH("ITCI US Equity","BS_LT_BORROW","FQ3 2023","FQ3 2023","Currency=USD","Period=FQ","BEST_FPERIOD_OVERRIDE=FQ","FILING_STATUS=MR","SCALING_FORMAT=MLN","Sort=A","Dates=H","DateFormat=P","Fill=—","Direction=H","UseDPDF=Y")</f>
        <v>13.891</v>
      </c>
      <c r="W10" s="13">
        <f>_xll.BDH("ITCI US Equity","BS_LT_BORROW","FQ4 2023","FQ4 2023","Currency=USD","Period=FQ","BEST_FPERIOD_OVERRIDE=FQ","FILING_STATUS=MR","SCALING_FORMAT=MLN","Sort=A","Dates=H","DateFormat=P","Fill=—","Direction=H","UseDPDF=Y")</f>
        <v>13.326000000000001</v>
      </c>
      <c r="X10" s="13">
        <f>_xll.BDH("ITCI US Equity","BS_LT_BORROW","FQ1 2024","FQ1 2024","Currency=USD","Period=FQ","BEST_FPERIOD_OVERRIDE=FQ","FILING_STATUS=MR","SCALING_FORMAT=MLN","Sort=A","Dates=H","DateFormat=P","Fill=—","Direction=H","UseDPDF=Y")</f>
        <v>12.737</v>
      </c>
      <c r="Y10" s="13">
        <f>_xll.BDH("ITCI US Equity","BS_LT_BORROW","FQ2 2024","FQ2 2024","Currency=USD","Period=FQ","BEST_FPERIOD_OVERRIDE=FQ","FILING_STATUS=MR","SCALING_FORMAT=MLN","Sort=A","Dates=H","DateFormat=P","Fill=—","Direction=H","UseDPDF=Y")</f>
        <v>14.117000000000001</v>
      </c>
      <c r="Z10" s="13">
        <f>_xll.BDH("ITCI US Equity","BS_LT_BORROW","FQ3 2024","FQ3 2024","Currency=USD","Period=FQ","BEST_FPERIOD_OVERRIDE=FQ","FILING_STATUS=MR","SCALING_FORMAT=MLN","Sort=A","Dates=H","DateFormat=P","Fill=—","Direction=H","UseDPDF=Y")</f>
        <v>13.506</v>
      </c>
      <c r="AA10" s="13">
        <f>_xll.BDH("ITCI US Equity","BS_LT_BORROW","FQ4 2024","FQ4 2024","Currency=USD","Period=FQ","BEST_FPERIOD_OVERRIDE=FQ","FILING_STATUS=MR","SCALING_FORMAT=MLN","Sort=A","Dates=H","DateFormat=P","Fill=—","Direction=H","UseDPDF=Y")</f>
        <v>12.747999999999999</v>
      </c>
    </row>
    <row r="11" spans="1:27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1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25">
      <c r="A13" s="10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5">
      <c r="A14" s="10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5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5">
      <c r="A16" s="10" t="s">
        <v>1178</v>
      </c>
      <c r="B16" s="10" t="s">
        <v>308</v>
      </c>
      <c r="C16" s="13">
        <f>_xll.BDH("ITCI US Equity","IS_INT_EXPENSE","FQ4 2018","FQ4 2018","Currency=USD","Period=FQ","BEST_FPERIOD_OVERRIDE=FQ","FILING_STATUS=MR","SCALING_FORMAT=MLN","FA_ADJUSTED=GAAP","Sort=A","Dates=H","DateFormat=P","Fill=—","Direction=H","UseDPDF=Y")</f>
        <v>0</v>
      </c>
      <c r="D16" s="13">
        <f>_xll.BDH("ITCI US Equity","IS_INT_EXPENSE","FQ1 2019","FQ1 2019","Currency=USD","Period=FQ","BEST_FPERIOD_OVERRIDE=FQ","FILING_STATUS=MR","SCALING_FORMAT=MLN","FA_ADJUSTED=GAAP","Sort=A","Dates=H","DateFormat=P","Fill=—","Direction=H","UseDPDF=Y")</f>
        <v>0</v>
      </c>
      <c r="E16" s="13">
        <f>_xll.BDH("ITCI US Equity","IS_INT_EXPENSE","FQ2 2019","FQ2 2019","Currency=USD","Period=FQ","BEST_FPERIOD_OVERRIDE=FQ","FILING_STATUS=MR","SCALING_FORMAT=MLN","FA_ADJUSTED=GAAP","Sort=A","Dates=H","DateFormat=P","Fill=—","Direction=H","UseDPDF=Y")</f>
        <v>0</v>
      </c>
      <c r="F16" s="13">
        <f>_xll.BDH("ITCI US Equity","IS_INT_EXPENSE","FQ3 2019","FQ3 2019","Currency=USD","Period=FQ","BEST_FPERIOD_OVERRIDE=FQ","FILING_STATUS=MR","SCALING_FORMAT=MLN","FA_ADJUSTED=GAAP","Sort=A","Dates=H","DateFormat=P","Fill=—","Direction=H","UseDPDF=Y")</f>
        <v>0</v>
      </c>
      <c r="G16" s="13">
        <f>_xll.BDH("ITCI US Equity","IS_INT_EXPENSE","FQ4 2019","FQ4 2019","Currency=USD","Period=FQ","BEST_FPERIOD_OVERRIDE=FQ","FILING_STATUS=MR","SCALING_FORMAT=MLN","FA_ADJUSTED=GAAP","Sort=A","Dates=H","DateFormat=P","Fill=—","Direction=H","UseDPDF=Y")</f>
        <v>0</v>
      </c>
      <c r="H16" s="13" t="str">
        <f>_xll.BDH("ITCI US Equity","IS_INT_EXPENSE","FQ1 2020","FQ1 2020","Currency=USD","Period=FQ","BEST_FPERIOD_OVERRIDE=FQ","FILING_STATUS=MR","SCALING_FORMAT=MLN","FA_ADJUSTED=GAAP","Sort=A","Dates=H","DateFormat=P","Fill=—","Direction=H","UseDPDF=Y")</f>
        <v>—</v>
      </c>
      <c r="I16" s="13">
        <f>_xll.BDH("ITCI US Equity","IS_INT_EXPENSE","FQ2 2020","FQ2 2020","Currency=USD","Period=FQ","BEST_FPERIOD_OVERRIDE=FQ","FILING_STATUS=MR","SCALING_FORMAT=MLN","FA_ADJUSTED=GAAP","Sort=A","Dates=H","DateFormat=P","Fill=—","Direction=H","UseDPDF=Y")</f>
        <v>0</v>
      </c>
      <c r="J16" s="13">
        <f>_xll.BDH("ITCI US Equity","IS_INT_EXPENSE","FQ3 2020","FQ3 2020","Currency=USD","Period=FQ","BEST_FPERIOD_OVERRIDE=FQ","FILING_STATUS=MR","SCALING_FORMAT=MLN","FA_ADJUSTED=GAAP","Sort=A","Dates=H","DateFormat=P","Fill=—","Direction=H","UseDPDF=Y")</f>
        <v>0</v>
      </c>
      <c r="K16" s="13">
        <f>_xll.BDH("ITCI US Equity","IS_INT_EXPENSE","FQ4 2020","FQ4 2020","Currency=USD","Period=FQ","BEST_FPERIOD_OVERRIDE=FQ","FILING_STATUS=MR","SCALING_FORMAT=MLN","FA_ADJUSTED=GAAP","Sort=A","Dates=H","DateFormat=P","Fill=—","Direction=H","UseDPDF=Y")</f>
        <v>0</v>
      </c>
      <c r="L16" s="13" t="str">
        <f>_xll.BDH("ITCI US Equity","IS_INT_EXPENSE","FQ1 2021","FQ1 2021","Currency=USD","Period=FQ","BEST_FPERIOD_OVERRIDE=FQ","FILING_STATUS=MR","SCALING_FORMAT=MLN","FA_ADJUSTED=GAAP","Sort=A","Dates=H","DateFormat=P","Fill=—","Direction=H","UseDPDF=Y")</f>
        <v>—</v>
      </c>
      <c r="M16" s="13" t="str">
        <f>_xll.BDH("ITCI US Equity","IS_INT_EXPENSE","FQ2 2021","FQ2 2021","Currency=USD","Period=FQ","BEST_FPERIOD_OVERRIDE=FQ","FILING_STATUS=MR","SCALING_FORMAT=MLN","FA_ADJUSTED=GAAP","Sort=A","Dates=H","DateFormat=P","Fill=—","Direction=H","UseDPDF=Y")</f>
        <v>—</v>
      </c>
      <c r="N16" s="13" t="str">
        <f>_xll.BDH("ITCI US Equity","IS_INT_EXPENSE","FQ3 2021","FQ3 2021","Currency=USD","Period=FQ","BEST_FPERIOD_OVERRIDE=FQ","FILING_STATUS=MR","SCALING_FORMAT=MLN","FA_ADJUSTED=GAAP","Sort=A","Dates=H","DateFormat=P","Fill=—","Direction=H","UseDPDF=Y")</f>
        <v>—</v>
      </c>
      <c r="O16" s="13">
        <f>_xll.BDH("ITCI US Equity","IS_INT_EXPENSE","FQ4 2021","FQ4 2021","Currency=USD","Period=FQ","BEST_FPERIOD_OVERRIDE=FQ","FILING_STATUS=MR","SCALING_FORMAT=MLN","FA_ADJUSTED=GAAP","Sort=A","Dates=H","DateFormat=P","Fill=—","Direction=H","UseDPDF=Y")</f>
        <v>0</v>
      </c>
      <c r="P16" s="13" t="str">
        <f>_xll.BDH("ITCI US Equity","IS_INT_EXPENSE","FQ1 2022","FQ1 2022","Currency=USD","Period=FQ","BEST_FPERIOD_OVERRIDE=FQ","FILING_STATUS=MR","SCALING_FORMAT=MLN","FA_ADJUSTED=GAAP","Sort=A","Dates=H","DateFormat=P","Fill=—","Direction=H","UseDPDF=Y")</f>
        <v>—</v>
      </c>
      <c r="Q16" s="13">
        <f>_xll.BDH("ITCI US Equity","IS_INT_EXPENSE","FQ2 2022","FQ2 2022","Currency=USD","Period=FQ","BEST_FPERIOD_OVERRIDE=FQ","FILING_STATUS=MR","SCALING_FORMAT=MLN","FA_ADJUSTED=GAAP","Sort=A","Dates=H","DateFormat=P","Fill=—","Direction=H","UseDPDF=Y")</f>
        <v>0</v>
      </c>
      <c r="R16" s="13" t="str">
        <f>_xll.BDH("ITCI US Equity","IS_INT_EXPENSE","FQ3 2022","FQ3 2022","Currency=USD","Period=FQ","BEST_FPERIOD_OVERRIDE=FQ","FILING_STATUS=MR","SCALING_FORMAT=MLN","FA_ADJUSTED=GAAP","Sort=A","Dates=H","DateFormat=P","Fill=—","Direction=H","UseDPDF=Y")</f>
        <v>—</v>
      </c>
      <c r="S16" s="13">
        <f>_xll.BDH("ITCI US Equity","IS_INT_EXPENSE","FQ4 2022","FQ4 2022","Currency=USD","Period=FQ","BEST_FPERIOD_OVERRIDE=FQ","FILING_STATUS=MR","SCALING_FORMAT=MLN","FA_ADJUSTED=GAAP","Sort=A","Dates=H","DateFormat=P","Fill=—","Direction=H","UseDPDF=Y")</f>
        <v>0</v>
      </c>
      <c r="T16" s="13" t="str">
        <f>_xll.BDH("ITCI US Equity","IS_INT_EXPENSE","FQ1 2023","FQ1 2023","Currency=USD","Period=FQ","BEST_FPERIOD_OVERRIDE=FQ","FILING_STATUS=MR","SCALING_FORMAT=MLN","FA_ADJUSTED=GAAP","Sort=A","Dates=H","DateFormat=P","Fill=—","Direction=H","UseDPDF=Y")</f>
        <v>—</v>
      </c>
      <c r="U16" s="13" t="str">
        <f>_xll.BDH("ITCI US Equity","IS_INT_EXPENSE","FQ2 2023","FQ2 2023","Currency=USD","Period=FQ","BEST_FPERIOD_OVERRIDE=FQ","FILING_STATUS=MR","SCALING_FORMAT=MLN","FA_ADJUSTED=GAAP","Sort=A","Dates=H","DateFormat=P","Fill=—","Direction=H","UseDPDF=Y")</f>
        <v>—</v>
      </c>
      <c r="V16" s="13" t="str">
        <f>_xll.BDH("ITCI US Equity","IS_INT_EXPENSE","FQ3 2023","FQ3 2023","Currency=USD","Period=FQ","BEST_FPERIOD_OVERRIDE=FQ","FILING_STATUS=MR","SCALING_FORMAT=MLN","FA_ADJUSTED=GAAP","Sort=A","Dates=H","DateFormat=P","Fill=—","Direction=H","UseDPDF=Y")</f>
        <v>—</v>
      </c>
      <c r="W16" s="13">
        <f>_xll.BDH("ITCI US Equity","IS_INT_EXPENSE","FQ4 2023","FQ4 2023","Currency=USD","Period=FQ","BEST_FPERIOD_OVERRIDE=FQ","FILING_STATUS=MR","SCALING_FORMAT=MLN","FA_ADJUSTED=GAAP","Sort=A","Dates=H","DateFormat=P","Fill=—","Direction=H","UseDPDF=Y")</f>
        <v>0</v>
      </c>
      <c r="X16" s="13" t="str">
        <f>_xll.BDH("ITCI US Equity","IS_INT_EXPENSE","FQ1 2024","FQ1 2024","Currency=USD","Period=FQ","BEST_FPERIOD_OVERRIDE=FQ","FILING_STATUS=MR","SCALING_FORMAT=MLN","FA_ADJUSTED=GAAP","Sort=A","Dates=H","DateFormat=P","Fill=—","Direction=H","UseDPDF=Y")</f>
        <v>—</v>
      </c>
      <c r="Y16" s="13" t="str">
        <f>_xll.BDH("ITCI US Equity","IS_INT_EXPENSE","FQ2 2024","FQ2 2024","Currency=USD","Period=FQ","BEST_FPERIOD_OVERRIDE=FQ","FILING_STATUS=MR","SCALING_FORMAT=MLN","FA_ADJUSTED=GAAP","Sort=A","Dates=H","DateFormat=P","Fill=—","Direction=H","UseDPDF=Y")</f>
        <v>—</v>
      </c>
      <c r="Z16" s="13" t="str">
        <f>_xll.BDH("ITCI US Equity","IS_INT_EXPENSE","FQ3 2024","FQ3 2024","Currency=USD","Period=FQ","BEST_FPERIOD_OVERRIDE=FQ","FILING_STATUS=MR","SCALING_FORMAT=MLN","FA_ADJUSTED=GAAP","Sort=A","Dates=H","DateFormat=P","Fill=—","Direction=H","UseDPDF=Y")</f>
        <v>—</v>
      </c>
      <c r="AA16" s="13">
        <f>_xll.BDH("ITCI US Equity","IS_INT_EXPENSE","FQ4 2024","FQ4 2024","Currency=USD","Period=FQ","BEST_FPERIOD_OVERRIDE=FQ","FILING_STATUS=MR","SCALING_FORMAT=MLN","FA_ADJUSTED=GAAP","Sort=A","Dates=H","DateFormat=P","Fill=—","Direction=H","UseDPDF=Y")</f>
        <v>0</v>
      </c>
    </row>
    <row r="17" spans="1:27" x14ac:dyDescent="0.25">
      <c r="A17" s="10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5">
      <c r="A18" s="10" t="s">
        <v>1179</v>
      </c>
      <c r="B18" s="10" t="s">
        <v>1180</v>
      </c>
      <c r="C18" s="14">
        <f>_xll.BDH("ITCI US Equity","COM_EQY_TO_TOT_ASSET","FQ4 2018","FQ4 2018","Currency=USD","Period=FQ","BEST_FPERIOD_OVERRIDE=FQ","FILING_STATUS=MR","Sort=A","Dates=H","DateFormat=P","Fill=—","Direction=H","UseDPDF=Y")</f>
        <v>88.944299999999998</v>
      </c>
      <c r="D18" s="14">
        <f>_xll.BDH("ITCI US Equity","COM_EQY_TO_TOT_ASSET","FQ1 2019","FQ1 2019","Currency=USD","Period=FQ","BEST_FPERIOD_OVERRIDE=FQ","FILING_STATUS=MR","Sort=A","Dates=H","DateFormat=P","Fill=—","Direction=H","UseDPDF=Y")</f>
        <v>84.150800000000004</v>
      </c>
      <c r="E18" s="14">
        <f>_xll.BDH("ITCI US Equity","COM_EQY_TO_TOT_ASSET","FQ2 2019","FQ2 2019","Currency=USD","Period=FQ","BEST_FPERIOD_OVERRIDE=FQ","FILING_STATUS=MR","Sort=A","Dates=H","DateFormat=P","Fill=—","Direction=H","UseDPDF=Y")</f>
        <v>82.865200000000002</v>
      </c>
      <c r="F18" s="14">
        <f>_xll.BDH("ITCI US Equity","COM_EQY_TO_TOT_ASSET","FQ3 2019","FQ3 2019","Currency=USD","Period=FQ","BEST_FPERIOD_OVERRIDE=FQ","FILING_STATUS=MR","Sort=A","Dates=H","DateFormat=P","Fill=—","Direction=H","UseDPDF=Y")</f>
        <v>80.877600000000001</v>
      </c>
      <c r="G18" s="14">
        <f>_xll.BDH("ITCI US Equity","COM_EQY_TO_TOT_ASSET","FQ4 2019","FQ4 2019","Currency=USD","Period=FQ","BEST_FPERIOD_OVERRIDE=FQ","FILING_STATUS=MR","Sort=A","Dates=H","DateFormat=P","Fill=—","Direction=H","UseDPDF=Y")</f>
        <v>77.634500000000003</v>
      </c>
      <c r="H18" s="14">
        <f>_xll.BDH("ITCI US Equity","COM_EQY_TO_TOT_ASSET","FQ1 2020","FQ1 2020","Currency=USD","Period=FQ","BEST_FPERIOD_OVERRIDE=FQ","FILING_STATUS=MR","Sort=A","Dates=H","DateFormat=P","Fill=—","Direction=H","UseDPDF=Y")</f>
        <v>89.4452</v>
      </c>
      <c r="I18" s="14">
        <f>_xll.BDH("ITCI US Equity","COM_EQY_TO_TOT_ASSET","FQ2 2020","FQ2 2020","Currency=USD","Period=FQ","BEST_FPERIOD_OVERRIDE=FQ","FILING_STATUS=MR","Sort=A","Dates=H","DateFormat=P","Fill=—","Direction=H","UseDPDF=Y")</f>
        <v>86.074700000000007</v>
      </c>
      <c r="J18" s="14">
        <f>_xll.BDH("ITCI US Equity","COM_EQY_TO_TOT_ASSET","FQ3 2020","FQ3 2020","Currency=USD","Period=FQ","BEST_FPERIOD_OVERRIDE=FQ","FILING_STATUS=MR","Sort=A","Dates=H","DateFormat=P","Fill=—","Direction=H","UseDPDF=Y")</f>
        <v>91.974699999999999</v>
      </c>
      <c r="K18" s="14">
        <f>_xll.BDH("ITCI US Equity","COM_EQY_TO_TOT_ASSET","FQ4 2020","FQ4 2020","Currency=USD","Period=FQ","BEST_FPERIOD_OVERRIDE=FQ","FILING_STATUS=MR","Sort=A","Dates=H","DateFormat=P","Fill=—","Direction=H","UseDPDF=Y")</f>
        <v>91.572199999999995</v>
      </c>
      <c r="L18" s="14">
        <f>_xll.BDH("ITCI US Equity","COM_EQY_TO_TOT_ASSET","FQ1 2021","FQ1 2021","Currency=USD","Period=FQ","BEST_FPERIOD_OVERRIDE=FQ","FILING_STATUS=MR","Sort=A","Dates=H","DateFormat=P","Fill=—","Direction=H","UseDPDF=Y")</f>
        <v>90.757599999999996</v>
      </c>
      <c r="M18" s="14">
        <f>_xll.BDH("ITCI US Equity","COM_EQY_TO_TOT_ASSET","FQ2 2021","FQ2 2021","Currency=USD","Period=FQ","BEST_FPERIOD_OVERRIDE=FQ","FILING_STATUS=MR","Sort=A","Dates=H","DateFormat=P","Fill=—","Direction=H","UseDPDF=Y")</f>
        <v>88.475099999999998</v>
      </c>
      <c r="N18" s="14">
        <f>_xll.BDH("ITCI US Equity","COM_EQY_TO_TOT_ASSET","FQ3 2021","FQ3 2021","Currency=USD","Period=FQ","BEST_FPERIOD_OVERRIDE=FQ","FILING_STATUS=MR","Sort=A","Dates=H","DateFormat=P","Fill=—","Direction=H","UseDPDF=Y")</f>
        <v>87.392700000000005</v>
      </c>
      <c r="O18" s="14">
        <f>_xll.BDH("ITCI US Equity","COM_EQY_TO_TOT_ASSET","FQ4 2021","FQ4 2021","Currency=USD","Period=FQ","BEST_FPERIOD_OVERRIDE=FQ","FILING_STATUS=MR","Sort=A","Dates=H","DateFormat=P","Fill=—","Direction=H","UseDPDF=Y")</f>
        <v>85.297399999999996</v>
      </c>
      <c r="P18" s="14">
        <f>_xll.BDH("ITCI US Equity","COM_EQY_TO_TOT_ASSET","FQ1 2022","FQ1 2022","Currency=USD","Period=FQ","BEST_FPERIOD_OVERRIDE=FQ","FILING_STATUS=MR","Sort=A","Dates=H","DateFormat=P","Fill=—","Direction=H","UseDPDF=Y")</f>
        <v>91.2697</v>
      </c>
      <c r="Q18" s="14">
        <f>_xll.BDH("ITCI US Equity","COM_EQY_TO_TOT_ASSET","FQ2 2022","FQ2 2022","Currency=USD","Period=FQ","BEST_FPERIOD_OVERRIDE=FQ","FILING_STATUS=MR","Sort=A","Dates=H","DateFormat=P","Fill=—","Direction=H","UseDPDF=Y")</f>
        <v>88.950800000000001</v>
      </c>
      <c r="R18" s="14">
        <f>_xll.BDH("ITCI US Equity","COM_EQY_TO_TOT_ASSET","FQ3 2022","FQ3 2022","Currency=USD","Period=FQ","BEST_FPERIOD_OVERRIDE=FQ","FILING_STATUS=MR","Sort=A","Dates=H","DateFormat=P","Fill=—","Direction=H","UseDPDF=Y")</f>
        <v>87.65</v>
      </c>
      <c r="S18" s="14">
        <f>_xll.BDH("ITCI US Equity","COM_EQY_TO_TOT_ASSET","FQ4 2022","FQ4 2022","Currency=USD","Period=FQ","BEST_FPERIOD_OVERRIDE=FQ","FILING_STATUS=MR","Sort=A","Dates=H","DateFormat=P","Fill=—","Direction=H","UseDPDF=Y")</f>
        <v>86.921999999999997</v>
      </c>
      <c r="T18" s="14">
        <f>_xll.BDH("ITCI US Equity","COM_EQY_TO_TOT_ASSET","FQ1 2023","FQ1 2023","Currency=USD","Period=FQ","BEST_FPERIOD_OVERRIDE=FQ","FILING_STATUS=MR","Sort=A","Dates=H","DateFormat=P","Fill=—","Direction=H","UseDPDF=Y")</f>
        <v>86.907600000000002</v>
      </c>
      <c r="U18" s="14">
        <f>_xll.BDH("ITCI US Equity","COM_EQY_TO_TOT_ASSET","FQ2 2023","FQ2 2023","Currency=USD","Period=FQ","BEST_FPERIOD_OVERRIDE=FQ","FILING_STATUS=MR","Sort=A","Dates=H","DateFormat=P","Fill=—","Direction=H","UseDPDF=Y")</f>
        <v>85.073999999999998</v>
      </c>
      <c r="V18" s="14">
        <f>_xll.BDH("ITCI US Equity","COM_EQY_TO_TOT_ASSET","FQ3 2023","FQ3 2023","Currency=USD","Period=FQ","BEST_FPERIOD_OVERRIDE=FQ","FILING_STATUS=MR","Sort=A","Dates=H","DateFormat=P","Fill=—","Direction=H","UseDPDF=Y")</f>
        <v>83.6995</v>
      </c>
      <c r="W18" s="14">
        <f>_xll.BDH("ITCI US Equity","COM_EQY_TO_TOT_ASSET","FQ4 2023","FQ4 2023","Currency=USD","Period=FQ","BEST_FPERIOD_OVERRIDE=FQ","FILING_STATUS=MR","Sort=A","Dates=H","DateFormat=P","Fill=—","Direction=H","UseDPDF=Y")</f>
        <v>81.206699999999998</v>
      </c>
      <c r="X18" s="14">
        <f>_xll.BDH("ITCI US Equity","COM_EQY_TO_TOT_ASSET","FQ1 2024","FQ1 2024","Currency=USD","Period=FQ","BEST_FPERIOD_OVERRIDE=FQ","FILING_STATUS=MR","Sort=A","Dates=H","DateFormat=P","Fill=—","Direction=H","UseDPDF=Y")</f>
        <v>80.250200000000007</v>
      </c>
      <c r="Y18" s="14">
        <f>_xll.BDH("ITCI US Equity","COM_EQY_TO_TOT_ASSET","FQ2 2024","FQ2 2024","Currency=USD","Period=FQ","BEST_FPERIOD_OVERRIDE=FQ","FILING_STATUS=MR","Sort=A","Dates=H","DateFormat=P","Fill=—","Direction=H","UseDPDF=Y")</f>
        <v>86.679900000000004</v>
      </c>
      <c r="Z18" s="14">
        <f>_xll.BDH("ITCI US Equity","COM_EQY_TO_TOT_ASSET","FQ3 2024","FQ3 2024","Currency=USD","Period=FQ","BEST_FPERIOD_OVERRIDE=FQ","FILING_STATUS=MR","Sort=A","Dates=H","DateFormat=P","Fill=—","Direction=H","UseDPDF=Y")</f>
        <v>86.438199999999995</v>
      </c>
      <c r="AA18" s="14">
        <f>_xll.BDH("ITCI US Equity","COM_EQY_TO_TOT_ASSET","FQ4 2024","FQ4 2024","Currency=USD","Period=FQ","BEST_FPERIOD_OVERRIDE=FQ","FILING_STATUS=MR","Sort=A","Dates=H","DateFormat=P","Fill=—","Direction=H","UseDPDF=Y")</f>
        <v>84.018600000000006</v>
      </c>
    </row>
    <row r="19" spans="1:27" x14ac:dyDescent="0.25">
      <c r="A19" s="10" t="s">
        <v>1181</v>
      </c>
      <c r="B19" s="10" t="s">
        <v>1182</v>
      </c>
      <c r="C19" s="14">
        <f>_xll.BDH("ITCI US Equity","LT_DEBT_TO_TOT_EQY","FQ4 2018","FQ4 2018","Currency=USD","Period=FQ","BEST_FPERIOD_OVERRIDE=FQ","FILING_STATUS=MR","Sort=A","Dates=H","DateFormat=P","Fill=—","Direction=H","UseDPDF=Y")</f>
        <v>0</v>
      </c>
      <c r="D19" s="14">
        <f>_xll.BDH("ITCI US Equity","LT_DEBT_TO_TOT_EQY","FQ1 2019","FQ1 2019","Currency=USD","Period=FQ","BEST_FPERIOD_OVERRIDE=FQ","FILING_STATUS=MR","Sort=A","Dates=H","DateFormat=P","Fill=—","Direction=H","UseDPDF=Y")</f>
        <v>7.2272999999999996</v>
      </c>
      <c r="E19" s="14">
        <f>_xll.BDH("ITCI US Equity","LT_DEBT_TO_TOT_EQY","FQ2 2019","FQ2 2019","Currency=USD","Period=FQ","BEST_FPERIOD_OVERRIDE=FQ","FILING_STATUS=MR","Sort=A","Dates=H","DateFormat=P","Fill=—","Direction=H","UseDPDF=Y")</f>
        <v>8.0101999999999993</v>
      </c>
      <c r="F19" s="14">
        <f>_xll.BDH("ITCI US Equity","LT_DEBT_TO_TOT_EQY","FQ3 2019","FQ3 2019","Currency=USD","Period=FQ","BEST_FPERIOD_OVERRIDE=FQ","FILING_STATUS=MR","Sort=A","Dates=H","DateFormat=P","Fill=—","Direction=H","UseDPDF=Y")</f>
        <v>8.9341000000000008</v>
      </c>
      <c r="G19" s="14">
        <f>_xll.BDH("ITCI US Equity","LT_DEBT_TO_TOT_EQY","FQ4 2019","FQ4 2019","Currency=USD","Period=FQ","BEST_FPERIOD_OVERRIDE=FQ","FILING_STATUS=MR","Sort=A","Dates=H","DateFormat=P","Fill=—","Direction=H","UseDPDF=Y")</f>
        <v>10.233000000000001</v>
      </c>
      <c r="H19" s="14">
        <f>_xll.BDH("ITCI US Equity","LT_DEBT_TO_TOT_EQY","FQ1 2020","FQ1 2020","Currency=USD","Period=FQ","BEST_FPERIOD_OVERRIDE=FQ","FILING_STATUS=MR","Sort=A","Dates=H","DateFormat=P","Fill=—","Direction=H","UseDPDF=Y")</f>
        <v>4.5808</v>
      </c>
      <c r="I19" s="14">
        <f>_xll.BDH("ITCI US Equity","LT_DEBT_TO_TOT_EQY","FQ2 2020","FQ2 2020","Currency=USD","Period=FQ","BEST_FPERIOD_OVERRIDE=FQ","FILING_STATUS=MR","Sort=A","Dates=H","DateFormat=P","Fill=—","Direction=H","UseDPDF=Y")</f>
        <v>5.5749000000000004</v>
      </c>
      <c r="J19" s="14">
        <f>_xll.BDH("ITCI US Equity","LT_DEBT_TO_TOT_EQY","FQ3 2020","FQ3 2020","Currency=USD","Period=FQ","BEST_FPERIOD_OVERRIDE=FQ","FILING_STATUS=MR","Sort=A","Dates=H","DateFormat=P","Fill=—","Direction=H","UseDPDF=Y")</f>
        <v>3.3647999999999998</v>
      </c>
      <c r="K19" s="14">
        <f>_xll.BDH("ITCI US Equity","LT_DEBT_TO_TOT_EQY","FQ4 2020","FQ4 2020","Currency=USD","Period=FQ","BEST_FPERIOD_OVERRIDE=FQ","FILING_STATUS=MR","Sort=A","Dates=H","DateFormat=P","Fill=—","Direction=H","UseDPDF=Y")</f>
        <v>3.5929000000000002</v>
      </c>
      <c r="L19" s="14">
        <f>_xll.BDH("ITCI US Equity","LT_DEBT_TO_TOT_EQY","FQ1 2021","FQ1 2021","Currency=USD","Period=FQ","BEST_FPERIOD_OVERRIDE=FQ","FILING_STATUS=MR","Sort=A","Dates=H","DateFormat=P","Fill=—","Direction=H","UseDPDF=Y")</f>
        <v>3.698</v>
      </c>
      <c r="M19" s="14">
        <f>_xll.BDH("ITCI US Equity","LT_DEBT_TO_TOT_EQY","FQ2 2021","FQ2 2021","Currency=USD","Period=FQ","BEST_FPERIOD_OVERRIDE=FQ","FILING_STATUS=MR","Sort=A","Dates=H","DateFormat=P","Fill=—","Direction=H","UseDPDF=Y")</f>
        <v>3.9178999999999999</v>
      </c>
      <c r="N19" s="14">
        <f>_xll.BDH("ITCI US Equity","LT_DEBT_TO_TOT_EQY","FQ3 2021","FQ3 2021","Currency=USD","Period=FQ","BEST_FPERIOD_OVERRIDE=FQ","FILING_STATUS=MR","Sort=A","Dates=H","DateFormat=P","Fill=—","Direction=H","UseDPDF=Y")</f>
        <v>4.1753999999999998</v>
      </c>
      <c r="O19" s="14">
        <f>_xll.BDH("ITCI US Equity","LT_DEBT_TO_TOT_EQY","FQ4 2021","FQ4 2021","Currency=USD","Period=FQ","BEST_FPERIOD_OVERRIDE=FQ","FILING_STATUS=MR","Sort=A","Dates=H","DateFormat=P","Fill=—","Direction=H","UseDPDF=Y")</f>
        <v>4.4688999999999997</v>
      </c>
      <c r="P19" s="14">
        <f>_xll.BDH("ITCI US Equity","LT_DEBT_TO_TOT_EQY","FQ1 2022","FQ1 2022","Currency=USD","Period=FQ","BEST_FPERIOD_OVERRIDE=FQ","FILING_STATUS=MR","Sort=A","Dates=H","DateFormat=P","Fill=—","Direction=H","UseDPDF=Y")</f>
        <v>2.1137000000000001</v>
      </c>
      <c r="Q19" s="14">
        <f>_xll.BDH("ITCI US Equity","LT_DEBT_TO_TOT_EQY","FQ2 2022","FQ2 2022","Currency=USD","Period=FQ","BEST_FPERIOD_OVERRIDE=FQ","FILING_STATUS=MR","Sort=A","Dates=H","DateFormat=P","Fill=—","Direction=H","UseDPDF=Y")</f>
        <v>2.6412</v>
      </c>
      <c r="R19" s="14">
        <f>_xll.BDH("ITCI US Equity","LT_DEBT_TO_TOT_EQY","FQ3 2022","FQ3 2022","Currency=USD","Period=FQ","BEST_FPERIOD_OVERRIDE=FQ","FILING_STATUS=MR","Sort=A","Dates=H","DateFormat=P","Fill=—","Direction=H","UseDPDF=Y")</f>
        <v>2.7964000000000002</v>
      </c>
      <c r="S19" s="14">
        <f>_xll.BDH("ITCI US Equity","LT_DEBT_TO_TOT_EQY","FQ4 2022","FQ4 2022","Currency=USD","Period=FQ","BEST_FPERIOD_OVERRIDE=FQ","FILING_STATUS=MR","Sort=A","Dates=H","DateFormat=P","Fill=—","Direction=H","UseDPDF=Y")</f>
        <v>2.3586</v>
      </c>
      <c r="T19" s="14">
        <f>_xll.BDH("ITCI US Equity","LT_DEBT_TO_TOT_EQY","FQ1 2023","FQ1 2023","Currency=USD","Period=FQ","BEST_FPERIOD_OVERRIDE=FQ","FILING_STATUS=MR","Sort=A","Dates=H","DateFormat=P","Fill=—","Direction=H","UseDPDF=Y")</f>
        <v>2.3837999999999999</v>
      </c>
      <c r="U19" s="14">
        <f>_xll.BDH("ITCI US Equity","LT_DEBT_TO_TOT_EQY","FQ2 2023","FQ2 2023","Currency=USD","Period=FQ","BEST_FPERIOD_OVERRIDE=FQ","FILING_STATUS=MR","Sort=A","Dates=H","DateFormat=P","Fill=—","Direction=H","UseDPDF=Y")</f>
        <v>2.3772000000000002</v>
      </c>
      <c r="V19" s="14">
        <f>_xll.BDH("ITCI US Equity","LT_DEBT_TO_TOT_EQY","FQ3 2023","FQ3 2023","Currency=USD","Period=FQ","BEST_FPERIOD_OVERRIDE=FQ","FILING_STATUS=MR","Sort=A","Dates=H","DateFormat=P","Fill=—","Direction=H","UseDPDF=Y")</f>
        <v>2.3125</v>
      </c>
      <c r="W19" s="14">
        <f>_xll.BDH("ITCI US Equity","LT_DEBT_TO_TOT_EQY","FQ4 2023","FQ4 2023","Currency=USD","Period=FQ","BEST_FPERIOD_OVERRIDE=FQ","FILING_STATUS=MR","Sort=A","Dates=H","DateFormat=P","Fill=—","Direction=H","UseDPDF=Y")</f>
        <v>2.2532000000000001</v>
      </c>
      <c r="X19" s="14">
        <f>_xll.BDH("ITCI US Equity","LT_DEBT_TO_TOT_EQY","FQ1 2024","FQ1 2024","Currency=USD","Period=FQ","BEST_FPERIOD_OVERRIDE=FQ","FILING_STATUS=MR","Sort=A","Dates=H","DateFormat=P","Fill=—","Direction=H","UseDPDF=Y")</f>
        <v>2.1246</v>
      </c>
      <c r="Y19" s="14">
        <f>_xll.BDH("ITCI US Equity","LT_DEBT_TO_TOT_EQY","FQ2 2024","FQ2 2024","Currency=USD","Period=FQ","BEST_FPERIOD_OVERRIDE=FQ","FILING_STATUS=MR","Sort=A","Dates=H","DateFormat=P","Fill=—","Direction=H","UseDPDF=Y")</f>
        <v>1.2333000000000001</v>
      </c>
      <c r="Z19" s="14">
        <f>_xll.BDH("ITCI US Equity","LT_DEBT_TO_TOT_EQY","FQ3 2024","FQ3 2024","Currency=USD","Period=FQ","BEST_FPERIOD_OVERRIDE=FQ","FILING_STATUS=MR","Sort=A","Dates=H","DateFormat=P","Fill=—","Direction=H","UseDPDF=Y")</f>
        <v>1.1797</v>
      </c>
      <c r="AA19" s="14">
        <f>_xll.BDH("ITCI US Equity","LT_DEBT_TO_TOT_EQY","FQ4 2024","FQ4 2024","Currency=USD","Period=FQ","BEST_FPERIOD_OVERRIDE=FQ","FILING_STATUS=MR","Sort=A","Dates=H","DateFormat=P","Fill=—","Direction=H","UseDPDF=Y")</f>
        <v>1.1100000000000001</v>
      </c>
    </row>
    <row r="20" spans="1:27" x14ac:dyDescent="0.25">
      <c r="A20" s="10" t="s">
        <v>1183</v>
      </c>
      <c r="B20" s="10" t="s">
        <v>1184</v>
      </c>
      <c r="C20" s="14">
        <f>_xll.BDH("ITCI US Equity","LT_DEBT_TO_TOT_CAP","FQ4 2018","FQ4 2018","Currency=USD","Period=FQ","BEST_FPERIOD_OVERRIDE=FQ","FILING_STATUS=MR","Sort=A","Dates=H","DateFormat=P","Fill=—","Direction=H","UseDPDF=Y")</f>
        <v>0</v>
      </c>
      <c r="D20" s="14">
        <f>_xll.BDH("ITCI US Equity","LT_DEBT_TO_TOT_CAP","FQ1 2019","FQ1 2019","Currency=USD","Period=FQ","BEST_FPERIOD_OVERRIDE=FQ","FILING_STATUS=MR","Sort=A","Dates=H","DateFormat=P","Fill=—","Direction=H","UseDPDF=Y")</f>
        <v>6.6782000000000004</v>
      </c>
      <c r="E20" s="14">
        <f>_xll.BDH("ITCI US Equity","LT_DEBT_TO_TOT_CAP","FQ2 2019","FQ2 2019","Currency=USD","Period=FQ","BEST_FPERIOD_OVERRIDE=FQ","FILING_STATUS=MR","Sort=A","Dates=H","DateFormat=P","Fill=—","Direction=H","UseDPDF=Y")</f>
        <v>7.3562000000000003</v>
      </c>
      <c r="F20" s="14">
        <f>_xll.BDH("ITCI US Equity","LT_DEBT_TO_TOT_CAP","FQ3 2019","FQ3 2019","Currency=USD","Period=FQ","BEST_FPERIOD_OVERRIDE=FQ","FILING_STATUS=MR","Sort=A","Dates=H","DateFormat=P","Fill=—","Direction=H","UseDPDF=Y")</f>
        <v>8.1262000000000008</v>
      </c>
      <c r="G20" s="14">
        <f>_xll.BDH("ITCI US Equity","LT_DEBT_TO_TOT_CAP","FQ4 2019","FQ4 2019","Currency=USD","Period=FQ","BEST_FPERIOD_OVERRIDE=FQ","FILING_STATUS=MR","Sort=A","Dates=H","DateFormat=P","Fill=—","Direction=H","UseDPDF=Y")</f>
        <v>9.1475000000000009</v>
      </c>
      <c r="H20" s="14">
        <f>_xll.BDH("ITCI US Equity","LT_DEBT_TO_TOT_CAP","FQ1 2020","FQ1 2020","Currency=USD","Period=FQ","BEST_FPERIOD_OVERRIDE=FQ","FILING_STATUS=MR","Sort=A","Dates=H","DateFormat=P","Fill=—","Direction=H","UseDPDF=Y")</f>
        <v>4.3491</v>
      </c>
      <c r="I20" s="14">
        <f>_xll.BDH("ITCI US Equity","LT_DEBT_TO_TOT_CAP","FQ2 2020","FQ2 2020","Currency=USD","Period=FQ","BEST_FPERIOD_OVERRIDE=FQ","FILING_STATUS=MR","Sort=A","Dates=H","DateFormat=P","Fill=—","Direction=H","UseDPDF=Y")</f>
        <v>5.2286000000000001</v>
      </c>
      <c r="J20" s="14">
        <f>_xll.BDH("ITCI US Equity","LT_DEBT_TO_TOT_CAP","FQ3 2020","FQ3 2020","Currency=USD","Period=FQ","BEST_FPERIOD_OVERRIDE=FQ","FILING_STATUS=MR","Sort=A","Dates=H","DateFormat=P","Fill=—","Direction=H","UseDPDF=Y")</f>
        <v>3.2320000000000002</v>
      </c>
      <c r="K20" s="14">
        <f>_xll.BDH("ITCI US Equity","LT_DEBT_TO_TOT_CAP","FQ4 2020","FQ4 2020","Currency=USD","Period=FQ","BEST_FPERIOD_OVERRIDE=FQ","FILING_STATUS=MR","Sort=A","Dates=H","DateFormat=P","Fill=—","Direction=H","UseDPDF=Y")</f>
        <v>3.4403000000000001</v>
      </c>
      <c r="L20" s="14">
        <f>_xll.BDH("ITCI US Equity","LT_DEBT_TO_TOT_CAP","FQ1 2021","FQ1 2021","Currency=USD","Period=FQ","BEST_FPERIOD_OVERRIDE=FQ","FILING_STATUS=MR","Sort=A","Dates=H","DateFormat=P","Fill=—","Direction=H","UseDPDF=Y")</f>
        <v>3.5350999999999999</v>
      </c>
      <c r="M20" s="14">
        <f>_xll.BDH("ITCI US Equity","LT_DEBT_TO_TOT_CAP","FQ2 2021","FQ2 2021","Currency=USD","Period=FQ","BEST_FPERIOD_OVERRIDE=FQ","FILING_STATUS=MR","Sort=A","Dates=H","DateFormat=P","Fill=—","Direction=H","UseDPDF=Y")</f>
        <v>3.7339000000000002</v>
      </c>
      <c r="N20" s="14">
        <f>_xll.BDH("ITCI US Equity","LT_DEBT_TO_TOT_CAP","FQ3 2021","FQ3 2021","Currency=USD","Period=FQ","BEST_FPERIOD_OVERRIDE=FQ","FILING_STATUS=MR","Sort=A","Dates=H","DateFormat=P","Fill=—","Direction=H","UseDPDF=Y")</f>
        <v>3.9605000000000001</v>
      </c>
      <c r="O20" s="14">
        <f>_xll.BDH("ITCI US Equity","LT_DEBT_TO_TOT_CAP","FQ4 2021","FQ4 2021","Currency=USD","Period=FQ","BEST_FPERIOD_OVERRIDE=FQ","FILING_STATUS=MR","Sort=A","Dates=H","DateFormat=P","Fill=—","Direction=H","UseDPDF=Y")</f>
        <v>4.2126999999999999</v>
      </c>
      <c r="P20" s="14">
        <f>_xll.BDH("ITCI US Equity","LT_DEBT_TO_TOT_CAP","FQ1 2022","FQ1 2022","Currency=USD","Period=FQ","BEST_FPERIOD_OVERRIDE=FQ","FILING_STATUS=MR","Sort=A","Dates=H","DateFormat=P","Fill=—","Direction=H","UseDPDF=Y")</f>
        <v>2.0506000000000002</v>
      </c>
      <c r="Q20" s="14">
        <f>_xll.BDH("ITCI US Equity","LT_DEBT_TO_TOT_CAP","FQ2 2022","FQ2 2022","Currency=USD","Period=FQ","BEST_FPERIOD_OVERRIDE=FQ","FILING_STATUS=MR","Sort=A","Dates=H","DateFormat=P","Fill=—","Direction=H","UseDPDF=Y")</f>
        <v>2.5467</v>
      </c>
      <c r="R20" s="14">
        <f>_xll.BDH("ITCI US Equity","LT_DEBT_TO_TOT_CAP","FQ3 2022","FQ3 2022","Currency=USD","Period=FQ","BEST_FPERIOD_OVERRIDE=FQ","FILING_STATUS=MR","Sort=A","Dates=H","DateFormat=P","Fill=—","Direction=H","UseDPDF=Y")</f>
        <v>2.6926000000000001</v>
      </c>
      <c r="S20" s="14">
        <f>_xll.BDH("ITCI US Equity","LT_DEBT_TO_TOT_CAP","FQ4 2022","FQ4 2022","Currency=USD","Period=FQ","BEST_FPERIOD_OVERRIDE=FQ","FILING_STATUS=MR","Sort=A","Dates=H","DateFormat=P","Fill=—","Direction=H","UseDPDF=Y")</f>
        <v>2.2887</v>
      </c>
      <c r="T20" s="14">
        <f>_xll.BDH("ITCI US Equity","LT_DEBT_TO_TOT_CAP","FQ1 2023","FQ1 2023","Currency=USD","Period=FQ","BEST_FPERIOD_OVERRIDE=FQ","FILING_STATUS=MR","Sort=A","Dates=H","DateFormat=P","Fill=—","Direction=H","UseDPDF=Y")</f>
        <v>2.3155999999999999</v>
      </c>
      <c r="U20" s="14">
        <f>_xll.BDH("ITCI US Equity","LT_DEBT_TO_TOT_CAP","FQ2 2023","FQ2 2023","Currency=USD","Period=FQ","BEST_FPERIOD_OVERRIDE=FQ","FILING_STATUS=MR","Sort=A","Dates=H","DateFormat=P","Fill=—","Direction=H","UseDPDF=Y")</f>
        <v>2.3088000000000002</v>
      </c>
      <c r="V20" s="14">
        <f>_xll.BDH("ITCI US Equity","LT_DEBT_TO_TOT_CAP","FQ3 2023","FQ3 2023","Currency=USD","Period=FQ","BEST_FPERIOD_OVERRIDE=FQ","FILING_STATUS=MR","Sort=A","Dates=H","DateFormat=P","Fill=—","Direction=H","UseDPDF=Y")</f>
        <v>2.2471999999999999</v>
      </c>
      <c r="W20" s="14">
        <f>_xll.BDH("ITCI US Equity","LT_DEBT_TO_TOT_CAP","FQ4 2023","FQ4 2023","Currency=USD","Period=FQ","BEST_FPERIOD_OVERRIDE=FQ","FILING_STATUS=MR","Sort=A","Dates=H","DateFormat=P","Fill=—","Direction=H","UseDPDF=Y")</f>
        <v>2.1905000000000001</v>
      </c>
      <c r="X20" s="14">
        <f>_xll.BDH("ITCI US Equity","LT_DEBT_TO_TOT_CAP","FQ1 2024","FQ1 2024","Currency=USD","Period=FQ","BEST_FPERIOD_OVERRIDE=FQ","FILING_STATUS=MR","Sort=A","Dates=H","DateFormat=P","Fill=—","Direction=H","UseDPDF=Y")</f>
        <v>2.0680999999999998</v>
      </c>
      <c r="Y20" s="14">
        <f>_xll.BDH("ITCI US Equity","LT_DEBT_TO_TOT_CAP","FQ2 2024","FQ2 2024","Currency=USD","Period=FQ","BEST_FPERIOD_OVERRIDE=FQ","FILING_STATUS=MR","Sort=A","Dates=H","DateFormat=P","Fill=—","Direction=H","UseDPDF=Y")</f>
        <v>1.2139</v>
      </c>
      <c r="Z20" s="14">
        <f>_xll.BDH("ITCI US Equity","LT_DEBT_TO_TOT_CAP","FQ3 2024","FQ3 2024","Currency=USD","Period=FQ","BEST_FPERIOD_OVERRIDE=FQ","FILING_STATUS=MR","Sort=A","Dates=H","DateFormat=P","Fill=—","Direction=H","UseDPDF=Y")</f>
        <v>1.1617999999999999</v>
      </c>
      <c r="AA20" s="14">
        <f>_xll.BDH("ITCI US Equity","LT_DEBT_TO_TOT_CAP","FQ4 2024","FQ4 2024","Currency=USD","Period=FQ","BEST_FPERIOD_OVERRIDE=FQ","FILING_STATUS=MR","Sort=A","Dates=H","DateFormat=P","Fill=—","Direction=H","UseDPDF=Y")</f>
        <v>1.0938000000000001</v>
      </c>
    </row>
    <row r="21" spans="1:27" x14ac:dyDescent="0.25">
      <c r="A21" s="10" t="s">
        <v>1185</v>
      </c>
      <c r="B21" s="10" t="s">
        <v>1186</v>
      </c>
      <c r="C21" s="14">
        <f>_xll.BDH("ITCI US Equity","LT_DEBT_TO_TOT_ASSET","FQ4 2018","FQ4 2018","Currency=USD","Period=FQ","BEST_FPERIOD_OVERRIDE=FQ","FILING_STATUS=MR","Sort=A","Dates=H","DateFormat=P","Fill=—","Direction=H","UseDPDF=Y")</f>
        <v>0</v>
      </c>
      <c r="D21" s="14">
        <f>_xll.BDH("ITCI US Equity","LT_DEBT_TO_TOT_ASSET","FQ1 2019","FQ1 2019","Currency=USD","Period=FQ","BEST_FPERIOD_OVERRIDE=FQ","FILING_STATUS=MR","Sort=A","Dates=H","DateFormat=P","Fill=—","Direction=H","UseDPDF=Y")</f>
        <v>6.0818000000000003</v>
      </c>
      <c r="E21" s="14">
        <f>_xll.BDH("ITCI US Equity","LT_DEBT_TO_TOT_ASSET","FQ2 2019","FQ2 2019","Currency=USD","Period=FQ","BEST_FPERIOD_OVERRIDE=FQ","FILING_STATUS=MR","Sort=A","Dates=H","DateFormat=P","Fill=—","Direction=H","UseDPDF=Y")</f>
        <v>6.6376999999999997</v>
      </c>
      <c r="F21" s="14">
        <f>_xll.BDH("ITCI US Equity","LT_DEBT_TO_TOT_ASSET","FQ3 2019","FQ3 2019","Currency=USD","Period=FQ","BEST_FPERIOD_OVERRIDE=FQ","FILING_STATUS=MR","Sort=A","Dates=H","DateFormat=P","Fill=—","Direction=H","UseDPDF=Y")</f>
        <v>7.2256999999999998</v>
      </c>
      <c r="G21" s="14">
        <f>_xll.BDH("ITCI US Equity","LT_DEBT_TO_TOT_ASSET","FQ4 2019","FQ4 2019","Currency=USD","Period=FQ","BEST_FPERIOD_OVERRIDE=FQ","FILING_STATUS=MR","Sort=A","Dates=H","DateFormat=P","Fill=—","Direction=H","UseDPDF=Y")</f>
        <v>7.9443999999999999</v>
      </c>
      <c r="H21" s="14">
        <f>_xll.BDH("ITCI US Equity","LT_DEBT_TO_TOT_ASSET","FQ1 2020","FQ1 2020","Currency=USD","Period=FQ","BEST_FPERIOD_OVERRIDE=FQ","FILING_STATUS=MR","Sort=A","Dates=H","DateFormat=P","Fill=—","Direction=H","UseDPDF=Y")</f>
        <v>4.0972999999999997</v>
      </c>
      <c r="I21" s="14">
        <f>_xll.BDH("ITCI US Equity","LT_DEBT_TO_TOT_ASSET","FQ2 2020","FQ2 2020","Currency=USD","Period=FQ","BEST_FPERIOD_OVERRIDE=FQ","FILING_STATUS=MR","Sort=A","Dates=H","DateFormat=P","Fill=—","Direction=H","UseDPDF=Y")</f>
        <v>4.7984999999999998</v>
      </c>
      <c r="J21" s="14">
        <f>_xll.BDH("ITCI US Equity","LT_DEBT_TO_TOT_ASSET","FQ3 2020","FQ3 2020","Currency=USD","Period=FQ","BEST_FPERIOD_OVERRIDE=FQ","FILING_STATUS=MR","Sort=A","Dates=H","DateFormat=P","Fill=—","Direction=H","UseDPDF=Y")</f>
        <v>3.0947</v>
      </c>
      <c r="K21" s="14">
        <f>_xll.BDH("ITCI US Equity","LT_DEBT_TO_TOT_ASSET","FQ4 2020","FQ4 2020","Currency=USD","Period=FQ","BEST_FPERIOD_OVERRIDE=FQ","FILING_STATUS=MR","Sort=A","Dates=H","DateFormat=P","Fill=—","Direction=H","UseDPDF=Y")</f>
        <v>3.2900999999999998</v>
      </c>
      <c r="L21" s="14">
        <f>_xll.BDH("ITCI US Equity","LT_DEBT_TO_TOT_ASSET","FQ1 2021","FQ1 2021","Currency=USD","Period=FQ","BEST_FPERIOD_OVERRIDE=FQ","FILING_STATUS=MR","Sort=A","Dates=H","DateFormat=P","Fill=—","Direction=H","UseDPDF=Y")</f>
        <v>3.3561999999999999</v>
      </c>
      <c r="M21" s="14">
        <f>_xll.BDH("ITCI US Equity","LT_DEBT_TO_TOT_ASSET","FQ2 2021","FQ2 2021","Currency=USD","Period=FQ","BEST_FPERIOD_OVERRIDE=FQ","FILING_STATUS=MR","Sort=A","Dates=H","DateFormat=P","Fill=—","Direction=H","UseDPDF=Y")</f>
        <v>3.4664000000000001</v>
      </c>
      <c r="N21" s="14">
        <f>_xll.BDH("ITCI US Equity","LT_DEBT_TO_TOT_ASSET","FQ3 2021","FQ3 2021","Currency=USD","Period=FQ","BEST_FPERIOD_OVERRIDE=FQ","FILING_STATUS=MR","Sort=A","Dates=H","DateFormat=P","Fill=—","Direction=H","UseDPDF=Y")</f>
        <v>3.649</v>
      </c>
      <c r="O21" s="14">
        <f>_xll.BDH("ITCI US Equity","LT_DEBT_TO_TOT_ASSET","FQ4 2021","FQ4 2021","Currency=USD","Period=FQ","BEST_FPERIOD_OVERRIDE=FQ","FILING_STATUS=MR","Sort=A","Dates=H","DateFormat=P","Fill=—","Direction=H","UseDPDF=Y")</f>
        <v>3.8117999999999999</v>
      </c>
      <c r="P21" s="14">
        <f>_xll.BDH("ITCI US Equity","LT_DEBT_TO_TOT_ASSET","FQ1 2022","FQ1 2022","Currency=USD","Period=FQ","BEST_FPERIOD_OVERRIDE=FQ","FILING_STATUS=MR","Sort=A","Dates=H","DateFormat=P","Fill=—","Direction=H","UseDPDF=Y")</f>
        <v>1.9291</v>
      </c>
      <c r="Q21" s="14">
        <f>_xll.BDH("ITCI US Equity","LT_DEBT_TO_TOT_ASSET","FQ2 2022","FQ2 2022","Currency=USD","Period=FQ","BEST_FPERIOD_OVERRIDE=FQ","FILING_STATUS=MR","Sort=A","Dates=H","DateFormat=P","Fill=—","Direction=H","UseDPDF=Y")</f>
        <v>2.3494000000000002</v>
      </c>
      <c r="R21" s="14">
        <f>_xll.BDH("ITCI US Equity","LT_DEBT_TO_TOT_ASSET","FQ3 2022","FQ3 2022","Currency=USD","Period=FQ","BEST_FPERIOD_OVERRIDE=FQ","FILING_STATUS=MR","Sort=A","Dates=H","DateFormat=P","Fill=—","Direction=H","UseDPDF=Y")</f>
        <v>2.4510000000000001</v>
      </c>
      <c r="S21" s="14">
        <f>_xll.BDH("ITCI US Equity","LT_DEBT_TO_TOT_ASSET","FQ4 2022","FQ4 2022","Currency=USD","Period=FQ","BEST_FPERIOD_OVERRIDE=FQ","FILING_STATUS=MR","Sort=A","Dates=H","DateFormat=P","Fill=—","Direction=H","UseDPDF=Y")</f>
        <v>2.0501</v>
      </c>
      <c r="T21" s="14">
        <f>_xll.BDH("ITCI US Equity","LT_DEBT_TO_TOT_ASSET","FQ1 2023","FQ1 2023","Currency=USD","Period=FQ","BEST_FPERIOD_OVERRIDE=FQ","FILING_STATUS=MR","Sort=A","Dates=H","DateFormat=P","Fill=—","Direction=H","UseDPDF=Y")</f>
        <v>2.0716999999999999</v>
      </c>
      <c r="U21" s="14">
        <f>_xll.BDH("ITCI US Equity","LT_DEBT_TO_TOT_ASSET","FQ2 2023","FQ2 2023","Currency=USD","Period=FQ","BEST_FPERIOD_OVERRIDE=FQ","FILING_STATUS=MR","Sort=A","Dates=H","DateFormat=P","Fill=—","Direction=H","UseDPDF=Y")</f>
        <v>2.0224000000000002</v>
      </c>
      <c r="V21" s="14">
        <f>_xll.BDH("ITCI US Equity","LT_DEBT_TO_TOT_ASSET","FQ3 2023","FQ3 2023","Currency=USD","Period=FQ","BEST_FPERIOD_OVERRIDE=FQ","FILING_STATUS=MR","Sort=A","Dates=H","DateFormat=P","Fill=—","Direction=H","UseDPDF=Y")</f>
        <v>1.9356</v>
      </c>
      <c r="W21" s="14">
        <f>_xll.BDH("ITCI US Equity","LT_DEBT_TO_TOT_ASSET","FQ4 2023","FQ4 2023","Currency=USD","Period=FQ","BEST_FPERIOD_OVERRIDE=FQ","FILING_STATUS=MR","Sort=A","Dates=H","DateFormat=P","Fill=—","Direction=H","UseDPDF=Y")</f>
        <v>1.8298000000000001</v>
      </c>
      <c r="X21" s="14">
        <f>_xll.BDH("ITCI US Equity","LT_DEBT_TO_TOT_ASSET","FQ1 2024","FQ1 2024","Currency=USD","Period=FQ","BEST_FPERIOD_OVERRIDE=FQ","FILING_STATUS=MR","Sort=A","Dates=H","DateFormat=P","Fill=—","Direction=H","UseDPDF=Y")</f>
        <v>1.7050000000000001</v>
      </c>
      <c r="Y21" s="14">
        <f>_xll.BDH("ITCI US Equity","LT_DEBT_TO_TOT_ASSET","FQ2 2024","FQ2 2024","Currency=USD","Period=FQ","BEST_FPERIOD_OVERRIDE=FQ","FILING_STATUS=MR","Sort=A","Dates=H","DateFormat=P","Fill=—","Direction=H","UseDPDF=Y")</f>
        <v>1.0690999999999999</v>
      </c>
      <c r="Z21" s="14">
        <f>_xll.BDH("ITCI US Equity","LT_DEBT_TO_TOT_ASSET","FQ3 2024","FQ3 2024","Currency=USD","Period=FQ","BEST_FPERIOD_OVERRIDE=FQ","FILING_STATUS=MR","Sort=A","Dates=H","DateFormat=P","Fill=—","Direction=H","UseDPDF=Y")</f>
        <v>1.0197000000000001</v>
      </c>
      <c r="AA21" s="14">
        <f>_xll.BDH("ITCI US Equity","LT_DEBT_TO_TOT_ASSET","FQ4 2024","FQ4 2024","Currency=USD","Period=FQ","BEST_FPERIOD_OVERRIDE=FQ","FILING_STATUS=MR","Sort=A","Dates=H","DateFormat=P","Fill=—","Direction=H","UseDPDF=Y")</f>
        <v>0.93259999999999998</v>
      </c>
    </row>
    <row r="22" spans="1:27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5">
      <c r="A23" s="10" t="s">
        <v>1187</v>
      </c>
      <c r="B23" s="10" t="s">
        <v>1188</v>
      </c>
      <c r="C23" s="14">
        <f>_xll.BDH("ITCI US Equity","TOT_DEBT_TO_TOT_EQY","FQ4 2018","FQ4 2018","Currency=USD","Period=FQ","BEST_FPERIOD_OVERRIDE=FQ","FILING_STATUS=MR","Sort=A","Dates=H","DateFormat=P","Fill=—","Direction=H","UseDPDF=Y")</f>
        <v>0</v>
      </c>
      <c r="D23" s="14">
        <f>_xll.BDH("ITCI US Equity","TOT_DEBT_TO_TOT_EQY","FQ1 2019","FQ1 2019","Currency=USD","Period=FQ","BEST_FPERIOD_OVERRIDE=FQ","FILING_STATUS=MR","Sort=A","Dates=H","DateFormat=P","Fill=—","Direction=H","UseDPDF=Y")</f>
        <v>8.2227999999999994</v>
      </c>
      <c r="E23" s="14">
        <f>_xll.BDH("ITCI US Equity","TOT_DEBT_TO_TOT_EQY","FQ2 2019","FQ2 2019","Currency=USD","Period=FQ","BEST_FPERIOD_OVERRIDE=FQ","FILING_STATUS=MR","Sort=A","Dates=H","DateFormat=P","Fill=—","Direction=H","UseDPDF=Y")</f>
        <v>8.8916000000000004</v>
      </c>
      <c r="F23" s="14">
        <f>_xll.BDH("ITCI US Equity","TOT_DEBT_TO_TOT_EQY","FQ3 2019","FQ3 2019","Currency=USD","Period=FQ","BEST_FPERIOD_OVERRIDE=FQ","FILING_STATUS=MR","Sort=A","Dates=H","DateFormat=P","Fill=—","Direction=H","UseDPDF=Y")</f>
        <v>9.9420000000000002</v>
      </c>
      <c r="G23" s="14">
        <f>_xll.BDH("ITCI US Equity","TOT_DEBT_TO_TOT_EQY","FQ4 2019","FQ4 2019","Currency=USD","Period=FQ","BEST_FPERIOD_OVERRIDE=FQ","FILING_STATUS=MR","Sort=A","Dates=H","DateFormat=P","Fill=—","Direction=H","UseDPDF=Y")</f>
        <v>11.867599999999999</v>
      </c>
      <c r="H23" s="14">
        <f>_xll.BDH("ITCI US Equity","TOT_DEBT_TO_TOT_EQY","FQ1 2020","FQ1 2020","Currency=USD","Period=FQ","BEST_FPERIOD_OVERRIDE=FQ","FILING_STATUS=MR","Sort=A","Dates=H","DateFormat=P","Fill=—","Direction=H","UseDPDF=Y")</f>
        <v>5.3268000000000004</v>
      </c>
      <c r="I23" s="14">
        <f>_xll.BDH("ITCI US Equity","TOT_DEBT_TO_TOT_EQY","FQ2 2020","FQ2 2020","Currency=USD","Period=FQ","BEST_FPERIOD_OVERRIDE=FQ","FILING_STATUS=MR","Sort=A","Dates=H","DateFormat=P","Fill=—","Direction=H","UseDPDF=Y")</f>
        <v>6.6219000000000001</v>
      </c>
      <c r="J23" s="14">
        <f>_xll.BDH("ITCI US Equity","TOT_DEBT_TO_TOT_EQY","FQ3 2020","FQ3 2020","Currency=USD","Period=FQ","BEST_FPERIOD_OVERRIDE=FQ","FILING_STATUS=MR","Sort=A","Dates=H","DateFormat=P","Fill=—","Direction=H","UseDPDF=Y")</f>
        <v>4.1073000000000004</v>
      </c>
      <c r="K23" s="14">
        <f>_xll.BDH("ITCI US Equity","TOT_DEBT_TO_TOT_EQY","FQ4 2020","FQ4 2020","Currency=USD","Period=FQ","BEST_FPERIOD_OVERRIDE=FQ","FILING_STATUS=MR","Sort=A","Dates=H","DateFormat=P","Fill=—","Direction=H","UseDPDF=Y")</f>
        <v>4.4366000000000003</v>
      </c>
      <c r="L23" s="14">
        <f>_xll.BDH("ITCI US Equity","TOT_DEBT_TO_TOT_EQY","FQ1 2021","FQ1 2021","Currency=USD","Period=FQ","BEST_FPERIOD_OVERRIDE=FQ","FILING_STATUS=MR","Sort=A","Dates=H","DateFormat=P","Fill=—","Direction=H","UseDPDF=Y")</f>
        <v>4.6083999999999996</v>
      </c>
      <c r="M23" s="14">
        <f>_xll.BDH("ITCI US Equity","TOT_DEBT_TO_TOT_EQY","FQ2 2021","FQ2 2021","Currency=USD","Period=FQ","BEST_FPERIOD_OVERRIDE=FQ","FILING_STATUS=MR","Sort=A","Dates=H","DateFormat=P","Fill=—","Direction=H","UseDPDF=Y")</f>
        <v>4.9286000000000003</v>
      </c>
      <c r="N23" s="14">
        <f>_xll.BDH("ITCI US Equity","TOT_DEBT_TO_TOT_EQY","FQ3 2021","FQ3 2021","Currency=USD","Period=FQ","BEST_FPERIOD_OVERRIDE=FQ","FILING_STATUS=MR","Sort=A","Dates=H","DateFormat=P","Fill=—","Direction=H","UseDPDF=Y")</f>
        <v>5.4249000000000001</v>
      </c>
      <c r="O23" s="14">
        <f>_xll.BDH("ITCI US Equity","TOT_DEBT_TO_TOT_EQY","FQ4 2021","FQ4 2021","Currency=USD","Period=FQ","BEST_FPERIOD_OVERRIDE=FQ","FILING_STATUS=MR","Sort=A","Dates=H","DateFormat=P","Fill=—","Direction=H","UseDPDF=Y")</f>
        <v>6.0797999999999996</v>
      </c>
      <c r="P23" s="14">
        <f>_xll.BDH("ITCI US Equity","TOT_DEBT_TO_TOT_EQY","FQ1 2022","FQ1 2022","Currency=USD","Period=FQ","BEST_FPERIOD_OVERRIDE=FQ","FILING_STATUS=MR","Sort=A","Dates=H","DateFormat=P","Fill=—","Direction=H","UseDPDF=Y")</f>
        <v>3.0769000000000002</v>
      </c>
      <c r="Q23" s="14">
        <f>_xll.BDH("ITCI US Equity","TOT_DEBT_TO_TOT_EQY","FQ2 2022","FQ2 2022","Currency=USD","Period=FQ","BEST_FPERIOD_OVERRIDE=FQ","FILING_STATUS=MR","Sort=A","Dates=H","DateFormat=P","Fill=—","Direction=H","UseDPDF=Y")</f>
        <v>3.7134</v>
      </c>
      <c r="R23" s="14">
        <f>_xll.BDH("ITCI US Equity","TOT_DEBT_TO_TOT_EQY","FQ3 2022","FQ3 2022","Currency=USD","Period=FQ","BEST_FPERIOD_OVERRIDE=FQ","FILING_STATUS=MR","Sort=A","Dates=H","DateFormat=P","Fill=—","Direction=H","UseDPDF=Y")</f>
        <v>3.8534000000000002</v>
      </c>
      <c r="S23" s="14">
        <f>_xll.BDH("ITCI US Equity","TOT_DEBT_TO_TOT_EQY","FQ4 2022","FQ4 2022","Currency=USD","Period=FQ","BEST_FPERIOD_OVERRIDE=FQ","FILING_STATUS=MR","Sort=A","Dates=H","DateFormat=P","Fill=—","Direction=H","UseDPDF=Y")</f>
        <v>3.0547</v>
      </c>
      <c r="T23" s="14">
        <f>_xll.BDH("ITCI US Equity","TOT_DEBT_TO_TOT_EQY","FQ1 2023","FQ1 2023","Currency=USD","Period=FQ","BEST_FPERIOD_OVERRIDE=FQ","FILING_STATUS=MR","Sort=A","Dates=H","DateFormat=P","Fill=—","Direction=H","UseDPDF=Y")</f>
        <v>2.9464000000000001</v>
      </c>
      <c r="U23" s="14">
        <f>_xll.BDH("ITCI US Equity","TOT_DEBT_TO_TOT_EQY","FQ2 2023","FQ2 2023","Currency=USD","Period=FQ","BEST_FPERIOD_OVERRIDE=FQ","FILING_STATUS=MR","Sort=A","Dates=H","DateFormat=P","Fill=—","Direction=H","UseDPDF=Y")</f>
        <v>2.9632999999999998</v>
      </c>
      <c r="V23" s="14">
        <f>_xll.BDH("ITCI US Equity","TOT_DEBT_TO_TOT_EQY","FQ3 2023","FQ3 2023","Currency=USD","Period=FQ","BEST_FPERIOD_OVERRIDE=FQ","FILING_STATUS=MR","Sort=A","Dates=H","DateFormat=P","Fill=—","Direction=H","UseDPDF=Y")</f>
        <v>2.9091999999999998</v>
      </c>
      <c r="W23" s="14">
        <f>_xll.BDH("ITCI US Equity","TOT_DEBT_TO_TOT_EQY","FQ4 2023","FQ4 2023","Currency=USD","Period=FQ","BEST_FPERIOD_OVERRIDE=FQ","FILING_STATUS=MR","Sort=A","Dates=H","DateFormat=P","Fill=—","Direction=H","UseDPDF=Y")</f>
        <v>2.8639000000000001</v>
      </c>
      <c r="X23" s="14">
        <f>_xll.BDH("ITCI US Equity","TOT_DEBT_TO_TOT_EQY","FQ1 2024","FQ1 2024","Currency=USD","Period=FQ","BEST_FPERIOD_OVERRIDE=FQ","FILING_STATUS=MR","Sort=A","Dates=H","DateFormat=P","Fill=—","Direction=H","UseDPDF=Y")</f>
        <v>2.7315999999999998</v>
      </c>
      <c r="Y23" s="14">
        <f>_xll.BDH("ITCI US Equity","TOT_DEBT_TO_TOT_EQY","FQ2 2024","FQ2 2024","Currency=USD","Period=FQ","BEST_FPERIOD_OVERRIDE=FQ","FILING_STATUS=MR","Sort=A","Dates=H","DateFormat=P","Fill=—","Direction=H","UseDPDF=Y")</f>
        <v>1.5976999999999999</v>
      </c>
      <c r="Z23" s="14">
        <f>_xll.BDH("ITCI US Equity","TOT_DEBT_TO_TOT_EQY","FQ3 2024","FQ3 2024","Currency=USD","Period=FQ","BEST_FPERIOD_OVERRIDE=FQ","FILING_STATUS=MR","Sort=A","Dates=H","DateFormat=P","Fill=—","Direction=H","UseDPDF=Y")</f>
        <v>1.5468999999999999</v>
      </c>
      <c r="AA23" s="14">
        <f>_xll.BDH("ITCI US Equity","TOT_DEBT_TO_TOT_EQY","FQ4 2024","FQ4 2024","Currency=USD","Period=FQ","BEST_FPERIOD_OVERRIDE=FQ","FILING_STATUS=MR","Sort=A","Dates=H","DateFormat=P","Fill=—","Direction=H","UseDPDF=Y")</f>
        <v>1.4785999999999999</v>
      </c>
    </row>
    <row r="24" spans="1:27" x14ac:dyDescent="0.25">
      <c r="A24" s="10" t="s">
        <v>1189</v>
      </c>
      <c r="B24" s="10" t="s">
        <v>174</v>
      </c>
      <c r="C24" s="14">
        <f>_xll.BDH("ITCI US Equity","TOT_DEBT_TO_TOT_CAP","FQ4 2018","FQ4 2018","Currency=USD","Period=FQ","BEST_FPERIOD_OVERRIDE=FQ","FILING_STATUS=MR","Sort=A","Dates=H","DateFormat=P","Fill=—","Direction=H","UseDPDF=Y")</f>
        <v>0</v>
      </c>
      <c r="D24" s="14">
        <f>_xll.BDH("ITCI US Equity","TOT_DEBT_TO_TOT_CAP","FQ1 2019","FQ1 2019","Currency=USD","Period=FQ","BEST_FPERIOD_OVERRIDE=FQ","FILING_STATUS=MR","Sort=A","Dates=H","DateFormat=P","Fill=—","Direction=H","UseDPDF=Y")</f>
        <v>7.5979999999999999</v>
      </c>
      <c r="E24" s="14">
        <f>_xll.BDH("ITCI US Equity","TOT_DEBT_TO_TOT_CAP","FQ2 2019","FQ2 2019","Currency=USD","Period=FQ","BEST_FPERIOD_OVERRIDE=FQ","FILING_STATUS=MR","Sort=A","Dates=H","DateFormat=P","Fill=—","Direction=H","UseDPDF=Y")</f>
        <v>8.1654999999999998</v>
      </c>
      <c r="F24" s="14">
        <f>_xll.BDH("ITCI US Equity","TOT_DEBT_TO_TOT_CAP","FQ3 2019","FQ3 2019","Currency=USD","Period=FQ","BEST_FPERIOD_OVERRIDE=FQ","FILING_STATUS=MR","Sort=A","Dates=H","DateFormat=P","Fill=—","Direction=H","UseDPDF=Y")</f>
        <v>9.0429999999999993</v>
      </c>
      <c r="G24" s="14">
        <f>_xll.BDH("ITCI US Equity","TOT_DEBT_TO_TOT_CAP","FQ4 2019","FQ4 2019","Currency=USD","Period=FQ","BEST_FPERIOD_OVERRIDE=FQ","FILING_STATUS=MR","Sort=A","Dates=H","DateFormat=P","Fill=—","Direction=H","UseDPDF=Y")</f>
        <v>10.608599999999999</v>
      </c>
      <c r="H24" s="14">
        <f>_xll.BDH("ITCI US Equity","TOT_DEBT_TO_TOT_CAP","FQ1 2020","FQ1 2020","Currency=USD","Period=FQ","BEST_FPERIOD_OVERRIDE=FQ","FILING_STATUS=MR","Sort=A","Dates=H","DateFormat=P","Fill=—","Direction=H","UseDPDF=Y")</f>
        <v>5.0574000000000003</v>
      </c>
      <c r="I24" s="14">
        <f>_xll.BDH("ITCI US Equity","TOT_DEBT_TO_TOT_CAP","FQ2 2020","FQ2 2020","Currency=USD","Period=FQ","BEST_FPERIOD_OVERRIDE=FQ","FILING_STATUS=MR","Sort=A","Dates=H","DateFormat=P","Fill=—","Direction=H","UseDPDF=Y")</f>
        <v>6.2107000000000001</v>
      </c>
      <c r="J24" s="14">
        <f>_xll.BDH("ITCI US Equity","TOT_DEBT_TO_TOT_CAP","FQ3 2020","FQ3 2020","Currency=USD","Period=FQ","BEST_FPERIOD_OVERRIDE=FQ","FILING_STATUS=MR","Sort=A","Dates=H","DateFormat=P","Fill=—","Direction=H","UseDPDF=Y")</f>
        <v>3.9451999999999998</v>
      </c>
      <c r="K24" s="14">
        <f>_xll.BDH("ITCI US Equity","TOT_DEBT_TO_TOT_CAP","FQ4 2020","FQ4 2020","Currency=USD","Period=FQ","BEST_FPERIOD_OVERRIDE=FQ","FILING_STATUS=MR","Sort=A","Dates=H","DateFormat=P","Fill=—","Direction=H","UseDPDF=Y")</f>
        <v>4.2481</v>
      </c>
      <c r="L24" s="14">
        <f>_xll.BDH("ITCI US Equity","TOT_DEBT_TO_TOT_CAP","FQ1 2021","FQ1 2021","Currency=USD","Period=FQ","BEST_FPERIOD_OVERRIDE=FQ","FILING_STATUS=MR","Sort=A","Dates=H","DateFormat=P","Fill=—","Direction=H","UseDPDF=Y")</f>
        <v>4.4054000000000002</v>
      </c>
      <c r="M24" s="14">
        <f>_xll.BDH("ITCI US Equity","TOT_DEBT_TO_TOT_CAP","FQ2 2021","FQ2 2021","Currency=USD","Period=FQ","BEST_FPERIOD_OVERRIDE=FQ","FILING_STATUS=MR","Sort=A","Dates=H","DateFormat=P","Fill=—","Direction=H","UseDPDF=Y")</f>
        <v>4.6970999999999998</v>
      </c>
      <c r="N24" s="14">
        <f>_xll.BDH("ITCI US Equity","TOT_DEBT_TO_TOT_CAP","FQ3 2021","FQ3 2021","Currency=USD","Period=FQ","BEST_FPERIOD_OVERRIDE=FQ","FILING_STATUS=MR","Sort=A","Dates=H","DateFormat=P","Fill=—","Direction=H","UseDPDF=Y")</f>
        <v>5.1456999999999997</v>
      </c>
      <c r="O24" s="14">
        <f>_xll.BDH("ITCI US Equity","TOT_DEBT_TO_TOT_CAP","FQ4 2021","FQ4 2021","Currency=USD","Period=FQ","BEST_FPERIOD_OVERRIDE=FQ","FILING_STATUS=MR","Sort=A","Dates=H","DateFormat=P","Fill=—","Direction=H","UseDPDF=Y")</f>
        <v>5.7313000000000001</v>
      </c>
      <c r="P24" s="14">
        <f>_xll.BDH("ITCI US Equity","TOT_DEBT_TO_TOT_CAP","FQ1 2022","FQ1 2022","Currency=USD","Period=FQ","BEST_FPERIOD_OVERRIDE=FQ","FILING_STATUS=MR","Sort=A","Dates=H","DateFormat=P","Fill=—","Direction=H","UseDPDF=Y")</f>
        <v>2.9849999999999999</v>
      </c>
      <c r="Q24" s="14">
        <f>_xll.BDH("ITCI US Equity","TOT_DEBT_TO_TOT_CAP","FQ2 2022","FQ2 2022","Currency=USD","Period=FQ","BEST_FPERIOD_OVERRIDE=FQ","FILING_STATUS=MR","Sort=A","Dates=H","DateFormat=P","Fill=—","Direction=H","UseDPDF=Y")</f>
        <v>3.5804</v>
      </c>
      <c r="R24" s="14">
        <f>_xll.BDH("ITCI US Equity","TOT_DEBT_TO_TOT_CAP","FQ3 2022","FQ3 2022","Currency=USD","Period=FQ","BEST_FPERIOD_OVERRIDE=FQ","FILING_STATUS=MR","Sort=A","Dates=H","DateFormat=P","Fill=—","Direction=H","UseDPDF=Y")</f>
        <v>3.7103999999999999</v>
      </c>
      <c r="S24" s="14">
        <f>_xll.BDH("ITCI US Equity","TOT_DEBT_TO_TOT_CAP","FQ4 2022","FQ4 2022","Currency=USD","Period=FQ","BEST_FPERIOD_OVERRIDE=FQ","FILING_STATUS=MR","Sort=A","Dates=H","DateFormat=P","Fill=—","Direction=H","UseDPDF=Y")</f>
        <v>2.9641999999999999</v>
      </c>
      <c r="T24" s="14">
        <f>_xll.BDH("ITCI US Equity","TOT_DEBT_TO_TOT_CAP","FQ1 2023","FQ1 2023","Currency=USD","Period=FQ","BEST_FPERIOD_OVERRIDE=FQ","FILING_STATUS=MR","Sort=A","Dates=H","DateFormat=P","Fill=—","Direction=H","UseDPDF=Y")</f>
        <v>2.8620999999999999</v>
      </c>
      <c r="U24" s="14">
        <f>_xll.BDH("ITCI US Equity","TOT_DEBT_TO_TOT_CAP","FQ2 2023","FQ2 2023","Currency=USD","Period=FQ","BEST_FPERIOD_OVERRIDE=FQ","FILING_STATUS=MR","Sort=A","Dates=H","DateFormat=P","Fill=—","Direction=H","UseDPDF=Y")</f>
        <v>2.8780000000000001</v>
      </c>
      <c r="V24" s="14">
        <f>_xll.BDH("ITCI US Equity","TOT_DEBT_TO_TOT_CAP","FQ3 2023","FQ3 2023","Currency=USD","Period=FQ","BEST_FPERIOD_OVERRIDE=FQ","FILING_STATUS=MR","Sort=A","Dates=H","DateFormat=P","Fill=—","Direction=H","UseDPDF=Y")</f>
        <v>2.827</v>
      </c>
      <c r="W24" s="14">
        <f>_xll.BDH("ITCI US Equity","TOT_DEBT_TO_TOT_CAP","FQ4 2023","FQ4 2023","Currency=USD","Period=FQ","BEST_FPERIOD_OVERRIDE=FQ","FILING_STATUS=MR","Sort=A","Dates=H","DateFormat=P","Fill=—","Direction=H","UseDPDF=Y")</f>
        <v>2.7841999999999998</v>
      </c>
      <c r="X24" s="14">
        <f>_xll.BDH("ITCI US Equity","TOT_DEBT_TO_TOT_CAP","FQ1 2024","FQ1 2024","Currency=USD","Period=FQ","BEST_FPERIOD_OVERRIDE=FQ","FILING_STATUS=MR","Sort=A","Dates=H","DateFormat=P","Fill=—","Direction=H","UseDPDF=Y")</f>
        <v>2.6589999999999998</v>
      </c>
      <c r="Y24" s="14">
        <f>_xll.BDH("ITCI US Equity","TOT_DEBT_TO_TOT_CAP","FQ2 2024","FQ2 2024","Currency=USD","Period=FQ","BEST_FPERIOD_OVERRIDE=FQ","FILING_STATUS=MR","Sort=A","Dates=H","DateFormat=P","Fill=—","Direction=H","UseDPDF=Y")</f>
        <v>1.5726</v>
      </c>
      <c r="Z24" s="14">
        <f>_xll.BDH("ITCI US Equity","TOT_DEBT_TO_TOT_CAP","FQ3 2024","FQ3 2024","Currency=USD","Period=FQ","BEST_FPERIOD_OVERRIDE=FQ","FILING_STATUS=MR","Sort=A","Dates=H","DateFormat=P","Fill=—","Direction=H","UseDPDF=Y")</f>
        <v>1.5233000000000001</v>
      </c>
      <c r="AA24" s="14">
        <f>_xll.BDH("ITCI US Equity","TOT_DEBT_TO_TOT_CAP","FQ4 2024","FQ4 2024","Currency=USD","Period=FQ","BEST_FPERIOD_OVERRIDE=FQ","FILING_STATUS=MR","Sort=A","Dates=H","DateFormat=P","Fill=—","Direction=H","UseDPDF=Y")</f>
        <v>1.4570000000000001</v>
      </c>
    </row>
    <row r="25" spans="1:27" x14ac:dyDescent="0.25">
      <c r="A25" s="10" t="s">
        <v>1190</v>
      </c>
      <c r="B25" s="10" t="s">
        <v>1191</v>
      </c>
      <c r="C25" s="14">
        <f>_xll.BDH("ITCI US Equity","TOT_DEBT_TO_TOT_ASSET","FQ4 2018","FQ4 2018","Currency=USD","Period=FQ","BEST_FPERIOD_OVERRIDE=FQ","FILING_STATUS=MR","Sort=A","Dates=H","DateFormat=P","Fill=—","Direction=H","UseDPDF=Y")</f>
        <v>0</v>
      </c>
      <c r="D25" s="14">
        <f>_xll.BDH("ITCI US Equity","TOT_DEBT_TO_TOT_ASSET","FQ1 2019","FQ1 2019","Currency=USD","Period=FQ","BEST_FPERIOD_OVERRIDE=FQ","FILING_STATUS=MR","Sort=A","Dates=H","DateFormat=P","Fill=—","Direction=H","UseDPDF=Y")</f>
        <v>6.9195000000000002</v>
      </c>
      <c r="E25" s="14">
        <f>_xll.BDH("ITCI US Equity","TOT_DEBT_TO_TOT_ASSET","FQ2 2019","FQ2 2019","Currency=USD","Period=FQ","BEST_FPERIOD_OVERRIDE=FQ","FILING_STATUS=MR","Sort=A","Dates=H","DateFormat=P","Fill=—","Direction=H","UseDPDF=Y")</f>
        <v>7.3680000000000003</v>
      </c>
      <c r="F25" s="14">
        <f>_xll.BDH("ITCI US Equity","TOT_DEBT_TO_TOT_ASSET","FQ3 2019","FQ3 2019","Currency=USD","Period=FQ","BEST_FPERIOD_OVERRIDE=FQ","FILING_STATUS=MR","Sort=A","Dates=H","DateFormat=P","Fill=—","Direction=H","UseDPDF=Y")</f>
        <v>8.0409000000000006</v>
      </c>
      <c r="G25" s="14">
        <f>_xll.BDH("ITCI US Equity","TOT_DEBT_TO_TOT_ASSET","FQ4 2019","FQ4 2019","Currency=USD","Period=FQ","BEST_FPERIOD_OVERRIDE=FQ","FILING_STATUS=MR","Sort=A","Dates=H","DateFormat=P","Fill=—","Direction=H","UseDPDF=Y")</f>
        <v>9.2133000000000003</v>
      </c>
      <c r="H25" s="14">
        <f>_xll.BDH("ITCI US Equity","TOT_DEBT_TO_TOT_ASSET","FQ1 2020","FQ1 2020","Currency=USD","Period=FQ","BEST_FPERIOD_OVERRIDE=FQ","FILING_STATUS=MR","Sort=A","Dates=H","DateFormat=P","Fill=—","Direction=H","UseDPDF=Y")</f>
        <v>4.7645999999999997</v>
      </c>
      <c r="I25" s="14">
        <f>_xll.BDH("ITCI US Equity","TOT_DEBT_TO_TOT_ASSET","FQ2 2020","FQ2 2020","Currency=USD","Period=FQ","BEST_FPERIOD_OVERRIDE=FQ","FILING_STATUS=MR","Sort=A","Dates=H","DateFormat=P","Fill=—","Direction=H","UseDPDF=Y")</f>
        <v>5.6997999999999998</v>
      </c>
      <c r="J25" s="14">
        <f>_xll.BDH("ITCI US Equity","TOT_DEBT_TO_TOT_ASSET","FQ3 2020","FQ3 2020","Currency=USD","Period=FQ","BEST_FPERIOD_OVERRIDE=FQ","FILING_STATUS=MR","Sort=A","Dates=H","DateFormat=P","Fill=—","Direction=H","UseDPDF=Y")</f>
        <v>3.7776999999999998</v>
      </c>
      <c r="K25" s="14">
        <f>_xll.BDH("ITCI US Equity","TOT_DEBT_TO_TOT_ASSET","FQ4 2020","FQ4 2020","Currency=USD","Period=FQ","BEST_FPERIOD_OVERRIDE=FQ","FILING_STATUS=MR","Sort=A","Dates=H","DateFormat=P","Fill=—","Direction=H","UseDPDF=Y")</f>
        <v>4.0627000000000004</v>
      </c>
      <c r="L25" s="14">
        <f>_xll.BDH("ITCI US Equity","TOT_DEBT_TO_TOT_ASSET","FQ1 2021","FQ1 2021","Currency=USD","Period=FQ","BEST_FPERIOD_OVERRIDE=FQ","FILING_STATUS=MR","Sort=A","Dates=H","DateFormat=P","Fill=—","Direction=H","UseDPDF=Y")</f>
        <v>4.1825000000000001</v>
      </c>
      <c r="M25" s="14">
        <f>_xll.BDH("ITCI US Equity","TOT_DEBT_TO_TOT_ASSET","FQ2 2021","FQ2 2021","Currency=USD","Period=FQ","BEST_FPERIOD_OVERRIDE=FQ","FILING_STATUS=MR","Sort=A","Dates=H","DateFormat=P","Fill=—","Direction=H","UseDPDF=Y")</f>
        <v>4.3605999999999998</v>
      </c>
      <c r="N25" s="14">
        <f>_xll.BDH("ITCI US Equity","TOT_DEBT_TO_TOT_ASSET","FQ3 2021","FQ3 2021","Currency=USD","Period=FQ","BEST_FPERIOD_OVERRIDE=FQ","FILING_STATUS=MR","Sort=A","Dates=H","DateFormat=P","Fill=—","Direction=H","UseDPDF=Y")</f>
        <v>4.7409999999999997</v>
      </c>
      <c r="O25" s="14">
        <f>_xll.BDH("ITCI US Equity","TOT_DEBT_TO_TOT_ASSET","FQ4 2021","FQ4 2021","Currency=USD","Period=FQ","BEST_FPERIOD_OVERRIDE=FQ","FILING_STATUS=MR","Sort=A","Dates=H","DateFormat=P","Fill=—","Direction=H","UseDPDF=Y")</f>
        <v>5.1859000000000002</v>
      </c>
      <c r="P25" s="14">
        <f>_xll.BDH("ITCI US Equity","TOT_DEBT_TO_TOT_ASSET","FQ1 2022","FQ1 2022","Currency=USD","Period=FQ","BEST_FPERIOD_OVERRIDE=FQ","FILING_STATUS=MR","Sort=A","Dates=H","DateFormat=P","Fill=—","Direction=H","UseDPDF=Y")</f>
        <v>2.8083</v>
      </c>
      <c r="Q25" s="14">
        <f>_xll.BDH("ITCI US Equity","TOT_DEBT_TO_TOT_ASSET","FQ2 2022","FQ2 2022","Currency=USD","Period=FQ","BEST_FPERIOD_OVERRIDE=FQ","FILING_STATUS=MR","Sort=A","Dates=H","DateFormat=P","Fill=—","Direction=H","UseDPDF=Y")</f>
        <v>3.3031000000000001</v>
      </c>
      <c r="R25" s="14">
        <f>_xll.BDH("ITCI US Equity","TOT_DEBT_TO_TOT_ASSET","FQ3 2022","FQ3 2022","Currency=USD","Period=FQ","BEST_FPERIOD_OVERRIDE=FQ","FILING_STATUS=MR","Sort=A","Dates=H","DateFormat=P","Fill=—","Direction=H","UseDPDF=Y")</f>
        <v>3.3774999999999999</v>
      </c>
      <c r="S25" s="14">
        <f>_xll.BDH("ITCI US Equity","TOT_DEBT_TO_TOT_ASSET","FQ4 2022","FQ4 2022","Currency=USD","Period=FQ","BEST_FPERIOD_OVERRIDE=FQ","FILING_STATUS=MR","Sort=A","Dates=H","DateFormat=P","Fill=—","Direction=H","UseDPDF=Y")</f>
        <v>2.6551999999999998</v>
      </c>
      <c r="T25" s="14">
        <f>_xll.BDH("ITCI US Equity","TOT_DEBT_TO_TOT_ASSET","FQ1 2023","FQ1 2023","Currency=USD","Period=FQ","BEST_FPERIOD_OVERRIDE=FQ","FILING_STATUS=MR","Sort=A","Dates=H","DateFormat=P","Fill=—","Direction=H","UseDPDF=Y")</f>
        <v>2.5607000000000002</v>
      </c>
      <c r="U25" s="14">
        <f>_xll.BDH("ITCI US Equity","TOT_DEBT_TO_TOT_ASSET","FQ2 2023","FQ2 2023","Currency=USD","Period=FQ","BEST_FPERIOD_OVERRIDE=FQ","FILING_STATUS=MR","Sort=A","Dates=H","DateFormat=P","Fill=—","Direction=H","UseDPDF=Y")</f>
        <v>2.5209999999999999</v>
      </c>
      <c r="V25" s="14">
        <f>_xll.BDH("ITCI US Equity","TOT_DEBT_TO_TOT_ASSET","FQ3 2023","FQ3 2023","Currency=USD","Period=FQ","BEST_FPERIOD_OVERRIDE=FQ","FILING_STATUS=MR","Sort=A","Dates=H","DateFormat=P","Fill=—","Direction=H","UseDPDF=Y")</f>
        <v>2.4350000000000001</v>
      </c>
      <c r="W25" s="14">
        <f>_xll.BDH("ITCI US Equity","TOT_DEBT_TO_TOT_ASSET","FQ4 2023","FQ4 2023","Currency=USD","Period=FQ","BEST_FPERIOD_OVERRIDE=FQ","FILING_STATUS=MR","Sort=A","Dates=H","DateFormat=P","Fill=—","Direction=H","UseDPDF=Y")</f>
        <v>2.3256999999999999</v>
      </c>
      <c r="X25" s="14">
        <f>_xll.BDH("ITCI US Equity","TOT_DEBT_TO_TOT_ASSET","FQ1 2024","FQ1 2024","Currency=USD","Period=FQ","BEST_FPERIOD_OVERRIDE=FQ","FILING_STATUS=MR","Sort=A","Dates=H","DateFormat=P","Fill=—","Direction=H","UseDPDF=Y")</f>
        <v>2.1920999999999999</v>
      </c>
      <c r="Y25" s="14">
        <f>_xll.BDH("ITCI US Equity","TOT_DEBT_TO_TOT_ASSET","FQ2 2024","FQ2 2024","Currency=USD","Period=FQ","BEST_FPERIOD_OVERRIDE=FQ","FILING_STATUS=MR","Sort=A","Dates=H","DateFormat=P","Fill=—","Direction=H","UseDPDF=Y")</f>
        <v>1.3849</v>
      </c>
      <c r="Z25" s="14">
        <f>_xll.BDH("ITCI US Equity","TOT_DEBT_TO_TOT_ASSET","FQ3 2024","FQ3 2024","Currency=USD","Period=FQ","BEST_FPERIOD_OVERRIDE=FQ","FILING_STATUS=MR","Sort=A","Dates=H","DateFormat=P","Fill=—","Direction=H","UseDPDF=Y")</f>
        <v>1.3371</v>
      </c>
      <c r="AA25" s="14">
        <f>_xll.BDH("ITCI US Equity","TOT_DEBT_TO_TOT_ASSET","FQ4 2024","FQ4 2024","Currency=USD","Period=FQ","BEST_FPERIOD_OVERRIDE=FQ","FILING_STATUS=MR","Sort=A","Dates=H","DateFormat=P","Fill=—","Direction=H","UseDPDF=Y")</f>
        <v>1.2423</v>
      </c>
    </row>
    <row r="26" spans="1:27" x14ac:dyDescent="0.25">
      <c r="A26" s="10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5">
      <c r="A27" s="10" t="s">
        <v>1192</v>
      </c>
      <c r="B27" s="10" t="s">
        <v>677</v>
      </c>
      <c r="C27" s="14">
        <f>_xll.BDH("ITCI US Equity","NET_DEBT_TO_SHRHLDR_EQTY","FQ4 2018","FQ4 2018","Currency=USD","Period=FQ","BEST_FPERIOD_OVERRIDE=FQ","FILING_STATUS=MR","Sort=A","Dates=H","DateFormat=P","Fill=—","Direction=H","UseDPDF=Y")</f>
        <v>-109.3844</v>
      </c>
      <c r="D27" s="14">
        <f>_xll.BDH("ITCI US Equity","NET_DEBT_TO_SHRHLDR_EQTY","FQ1 2019","FQ1 2019","Currency=USD","Period=FQ","BEST_FPERIOD_OVERRIDE=FQ","FILING_STATUS=MR","Sort=A","Dates=H","DateFormat=P","Fill=—","Direction=H","UseDPDF=Y")</f>
        <v>-100.1649</v>
      </c>
      <c r="E27" s="14">
        <f>_xll.BDH("ITCI US Equity","NET_DEBT_TO_SHRHLDR_EQTY","FQ2 2019","FQ2 2019","Currency=USD","Period=FQ","BEST_FPERIOD_OVERRIDE=FQ","FILING_STATUS=MR","Sort=A","Dates=H","DateFormat=P","Fill=—","Direction=H","UseDPDF=Y")</f>
        <v>-102.22029999999999</v>
      </c>
      <c r="F27" s="14">
        <f>_xll.BDH("ITCI US Equity","NET_DEBT_TO_SHRHLDR_EQTY","FQ3 2019","FQ3 2019","Currency=USD","Period=FQ","BEST_FPERIOD_OVERRIDE=FQ","FILING_STATUS=MR","Sort=A","Dates=H","DateFormat=P","Fill=—","Direction=H","UseDPDF=Y")</f>
        <v>-102.6431</v>
      </c>
      <c r="G27" s="14">
        <f>_xll.BDH("ITCI US Equity","NET_DEBT_TO_SHRHLDR_EQTY","FQ4 2019","FQ4 2019","Currency=USD","Period=FQ","BEST_FPERIOD_OVERRIDE=FQ","FILING_STATUS=MR","Sort=A","Dates=H","DateFormat=P","Fill=—","Direction=H","UseDPDF=Y")</f>
        <v>-103.0052</v>
      </c>
      <c r="H27" s="14">
        <f>_xll.BDH("ITCI US Equity","NET_DEBT_TO_SHRHLDR_EQTY","FQ1 2020","FQ1 2020","Currency=USD","Period=FQ","BEST_FPERIOD_OVERRIDE=FQ","FILING_STATUS=MR","Sort=A","Dates=H","DateFormat=P","Fill=—","Direction=H","UseDPDF=Y")</f>
        <v>-98.972300000000004</v>
      </c>
      <c r="I27" s="14">
        <f>_xll.BDH("ITCI US Equity","NET_DEBT_TO_SHRHLDR_EQTY","FQ2 2020","FQ2 2020","Currency=USD","Period=FQ","BEST_FPERIOD_OVERRIDE=FQ","FILING_STATUS=MR","Sort=A","Dates=H","DateFormat=P","Fill=—","Direction=H","UseDPDF=Y")</f>
        <v>-100.816</v>
      </c>
      <c r="J27" s="14">
        <f>_xll.BDH("ITCI US Equity","NET_DEBT_TO_SHRHLDR_EQTY","FQ3 2020","FQ3 2020","Currency=USD","Period=FQ","BEST_FPERIOD_OVERRIDE=FQ","FILING_STATUS=MR","Sort=A","Dates=H","DateFormat=P","Fill=—","Direction=H","UseDPDF=Y")</f>
        <v>-97.662099999999995</v>
      </c>
      <c r="K27" s="14">
        <f>_xll.BDH("ITCI US Equity","NET_DEBT_TO_SHRHLDR_EQTY","FQ4 2020","FQ4 2020","Currency=USD","Period=FQ","BEST_FPERIOD_OVERRIDE=FQ","FILING_STATUS=MR","Sort=A","Dates=H","DateFormat=P","Fill=—","Direction=H","UseDPDF=Y")</f>
        <v>-95.652900000000002</v>
      </c>
      <c r="L27" s="14">
        <f>_xll.BDH("ITCI US Equity","NET_DEBT_TO_SHRHLDR_EQTY","FQ1 2021","FQ1 2021","Currency=USD","Period=FQ","BEST_FPERIOD_OVERRIDE=FQ","FILING_STATUS=MR","Sort=A","Dates=H","DateFormat=P","Fill=—","Direction=H","UseDPDF=Y")</f>
        <v>-95.361400000000003</v>
      </c>
      <c r="M27" s="14">
        <f>_xll.BDH("ITCI US Equity","NET_DEBT_TO_SHRHLDR_EQTY","FQ2 2021","FQ2 2021","Currency=USD","Period=FQ","BEST_FPERIOD_OVERRIDE=FQ","FILING_STATUS=MR","Sort=A","Dates=H","DateFormat=P","Fill=—","Direction=H","UseDPDF=Y")</f>
        <v>-95.283000000000001</v>
      </c>
      <c r="N27" s="14">
        <f>_xll.BDH("ITCI US Equity","NET_DEBT_TO_SHRHLDR_EQTY","FQ3 2021","FQ3 2021","Currency=USD","Period=FQ","BEST_FPERIOD_OVERRIDE=FQ","FILING_STATUS=MR","Sort=A","Dates=H","DateFormat=P","Fill=—","Direction=H","UseDPDF=Y")</f>
        <v>-92.629099999999994</v>
      </c>
      <c r="O27" s="14">
        <f>_xll.BDH("ITCI US Equity","NET_DEBT_TO_SHRHLDR_EQTY","FQ4 2021","FQ4 2021","Currency=USD","Period=FQ","BEST_FPERIOD_OVERRIDE=FQ","FILING_STATUS=MR","Sort=A","Dates=H","DateFormat=P","Fill=—","Direction=H","UseDPDF=Y")</f>
        <v>-92.590400000000002</v>
      </c>
      <c r="P27" s="14">
        <f>_xll.BDH("ITCI US Equity","NET_DEBT_TO_SHRHLDR_EQTY","FQ1 2022","FQ1 2022","Currency=USD","Period=FQ","BEST_FPERIOD_OVERRIDE=FQ","FILING_STATUS=MR","Sort=A","Dates=H","DateFormat=P","Fill=—","Direction=H","UseDPDF=Y")</f>
        <v>-94.286500000000004</v>
      </c>
      <c r="Q27" s="14">
        <f>_xll.BDH("ITCI US Equity","NET_DEBT_TO_SHRHLDR_EQTY","FQ2 2022","FQ2 2022","Currency=USD","Period=FQ","BEST_FPERIOD_OVERRIDE=FQ","FILING_STATUS=MR","Sort=A","Dates=H","DateFormat=P","Fill=—","Direction=H","UseDPDF=Y")</f>
        <v>-90.143100000000004</v>
      </c>
      <c r="R27" s="14">
        <f>_xll.BDH("ITCI US Equity","NET_DEBT_TO_SHRHLDR_EQTY","FQ3 2022","FQ3 2022","Currency=USD","Period=FQ","BEST_FPERIOD_OVERRIDE=FQ","FILING_STATUS=MR","Sort=A","Dates=H","DateFormat=P","Fill=—","Direction=H","UseDPDF=Y")</f>
        <v>-87.877099999999999</v>
      </c>
      <c r="S27" s="14">
        <f>_xll.BDH("ITCI US Equity","NET_DEBT_TO_SHRHLDR_EQTY","FQ4 2022","FQ4 2022","Currency=USD","Period=FQ","BEST_FPERIOD_OVERRIDE=FQ","FILING_STATUS=MR","Sort=A","Dates=H","DateFormat=P","Fill=—","Direction=H","UseDPDF=Y")</f>
        <v>-87.165099999999995</v>
      </c>
      <c r="T27" s="14">
        <f>_xll.BDH("ITCI US Equity","NET_DEBT_TO_SHRHLDR_EQTY","FQ1 2023","FQ1 2023","Currency=USD","Period=FQ","BEST_FPERIOD_OVERRIDE=FQ","FILING_STATUS=MR","Sort=A","Dates=H","DateFormat=P","Fill=—","Direction=H","UseDPDF=Y")</f>
        <v>-82.888400000000004</v>
      </c>
      <c r="U27" s="14">
        <f>_xll.BDH("ITCI US Equity","NET_DEBT_TO_SHRHLDR_EQTY","FQ2 2023","FQ2 2023","Currency=USD","Period=FQ","BEST_FPERIOD_OVERRIDE=FQ","FILING_STATUS=MR","Sort=A","Dates=H","DateFormat=P","Fill=—","Direction=H","UseDPDF=Y")</f>
        <v>-81.514099999999999</v>
      </c>
      <c r="V27" s="14">
        <f>_xll.BDH("ITCI US Equity","NET_DEBT_TO_SHRHLDR_EQTY","FQ3 2023","FQ3 2023","Currency=USD","Period=FQ","BEST_FPERIOD_OVERRIDE=FQ","FILING_STATUS=MR","Sort=A","Dates=H","DateFormat=P","Fill=—","Direction=H","UseDPDF=Y")</f>
        <v>-79.1678</v>
      </c>
      <c r="W27" s="14">
        <f>_xll.BDH("ITCI US Equity","NET_DEBT_TO_SHRHLDR_EQTY","FQ4 2023","FQ4 2023","Currency=USD","Period=FQ","BEST_FPERIOD_OVERRIDE=FQ","FILING_STATUS=MR","Sort=A","Dates=H","DateFormat=P","Fill=—","Direction=H","UseDPDF=Y")</f>
        <v>-81.329599999999999</v>
      </c>
      <c r="X27" s="14">
        <f>_xll.BDH("ITCI US Equity","NET_DEBT_TO_SHRHLDR_EQTY","FQ1 2024","FQ1 2024","Currency=USD","Period=FQ","BEST_FPERIOD_OVERRIDE=FQ","FILING_STATUS=MR","Sort=A","Dates=H","DateFormat=P","Fill=—","Direction=H","UseDPDF=Y")</f>
        <v>-76.6053</v>
      </c>
      <c r="Y27" s="14">
        <f>_xll.BDH("ITCI US Equity","NET_DEBT_TO_SHRHLDR_EQTY","FQ2 2024","FQ2 2024","Currency=USD","Period=FQ","BEST_FPERIOD_OVERRIDE=FQ","FILING_STATUS=MR","Sort=A","Dates=H","DateFormat=P","Fill=—","Direction=H","UseDPDF=Y")</f>
        <v>-87.769400000000005</v>
      </c>
      <c r="Z27" s="14">
        <f>_xll.BDH("ITCI US Equity","NET_DEBT_TO_SHRHLDR_EQTY","FQ3 2024","FQ3 2024","Currency=USD","Period=FQ","BEST_FPERIOD_OVERRIDE=FQ","FILING_STATUS=MR","Sort=A","Dates=H","DateFormat=P","Fill=—","Direction=H","UseDPDF=Y")</f>
        <v>-86.375799999999998</v>
      </c>
      <c r="AA27" s="14">
        <f>_xll.BDH("ITCI US Equity","NET_DEBT_TO_SHRHLDR_EQTY","FQ4 2024","FQ4 2024","Currency=USD","Period=FQ","BEST_FPERIOD_OVERRIDE=FQ","FILING_STATUS=MR","Sort=A","Dates=H","DateFormat=P","Fill=—","Direction=H","UseDPDF=Y")</f>
        <v>-85.687399999999997</v>
      </c>
    </row>
    <row r="28" spans="1:27" x14ac:dyDescent="0.25">
      <c r="A28" s="10" t="s">
        <v>1193</v>
      </c>
      <c r="B28" s="10" t="s">
        <v>1194</v>
      </c>
      <c r="C28" s="14">
        <f>_xll.BDH("ITCI US Equity","NET_DEBT_PCT_OF_TOT_CAPITAL","FQ4 2018","FQ4 2018","Currency=USD","Period=FQ","BEST_FPERIOD_OVERRIDE=FQ","FILING_STATUS=MR","Sort=A","Dates=H","DateFormat=P","Fill=—","Direction=H","UseDPDF=Y")</f>
        <v>1165.5971</v>
      </c>
      <c r="D28" s="14">
        <f>_xll.BDH("ITCI US Equity","NET_DEBT_PCT_OF_TOT_CAPITAL","FQ1 2019","FQ1 2019","Currency=USD","Period=FQ","BEST_FPERIOD_OVERRIDE=FQ","FILING_STATUS=MR","Sort=A","Dates=H","DateFormat=P","Fill=—","Direction=H","UseDPDF=Y")</f>
        <v>60754.563099999999</v>
      </c>
      <c r="E28" s="14">
        <f>_xll.BDH("ITCI US Equity","NET_DEBT_PCT_OF_TOT_CAPITAL","FQ2 2019","FQ2 2019","Currency=USD","Period=FQ","BEST_FPERIOD_OVERRIDE=FQ","FILING_STATUS=MR","Sort=A","Dates=H","DateFormat=P","Fill=—","Direction=H","UseDPDF=Y")</f>
        <v>4603.8674000000001</v>
      </c>
      <c r="F28" s="14">
        <f>_xll.BDH("ITCI US Equity","NET_DEBT_PCT_OF_TOT_CAPITAL","FQ3 2019","FQ3 2019","Currency=USD","Period=FQ","BEST_FPERIOD_OVERRIDE=FQ","FILING_STATUS=MR","Sort=A","Dates=H","DateFormat=P","Fill=—","Direction=H","UseDPDF=Y")</f>
        <v>3883.3798000000002</v>
      </c>
      <c r="G28" s="14">
        <f>_xll.BDH("ITCI US Equity","NET_DEBT_PCT_OF_TOT_CAPITAL","FQ4 2019","FQ4 2019","Currency=USD","Period=FQ","BEST_FPERIOD_OVERRIDE=FQ","FILING_STATUS=MR","Sort=A","Dates=H","DateFormat=P","Fill=—","Direction=H","UseDPDF=Y")</f>
        <v>3427.6033000000002</v>
      </c>
      <c r="H28" s="14">
        <f>_xll.BDH("ITCI US Equity","NET_DEBT_PCT_OF_TOT_CAPITAL","FQ1 2020","FQ1 2020","Currency=USD","Period=FQ","BEST_FPERIOD_OVERRIDE=FQ","FILING_STATUS=MR","Sort=A","Dates=H","DateFormat=P","Fill=—","Direction=H","UseDPDF=Y")</f>
        <v>-9630.6607000000004</v>
      </c>
      <c r="I28" s="14">
        <f>_xll.BDH("ITCI US Equity","NET_DEBT_PCT_OF_TOT_CAPITAL","FQ2 2020","FQ2 2020","Currency=USD","Period=FQ","BEST_FPERIOD_OVERRIDE=FQ","FILING_STATUS=MR","Sort=A","Dates=H","DateFormat=P","Fill=—","Direction=H","UseDPDF=Y")</f>
        <v>12355.082899999999</v>
      </c>
      <c r="J28" s="14">
        <f>_xll.BDH("ITCI US Equity","NET_DEBT_PCT_OF_TOT_CAPITAL","FQ3 2020","FQ3 2020","Currency=USD","Period=FQ","BEST_FPERIOD_OVERRIDE=FQ","FILING_STATUS=MR","Sort=A","Dates=H","DateFormat=P","Fill=—","Direction=H","UseDPDF=Y")</f>
        <v>-4177.3681999999999</v>
      </c>
      <c r="K28" s="14">
        <f>_xll.BDH("ITCI US Equity","NET_DEBT_PCT_OF_TOT_CAPITAL","FQ4 2020","FQ4 2020","Currency=USD","Period=FQ","BEST_FPERIOD_OVERRIDE=FQ","FILING_STATUS=MR","Sort=A","Dates=H","DateFormat=P","Fill=—","Direction=H","UseDPDF=Y")</f>
        <v>-2200.3980000000001</v>
      </c>
      <c r="L28" s="14">
        <f>_xll.BDH("ITCI US Equity","NET_DEBT_PCT_OF_TOT_CAPITAL","FQ1 2021","FQ1 2021","Currency=USD","Period=FQ","BEST_FPERIOD_OVERRIDE=FQ","FILING_STATUS=MR","Sort=A","Dates=H","DateFormat=P","Fill=—","Direction=H","UseDPDF=Y")</f>
        <v>-2055.8042999999998</v>
      </c>
      <c r="M28" s="14">
        <f>_xll.BDH("ITCI US Equity","NET_DEBT_PCT_OF_TOT_CAPITAL","FQ2 2021","FQ2 2021","Currency=USD","Period=FQ","BEST_FPERIOD_OVERRIDE=FQ","FILING_STATUS=MR","Sort=A","Dates=H","DateFormat=P","Fill=—","Direction=H","UseDPDF=Y")</f>
        <v>-2020.0115000000001</v>
      </c>
      <c r="N28" s="14">
        <f>_xll.BDH("ITCI US Equity","NET_DEBT_PCT_OF_TOT_CAPITAL","FQ3 2021","FQ3 2021","Currency=USD","Period=FQ","BEST_FPERIOD_OVERRIDE=FQ","FILING_STATUS=MR","Sort=A","Dates=H","DateFormat=P","Fill=—","Direction=H","UseDPDF=Y")</f>
        <v>-1256.6874</v>
      </c>
      <c r="O28" s="14">
        <f>_xll.BDH("ITCI US Equity","NET_DEBT_PCT_OF_TOT_CAPITAL","FQ4 2021","FQ4 2021","Currency=USD","Period=FQ","BEST_FPERIOD_OVERRIDE=FQ","FILING_STATUS=MR","Sort=A","Dates=H","DateFormat=P","Fill=—","Direction=H","UseDPDF=Y")</f>
        <v>-1249.5986</v>
      </c>
      <c r="P28" s="14">
        <f>_xll.BDH("ITCI US Equity","NET_DEBT_PCT_OF_TOT_CAPITAL","FQ1 2022","FQ1 2022","Currency=USD","Period=FQ","BEST_FPERIOD_OVERRIDE=FQ","FILING_STATUS=MR","Sort=A","Dates=H","DateFormat=P","Fill=—","Direction=H","UseDPDF=Y")</f>
        <v>-1650.2318</v>
      </c>
      <c r="Q28" s="14">
        <f>_xll.BDH("ITCI US Equity","NET_DEBT_PCT_OF_TOT_CAPITAL","FQ2 2022","FQ2 2022","Currency=USD","Period=FQ","BEST_FPERIOD_OVERRIDE=FQ","FILING_STATUS=MR","Sort=A","Dates=H","DateFormat=P","Fill=—","Direction=H","UseDPDF=Y")</f>
        <v>-914.52110000000005</v>
      </c>
      <c r="R28" s="14">
        <f>_xll.BDH("ITCI US Equity","NET_DEBT_PCT_OF_TOT_CAPITAL","FQ3 2022","FQ3 2022","Currency=USD","Period=FQ","BEST_FPERIOD_OVERRIDE=FQ","FILING_STATUS=MR","Sort=A","Dates=H","DateFormat=P","Fill=—","Direction=H","UseDPDF=Y")</f>
        <v>-724.8854</v>
      </c>
      <c r="S28" s="14">
        <f>_xll.BDH("ITCI US Equity","NET_DEBT_PCT_OF_TOT_CAPITAL","FQ4 2022","FQ4 2022","Currency=USD","Period=FQ","BEST_FPERIOD_OVERRIDE=FQ","FILING_STATUS=MR","Sort=A","Dates=H","DateFormat=P","Fill=—","Direction=H","UseDPDF=Y")</f>
        <v>-679.125</v>
      </c>
      <c r="T28" s="14">
        <f>_xll.BDH("ITCI US Equity","NET_DEBT_PCT_OF_TOT_CAPITAL","FQ1 2023","FQ1 2023","Currency=USD","Period=FQ","BEST_FPERIOD_OVERRIDE=FQ","FILING_STATUS=MR","Sort=A","Dates=H","DateFormat=P","Fill=—","Direction=H","UseDPDF=Y")</f>
        <v>-484.39949999999999</v>
      </c>
      <c r="U28" s="14">
        <f>_xll.BDH("ITCI US Equity","NET_DEBT_PCT_OF_TOT_CAPITAL","FQ2 2023","FQ2 2023","Currency=USD","Period=FQ","BEST_FPERIOD_OVERRIDE=FQ","FILING_STATUS=MR","Sort=A","Dates=H","DateFormat=P","Fill=—","Direction=H","UseDPDF=Y")</f>
        <v>-440.95310000000001</v>
      </c>
      <c r="V28" s="14">
        <f>_xll.BDH("ITCI US Equity","NET_DEBT_PCT_OF_TOT_CAPITAL","FQ3 2023","FQ3 2023","Currency=USD","Period=FQ","BEST_FPERIOD_OVERRIDE=FQ","FILING_STATUS=MR","Sort=A","Dates=H","DateFormat=P","Fill=—","Direction=H","UseDPDF=Y")</f>
        <v>-380.02640000000002</v>
      </c>
      <c r="W28" s="14">
        <f>_xll.BDH("ITCI US Equity","NET_DEBT_PCT_OF_TOT_CAPITAL","FQ4 2023","FQ4 2023","Currency=USD","Period=FQ","BEST_FPERIOD_OVERRIDE=FQ","FILING_STATUS=MR","Sort=A","Dates=H","DateFormat=P","Fill=—","Direction=H","UseDPDF=Y")</f>
        <v>-435.60829999999999</v>
      </c>
      <c r="X28" s="14">
        <f>_xll.BDH("ITCI US Equity","NET_DEBT_PCT_OF_TOT_CAPITAL","FQ1 2024","FQ1 2024","Currency=USD","Period=FQ","BEST_FPERIOD_OVERRIDE=FQ","FILING_STATUS=MR","Sort=A","Dates=H","DateFormat=P","Fill=—","Direction=H","UseDPDF=Y")</f>
        <v>-327.44650000000001</v>
      </c>
      <c r="Y28" s="14">
        <f>_xll.BDH("ITCI US Equity","NET_DEBT_PCT_OF_TOT_CAPITAL","FQ2 2024","FQ2 2024","Currency=USD","Period=FQ","BEST_FPERIOD_OVERRIDE=FQ","FILING_STATUS=MR","Sort=A","Dates=H","DateFormat=P","Fill=—","Direction=H","UseDPDF=Y")</f>
        <v>-717.62090000000001</v>
      </c>
      <c r="Z28" s="14">
        <f>_xll.BDH("ITCI US Equity","NET_DEBT_PCT_OF_TOT_CAPITAL","FQ3 2024","FQ3 2024","Currency=USD","Period=FQ","BEST_FPERIOD_OVERRIDE=FQ","FILING_STATUS=MR","Sort=A","Dates=H","DateFormat=P","Fill=—","Direction=H","UseDPDF=Y")</f>
        <v>-633.98990000000003</v>
      </c>
      <c r="AA28" s="14">
        <f>_xll.BDH("ITCI US Equity","NET_DEBT_PCT_OF_TOT_CAPITAL","FQ4 2024","FQ4 2024","Currency=USD","Period=FQ","BEST_FPERIOD_OVERRIDE=FQ","FILING_STATUS=MR","Sort=A","Dates=H","DateFormat=P","Fill=—","Direction=H","UseDPDF=Y")</f>
        <v>-598.68290000000002</v>
      </c>
    </row>
    <row r="29" spans="1:27" x14ac:dyDescent="0.25">
      <c r="A29" s="10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5">
      <c r="A30" s="10" t="s">
        <v>78</v>
      </c>
      <c r="B30" s="10" t="s">
        <v>78</v>
      </c>
      <c r="C30" s="13">
        <f>_xll.BDH("ITCI US Equity","EBITDA","FQ4 2018","FQ4 2018","Currency=USD","Period=FQ","BEST_FPERIOD_OVERRIDE=FQ","FILING_STATUS=MR","SCALING_FORMAT=MLN","FA_ADJUSTED=GAAP","Sort=A","Dates=H","DateFormat=P","Fill=—","Direction=H","UseDPDF=Y")</f>
        <v>-42.527500000000003</v>
      </c>
      <c r="D30" s="13">
        <f>_xll.BDH("ITCI US Equity","EBITDA","FQ1 2019","FQ1 2019","Currency=USD","Period=FQ","BEST_FPERIOD_OVERRIDE=FQ","FILING_STATUS=MR","SCALING_FORMAT=MLN","FA_ADJUSTED=GAAP","Sort=A","Dates=H","DateFormat=P","Fill=—","Direction=H","UseDPDF=Y")</f>
        <v>-35.764499999999998</v>
      </c>
      <c r="E30" s="13">
        <f>_xll.BDH("ITCI US Equity","EBITDA","FQ2 2019","FQ2 2019","Currency=USD","Period=FQ","BEST_FPERIOD_OVERRIDE=FQ","FILING_STATUS=MR","SCALING_FORMAT=MLN","FA_ADJUSTED=GAAP","Sort=A","Dates=H","DateFormat=P","Fill=—","Direction=H","UseDPDF=Y")</f>
        <v>-38.110100000000003</v>
      </c>
      <c r="F30" s="13">
        <f>_xll.BDH("ITCI US Equity","EBITDA","FQ3 2019","FQ3 2019","Currency=USD","Period=FQ","BEST_FPERIOD_OVERRIDE=FQ","FILING_STATUS=MR","SCALING_FORMAT=MLN","FA_ADJUSTED=GAAP","Sort=A","Dates=H","DateFormat=P","Fill=—","Direction=H","UseDPDF=Y")</f>
        <v>-35.429200000000002</v>
      </c>
      <c r="G30" s="13">
        <f>_xll.BDH("ITCI US Equity","EBITDA","FQ4 2019","FQ4 2019","Currency=USD","Period=FQ","BEST_FPERIOD_OVERRIDE=FQ","FILING_STATUS=MR","SCALING_FORMAT=MLN","FA_ADJUSTED=GAAP","Sort=A","Dates=H","DateFormat=P","Fill=—","Direction=H","UseDPDF=Y")</f>
        <v>-40.826999999999998</v>
      </c>
      <c r="H30" s="13">
        <f>_xll.BDH("ITCI US Equity","EBITDA","FQ1 2020","FQ1 2020","Currency=USD","Period=FQ","BEST_FPERIOD_OVERRIDE=FQ","FILING_STATUS=MR","SCALING_FORMAT=MLN","FA_ADJUSTED=GAAP","Sort=A","Dates=H","DateFormat=P","Fill=—","Direction=H","UseDPDF=Y")</f>
        <v>-48.118699999999997</v>
      </c>
      <c r="I30" s="13">
        <f>_xll.BDH("ITCI US Equity","EBITDA","FQ2 2020","FQ2 2020","Currency=USD","Period=FQ","BEST_FPERIOD_OVERRIDE=FQ","FILING_STATUS=MR","SCALING_FORMAT=MLN","FA_ADJUSTED=GAAP","Sort=A","Dates=H","DateFormat=P","Fill=—","Direction=H","UseDPDF=Y")</f>
        <v>-63.94</v>
      </c>
      <c r="J30" s="13">
        <f>_xll.BDH("ITCI US Equity","EBITDA","FQ3 2020","FQ3 2020","Currency=USD","Period=FQ","BEST_FPERIOD_OVERRIDE=FQ","FILING_STATUS=MR","SCALING_FORMAT=MLN","FA_ADJUSTED=GAAP","Sort=A","Dates=H","DateFormat=P","Fill=—","Direction=H","UseDPDF=Y")</f>
        <v>-55.0154</v>
      </c>
      <c r="K30" s="13">
        <f>_xll.BDH("ITCI US Equity","EBITDA","FQ4 2020","FQ4 2020","Currency=USD","Period=FQ","BEST_FPERIOD_OVERRIDE=FQ","FILING_STATUS=MR","SCALING_FORMAT=MLN","FA_ADJUSTED=GAAP","Sort=A","Dates=H","DateFormat=P","Fill=—","Direction=H","UseDPDF=Y")</f>
        <v>-60.824300000000001</v>
      </c>
      <c r="L30" s="13">
        <f>_xll.BDH("ITCI US Equity","EBITDA","FQ1 2021","FQ1 2021","Currency=USD","Period=FQ","BEST_FPERIOD_OVERRIDE=FQ","FILING_STATUS=MR","SCALING_FORMAT=MLN","FA_ADJUSTED=GAAP","Sort=A","Dates=H","DateFormat=P","Fill=—","Direction=H","UseDPDF=Y")</f>
        <v>-52.291699999999999</v>
      </c>
      <c r="M30" s="13">
        <f>_xll.BDH("ITCI US Equity","EBITDA","FQ2 2021","FQ2 2021","Currency=USD","Period=FQ","BEST_FPERIOD_OVERRIDE=FQ","FILING_STATUS=MR","SCALING_FORMAT=MLN","FA_ADJUSTED=GAAP","Sort=A","Dates=H","DateFormat=P","Fill=—","Direction=H","UseDPDF=Y")</f>
        <v>-68.215500000000006</v>
      </c>
      <c r="N30" s="13">
        <f>_xll.BDH("ITCI US Equity","EBITDA","FQ3 2021","FQ3 2021","Currency=USD","Period=FQ","BEST_FPERIOD_OVERRIDE=FQ","FILING_STATUS=MR","SCALING_FORMAT=MLN","FA_ADJUSTED=GAAP","Sort=A","Dates=H","DateFormat=P","Fill=—","Direction=H","UseDPDF=Y")</f>
        <v>-76.389899999999997</v>
      </c>
      <c r="O30" s="13">
        <f>_xll.BDH("ITCI US Equity","EBITDA","FQ4 2021","FQ4 2021","Currency=USD","Period=FQ","BEST_FPERIOD_OVERRIDE=FQ","FILING_STATUS=MR","SCALING_FORMAT=MLN","FA_ADJUSTED=GAAP","Sort=A","Dates=H","DateFormat=P","Fill=—","Direction=H","UseDPDF=Y")</f>
        <v>-84.908799999999999</v>
      </c>
      <c r="P30" s="13">
        <f>_xll.BDH("ITCI US Equity","EBITDA","FQ1 2022","FQ1 2022","Currency=USD","Period=FQ","BEST_FPERIOD_OVERRIDE=FQ","FILING_STATUS=MR","SCALING_FORMAT=MLN","FA_ADJUSTED=GAAP","Sort=A","Dates=H","DateFormat=P","Fill=—","Direction=H","UseDPDF=Y")</f>
        <v>-72.491</v>
      </c>
      <c r="Q30" s="13">
        <f>_xll.BDH("ITCI US Equity","EBITDA","FQ2 2022","FQ2 2022","Currency=USD","Period=FQ","BEST_FPERIOD_OVERRIDE=FQ","FILING_STATUS=MR","SCALING_FORMAT=MLN","FA_ADJUSTED=GAAP","Sort=A","Dates=H","DateFormat=P","Fill=—","Direction=H","UseDPDF=Y")</f>
        <v>-87.751000000000005</v>
      </c>
      <c r="R30" s="13">
        <f>_xll.BDH("ITCI US Equity","EBITDA","FQ3 2022","FQ3 2022","Currency=USD","Period=FQ","BEST_FPERIOD_OVERRIDE=FQ","FILING_STATUS=MR","SCALING_FORMAT=MLN","FA_ADJUSTED=GAAP","Sort=A","Dates=H","DateFormat=P","Fill=—","Direction=H","UseDPDF=Y")</f>
        <v>-55.459000000000003</v>
      </c>
      <c r="S30" s="13">
        <f>_xll.BDH("ITCI US Equity","EBITDA","FQ4 2022","FQ4 2022","Currency=USD","Period=FQ","BEST_FPERIOD_OVERRIDE=FQ","FILING_STATUS=MR","SCALING_FORMAT=MLN","FA_ADJUSTED=GAAP","Sort=A","Dates=H","DateFormat=P","Fill=—","Direction=H","UseDPDF=Y")</f>
        <v>-40.064999999999998</v>
      </c>
      <c r="T30" s="13">
        <f>_xll.BDH("ITCI US Equity","EBITDA","FQ1 2023","FQ1 2023","Currency=USD","Period=FQ","BEST_FPERIOD_OVERRIDE=FQ","FILING_STATUS=MR","SCALING_FORMAT=MLN","FA_ADJUSTED=GAAP","Sort=A","Dates=H","DateFormat=P","Fill=—","Direction=H","UseDPDF=Y")</f>
        <v>-47.173000000000002</v>
      </c>
      <c r="U30" s="13">
        <f>_xll.BDH("ITCI US Equity","EBITDA","FQ2 2023","FQ2 2023","Currency=USD","Period=FQ","BEST_FPERIOD_OVERRIDE=FQ","FILING_STATUS=MR","SCALING_FORMAT=MLN","FA_ADJUSTED=GAAP","Sort=A","Dates=H","DateFormat=P","Fill=—","Direction=H","UseDPDF=Y")</f>
        <v>-47.055999999999997</v>
      </c>
      <c r="V30" s="13">
        <f>_xll.BDH("ITCI US Equity","EBITDA","FQ3 2023","FQ3 2023","Currency=USD","Period=FQ","BEST_FPERIOD_OVERRIDE=FQ","FILING_STATUS=MR","SCALING_FORMAT=MLN","FA_ADJUSTED=GAAP","Sort=A","Dates=H","DateFormat=P","Fill=—","Direction=H","UseDPDF=Y")</f>
        <v>-28.66</v>
      </c>
      <c r="W30" s="13">
        <f>_xll.BDH("ITCI US Equity","EBITDA","FQ4 2023","FQ4 2023","Currency=USD","Period=FQ","BEST_FPERIOD_OVERRIDE=FQ","FILING_STATUS=MR","SCALING_FORMAT=MLN","FA_ADJUSTED=GAAP","Sort=A","Dates=H","DateFormat=P","Fill=—","Direction=H","UseDPDF=Y")</f>
        <v>-26.276</v>
      </c>
      <c r="X30" s="13">
        <f>_xll.BDH("ITCI US Equity","EBITDA","FQ1 2024","FQ1 2024","Currency=USD","Period=FQ","BEST_FPERIOD_OVERRIDE=FQ","FILING_STATUS=MR","SCALING_FORMAT=MLN","FA_ADJUSTED=GAAP","Sort=A","Dates=H","DateFormat=P","Fill=—","Direction=H","UseDPDF=Y")</f>
        <v>-19.879000000000001</v>
      </c>
      <c r="Y30" s="13">
        <f>_xll.BDH("ITCI US Equity","EBITDA","FQ2 2024","FQ2 2024","Currency=USD","Period=FQ","BEST_FPERIOD_OVERRIDE=FQ","FILING_STATUS=MR","SCALING_FORMAT=MLN","FA_ADJUSTED=GAAP","Sort=A","Dates=H","DateFormat=P","Fill=—","Direction=H","UseDPDF=Y")</f>
        <v>-26.561</v>
      </c>
      <c r="Z30" s="13">
        <f>_xll.BDH("ITCI US Equity","EBITDA","FQ3 2024","FQ3 2024","Currency=USD","Period=FQ","BEST_FPERIOD_OVERRIDE=FQ","FILING_STATUS=MR","SCALING_FORMAT=MLN","FA_ADJUSTED=GAAP","Sort=A","Dates=H","DateFormat=P","Fill=—","Direction=H","UseDPDF=Y")</f>
        <v>-37.658000000000001</v>
      </c>
      <c r="AA30" s="13">
        <f>_xll.BDH("ITCI US Equity","EBITDA","FQ4 2024","FQ4 2024","Currency=USD","Period=FQ","BEST_FPERIOD_OVERRIDE=FQ","FILING_STATUS=MR","SCALING_FORMAT=MLN","FA_ADJUSTED=GAAP","Sort=A","Dates=H","DateFormat=P","Fill=—","Direction=H","UseDPDF=Y")</f>
        <v>-26.981999999999999</v>
      </c>
    </row>
    <row r="31" spans="1:27" x14ac:dyDescent="0.25">
      <c r="A31" s="10" t="s">
        <v>1195</v>
      </c>
      <c r="B31" s="10" t="s">
        <v>1196</v>
      </c>
      <c r="C31" s="13">
        <f>_xll.BDH("ITCI US Equity","EBITDA_AFTER_CAPEX","FQ4 2018","FQ4 2018","Currency=USD","Period=FQ","BEST_FPERIOD_OVERRIDE=FQ","FILING_STATUS=MR","SCALING_FORMAT=MLN","FA_ADJUSTED=GAAP","Sort=A","Dates=H","DateFormat=P","Fill=—","Direction=H","UseDPDF=Y")</f>
        <v>-42.586199999999998</v>
      </c>
      <c r="D31" s="13">
        <f>_xll.BDH("ITCI US Equity","EBITDA_AFTER_CAPEX","FQ1 2019","FQ1 2019","Currency=USD","Period=FQ","BEST_FPERIOD_OVERRIDE=FQ","FILING_STATUS=MR","SCALING_FORMAT=MLN","FA_ADJUSTED=GAAP","Sort=A","Dates=H","DateFormat=P","Fill=—","Direction=H","UseDPDF=Y")</f>
        <v>-35.831699999999998</v>
      </c>
      <c r="E31" s="13">
        <f>_xll.BDH("ITCI US Equity","EBITDA_AFTER_CAPEX","FQ2 2019","FQ2 2019","Currency=USD","Period=FQ","BEST_FPERIOD_OVERRIDE=FQ","FILING_STATUS=MR","SCALING_FORMAT=MLN","FA_ADJUSTED=GAAP","Sort=A","Dates=H","DateFormat=P","Fill=—","Direction=H","UseDPDF=Y")</f>
        <v>-39.172400000000003</v>
      </c>
      <c r="F31" s="13">
        <f>_xll.BDH("ITCI US Equity","EBITDA_AFTER_CAPEX","FQ3 2019","FQ3 2019","Currency=USD","Period=FQ","BEST_FPERIOD_OVERRIDE=FQ","FILING_STATUS=MR","SCALING_FORMAT=MLN","FA_ADJUSTED=GAAP","Sort=A","Dates=H","DateFormat=P","Fill=—","Direction=H","UseDPDF=Y")</f>
        <v>-35.650300000000001</v>
      </c>
      <c r="G31" s="13" t="str">
        <f>_xll.BDH("ITCI US Equity","EBITDA_AFTER_CAPEX","FQ4 2019","FQ4 2019","Currency=USD","Period=FQ","BEST_FPERIOD_OVERRIDE=FQ","FILING_STATUS=MR","SCALING_FORMAT=MLN","FA_ADJUSTED=GAAP","Sort=A","Dates=H","DateFormat=P","Fill=—","Direction=H","UseDPDF=Y")</f>
        <v>—</v>
      </c>
      <c r="H31" s="13">
        <f>_xll.BDH("ITCI US Equity","EBITDA_AFTER_CAPEX","FQ1 2020","FQ1 2020","Currency=USD","Period=FQ","BEST_FPERIOD_OVERRIDE=FQ","FILING_STATUS=MR","SCALING_FORMAT=MLN","FA_ADJUSTED=GAAP","Sort=A","Dates=H","DateFormat=P","Fill=—","Direction=H","UseDPDF=Y")</f>
        <v>-48.140799999999999</v>
      </c>
      <c r="I31" s="13">
        <f>_xll.BDH("ITCI US Equity","EBITDA_AFTER_CAPEX","FQ2 2020","FQ2 2020","Currency=USD","Period=FQ","BEST_FPERIOD_OVERRIDE=FQ","FILING_STATUS=MR","SCALING_FORMAT=MLN","FA_ADJUSTED=GAAP","Sort=A","Dates=H","DateFormat=P","Fill=—","Direction=H","UseDPDF=Y")</f>
        <v>-63.94</v>
      </c>
      <c r="J31" s="13">
        <f>_xll.BDH("ITCI US Equity","EBITDA_AFTER_CAPEX","FQ3 2020","FQ3 2020","Currency=USD","Period=FQ","BEST_FPERIOD_OVERRIDE=FQ","FILING_STATUS=MR","SCALING_FORMAT=MLN","FA_ADJUSTED=GAAP","Sort=A","Dates=H","DateFormat=P","Fill=—","Direction=H","UseDPDF=Y")</f>
        <v>-55.185299999999998</v>
      </c>
      <c r="K31" s="13">
        <f>_xll.BDH("ITCI US Equity","EBITDA_AFTER_CAPEX","FQ4 2020","FQ4 2020","Currency=USD","Period=FQ","BEST_FPERIOD_OVERRIDE=FQ","FILING_STATUS=MR","SCALING_FORMAT=MLN","FA_ADJUSTED=GAAP","Sort=A","Dates=H","DateFormat=P","Fill=—","Direction=H","UseDPDF=Y")</f>
        <v>-60.899099999999997</v>
      </c>
      <c r="L31" s="13">
        <f>_xll.BDH("ITCI US Equity","EBITDA_AFTER_CAPEX","FQ1 2021","FQ1 2021","Currency=USD","Period=FQ","BEST_FPERIOD_OVERRIDE=FQ","FILING_STATUS=MR","SCALING_FORMAT=MLN","FA_ADJUSTED=GAAP","Sort=A","Dates=H","DateFormat=P","Fill=—","Direction=H","UseDPDF=Y")</f>
        <v>-52.291699999999999</v>
      </c>
      <c r="M31" s="13">
        <f>_xll.BDH("ITCI US Equity","EBITDA_AFTER_CAPEX","FQ2 2021","FQ2 2021","Currency=USD","Period=FQ","BEST_FPERIOD_OVERRIDE=FQ","FILING_STATUS=MR","SCALING_FORMAT=MLN","FA_ADJUSTED=GAAP","Sort=A","Dates=H","DateFormat=P","Fill=—","Direction=H","UseDPDF=Y")</f>
        <v>-68.230699999999999</v>
      </c>
      <c r="N31" s="13">
        <f>_xll.BDH("ITCI US Equity","EBITDA_AFTER_CAPEX","FQ3 2021","FQ3 2021","Currency=USD","Period=FQ","BEST_FPERIOD_OVERRIDE=FQ","FILING_STATUS=MR","SCALING_FORMAT=MLN","FA_ADJUSTED=GAAP","Sort=A","Dates=H","DateFormat=P","Fill=—","Direction=H","UseDPDF=Y")</f>
        <v>-76.699100000000001</v>
      </c>
      <c r="O31" s="13">
        <f>_xll.BDH("ITCI US Equity","EBITDA_AFTER_CAPEX","FQ4 2021","FQ4 2021","Currency=USD","Period=FQ","BEST_FPERIOD_OVERRIDE=FQ","FILING_STATUS=MR","SCALING_FORMAT=MLN","FA_ADJUSTED=GAAP","Sort=A","Dates=H","DateFormat=P","Fill=—","Direction=H","UseDPDF=Y")</f>
        <v>-84.9101</v>
      </c>
      <c r="P31" s="13">
        <f>_xll.BDH("ITCI US Equity","EBITDA_AFTER_CAPEX","FQ1 2022","FQ1 2022","Currency=USD","Period=FQ","BEST_FPERIOD_OVERRIDE=FQ","FILING_STATUS=MR","SCALING_FORMAT=MLN","FA_ADJUSTED=GAAP","Sort=A","Dates=H","DateFormat=P","Fill=—","Direction=H","UseDPDF=Y")</f>
        <v>-73.057000000000002</v>
      </c>
      <c r="Q31" s="13">
        <f>_xll.BDH("ITCI US Equity","EBITDA_AFTER_CAPEX","FQ2 2022","FQ2 2022","Currency=USD","Period=FQ","BEST_FPERIOD_OVERRIDE=FQ","FILING_STATUS=MR","SCALING_FORMAT=MLN","FA_ADJUSTED=GAAP","Sort=A","Dates=H","DateFormat=P","Fill=—","Direction=H","UseDPDF=Y")</f>
        <v>-87.873999999999995</v>
      </c>
      <c r="R31" s="13">
        <f>_xll.BDH("ITCI US Equity","EBITDA_AFTER_CAPEX","FQ3 2022","FQ3 2022","Currency=USD","Period=FQ","BEST_FPERIOD_OVERRIDE=FQ","FILING_STATUS=MR","SCALING_FORMAT=MLN","FA_ADJUSTED=GAAP","Sort=A","Dates=H","DateFormat=P","Fill=—","Direction=H","UseDPDF=Y")</f>
        <v>-55.576000000000001</v>
      </c>
      <c r="S31" s="13">
        <f>_xll.BDH("ITCI US Equity","EBITDA_AFTER_CAPEX","FQ4 2022","FQ4 2022","Currency=USD","Period=FQ","BEST_FPERIOD_OVERRIDE=FQ","FILING_STATUS=MR","SCALING_FORMAT=MLN","FA_ADJUSTED=GAAP","Sort=A","Dates=H","DateFormat=P","Fill=—","Direction=H","UseDPDF=Y")</f>
        <v>-40.064999999999998</v>
      </c>
      <c r="T31" s="13">
        <f>_xll.BDH("ITCI US Equity","EBITDA_AFTER_CAPEX","FQ1 2023","FQ1 2023","Currency=USD","Period=FQ","BEST_FPERIOD_OVERRIDE=FQ","FILING_STATUS=MR","SCALING_FORMAT=MLN","FA_ADJUSTED=GAAP","Sort=A","Dates=H","DateFormat=P","Fill=—","Direction=H","UseDPDF=Y")</f>
        <v>-47.173000000000002</v>
      </c>
      <c r="U31" s="13">
        <f>_xll.BDH("ITCI US Equity","EBITDA_AFTER_CAPEX","FQ2 2023","FQ2 2023","Currency=USD","Period=FQ","BEST_FPERIOD_OVERRIDE=FQ","FILING_STATUS=MR","SCALING_FORMAT=MLN","FA_ADJUSTED=GAAP","Sort=A","Dates=H","DateFormat=P","Fill=—","Direction=H","UseDPDF=Y")</f>
        <v>-47.055999999999997</v>
      </c>
      <c r="V31" s="13">
        <f>_xll.BDH("ITCI US Equity","EBITDA_AFTER_CAPEX","FQ3 2023","FQ3 2023","Currency=USD","Period=FQ","BEST_FPERIOD_OVERRIDE=FQ","FILING_STATUS=MR","SCALING_FORMAT=MLN","FA_ADJUSTED=GAAP","Sort=A","Dates=H","DateFormat=P","Fill=—","Direction=H","UseDPDF=Y")</f>
        <v>-28.928000000000001</v>
      </c>
      <c r="W31" s="13">
        <f>_xll.BDH("ITCI US Equity","EBITDA_AFTER_CAPEX","FQ4 2023","FQ4 2023","Currency=USD","Period=FQ","BEST_FPERIOD_OVERRIDE=FQ","FILING_STATUS=MR","SCALING_FORMAT=MLN","FA_ADJUSTED=GAAP","Sort=A","Dates=H","DateFormat=P","Fill=—","Direction=H","UseDPDF=Y")</f>
        <v>-26.277000000000001</v>
      </c>
      <c r="X31" s="13">
        <f>_xll.BDH("ITCI US Equity","EBITDA_AFTER_CAPEX","FQ1 2024","FQ1 2024","Currency=USD","Period=FQ","BEST_FPERIOD_OVERRIDE=FQ","FILING_STATUS=MR","SCALING_FORMAT=MLN","FA_ADJUSTED=GAAP","Sort=A","Dates=H","DateFormat=P","Fill=—","Direction=H","UseDPDF=Y")</f>
        <v>-19.879000000000001</v>
      </c>
      <c r="Y31" s="13">
        <f>_xll.BDH("ITCI US Equity","EBITDA_AFTER_CAPEX","FQ2 2024","FQ2 2024","Currency=USD","Period=FQ","BEST_FPERIOD_OVERRIDE=FQ","FILING_STATUS=MR","SCALING_FORMAT=MLN","FA_ADJUSTED=GAAP","Sort=A","Dates=H","DateFormat=P","Fill=—","Direction=H","UseDPDF=Y")</f>
        <v>-26.614000000000001</v>
      </c>
      <c r="Z31" s="13">
        <f>_xll.BDH("ITCI US Equity","EBITDA_AFTER_CAPEX","FQ3 2024","FQ3 2024","Currency=USD","Period=FQ","BEST_FPERIOD_OVERRIDE=FQ","FILING_STATUS=MR","SCALING_FORMAT=MLN","FA_ADJUSTED=GAAP","Sort=A","Dates=H","DateFormat=P","Fill=—","Direction=H","UseDPDF=Y")</f>
        <v>-38.353999999999999</v>
      </c>
      <c r="AA31" s="13" t="str">
        <f>_xll.BDH("ITCI US Equity","EBITDA_AFTER_CAPEX","FQ4 2024","FQ4 2024","Currency=USD","Period=FQ","BEST_FPERIOD_OVERRIDE=FQ","FILING_STATUS=MR","SCALING_FORMAT=MLN","FA_ADJUSTED=GAAP","Sort=A","Dates=H","DateFormat=P","Fill=—","Direction=H","UseDPDF=Y")</f>
        <v>—</v>
      </c>
    </row>
    <row r="32" spans="1:27" x14ac:dyDescent="0.25">
      <c r="A32" s="10" t="s">
        <v>141</v>
      </c>
      <c r="B32" s="10" t="s">
        <v>99</v>
      </c>
      <c r="C32" s="13">
        <f>_xll.BDH("ITCI US Equity","IS_OPER_INC","FQ4 2018","FQ4 2018","Currency=USD","Period=FQ","BEST_FPERIOD_OVERRIDE=FQ","FILING_STATUS=MR","SCALING_FORMAT=MLN","FA_ADJUSTED=GAAP","Sort=A","Dates=H","DateFormat=P","Fill=—","Direction=H","UseDPDF=Y")</f>
        <v>-42.622900000000001</v>
      </c>
      <c r="D32" s="13">
        <f>_xll.BDH("ITCI US Equity","IS_OPER_INC","FQ1 2019","FQ1 2019","Currency=USD","Period=FQ","BEST_FPERIOD_OVERRIDE=FQ","FILING_STATUS=MR","SCALING_FORMAT=MLN","FA_ADJUSTED=GAAP","Sort=A","Dates=H","DateFormat=P","Fill=—","Direction=H","UseDPDF=Y")</f>
        <v>-36.695799999999998</v>
      </c>
      <c r="E32" s="13">
        <f>_xll.BDH("ITCI US Equity","IS_OPER_INC","FQ2 2019","FQ2 2019","Currency=USD","Period=FQ","BEST_FPERIOD_OVERRIDE=FQ","FILING_STATUS=MR","SCALING_FORMAT=MLN","FA_ADJUSTED=GAAP","Sort=A","Dates=H","DateFormat=P","Fill=—","Direction=H","UseDPDF=Y")</f>
        <v>-39.171100000000003</v>
      </c>
      <c r="F32" s="13">
        <f>_xll.BDH("ITCI US Equity","IS_OPER_INC","FQ3 2019","FQ3 2019","Currency=USD","Period=FQ","BEST_FPERIOD_OVERRIDE=FQ","FILING_STATUS=MR","SCALING_FORMAT=MLN","FA_ADJUSTED=GAAP","Sort=A","Dates=H","DateFormat=P","Fill=—","Direction=H","UseDPDF=Y")</f>
        <v>-36.376199999999997</v>
      </c>
      <c r="G32" s="13">
        <f>_xll.BDH("ITCI US Equity","IS_OPER_INC","FQ4 2019","FQ4 2019","Currency=USD","Period=FQ","BEST_FPERIOD_OVERRIDE=FQ","FILING_STATUS=MR","SCALING_FORMAT=MLN","FA_ADJUSTED=GAAP","Sort=A","Dates=H","DateFormat=P","Fill=—","Direction=H","UseDPDF=Y")</f>
        <v>-41.768700000000003</v>
      </c>
      <c r="H32" s="13">
        <f>_xll.BDH("ITCI US Equity","IS_OPER_INC","FQ1 2020","FQ1 2020","Currency=USD","Period=FQ","BEST_FPERIOD_OVERRIDE=FQ","FILING_STATUS=MR","SCALING_FORMAT=MLN","FA_ADJUSTED=GAAP","Sort=A","Dates=H","DateFormat=P","Fill=—","Direction=H","UseDPDF=Y")</f>
        <v>-49.085500000000003</v>
      </c>
      <c r="I32" s="13">
        <f>_xll.BDH("ITCI US Equity","IS_OPER_INC","FQ2 2020","FQ2 2020","Currency=USD","Period=FQ","BEST_FPERIOD_OVERRIDE=FQ","FILING_STATUS=MR","SCALING_FORMAT=MLN","FA_ADJUSTED=GAAP","Sort=A","Dates=H","DateFormat=P","Fill=—","Direction=H","UseDPDF=Y")</f>
        <v>-64.872299999999996</v>
      </c>
      <c r="J32" s="13">
        <f>_xll.BDH("ITCI US Equity","IS_OPER_INC","FQ3 2020","FQ3 2020","Currency=USD","Period=FQ","BEST_FPERIOD_OVERRIDE=FQ","FILING_STATUS=MR","SCALING_FORMAT=MLN","FA_ADJUSTED=GAAP","Sort=A","Dates=H","DateFormat=P","Fill=—","Direction=H","UseDPDF=Y")</f>
        <v>-55.936500000000002</v>
      </c>
      <c r="K32" s="13">
        <f>_xll.BDH("ITCI US Equity","IS_OPER_INC","FQ4 2020","FQ4 2020","Currency=USD","Period=FQ","BEST_FPERIOD_OVERRIDE=FQ","FILING_STATUS=MR","SCALING_FORMAT=MLN","FA_ADJUSTED=GAAP","Sort=A","Dates=H","DateFormat=P","Fill=—","Direction=H","UseDPDF=Y")</f>
        <v>-61.333300000000001</v>
      </c>
      <c r="L32" s="13">
        <f>_xll.BDH("ITCI US Equity","IS_OPER_INC","FQ1 2021","FQ1 2021","Currency=USD","Period=FQ","BEST_FPERIOD_OVERRIDE=FQ","FILING_STATUS=MR","SCALING_FORMAT=MLN","FA_ADJUSTED=GAAP","Sort=A","Dates=H","DateFormat=P","Fill=—","Direction=H","UseDPDF=Y")</f>
        <v>-53.218699999999998</v>
      </c>
      <c r="M32" s="13">
        <f>_xll.BDH("ITCI US Equity","IS_OPER_INC","FQ2 2021","FQ2 2021","Currency=USD","Period=FQ","BEST_FPERIOD_OVERRIDE=FQ","FILING_STATUS=MR","SCALING_FORMAT=MLN","FA_ADJUSTED=GAAP","Sort=A","Dates=H","DateFormat=P","Fill=—","Direction=H","UseDPDF=Y")</f>
        <v>-69.141099999999994</v>
      </c>
      <c r="N32" s="13">
        <f>_xll.BDH("ITCI US Equity","IS_OPER_INC","FQ3 2021","FQ3 2021","Currency=USD","Period=FQ","BEST_FPERIOD_OVERRIDE=FQ","FILING_STATUS=MR","SCALING_FORMAT=MLN","FA_ADJUSTED=GAAP","Sort=A","Dates=H","DateFormat=P","Fill=—","Direction=H","UseDPDF=Y")</f>
        <v>-77.323800000000006</v>
      </c>
      <c r="O32" s="13">
        <f>_xll.BDH("ITCI US Equity","IS_OPER_INC","FQ4 2021","FQ4 2021","Currency=USD","Period=FQ","BEST_FPERIOD_OVERRIDE=FQ","FILING_STATUS=MR","SCALING_FORMAT=MLN","FA_ADJUSTED=GAAP","Sort=A","Dates=H","DateFormat=P","Fill=—","Direction=H","UseDPDF=Y")</f>
        <v>-86.004599999999996</v>
      </c>
      <c r="P32" s="13">
        <f>_xll.BDH("ITCI US Equity","IS_OPER_INC","FQ1 2022","FQ1 2022","Currency=USD","Period=FQ","BEST_FPERIOD_OVERRIDE=FQ","FILING_STATUS=MR","SCALING_FORMAT=MLN","FA_ADJUSTED=GAAP","Sort=A","Dates=H","DateFormat=P","Fill=—","Direction=H","UseDPDF=Y")</f>
        <v>-72.662000000000006</v>
      </c>
      <c r="Q32" s="13">
        <f>_xll.BDH("ITCI US Equity","IS_OPER_INC","FQ2 2022","FQ2 2022","Currency=USD","Period=FQ","BEST_FPERIOD_OVERRIDE=FQ","FILING_STATUS=MR","SCALING_FORMAT=MLN","FA_ADJUSTED=GAAP","Sort=A","Dates=H","DateFormat=P","Fill=—","Direction=H","UseDPDF=Y")</f>
        <v>-87.923000000000002</v>
      </c>
      <c r="R32" s="13">
        <f>_xll.BDH("ITCI US Equity","IS_OPER_INC","FQ3 2022","FQ3 2022","Currency=USD","Period=FQ","BEST_FPERIOD_OVERRIDE=FQ","FILING_STATUS=MR","SCALING_FORMAT=MLN","FA_ADJUSTED=GAAP","Sort=A","Dates=H","DateFormat=P","Fill=—","Direction=H","UseDPDF=Y")</f>
        <v>-55.628999999999998</v>
      </c>
      <c r="S32" s="13">
        <f>_xll.BDH("ITCI US Equity","IS_OPER_INC","FQ4 2022","FQ4 2022","Currency=USD","Period=FQ","BEST_FPERIOD_OVERRIDE=FQ","FILING_STATUS=MR","SCALING_FORMAT=MLN","FA_ADJUSTED=GAAP","Sort=A","Dates=H","DateFormat=P","Fill=—","Direction=H","UseDPDF=Y")</f>
        <v>-47.411999999999999</v>
      </c>
      <c r="T32" s="13">
        <f>_xll.BDH("ITCI US Equity","IS_OPER_INC","FQ1 2023","FQ1 2023","Currency=USD","Period=FQ","BEST_FPERIOD_OVERRIDE=FQ","FILING_STATUS=MR","SCALING_FORMAT=MLN","FA_ADJUSTED=GAAP","Sort=A","Dates=H","DateFormat=P","Fill=—","Direction=H","UseDPDF=Y")</f>
        <v>-48.392000000000003</v>
      </c>
      <c r="U32" s="13">
        <f>_xll.BDH("ITCI US Equity","IS_OPER_INC","FQ2 2023","FQ2 2023","Currency=USD","Period=FQ","BEST_FPERIOD_OVERRIDE=FQ","FILING_STATUS=MR","SCALING_FORMAT=MLN","FA_ADJUSTED=GAAP","Sort=A","Dates=H","DateFormat=P","Fill=—","Direction=H","UseDPDF=Y")</f>
        <v>-47.179000000000002</v>
      </c>
      <c r="V32" s="13">
        <f>_xll.BDH("ITCI US Equity","IS_OPER_INC","FQ3 2023","FQ3 2023","Currency=USD","Period=FQ","BEST_FPERIOD_OVERRIDE=FQ","FILING_STATUS=MR","SCALING_FORMAT=MLN","FA_ADJUSTED=GAAP","Sort=A","Dates=H","DateFormat=P","Fill=—","Direction=H","UseDPDF=Y")</f>
        <v>-29.713000000000001</v>
      </c>
      <c r="W32" s="13">
        <f>_xll.BDH("ITCI US Equity","IS_OPER_INC","FQ4 2023","FQ4 2023","Currency=USD","Period=FQ","BEST_FPERIOD_OVERRIDE=FQ","FILING_STATUS=MR","SCALING_FORMAT=MLN","FA_ADJUSTED=GAAP","Sort=A","Dates=H","DateFormat=P","Fill=—","Direction=H","UseDPDF=Y")</f>
        <v>-34.097000000000001</v>
      </c>
      <c r="X32" s="13">
        <f>_xll.BDH("ITCI US Equity","IS_OPER_INC","FQ1 2024","FQ1 2024","Currency=USD","Period=FQ","BEST_FPERIOD_OVERRIDE=FQ","FILING_STATUS=MR","SCALING_FORMAT=MLN","FA_ADJUSTED=GAAP","Sort=A","Dates=H","DateFormat=P","Fill=—","Direction=H","UseDPDF=Y")</f>
        <v>-20.952000000000002</v>
      </c>
      <c r="Y32" s="13">
        <f>_xll.BDH("ITCI US Equity","IS_OPER_INC","FQ2 2024","FQ2 2024","Currency=USD","Period=FQ","BEST_FPERIOD_OVERRIDE=FQ","FILING_STATUS=MR","SCALING_FORMAT=MLN","FA_ADJUSTED=GAAP","Sort=A","Dates=H","DateFormat=P","Fill=—","Direction=H","UseDPDF=Y")</f>
        <v>-27.722999999999999</v>
      </c>
      <c r="Z32" s="13">
        <f>_xll.BDH("ITCI US Equity","IS_OPER_INC","FQ3 2024","FQ3 2024","Currency=USD","Period=FQ","BEST_FPERIOD_OVERRIDE=FQ","FILING_STATUS=MR","SCALING_FORMAT=MLN","FA_ADJUSTED=GAAP","Sort=A","Dates=H","DateFormat=P","Fill=—","Direction=H","UseDPDF=Y")</f>
        <v>-38.848999999999997</v>
      </c>
      <c r="AA32" s="13">
        <f>_xll.BDH("ITCI US Equity","IS_OPER_INC","FQ4 2024","FQ4 2024","Currency=USD","Period=FQ","BEST_FPERIOD_OVERRIDE=FQ","FILING_STATUS=MR","SCALING_FORMAT=MLN","FA_ADJUSTED=GAAP","Sort=A","Dates=H","DateFormat=P","Fill=—","Direction=H","UseDPDF=Y")</f>
        <v>-29.196999999999999</v>
      </c>
    </row>
    <row r="33" spans="1:27" x14ac:dyDescent="0.25">
      <c r="A33" s="7" t="s">
        <v>90</v>
      </c>
      <c r="B33" s="7"/>
      <c r="C33" s="7" t="s">
        <v>5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33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1197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10" t="s">
        <v>188</v>
      </c>
      <c r="B6" s="10" t="s">
        <v>189</v>
      </c>
      <c r="C6" s="12" t="s">
        <v>1175</v>
      </c>
      <c r="D6" s="12" t="s">
        <v>190</v>
      </c>
      <c r="E6" s="12" t="s">
        <v>190</v>
      </c>
      <c r="F6" s="12" t="s">
        <v>190</v>
      </c>
      <c r="G6" s="12" t="s">
        <v>190</v>
      </c>
      <c r="H6" s="12" t="s">
        <v>190</v>
      </c>
      <c r="I6" s="12" t="s">
        <v>190</v>
      </c>
      <c r="J6" s="12" t="s">
        <v>190</v>
      </c>
      <c r="K6" s="12" t="s">
        <v>190</v>
      </c>
      <c r="L6" s="12" t="s">
        <v>190</v>
      </c>
      <c r="M6" s="12" t="s">
        <v>190</v>
      </c>
      <c r="N6" s="12" t="s">
        <v>190</v>
      </c>
      <c r="O6" s="12" t="s">
        <v>190</v>
      </c>
      <c r="P6" s="12" t="s">
        <v>190</v>
      </c>
      <c r="Q6" s="12" t="s">
        <v>190</v>
      </c>
      <c r="R6" s="12" t="s">
        <v>190</v>
      </c>
      <c r="S6" s="12" t="s">
        <v>190</v>
      </c>
      <c r="T6" s="12" t="s">
        <v>190</v>
      </c>
      <c r="U6" s="12" t="s">
        <v>190</v>
      </c>
      <c r="V6" s="12" t="s">
        <v>190</v>
      </c>
      <c r="W6" s="12" t="s">
        <v>190</v>
      </c>
      <c r="X6" s="12" t="s">
        <v>190</v>
      </c>
      <c r="Y6" s="12" t="s">
        <v>190</v>
      </c>
      <c r="Z6" s="12" t="s">
        <v>190</v>
      </c>
      <c r="AA6" s="12" t="s">
        <v>190</v>
      </c>
    </row>
    <row r="7" spans="1:27" x14ac:dyDescent="0.25">
      <c r="A7" s="10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1130</v>
      </c>
      <c r="B8" s="10" t="s">
        <v>266</v>
      </c>
      <c r="C8" s="13">
        <f>_xll.BDH("ITCI US Equity","TOT_DEBT_EX_OPERATING_LEA_LIABS","FQ4 2018","FQ4 2018","Currency=USD","Period=FQ","BEST_FPERIOD_OVERRIDE=FQ","FILING_STATUS=MR","SCALING_FORMAT=MLN","Sort=A","Dates=H","DateFormat=P","Fill=—","Direction=H","UseDPDF=Y")</f>
        <v>0</v>
      </c>
      <c r="D8" s="13">
        <f>_xll.BDH("ITCI US Equity","TOT_DEBT_EX_OPERATING_LEA_LIABS","FQ1 2019","FQ1 2019","Currency=USD","Period=FQ","BEST_FPERIOD_OVERRIDE=FQ","FILING_STATUS=MR","SCALING_FORMAT=MLN","Sort=A","Dates=H","DateFormat=P","Fill=—","Direction=H","UseDPDF=Y")</f>
        <v>0</v>
      </c>
      <c r="E8" s="13">
        <f>_xll.BDH("ITCI US Equity","TOT_DEBT_EX_OPERATING_LEA_LIABS","FQ2 2019","FQ2 2019","Currency=USD","Period=FQ","BEST_FPERIOD_OVERRIDE=FQ","FILING_STATUS=MR","SCALING_FORMAT=MLN","Sort=A","Dates=H","DateFormat=P","Fill=—","Direction=H","UseDPDF=Y")</f>
        <v>0</v>
      </c>
      <c r="F8" s="13">
        <f>_xll.BDH("ITCI US Equity","TOT_DEBT_EX_OPERATING_LEA_LIABS","FQ3 2019","FQ3 2019","Currency=USD","Period=FQ","BEST_FPERIOD_OVERRIDE=FQ","FILING_STATUS=MR","SCALING_FORMAT=MLN","Sort=A","Dates=H","DateFormat=P","Fill=—","Direction=H","UseDPDF=Y")</f>
        <v>0</v>
      </c>
      <c r="G8" s="13">
        <f>_xll.BDH("ITCI US Equity","TOT_DEBT_EX_OPERATING_LEA_LIABS","FQ4 2019","FQ4 2019","Currency=USD","Period=FQ","BEST_FPERIOD_OVERRIDE=FQ","FILING_STATUS=MR","SCALING_FORMAT=MLN","Sort=A","Dates=H","DateFormat=P","Fill=—","Direction=H","UseDPDF=Y")</f>
        <v>0</v>
      </c>
      <c r="H8" s="13">
        <f>_xll.BDH("ITCI US Equity","TOT_DEBT_EX_OPERATING_LEA_LIABS","FQ1 2020","FQ1 2020","Currency=USD","Period=FQ","BEST_FPERIOD_OVERRIDE=FQ","FILING_STATUS=MR","SCALING_FORMAT=MLN","Sort=A","Dates=H","DateFormat=P","Fill=—","Direction=H","UseDPDF=Y")</f>
        <v>0</v>
      </c>
      <c r="I8" s="13">
        <f>_xll.BDH("ITCI US Equity","TOT_DEBT_EX_OPERATING_LEA_LIABS","FQ2 2020","FQ2 2020","Currency=USD","Period=FQ","BEST_FPERIOD_OVERRIDE=FQ","FILING_STATUS=MR","SCALING_FORMAT=MLN","Sort=A","Dates=H","DateFormat=P","Fill=—","Direction=H","UseDPDF=Y")</f>
        <v>0</v>
      </c>
      <c r="J8" s="13">
        <f>_xll.BDH("ITCI US Equity","TOT_DEBT_EX_OPERATING_LEA_LIABS","FQ3 2020","FQ3 2020","Currency=USD","Period=FQ","BEST_FPERIOD_OVERRIDE=FQ","FILING_STATUS=MR","SCALING_FORMAT=MLN","Sort=A","Dates=H","DateFormat=P","Fill=—","Direction=H","UseDPDF=Y")</f>
        <v>0</v>
      </c>
      <c r="K8" s="13">
        <f>_xll.BDH("ITCI US Equity","TOT_DEBT_EX_OPERATING_LEA_LIABS","FQ4 2020","FQ4 2020","Currency=USD","Period=FQ","BEST_FPERIOD_OVERRIDE=FQ","FILING_STATUS=MR","SCALING_FORMAT=MLN","Sort=A","Dates=H","DateFormat=P","Fill=—","Direction=H","UseDPDF=Y")</f>
        <v>0</v>
      </c>
      <c r="L8" s="13">
        <f>_xll.BDH("ITCI US Equity","TOT_DEBT_EX_OPERATING_LEA_LIABS","FQ1 2021","FQ1 2021","Currency=USD","Period=FQ","BEST_FPERIOD_OVERRIDE=FQ","FILING_STATUS=MR","SCALING_FORMAT=MLN","Sort=A","Dates=H","DateFormat=P","Fill=—","Direction=H","UseDPDF=Y")</f>
        <v>0</v>
      </c>
      <c r="M8" s="13">
        <f>_xll.BDH("ITCI US Equity","TOT_DEBT_EX_OPERATING_LEA_LIABS","FQ2 2021","FQ2 2021","Currency=USD","Period=FQ","BEST_FPERIOD_OVERRIDE=FQ","FILING_STATUS=MR","SCALING_FORMAT=MLN","Sort=A","Dates=H","DateFormat=P","Fill=—","Direction=H","UseDPDF=Y")</f>
        <v>0</v>
      </c>
      <c r="N8" s="13">
        <f>_xll.BDH("ITCI US Equity","TOT_DEBT_EX_OPERATING_LEA_LIABS","FQ3 2021","FQ3 2021","Currency=USD","Period=FQ","BEST_FPERIOD_OVERRIDE=FQ","FILING_STATUS=MR","SCALING_FORMAT=MLN","Sort=A","Dates=H","DateFormat=P","Fill=—","Direction=H","UseDPDF=Y")</f>
        <v>0</v>
      </c>
      <c r="O8" s="13">
        <f>_xll.BDH("ITCI US Equity","TOT_DEBT_EX_OPERATING_LEA_LIABS","FQ4 2021","FQ4 2021","Currency=USD","Period=FQ","BEST_FPERIOD_OVERRIDE=FQ","FILING_STATUS=MR","SCALING_FORMAT=MLN","Sort=A","Dates=H","DateFormat=P","Fill=—","Direction=H","UseDPDF=Y")</f>
        <v>0</v>
      </c>
      <c r="P8" s="13">
        <f>_xll.BDH("ITCI US Equity","TOT_DEBT_EX_OPERATING_LEA_LIABS","FQ1 2022","FQ1 2022","Currency=USD","Period=FQ","BEST_FPERIOD_OVERRIDE=FQ","FILING_STATUS=MR","SCALING_FORMAT=MLN","Sort=A","Dates=H","DateFormat=P","Fill=—","Direction=H","UseDPDF=Y")</f>
        <v>0</v>
      </c>
      <c r="Q8" s="13">
        <f>_xll.BDH("ITCI US Equity","TOT_DEBT_EX_OPERATING_LEA_LIABS","FQ2 2022","FQ2 2022","Currency=USD","Period=FQ","BEST_FPERIOD_OVERRIDE=FQ","FILING_STATUS=MR","SCALING_FORMAT=MLN","Sort=A","Dates=H","DateFormat=P","Fill=—","Direction=H","UseDPDF=Y")</f>
        <v>0</v>
      </c>
      <c r="R8" s="13">
        <f>_xll.BDH("ITCI US Equity","TOT_DEBT_EX_OPERATING_LEA_LIABS","FQ3 2022","FQ3 2022","Currency=USD","Period=FQ","BEST_FPERIOD_OVERRIDE=FQ","FILING_STATUS=MR","SCALING_FORMAT=MLN","Sort=A","Dates=H","DateFormat=P","Fill=—","Direction=H","UseDPDF=Y")</f>
        <v>0</v>
      </c>
      <c r="S8" s="13">
        <f>_xll.BDH("ITCI US Equity","TOT_DEBT_EX_OPERATING_LEA_LIABS","FQ4 2022","FQ4 2022","Currency=USD","Period=FQ","BEST_FPERIOD_OVERRIDE=FQ","FILING_STATUS=MR","SCALING_FORMAT=MLN","Sort=A","Dates=H","DateFormat=P","Fill=—","Direction=H","UseDPDF=Y")</f>
        <v>0</v>
      </c>
      <c r="T8" s="13">
        <f>_xll.BDH("ITCI US Equity","TOT_DEBT_EX_OPERATING_LEA_LIABS","FQ1 2023","FQ1 2023","Currency=USD","Period=FQ","BEST_FPERIOD_OVERRIDE=FQ","FILING_STATUS=MR","SCALING_FORMAT=MLN","Sort=A","Dates=H","DateFormat=P","Fill=—","Direction=H","UseDPDF=Y")</f>
        <v>0</v>
      </c>
      <c r="U8" s="13">
        <f>_xll.BDH("ITCI US Equity","TOT_DEBT_EX_OPERATING_LEA_LIABS","FQ2 2023","FQ2 2023","Currency=USD","Period=FQ","BEST_FPERIOD_OVERRIDE=FQ","FILING_STATUS=MR","SCALING_FORMAT=MLN","Sort=A","Dates=H","DateFormat=P","Fill=—","Direction=H","UseDPDF=Y")</f>
        <v>0</v>
      </c>
      <c r="V8" s="13">
        <f>_xll.BDH("ITCI US Equity","TOT_DEBT_EX_OPERATING_LEA_LIABS","FQ3 2023","FQ3 2023","Currency=USD","Period=FQ","BEST_FPERIOD_OVERRIDE=FQ","FILING_STATUS=MR","SCALING_FORMAT=MLN","Sort=A","Dates=H","DateFormat=P","Fill=—","Direction=H","UseDPDF=Y")</f>
        <v>0</v>
      </c>
      <c r="W8" s="13">
        <f>_xll.BDH("ITCI US Equity","TOT_DEBT_EX_OPERATING_LEA_LIABS","FQ4 2023","FQ4 2023","Currency=USD","Period=FQ","BEST_FPERIOD_OVERRIDE=FQ","FILING_STATUS=MR","SCALING_FORMAT=MLN","Sort=A","Dates=H","DateFormat=P","Fill=—","Direction=H","UseDPDF=Y")</f>
        <v>0</v>
      </c>
      <c r="X8" s="13">
        <f>_xll.BDH("ITCI US Equity","TOT_DEBT_EX_OPERATING_LEA_LIABS","FQ1 2024","FQ1 2024","Currency=USD","Period=FQ","BEST_FPERIOD_OVERRIDE=FQ","FILING_STATUS=MR","SCALING_FORMAT=MLN","Sort=A","Dates=H","DateFormat=P","Fill=—","Direction=H","UseDPDF=Y")</f>
        <v>0</v>
      </c>
      <c r="Y8" s="13">
        <f>_xll.BDH("ITCI US Equity","TOT_DEBT_EX_OPERATING_LEA_LIABS","FQ2 2024","FQ2 2024","Currency=USD","Period=FQ","BEST_FPERIOD_OVERRIDE=FQ","FILING_STATUS=MR","SCALING_FORMAT=MLN","Sort=A","Dates=H","DateFormat=P","Fill=—","Direction=H","UseDPDF=Y")</f>
        <v>0</v>
      </c>
      <c r="Z8" s="13">
        <f>_xll.BDH("ITCI US Equity","TOT_DEBT_EX_OPERATING_LEA_LIABS","FQ3 2024","FQ3 2024","Currency=USD","Period=FQ","BEST_FPERIOD_OVERRIDE=FQ","FILING_STATUS=MR","SCALING_FORMAT=MLN","Sort=A","Dates=H","DateFormat=P","Fill=—","Direction=H","UseDPDF=Y")</f>
        <v>0</v>
      </c>
      <c r="AA8" s="13">
        <f>_xll.BDH("ITCI US Equity","TOT_DEBT_EX_OPERATING_LEA_LIABS","FQ4 2024","FQ4 2024","Currency=USD","Period=FQ","BEST_FPERIOD_OVERRIDE=FQ","FILING_STATUS=MR","SCALING_FORMAT=MLN","Sort=A","Dates=H","DateFormat=P","Fill=—","Direction=H","UseDPDF=Y")</f>
        <v>0</v>
      </c>
    </row>
    <row r="9" spans="1:27" x14ac:dyDescent="0.25">
      <c r="A9" s="10" t="s">
        <v>1176</v>
      </c>
      <c r="B9" s="10" t="s">
        <v>1198</v>
      </c>
      <c r="C9" s="13">
        <f>_xll.BDH("ITCI US Equity","ST_DEBT_EX_OPERATING_LEASE_LIABS","FQ4 2018","FQ4 2018","Currency=USD","Period=FQ","BEST_FPERIOD_OVERRIDE=FQ","FILING_STATUS=MR","SCALING_FORMAT=MLN","Sort=A","Dates=H","DateFormat=P","Fill=—","Direction=H","UseDPDF=Y")</f>
        <v>0</v>
      </c>
      <c r="D9" s="13">
        <f>_xll.BDH("ITCI US Equity","ST_DEBT_EX_OPERATING_LEASE_LIABS","FQ1 2019","FQ1 2019","Currency=USD","Period=FQ","BEST_FPERIOD_OVERRIDE=FQ","FILING_STATUS=MR","SCALING_FORMAT=MLN","Sort=A","Dates=H","DateFormat=P","Fill=—","Direction=H","UseDPDF=Y")</f>
        <v>0</v>
      </c>
      <c r="E9" s="13">
        <f>_xll.BDH("ITCI US Equity","ST_DEBT_EX_OPERATING_LEASE_LIABS","FQ2 2019","FQ2 2019","Currency=USD","Period=FQ","BEST_FPERIOD_OVERRIDE=FQ","FILING_STATUS=MR","SCALING_FORMAT=MLN","Sort=A","Dates=H","DateFormat=P","Fill=—","Direction=H","UseDPDF=Y")</f>
        <v>0</v>
      </c>
      <c r="F9" s="13">
        <f>_xll.BDH("ITCI US Equity","ST_DEBT_EX_OPERATING_LEASE_LIABS","FQ3 2019","FQ3 2019","Currency=USD","Period=FQ","BEST_FPERIOD_OVERRIDE=FQ","FILING_STATUS=MR","SCALING_FORMAT=MLN","Sort=A","Dates=H","DateFormat=P","Fill=—","Direction=H","UseDPDF=Y")</f>
        <v>0</v>
      </c>
      <c r="G9" s="13">
        <f>_xll.BDH("ITCI US Equity","ST_DEBT_EX_OPERATING_LEASE_LIABS","FQ4 2019","FQ4 2019","Currency=USD","Period=FQ","BEST_FPERIOD_OVERRIDE=FQ","FILING_STATUS=MR","SCALING_FORMAT=MLN","Sort=A","Dates=H","DateFormat=P","Fill=—","Direction=H","UseDPDF=Y")</f>
        <v>0</v>
      </c>
      <c r="H9" s="13">
        <f>_xll.BDH("ITCI US Equity","ST_DEBT_EX_OPERATING_LEASE_LIABS","FQ1 2020","FQ1 2020","Currency=USD","Period=FQ","BEST_FPERIOD_OVERRIDE=FQ","FILING_STATUS=MR","SCALING_FORMAT=MLN","Sort=A","Dates=H","DateFormat=P","Fill=—","Direction=H","UseDPDF=Y")</f>
        <v>0</v>
      </c>
      <c r="I9" s="13">
        <f>_xll.BDH("ITCI US Equity","ST_DEBT_EX_OPERATING_LEASE_LIABS","FQ2 2020","FQ2 2020","Currency=USD","Period=FQ","BEST_FPERIOD_OVERRIDE=FQ","FILING_STATUS=MR","SCALING_FORMAT=MLN","Sort=A","Dates=H","DateFormat=P","Fill=—","Direction=H","UseDPDF=Y")</f>
        <v>0</v>
      </c>
      <c r="J9" s="13">
        <f>_xll.BDH("ITCI US Equity","ST_DEBT_EX_OPERATING_LEASE_LIABS","FQ3 2020","FQ3 2020","Currency=USD","Period=FQ","BEST_FPERIOD_OVERRIDE=FQ","FILING_STATUS=MR","SCALING_FORMAT=MLN","Sort=A","Dates=H","DateFormat=P","Fill=—","Direction=H","UseDPDF=Y")</f>
        <v>0</v>
      </c>
      <c r="K9" s="13">
        <f>_xll.BDH("ITCI US Equity","ST_DEBT_EX_OPERATING_LEASE_LIABS","FQ4 2020","FQ4 2020","Currency=USD","Period=FQ","BEST_FPERIOD_OVERRIDE=FQ","FILING_STATUS=MR","SCALING_FORMAT=MLN","Sort=A","Dates=H","DateFormat=P","Fill=—","Direction=H","UseDPDF=Y")</f>
        <v>0</v>
      </c>
      <c r="L9" s="13">
        <f>_xll.BDH("ITCI US Equity","ST_DEBT_EX_OPERATING_LEASE_LIABS","FQ1 2021","FQ1 2021","Currency=USD","Period=FQ","BEST_FPERIOD_OVERRIDE=FQ","FILING_STATUS=MR","SCALING_FORMAT=MLN","Sort=A","Dates=H","DateFormat=P","Fill=—","Direction=H","UseDPDF=Y")</f>
        <v>0</v>
      </c>
      <c r="M9" s="13">
        <f>_xll.BDH("ITCI US Equity","ST_DEBT_EX_OPERATING_LEASE_LIABS","FQ2 2021","FQ2 2021","Currency=USD","Period=FQ","BEST_FPERIOD_OVERRIDE=FQ","FILING_STATUS=MR","SCALING_FORMAT=MLN","Sort=A","Dates=H","DateFormat=P","Fill=—","Direction=H","UseDPDF=Y")</f>
        <v>0</v>
      </c>
      <c r="N9" s="13">
        <f>_xll.BDH("ITCI US Equity","ST_DEBT_EX_OPERATING_LEASE_LIABS","FQ3 2021","FQ3 2021","Currency=USD","Period=FQ","BEST_FPERIOD_OVERRIDE=FQ","FILING_STATUS=MR","SCALING_FORMAT=MLN","Sort=A","Dates=H","DateFormat=P","Fill=—","Direction=H","UseDPDF=Y")</f>
        <v>0</v>
      </c>
      <c r="O9" s="13">
        <f>_xll.BDH("ITCI US Equity","ST_DEBT_EX_OPERATING_LEASE_LIABS","FQ4 2021","FQ4 2021","Currency=USD","Period=FQ","BEST_FPERIOD_OVERRIDE=FQ","FILING_STATUS=MR","SCALING_FORMAT=MLN","Sort=A","Dates=H","DateFormat=P","Fill=—","Direction=H","UseDPDF=Y")</f>
        <v>0</v>
      </c>
      <c r="P9" s="13">
        <f>_xll.BDH("ITCI US Equity","ST_DEBT_EX_OPERATING_LEASE_LIABS","FQ1 2022","FQ1 2022","Currency=USD","Period=FQ","BEST_FPERIOD_OVERRIDE=FQ","FILING_STATUS=MR","SCALING_FORMAT=MLN","Sort=A","Dates=H","DateFormat=P","Fill=—","Direction=H","UseDPDF=Y")</f>
        <v>0</v>
      </c>
      <c r="Q9" s="13">
        <f>_xll.BDH("ITCI US Equity","ST_DEBT_EX_OPERATING_LEASE_LIABS","FQ2 2022","FQ2 2022","Currency=USD","Period=FQ","BEST_FPERIOD_OVERRIDE=FQ","FILING_STATUS=MR","SCALING_FORMAT=MLN","Sort=A","Dates=H","DateFormat=P","Fill=—","Direction=H","UseDPDF=Y")</f>
        <v>0</v>
      </c>
      <c r="R9" s="13">
        <f>_xll.BDH("ITCI US Equity","ST_DEBT_EX_OPERATING_LEASE_LIABS","FQ3 2022","FQ3 2022","Currency=USD","Period=FQ","BEST_FPERIOD_OVERRIDE=FQ","FILING_STATUS=MR","SCALING_FORMAT=MLN","Sort=A","Dates=H","DateFormat=P","Fill=—","Direction=H","UseDPDF=Y")</f>
        <v>0</v>
      </c>
      <c r="S9" s="13">
        <f>_xll.BDH("ITCI US Equity","ST_DEBT_EX_OPERATING_LEASE_LIABS","FQ4 2022","FQ4 2022","Currency=USD","Period=FQ","BEST_FPERIOD_OVERRIDE=FQ","FILING_STATUS=MR","SCALING_FORMAT=MLN","Sort=A","Dates=H","DateFormat=P","Fill=—","Direction=H","UseDPDF=Y")</f>
        <v>0</v>
      </c>
      <c r="T9" s="13">
        <f>_xll.BDH("ITCI US Equity","ST_DEBT_EX_OPERATING_LEASE_LIABS","FQ1 2023","FQ1 2023","Currency=USD","Period=FQ","BEST_FPERIOD_OVERRIDE=FQ","FILING_STATUS=MR","SCALING_FORMAT=MLN","Sort=A","Dates=H","DateFormat=P","Fill=—","Direction=H","UseDPDF=Y")</f>
        <v>0</v>
      </c>
      <c r="U9" s="13">
        <f>_xll.BDH("ITCI US Equity","ST_DEBT_EX_OPERATING_LEASE_LIABS","FQ2 2023","FQ2 2023","Currency=USD","Period=FQ","BEST_FPERIOD_OVERRIDE=FQ","FILING_STATUS=MR","SCALING_FORMAT=MLN","Sort=A","Dates=H","DateFormat=P","Fill=—","Direction=H","UseDPDF=Y")</f>
        <v>0</v>
      </c>
      <c r="V9" s="13">
        <f>_xll.BDH("ITCI US Equity","ST_DEBT_EX_OPERATING_LEASE_LIABS","FQ3 2023","FQ3 2023","Currency=USD","Period=FQ","BEST_FPERIOD_OVERRIDE=FQ","FILING_STATUS=MR","SCALING_FORMAT=MLN","Sort=A","Dates=H","DateFormat=P","Fill=—","Direction=H","UseDPDF=Y")</f>
        <v>0</v>
      </c>
      <c r="W9" s="13">
        <f>_xll.BDH("ITCI US Equity","ST_DEBT_EX_OPERATING_LEASE_LIABS","FQ4 2023","FQ4 2023","Currency=USD","Period=FQ","BEST_FPERIOD_OVERRIDE=FQ","FILING_STATUS=MR","SCALING_FORMAT=MLN","Sort=A","Dates=H","DateFormat=P","Fill=—","Direction=H","UseDPDF=Y")</f>
        <v>0</v>
      </c>
      <c r="X9" s="13">
        <f>_xll.BDH("ITCI US Equity","ST_DEBT_EX_OPERATING_LEASE_LIABS","FQ1 2024","FQ1 2024","Currency=USD","Period=FQ","BEST_FPERIOD_OVERRIDE=FQ","FILING_STATUS=MR","SCALING_FORMAT=MLN","Sort=A","Dates=H","DateFormat=P","Fill=—","Direction=H","UseDPDF=Y")</f>
        <v>0</v>
      </c>
      <c r="Y9" s="13">
        <f>_xll.BDH("ITCI US Equity","ST_DEBT_EX_OPERATING_LEASE_LIABS","FQ2 2024","FQ2 2024","Currency=USD","Period=FQ","BEST_FPERIOD_OVERRIDE=FQ","FILING_STATUS=MR","SCALING_FORMAT=MLN","Sort=A","Dates=H","DateFormat=P","Fill=—","Direction=H","UseDPDF=Y")</f>
        <v>0</v>
      </c>
      <c r="Z9" s="13">
        <f>_xll.BDH("ITCI US Equity","ST_DEBT_EX_OPERATING_LEASE_LIABS","FQ3 2024","FQ3 2024","Currency=USD","Period=FQ","BEST_FPERIOD_OVERRIDE=FQ","FILING_STATUS=MR","SCALING_FORMAT=MLN","Sort=A","Dates=H","DateFormat=P","Fill=—","Direction=H","UseDPDF=Y")</f>
        <v>0</v>
      </c>
      <c r="AA9" s="13">
        <f>_xll.BDH("ITCI US Equity","ST_DEBT_EX_OPERATING_LEASE_LIABS","FQ4 2024","FQ4 2024","Currency=USD","Period=FQ","BEST_FPERIOD_OVERRIDE=FQ","FILING_STATUS=MR","SCALING_FORMAT=MLN","Sort=A","Dates=H","DateFormat=P","Fill=—","Direction=H","UseDPDF=Y")</f>
        <v>0</v>
      </c>
    </row>
    <row r="10" spans="1:27" x14ac:dyDescent="0.25">
      <c r="A10" s="10" t="s">
        <v>1177</v>
      </c>
      <c r="B10" s="10" t="s">
        <v>1199</v>
      </c>
      <c r="C10" s="13">
        <f>_xll.BDH("ITCI US Equity","LT_DEBT_EX_OPERATING_LEASE_LIABS","FQ4 2018","FQ4 2018","Currency=USD","Period=FQ","BEST_FPERIOD_OVERRIDE=FQ","FILING_STATUS=MR","SCALING_FORMAT=MLN","Sort=A","Dates=H","DateFormat=P","Fill=—","Direction=H","UseDPDF=Y")</f>
        <v>0</v>
      </c>
      <c r="D10" s="13">
        <f>_xll.BDH("ITCI US Equity","LT_DEBT_EX_OPERATING_LEASE_LIABS","FQ1 2019","FQ1 2019","Currency=USD","Period=FQ","BEST_FPERIOD_OVERRIDE=FQ","FILING_STATUS=MR","SCALING_FORMAT=MLN","Sort=A","Dates=H","DateFormat=P","Fill=—","Direction=H","UseDPDF=Y")</f>
        <v>0</v>
      </c>
      <c r="E10" s="13">
        <f>_xll.BDH("ITCI US Equity","LT_DEBT_EX_OPERATING_LEASE_LIABS","FQ2 2019","FQ2 2019","Currency=USD","Period=FQ","BEST_FPERIOD_OVERRIDE=FQ","FILING_STATUS=MR","SCALING_FORMAT=MLN","Sort=A","Dates=H","DateFormat=P","Fill=—","Direction=H","UseDPDF=Y")</f>
        <v>0</v>
      </c>
      <c r="F10" s="13">
        <f>_xll.BDH("ITCI US Equity","LT_DEBT_EX_OPERATING_LEASE_LIABS","FQ3 2019","FQ3 2019","Currency=USD","Period=FQ","BEST_FPERIOD_OVERRIDE=FQ","FILING_STATUS=MR","SCALING_FORMAT=MLN","Sort=A","Dates=H","DateFormat=P","Fill=—","Direction=H","UseDPDF=Y")</f>
        <v>0</v>
      </c>
      <c r="G10" s="13">
        <f>_xll.BDH("ITCI US Equity","LT_DEBT_EX_OPERATING_LEASE_LIABS","FQ4 2019","FQ4 2019","Currency=USD","Period=FQ","BEST_FPERIOD_OVERRIDE=FQ","FILING_STATUS=MR","SCALING_FORMAT=MLN","Sort=A","Dates=H","DateFormat=P","Fill=—","Direction=H","UseDPDF=Y")</f>
        <v>0</v>
      </c>
      <c r="H10" s="13">
        <f>_xll.BDH("ITCI US Equity","LT_DEBT_EX_OPERATING_LEASE_LIABS","FQ1 2020","FQ1 2020","Currency=USD","Period=FQ","BEST_FPERIOD_OVERRIDE=FQ","FILING_STATUS=MR","SCALING_FORMAT=MLN","Sort=A","Dates=H","DateFormat=P","Fill=—","Direction=H","UseDPDF=Y")</f>
        <v>0</v>
      </c>
      <c r="I10" s="13">
        <f>_xll.BDH("ITCI US Equity","LT_DEBT_EX_OPERATING_LEASE_LIABS","FQ2 2020","FQ2 2020","Currency=USD","Period=FQ","BEST_FPERIOD_OVERRIDE=FQ","FILING_STATUS=MR","SCALING_FORMAT=MLN","Sort=A","Dates=H","DateFormat=P","Fill=—","Direction=H","UseDPDF=Y")</f>
        <v>0</v>
      </c>
      <c r="J10" s="13">
        <f>_xll.BDH("ITCI US Equity","LT_DEBT_EX_OPERATING_LEASE_LIABS","FQ3 2020","FQ3 2020","Currency=USD","Period=FQ","BEST_FPERIOD_OVERRIDE=FQ","FILING_STATUS=MR","SCALING_FORMAT=MLN","Sort=A","Dates=H","DateFormat=P","Fill=—","Direction=H","UseDPDF=Y")</f>
        <v>0</v>
      </c>
      <c r="K10" s="13">
        <f>_xll.BDH("ITCI US Equity","LT_DEBT_EX_OPERATING_LEASE_LIABS","FQ4 2020","FQ4 2020","Currency=USD","Period=FQ","BEST_FPERIOD_OVERRIDE=FQ","FILING_STATUS=MR","SCALING_FORMAT=MLN","Sort=A","Dates=H","DateFormat=P","Fill=—","Direction=H","UseDPDF=Y")</f>
        <v>0</v>
      </c>
      <c r="L10" s="13">
        <f>_xll.BDH("ITCI US Equity","LT_DEBT_EX_OPERATING_LEASE_LIABS","FQ1 2021","FQ1 2021","Currency=USD","Period=FQ","BEST_FPERIOD_OVERRIDE=FQ","FILING_STATUS=MR","SCALING_FORMAT=MLN","Sort=A","Dates=H","DateFormat=P","Fill=—","Direction=H","UseDPDF=Y")</f>
        <v>0</v>
      </c>
      <c r="M10" s="13">
        <f>_xll.BDH("ITCI US Equity","LT_DEBT_EX_OPERATING_LEASE_LIABS","FQ2 2021","FQ2 2021","Currency=USD","Period=FQ","BEST_FPERIOD_OVERRIDE=FQ","FILING_STATUS=MR","SCALING_FORMAT=MLN","Sort=A","Dates=H","DateFormat=P","Fill=—","Direction=H","UseDPDF=Y")</f>
        <v>0</v>
      </c>
      <c r="N10" s="13">
        <f>_xll.BDH("ITCI US Equity","LT_DEBT_EX_OPERATING_LEASE_LIABS","FQ3 2021","FQ3 2021","Currency=USD","Period=FQ","BEST_FPERIOD_OVERRIDE=FQ","FILING_STATUS=MR","SCALING_FORMAT=MLN","Sort=A","Dates=H","DateFormat=P","Fill=—","Direction=H","UseDPDF=Y")</f>
        <v>0</v>
      </c>
      <c r="O10" s="13">
        <f>_xll.BDH("ITCI US Equity","LT_DEBT_EX_OPERATING_LEASE_LIABS","FQ4 2021","FQ4 2021","Currency=USD","Period=FQ","BEST_FPERIOD_OVERRIDE=FQ","FILING_STATUS=MR","SCALING_FORMAT=MLN","Sort=A","Dates=H","DateFormat=P","Fill=—","Direction=H","UseDPDF=Y")</f>
        <v>0</v>
      </c>
      <c r="P10" s="13">
        <f>_xll.BDH("ITCI US Equity","LT_DEBT_EX_OPERATING_LEASE_LIABS","FQ1 2022","FQ1 2022","Currency=USD","Period=FQ","BEST_FPERIOD_OVERRIDE=FQ","FILING_STATUS=MR","SCALING_FORMAT=MLN","Sort=A","Dates=H","DateFormat=P","Fill=—","Direction=H","UseDPDF=Y")</f>
        <v>0</v>
      </c>
      <c r="Q10" s="13">
        <f>_xll.BDH("ITCI US Equity","LT_DEBT_EX_OPERATING_LEASE_LIABS","FQ2 2022","FQ2 2022","Currency=USD","Period=FQ","BEST_FPERIOD_OVERRIDE=FQ","FILING_STATUS=MR","SCALING_FORMAT=MLN","Sort=A","Dates=H","DateFormat=P","Fill=—","Direction=H","UseDPDF=Y")</f>
        <v>0</v>
      </c>
      <c r="R10" s="13">
        <f>_xll.BDH("ITCI US Equity","LT_DEBT_EX_OPERATING_LEASE_LIABS","FQ3 2022","FQ3 2022","Currency=USD","Period=FQ","BEST_FPERIOD_OVERRIDE=FQ","FILING_STATUS=MR","SCALING_FORMAT=MLN","Sort=A","Dates=H","DateFormat=P","Fill=—","Direction=H","UseDPDF=Y")</f>
        <v>0</v>
      </c>
      <c r="S10" s="13">
        <f>_xll.BDH("ITCI US Equity","LT_DEBT_EX_OPERATING_LEASE_LIABS","FQ4 2022","FQ4 2022","Currency=USD","Period=FQ","BEST_FPERIOD_OVERRIDE=FQ","FILING_STATUS=MR","SCALING_FORMAT=MLN","Sort=A","Dates=H","DateFormat=P","Fill=—","Direction=H","UseDPDF=Y")</f>
        <v>0</v>
      </c>
      <c r="T10" s="13">
        <f>_xll.BDH("ITCI US Equity","LT_DEBT_EX_OPERATING_LEASE_LIABS","FQ1 2023","FQ1 2023","Currency=USD","Period=FQ","BEST_FPERIOD_OVERRIDE=FQ","FILING_STATUS=MR","SCALING_FORMAT=MLN","Sort=A","Dates=H","DateFormat=P","Fill=—","Direction=H","UseDPDF=Y")</f>
        <v>0</v>
      </c>
      <c r="U10" s="13">
        <f>_xll.BDH("ITCI US Equity","LT_DEBT_EX_OPERATING_LEASE_LIABS","FQ2 2023","FQ2 2023","Currency=USD","Period=FQ","BEST_FPERIOD_OVERRIDE=FQ","FILING_STATUS=MR","SCALING_FORMAT=MLN","Sort=A","Dates=H","DateFormat=P","Fill=—","Direction=H","UseDPDF=Y")</f>
        <v>0</v>
      </c>
      <c r="V10" s="13">
        <f>_xll.BDH("ITCI US Equity","LT_DEBT_EX_OPERATING_LEASE_LIABS","FQ3 2023","FQ3 2023","Currency=USD","Period=FQ","BEST_FPERIOD_OVERRIDE=FQ","FILING_STATUS=MR","SCALING_FORMAT=MLN","Sort=A","Dates=H","DateFormat=P","Fill=—","Direction=H","UseDPDF=Y")</f>
        <v>0</v>
      </c>
      <c r="W10" s="13">
        <f>_xll.BDH("ITCI US Equity","LT_DEBT_EX_OPERATING_LEASE_LIABS","FQ4 2023","FQ4 2023","Currency=USD","Period=FQ","BEST_FPERIOD_OVERRIDE=FQ","FILING_STATUS=MR","SCALING_FORMAT=MLN","Sort=A","Dates=H","DateFormat=P","Fill=—","Direction=H","UseDPDF=Y")</f>
        <v>0</v>
      </c>
      <c r="X10" s="13">
        <f>_xll.BDH("ITCI US Equity","LT_DEBT_EX_OPERATING_LEASE_LIABS","FQ1 2024","FQ1 2024","Currency=USD","Period=FQ","BEST_FPERIOD_OVERRIDE=FQ","FILING_STATUS=MR","SCALING_FORMAT=MLN","Sort=A","Dates=H","DateFormat=P","Fill=—","Direction=H","UseDPDF=Y")</f>
        <v>0</v>
      </c>
      <c r="Y10" s="13">
        <f>_xll.BDH("ITCI US Equity","LT_DEBT_EX_OPERATING_LEASE_LIABS","FQ2 2024","FQ2 2024","Currency=USD","Period=FQ","BEST_FPERIOD_OVERRIDE=FQ","FILING_STATUS=MR","SCALING_FORMAT=MLN","Sort=A","Dates=H","DateFormat=P","Fill=—","Direction=H","UseDPDF=Y")</f>
        <v>0</v>
      </c>
      <c r="Z10" s="13">
        <f>_xll.BDH("ITCI US Equity","LT_DEBT_EX_OPERATING_LEASE_LIABS","FQ3 2024","FQ3 2024","Currency=USD","Period=FQ","BEST_FPERIOD_OVERRIDE=FQ","FILING_STATUS=MR","SCALING_FORMAT=MLN","Sort=A","Dates=H","DateFormat=P","Fill=—","Direction=H","UseDPDF=Y")</f>
        <v>0</v>
      </c>
      <c r="AA10" s="13">
        <f>_xll.BDH("ITCI US Equity","LT_DEBT_EX_OPERATING_LEASE_LIABS","FQ4 2024","FQ4 2024","Currency=USD","Period=FQ","BEST_FPERIOD_OVERRIDE=FQ","FILING_STATUS=MR","SCALING_FORMAT=MLN","Sort=A","Dates=H","DateFormat=P","Fill=—","Direction=H","UseDPDF=Y")</f>
        <v>0</v>
      </c>
    </row>
    <row r="11" spans="1:27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1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25">
      <c r="A13" s="10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5">
      <c r="A14" s="10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5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5">
      <c r="A16" s="10" t="s">
        <v>1178</v>
      </c>
      <c r="B16" s="10" t="s">
        <v>1200</v>
      </c>
      <c r="C16" s="13">
        <f>_xll.BDH("ITCI US Equity","INT_EXPN_AFTER_OPERATING_LEA_ACT","FQ4 2018","FQ4 2018","Currency=USD","Period=FQ","BEST_FPERIOD_OVERRIDE=FQ","FILING_STATUS=MR","SCALING_FORMAT=MLN","FA_ADJUSTED=GAAP","Sort=A","Dates=H","DateFormat=P","Fill=—","Direction=H","UseDPDF=Y")</f>
        <v>0</v>
      </c>
      <c r="D16" s="13">
        <f>_xll.BDH("ITCI US Equity","INT_EXPN_AFTER_OPERATING_LEA_ACT","FQ1 2019","FQ1 2019","Currency=USD","Period=FQ","BEST_FPERIOD_OVERRIDE=FQ","FILING_STATUS=MR","SCALING_FORMAT=MLN","FA_ADJUSTED=GAAP","Sort=A","Dates=H","DateFormat=P","Fill=—","Direction=H","UseDPDF=Y")</f>
        <v>0</v>
      </c>
      <c r="E16" s="13">
        <f>_xll.BDH("ITCI US Equity","INT_EXPN_AFTER_OPERATING_LEA_ACT","FQ2 2019","FQ2 2019","Currency=USD","Period=FQ","BEST_FPERIOD_OVERRIDE=FQ","FILING_STATUS=MR","SCALING_FORMAT=MLN","FA_ADJUSTED=GAAP","Sort=A","Dates=H","DateFormat=P","Fill=—","Direction=H","UseDPDF=Y")</f>
        <v>0</v>
      </c>
      <c r="F16" s="13">
        <f>_xll.BDH("ITCI US Equity","INT_EXPN_AFTER_OPERATING_LEA_ACT","FQ3 2019","FQ3 2019","Currency=USD","Period=FQ","BEST_FPERIOD_OVERRIDE=FQ","FILING_STATUS=MR","SCALING_FORMAT=MLN","FA_ADJUSTED=GAAP","Sort=A","Dates=H","DateFormat=P","Fill=—","Direction=H","UseDPDF=Y")</f>
        <v>0</v>
      </c>
      <c r="G16" s="13">
        <f>_xll.BDH("ITCI US Equity","INT_EXPN_AFTER_OPERATING_LEA_ACT","FQ4 2019","FQ4 2019","Currency=USD","Period=FQ","BEST_FPERIOD_OVERRIDE=FQ","FILING_STATUS=MR","SCALING_FORMAT=MLN","FA_ADJUSTED=GAAP","Sort=A","Dates=H","DateFormat=P","Fill=—","Direction=H","UseDPDF=Y")</f>
        <v>0</v>
      </c>
      <c r="H16" s="13" t="str">
        <f>_xll.BDH("ITCI US Equity","INT_EXPN_AFTER_OPERATING_LEA_ACT","FQ1 2020","FQ1 2020","Currency=USD","Period=FQ","BEST_FPERIOD_OVERRIDE=FQ","FILING_STATUS=MR","SCALING_FORMAT=MLN","FA_ADJUSTED=GAAP","Sort=A","Dates=H","DateFormat=P","Fill=—","Direction=H","UseDPDF=Y")</f>
        <v>—</v>
      </c>
      <c r="I16" s="13">
        <f>_xll.BDH("ITCI US Equity","INT_EXPN_AFTER_OPERATING_LEA_ACT","FQ2 2020","FQ2 2020","Currency=USD","Period=FQ","BEST_FPERIOD_OVERRIDE=FQ","FILING_STATUS=MR","SCALING_FORMAT=MLN","FA_ADJUSTED=GAAP","Sort=A","Dates=H","DateFormat=P","Fill=—","Direction=H","UseDPDF=Y")</f>
        <v>0</v>
      </c>
      <c r="J16" s="13">
        <f>_xll.BDH("ITCI US Equity","INT_EXPN_AFTER_OPERATING_LEA_ACT","FQ3 2020","FQ3 2020","Currency=USD","Period=FQ","BEST_FPERIOD_OVERRIDE=FQ","FILING_STATUS=MR","SCALING_FORMAT=MLN","FA_ADJUSTED=GAAP","Sort=A","Dates=H","DateFormat=P","Fill=—","Direction=H","UseDPDF=Y")</f>
        <v>0</v>
      </c>
      <c r="K16" s="13">
        <f>_xll.BDH("ITCI US Equity","INT_EXPN_AFTER_OPERATING_LEA_ACT","FQ4 2020","FQ4 2020","Currency=USD","Period=FQ","BEST_FPERIOD_OVERRIDE=FQ","FILING_STATUS=MR","SCALING_FORMAT=MLN","FA_ADJUSTED=GAAP","Sort=A","Dates=H","DateFormat=P","Fill=—","Direction=H","UseDPDF=Y")</f>
        <v>0</v>
      </c>
      <c r="L16" s="13" t="str">
        <f>_xll.BDH("ITCI US Equity","INT_EXPN_AFTER_OPERATING_LEA_ACT","FQ1 2021","FQ1 2021","Currency=USD","Period=FQ","BEST_FPERIOD_OVERRIDE=FQ","FILING_STATUS=MR","SCALING_FORMAT=MLN","FA_ADJUSTED=GAAP","Sort=A","Dates=H","DateFormat=P","Fill=—","Direction=H","UseDPDF=Y")</f>
        <v>—</v>
      </c>
      <c r="M16" s="13" t="str">
        <f>_xll.BDH("ITCI US Equity","INT_EXPN_AFTER_OPERATING_LEA_ACT","FQ2 2021","FQ2 2021","Currency=USD","Period=FQ","BEST_FPERIOD_OVERRIDE=FQ","FILING_STATUS=MR","SCALING_FORMAT=MLN","FA_ADJUSTED=GAAP","Sort=A","Dates=H","DateFormat=P","Fill=—","Direction=H","UseDPDF=Y")</f>
        <v>—</v>
      </c>
      <c r="N16" s="13" t="str">
        <f>_xll.BDH("ITCI US Equity","INT_EXPN_AFTER_OPERATING_LEA_ACT","FQ3 2021","FQ3 2021","Currency=USD","Period=FQ","BEST_FPERIOD_OVERRIDE=FQ","FILING_STATUS=MR","SCALING_FORMAT=MLN","FA_ADJUSTED=GAAP","Sort=A","Dates=H","DateFormat=P","Fill=—","Direction=H","UseDPDF=Y")</f>
        <v>—</v>
      </c>
      <c r="O16" s="13">
        <f>_xll.BDH("ITCI US Equity","INT_EXPN_AFTER_OPERATING_LEA_ACT","FQ4 2021","FQ4 2021","Currency=USD","Period=FQ","BEST_FPERIOD_OVERRIDE=FQ","FILING_STATUS=MR","SCALING_FORMAT=MLN","FA_ADJUSTED=GAAP","Sort=A","Dates=H","DateFormat=P","Fill=—","Direction=H","UseDPDF=Y")</f>
        <v>0</v>
      </c>
      <c r="P16" s="13" t="str">
        <f>_xll.BDH("ITCI US Equity","INT_EXPN_AFTER_OPERATING_LEA_ACT","FQ1 2022","FQ1 2022","Currency=USD","Period=FQ","BEST_FPERIOD_OVERRIDE=FQ","FILING_STATUS=MR","SCALING_FORMAT=MLN","FA_ADJUSTED=GAAP","Sort=A","Dates=H","DateFormat=P","Fill=—","Direction=H","UseDPDF=Y")</f>
        <v>—</v>
      </c>
      <c r="Q16" s="13">
        <f>_xll.BDH("ITCI US Equity","INT_EXPN_AFTER_OPERATING_LEA_ACT","FQ2 2022","FQ2 2022","Currency=USD","Period=FQ","BEST_FPERIOD_OVERRIDE=FQ","FILING_STATUS=MR","SCALING_FORMAT=MLN","FA_ADJUSTED=GAAP","Sort=A","Dates=H","DateFormat=P","Fill=—","Direction=H","UseDPDF=Y")</f>
        <v>0</v>
      </c>
      <c r="R16" s="13" t="str">
        <f>_xll.BDH("ITCI US Equity","INT_EXPN_AFTER_OPERATING_LEA_ACT","FQ3 2022","FQ3 2022","Currency=USD","Period=FQ","BEST_FPERIOD_OVERRIDE=FQ","FILING_STATUS=MR","SCALING_FORMAT=MLN","FA_ADJUSTED=GAAP","Sort=A","Dates=H","DateFormat=P","Fill=—","Direction=H","UseDPDF=Y")</f>
        <v>—</v>
      </c>
      <c r="S16" s="13">
        <f>_xll.BDH("ITCI US Equity","INT_EXPN_AFTER_OPERATING_LEA_ACT","FQ4 2022","FQ4 2022","Currency=USD","Period=FQ","BEST_FPERIOD_OVERRIDE=FQ","FILING_STATUS=MR","SCALING_FORMAT=MLN","FA_ADJUSTED=GAAP","Sort=A","Dates=H","DateFormat=P","Fill=—","Direction=H","UseDPDF=Y")</f>
        <v>0</v>
      </c>
      <c r="T16" s="13" t="str">
        <f>_xll.BDH("ITCI US Equity","INT_EXPN_AFTER_OPERATING_LEA_ACT","FQ1 2023","FQ1 2023","Currency=USD","Period=FQ","BEST_FPERIOD_OVERRIDE=FQ","FILING_STATUS=MR","SCALING_FORMAT=MLN","FA_ADJUSTED=GAAP","Sort=A","Dates=H","DateFormat=P","Fill=—","Direction=H","UseDPDF=Y")</f>
        <v>—</v>
      </c>
      <c r="U16" s="13" t="str">
        <f>_xll.BDH("ITCI US Equity","INT_EXPN_AFTER_OPERATING_LEA_ACT","FQ2 2023","FQ2 2023","Currency=USD","Period=FQ","BEST_FPERIOD_OVERRIDE=FQ","FILING_STATUS=MR","SCALING_FORMAT=MLN","FA_ADJUSTED=GAAP","Sort=A","Dates=H","DateFormat=P","Fill=—","Direction=H","UseDPDF=Y")</f>
        <v>—</v>
      </c>
      <c r="V16" s="13" t="str">
        <f>_xll.BDH("ITCI US Equity","INT_EXPN_AFTER_OPERATING_LEA_ACT","FQ3 2023","FQ3 2023","Currency=USD","Period=FQ","BEST_FPERIOD_OVERRIDE=FQ","FILING_STATUS=MR","SCALING_FORMAT=MLN","FA_ADJUSTED=GAAP","Sort=A","Dates=H","DateFormat=P","Fill=—","Direction=H","UseDPDF=Y")</f>
        <v>—</v>
      </c>
      <c r="W16" s="13">
        <f>_xll.BDH("ITCI US Equity","INT_EXPN_AFTER_OPERATING_LEA_ACT","FQ4 2023","FQ4 2023","Currency=USD","Period=FQ","BEST_FPERIOD_OVERRIDE=FQ","FILING_STATUS=MR","SCALING_FORMAT=MLN","FA_ADJUSTED=GAAP","Sort=A","Dates=H","DateFormat=P","Fill=—","Direction=H","UseDPDF=Y")</f>
        <v>0</v>
      </c>
      <c r="X16" s="13" t="str">
        <f>_xll.BDH("ITCI US Equity","INT_EXPN_AFTER_OPERATING_LEA_ACT","FQ1 2024","FQ1 2024","Currency=USD","Period=FQ","BEST_FPERIOD_OVERRIDE=FQ","FILING_STATUS=MR","SCALING_FORMAT=MLN","FA_ADJUSTED=GAAP","Sort=A","Dates=H","DateFormat=P","Fill=—","Direction=H","UseDPDF=Y")</f>
        <v>—</v>
      </c>
      <c r="Y16" s="13" t="str">
        <f>_xll.BDH("ITCI US Equity","INT_EXPN_AFTER_OPERATING_LEA_ACT","FQ2 2024","FQ2 2024","Currency=USD","Period=FQ","BEST_FPERIOD_OVERRIDE=FQ","FILING_STATUS=MR","SCALING_FORMAT=MLN","FA_ADJUSTED=GAAP","Sort=A","Dates=H","DateFormat=P","Fill=—","Direction=H","UseDPDF=Y")</f>
        <v>—</v>
      </c>
      <c r="Z16" s="13" t="str">
        <f>_xll.BDH("ITCI US Equity","INT_EXPN_AFTER_OPERATING_LEA_ACT","FQ3 2024","FQ3 2024","Currency=USD","Period=FQ","BEST_FPERIOD_OVERRIDE=FQ","FILING_STATUS=MR","SCALING_FORMAT=MLN","FA_ADJUSTED=GAAP","Sort=A","Dates=H","DateFormat=P","Fill=—","Direction=H","UseDPDF=Y")</f>
        <v>—</v>
      </c>
      <c r="AA16" s="13">
        <f>_xll.BDH("ITCI US Equity","INT_EXPN_AFTER_OPERATING_LEA_ACT","FQ4 2024","FQ4 2024","Currency=USD","Period=FQ","BEST_FPERIOD_OVERRIDE=FQ","FILING_STATUS=MR","SCALING_FORMAT=MLN","FA_ADJUSTED=GAAP","Sort=A","Dates=H","DateFormat=P","Fill=—","Direction=H","UseDPDF=Y")</f>
        <v>0</v>
      </c>
    </row>
    <row r="17" spans="1:27" x14ac:dyDescent="0.25">
      <c r="A17" s="10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5">
      <c r="A18" s="10" t="s">
        <v>1179</v>
      </c>
      <c r="B18" s="10" t="s">
        <v>1201</v>
      </c>
      <c r="C18" s="14">
        <f>_xll.BDH("ITCI US Equity","CE_TO_TOT_AST_LESS_OPER_LEA_AST","FQ4 2018","FQ4 2018","Currency=USD","Period=FQ","BEST_FPERIOD_OVERRIDE=FQ","FILING_STATUS=MR","Sort=A","Dates=H","DateFormat=P","Fill=—","Direction=H","UseDPDF=Y")</f>
        <v>88.944299999999998</v>
      </c>
      <c r="D18" s="14">
        <f>_xll.BDH("ITCI US Equity","CE_TO_TOT_AST_LESS_OPER_LEA_AST","FQ1 2019","FQ1 2019","Currency=USD","Period=FQ","BEST_FPERIOD_OVERRIDE=FQ","FILING_STATUS=MR","Sort=A","Dates=H","DateFormat=P","Fill=—","Direction=H","UseDPDF=Y")</f>
        <v>89.390699999999995</v>
      </c>
      <c r="E18" s="14">
        <f>_xll.BDH("ITCI US Equity","CE_TO_TOT_AST_LESS_OPER_LEA_AST","FQ2 2019","FQ2 2019","Currency=USD","Period=FQ","BEST_FPERIOD_OVERRIDE=FQ","FILING_STATUS=MR","Sort=A","Dates=H","DateFormat=P","Fill=—","Direction=H","UseDPDF=Y")</f>
        <v>88.224400000000003</v>
      </c>
      <c r="F18" s="14">
        <f>_xll.BDH("ITCI US Equity","CE_TO_TOT_AST_LESS_OPER_LEA_AST","FQ3 2019","FQ3 2019","Currency=USD","Period=FQ","BEST_FPERIOD_OVERRIDE=FQ","FILING_STATUS=MR","Sort=A","Dates=H","DateFormat=P","Fill=—","Direction=H","UseDPDF=Y")</f>
        <v>86.601299999999995</v>
      </c>
      <c r="G18" s="14">
        <f>_xll.BDH("ITCI US Equity","CE_TO_TOT_AST_LESS_OPER_LEA_AST","FQ4 2019","FQ4 2019","Currency=USD","Period=FQ","BEST_FPERIOD_OVERRIDE=FQ","FILING_STATUS=MR","Sort=A","Dates=H","DateFormat=P","Fill=—","Direction=H","UseDPDF=Y")</f>
        <v>83.717699999999994</v>
      </c>
      <c r="H18" s="14">
        <f>_xll.BDH("ITCI US Equity","CE_TO_TOT_AST_LESS_OPER_LEA_AST","FQ1 2020","FQ1 2020","Currency=USD","Period=FQ","BEST_FPERIOD_OVERRIDE=FQ","FILING_STATUS=MR","Sort=A","Dates=H","DateFormat=P","Fill=—","Direction=H","UseDPDF=Y")</f>
        <v>92.930999999999997</v>
      </c>
      <c r="I18" s="14">
        <f>_xll.BDH("ITCI US Equity","CE_TO_TOT_AST_LESS_OPER_LEA_AST","FQ2 2020","FQ2 2020","Currency=USD","Period=FQ","BEST_FPERIOD_OVERRIDE=FQ","FILING_STATUS=MR","Sort=A","Dates=H","DateFormat=P","Fill=—","Direction=H","UseDPDF=Y")</f>
        <v>90.222399999999993</v>
      </c>
      <c r="J18" s="14">
        <f>_xll.BDH("ITCI US Equity","CE_TO_TOT_AST_LESS_OPER_LEA_AST","FQ3 2020","FQ3 2020","Currency=USD","Period=FQ","BEST_FPERIOD_OVERRIDE=FQ","FILING_STATUS=MR","Sort=A","Dates=H","DateFormat=P","Fill=—","Direction=H","UseDPDF=Y")</f>
        <v>94.965699999999998</v>
      </c>
      <c r="K18" s="14">
        <f>_xll.BDH("ITCI US Equity","CE_TO_TOT_AST_LESS_OPER_LEA_AST","FQ4 2020","FQ4 2020","Currency=USD","Period=FQ","BEST_FPERIOD_OVERRIDE=FQ","FILING_STATUS=MR","Sort=A","Dates=H","DateFormat=P","Fill=—","Direction=H","UseDPDF=Y")</f>
        <v>94.786500000000004</v>
      </c>
      <c r="L18" s="14">
        <f>_xll.BDH("ITCI US Equity","CE_TO_TOT_AST_LESS_OPER_LEA_AST","FQ1 2021","FQ1 2021","Currency=USD","Period=FQ","BEST_FPERIOD_OVERRIDE=FQ","FILING_STATUS=MR","Sort=A","Dates=H","DateFormat=P","Fill=—","Direction=H","UseDPDF=Y")</f>
        <v>94.023899999999998</v>
      </c>
      <c r="M18" s="14">
        <f>_xll.BDH("ITCI US Equity","CE_TO_TOT_AST_LESS_OPER_LEA_AST","FQ2 2021","FQ2 2021","Currency=USD","Period=FQ","BEST_FPERIOD_OVERRIDE=FQ","FILING_STATUS=MR","Sort=A","Dates=H","DateFormat=P","Fill=—","Direction=H","UseDPDF=Y")</f>
        <v>91.782399999999996</v>
      </c>
      <c r="N18" s="14">
        <f>_xll.BDH("ITCI US Equity","CE_TO_TOT_AST_LESS_OPER_LEA_AST","FQ3 2021","FQ3 2021","Currency=USD","Period=FQ","BEST_FPERIOD_OVERRIDE=FQ","FILING_STATUS=MR","Sort=A","Dates=H","DateFormat=P","Fill=—","Direction=H","UseDPDF=Y")</f>
        <v>90.937399999999997</v>
      </c>
      <c r="O18" s="14">
        <f>_xll.BDH("ITCI US Equity","CE_TO_TOT_AST_LESS_OPER_LEA_AST","FQ4 2021","FQ4 2021","Currency=USD","Period=FQ","BEST_FPERIOD_OVERRIDE=FQ","FILING_STATUS=MR","Sort=A","Dates=H","DateFormat=P","Fill=—","Direction=H","UseDPDF=Y")</f>
        <v>89.072599999999994</v>
      </c>
      <c r="P18" s="14">
        <f>_xll.BDH("ITCI US Equity","CE_TO_TOT_AST_LESS_OPER_LEA_AST","FQ1 2022","FQ1 2022","Currency=USD","Period=FQ","BEST_FPERIOD_OVERRIDE=FQ","FILING_STATUS=MR","Sort=A","Dates=H","DateFormat=P","Fill=—","Direction=H","UseDPDF=Y")</f>
        <v>93.197500000000005</v>
      </c>
      <c r="Q18" s="14">
        <f>_xll.BDH("ITCI US Equity","CE_TO_TOT_AST_LESS_OPER_LEA_AST","FQ2 2022","FQ2 2022","Currency=USD","Period=FQ","BEST_FPERIOD_OVERRIDE=FQ","FILING_STATUS=MR","Sort=A","Dates=H","DateFormat=P","Fill=—","Direction=H","UseDPDF=Y")</f>
        <v>91.252300000000005</v>
      </c>
      <c r="R18" s="14">
        <f>_xll.BDH("ITCI US Equity","CE_TO_TOT_AST_LESS_OPER_LEA_AST","FQ3 2022","FQ3 2022","Currency=USD","Period=FQ","BEST_FPERIOD_OVERRIDE=FQ","FILING_STATUS=MR","Sort=A","Dates=H","DateFormat=P","Fill=—","Direction=H","UseDPDF=Y")</f>
        <v>89.959100000000007</v>
      </c>
      <c r="S18" s="14">
        <f>_xll.BDH("ITCI US Equity","CE_TO_TOT_AST_LESS_OPER_LEA_AST","FQ4 2022","FQ4 2022","Currency=USD","Period=FQ","BEST_FPERIOD_OVERRIDE=FQ","FILING_STATUS=MR","Sort=A","Dates=H","DateFormat=P","Fill=—","Direction=H","UseDPDF=Y")</f>
        <v>88.663399999999996</v>
      </c>
      <c r="T18" s="14">
        <f>_xll.BDH("ITCI US Equity","CE_TO_TOT_AST_LESS_OPER_LEA_AST","FQ1 2023","FQ1 2023","Currency=USD","Period=FQ","BEST_FPERIOD_OVERRIDE=FQ","FILING_STATUS=MR","Sort=A","Dates=H","DateFormat=P","Fill=—","Direction=H","UseDPDF=Y")</f>
        <v>88.650599999999997</v>
      </c>
      <c r="U18" s="14">
        <f>_xll.BDH("ITCI US Equity","CE_TO_TOT_AST_LESS_OPER_LEA_AST","FQ2 2023","FQ2 2023","Currency=USD","Period=FQ","BEST_FPERIOD_OVERRIDE=FQ","FILING_STATUS=MR","Sort=A","Dates=H","DateFormat=P","Fill=—","Direction=H","UseDPDF=Y")</f>
        <v>86.750100000000003</v>
      </c>
      <c r="V18" s="14">
        <f>_xll.BDH("ITCI US Equity","CE_TO_TOT_AST_LESS_OPER_LEA_AST","FQ3 2023","FQ3 2023","Currency=USD","Period=FQ","BEST_FPERIOD_OVERRIDE=FQ","FILING_STATUS=MR","Sort=A","Dates=H","DateFormat=P","Fill=—","Direction=H","UseDPDF=Y")</f>
        <v>85.287700000000001</v>
      </c>
      <c r="W18" s="14">
        <f>_xll.BDH("ITCI US Equity","CE_TO_TOT_AST_LESS_OPER_LEA_AST","FQ4 2023","FQ4 2023","Currency=USD","Period=FQ","BEST_FPERIOD_OVERRIDE=FQ","FILING_STATUS=MR","Sort=A","Dates=H","DateFormat=P","Fill=—","Direction=H","UseDPDF=Y")</f>
        <v>82.674199999999999</v>
      </c>
      <c r="X18" s="14">
        <f>_xll.BDH("ITCI US Equity","CE_TO_TOT_AST_LESS_OPER_LEA_AST","FQ1 2024","FQ1 2024","Currency=USD","Period=FQ","BEST_FPERIOD_OVERRIDE=FQ","FILING_STATUS=MR","Sort=A","Dates=H","DateFormat=P","Fill=—","Direction=H","UseDPDF=Y")</f>
        <v>81.613799999999998</v>
      </c>
      <c r="Y18" s="14">
        <f>_xll.BDH("ITCI US Equity","CE_TO_TOT_AST_LESS_OPER_LEA_AST","FQ2 2024","FQ2 2024","Currency=USD","Period=FQ","BEST_FPERIOD_OVERRIDE=FQ","FILING_STATUS=MR","Sort=A","Dates=H","DateFormat=P","Fill=—","Direction=H","UseDPDF=Y")</f>
        <v>87.642799999999994</v>
      </c>
      <c r="Z18" s="14">
        <f>_xll.BDH("ITCI US Equity","CE_TO_TOT_AST_LESS_OPER_LEA_AST","FQ3 2024","FQ3 2024","Currency=USD","Period=FQ","BEST_FPERIOD_OVERRIDE=FQ","FILING_STATUS=MR","Sort=A","Dates=H","DateFormat=P","Fill=—","Direction=H","UseDPDF=Y")</f>
        <v>87.362399999999994</v>
      </c>
      <c r="AA18" s="14">
        <f>_xll.BDH("ITCI US Equity","CE_TO_TOT_AST_LESS_OPER_LEA_AST","FQ4 2024","FQ4 2024","Currency=USD","Period=FQ","BEST_FPERIOD_OVERRIDE=FQ","FILING_STATUS=MR","Sort=A","Dates=H","DateFormat=P","Fill=—","Direction=H","UseDPDF=Y")</f>
        <v>84.852099999999993</v>
      </c>
    </row>
    <row r="19" spans="1:27" x14ac:dyDescent="0.25">
      <c r="A19" s="10" t="s">
        <v>1181</v>
      </c>
      <c r="B19" s="10" t="s">
        <v>1202</v>
      </c>
      <c r="C19" s="14">
        <f>_xll.BDH("ITCI US Equity","LT_DBT_EX_OPER_LEA_LIABS_TO_EQTY","FQ4 2018","FQ4 2018","Currency=USD","Period=FQ","BEST_FPERIOD_OVERRIDE=FQ","FILING_STATUS=MR","Sort=A","Dates=H","DateFormat=P","Fill=—","Direction=H","UseDPDF=Y")</f>
        <v>0</v>
      </c>
      <c r="D19" s="14">
        <f>_xll.BDH("ITCI US Equity","LT_DBT_EX_OPER_LEA_LIABS_TO_EQTY","FQ1 2019","FQ1 2019","Currency=USD","Period=FQ","BEST_FPERIOD_OVERRIDE=FQ","FILING_STATUS=MR","Sort=A","Dates=H","DateFormat=P","Fill=—","Direction=H","UseDPDF=Y")</f>
        <v>0</v>
      </c>
      <c r="E19" s="14">
        <f>_xll.BDH("ITCI US Equity","LT_DBT_EX_OPER_LEA_LIABS_TO_EQTY","FQ2 2019","FQ2 2019","Currency=USD","Period=FQ","BEST_FPERIOD_OVERRIDE=FQ","FILING_STATUS=MR","Sort=A","Dates=H","DateFormat=P","Fill=—","Direction=H","UseDPDF=Y")</f>
        <v>0</v>
      </c>
      <c r="F19" s="14">
        <f>_xll.BDH("ITCI US Equity","LT_DBT_EX_OPER_LEA_LIABS_TO_EQTY","FQ3 2019","FQ3 2019","Currency=USD","Period=FQ","BEST_FPERIOD_OVERRIDE=FQ","FILING_STATUS=MR","Sort=A","Dates=H","DateFormat=P","Fill=—","Direction=H","UseDPDF=Y")</f>
        <v>0</v>
      </c>
      <c r="G19" s="14">
        <f>_xll.BDH("ITCI US Equity","LT_DBT_EX_OPER_LEA_LIABS_TO_EQTY","FQ4 2019","FQ4 2019","Currency=USD","Period=FQ","BEST_FPERIOD_OVERRIDE=FQ","FILING_STATUS=MR","Sort=A","Dates=H","DateFormat=P","Fill=—","Direction=H","UseDPDF=Y")</f>
        <v>0</v>
      </c>
      <c r="H19" s="14">
        <f>_xll.BDH("ITCI US Equity","LT_DBT_EX_OPER_LEA_LIABS_TO_EQTY","FQ1 2020","FQ1 2020","Currency=USD","Period=FQ","BEST_FPERIOD_OVERRIDE=FQ","FILING_STATUS=MR","Sort=A","Dates=H","DateFormat=P","Fill=—","Direction=H","UseDPDF=Y")</f>
        <v>0</v>
      </c>
      <c r="I19" s="14">
        <f>_xll.BDH("ITCI US Equity","LT_DBT_EX_OPER_LEA_LIABS_TO_EQTY","FQ2 2020","FQ2 2020","Currency=USD","Period=FQ","BEST_FPERIOD_OVERRIDE=FQ","FILING_STATUS=MR","Sort=A","Dates=H","DateFormat=P","Fill=—","Direction=H","UseDPDF=Y")</f>
        <v>0</v>
      </c>
      <c r="J19" s="14">
        <f>_xll.BDH("ITCI US Equity","LT_DBT_EX_OPER_LEA_LIABS_TO_EQTY","FQ3 2020","FQ3 2020","Currency=USD","Period=FQ","BEST_FPERIOD_OVERRIDE=FQ","FILING_STATUS=MR","Sort=A","Dates=H","DateFormat=P","Fill=—","Direction=H","UseDPDF=Y")</f>
        <v>0</v>
      </c>
      <c r="K19" s="14">
        <f>_xll.BDH("ITCI US Equity","LT_DBT_EX_OPER_LEA_LIABS_TO_EQTY","FQ4 2020","FQ4 2020","Currency=USD","Period=FQ","BEST_FPERIOD_OVERRIDE=FQ","FILING_STATUS=MR","Sort=A","Dates=H","DateFormat=P","Fill=—","Direction=H","UseDPDF=Y")</f>
        <v>0</v>
      </c>
      <c r="L19" s="14">
        <f>_xll.BDH("ITCI US Equity","LT_DBT_EX_OPER_LEA_LIABS_TO_EQTY","FQ1 2021","FQ1 2021","Currency=USD","Period=FQ","BEST_FPERIOD_OVERRIDE=FQ","FILING_STATUS=MR","Sort=A","Dates=H","DateFormat=P","Fill=—","Direction=H","UseDPDF=Y")</f>
        <v>0</v>
      </c>
      <c r="M19" s="14">
        <f>_xll.BDH("ITCI US Equity","LT_DBT_EX_OPER_LEA_LIABS_TO_EQTY","FQ2 2021","FQ2 2021","Currency=USD","Period=FQ","BEST_FPERIOD_OVERRIDE=FQ","FILING_STATUS=MR","Sort=A","Dates=H","DateFormat=P","Fill=—","Direction=H","UseDPDF=Y")</f>
        <v>0</v>
      </c>
      <c r="N19" s="14">
        <f>_xll.BDH("ITCI US Equity","LT_DBT_EX_OPER_LEA_LIABS_TO_EQTY","FQ3 2021","FQ3 2021","Currency=USD","Period=FQ","BEST_FPERIOD_OVERRIDE=FQ","FILING_STATUS=MR","Sort=A","Dates=H","DateFormat=P","Fill=—","Direction=H","UseDPDF=Y")</f>
        <v>0</v>
      </c>
      <c r="O19" s="14">
        <f>_xll.BDH("ITCI US Equity","LT_DBT_EX_OPER_LEA_LIABS_TO_EQTY","FQ4 2021","FQ4 2021","Currency=USD","Period=FQ","BEST_FPERIOD_OVERRIDE=FQ","FILING_STATUS=MR","Sort=A","Dates=H","DateFormat=P","Fill=—","Direction=H","UseDPDF=Y")</f>
        <v>0</v>
      </c>
      <c r="P19" s="14">
        <f>_xll.BDH("ITCI US Equity","LT_DBT_EX_OPER_LEA_LIABS_TO_EQTY","FQ1 2022","FQ1 2022","Currency=USD","Period=FQ","BEST_FPERIOD_OVERRIDE=FQ","FILING_STATUS=MR","Sort=A","Dates=H","DateFormat=P","Fill=—","Direction=H","UseDPDF=Y")</f>
        <v>0</v>
      </c>
      <c r="Q19" s="14">
        <f>_xll.BDH("ITCI US Equity","LT_DBT_EX_OPER_LEA_LIABS_TO_EQTY","FQ2 2022","FQ2 2022","Currency=USD","Period=FQ","BEST_FPERIOD_OVERRIDE=FQ","FILING_STATUS=MR","Sort=A","Dates=H","DateFormat=P","Fill=—","Direction=H","UseDPDF=Y")</f>
        <v>0</v>
      </c>
      <c r="R19" s="14">
        <f>_xll.BDH("ITCI US Equity","LT_DBT_EX_OPER_LEA_LIABS_TO_EQTY","FQ3 2022","FQ3 2022","Currency=USD","Period=FQ","BEST_FPERIOD_OVERRIDE=FQ","FILING_STATUS=MR","Sort=A","Dates=H","DateFormat=P","Fill=—","Direction=H","UseDPDF=Y")</f>
        <v>0</v>
      </c>
      <c r="S19" s="14">
        <f>_xll.BDH("ITCI US Equity","LT_DBT_EX_OPER_LEA_LIABS_TO_EQTY","FQ4 2022","FQ4 2022","Currency=USD","Period=FQ","BEST_FPERIOD_OVERRIDE=FQ","FILING_STATUS=MR","Sort=A","Dates=H","DateFormat=P","Fill=—","Direction=H","UseDPDF=Y")</f>
        <v>0</v>
      </c>
      <c r="T19" s="14">
        <f>_xll.BDH("ITCI US Equity","LT_DBT_EX_OPER_LEA_LIABS_TO_EQTY","FQ1 2023","FQ1 2023","Currency=USD","Period=FQ","BEST_FPERIOD_OVERRIDE=FQ","FILING_STATUS=MR","Sort=A","Dates=H","DateFormat=P","Fill=—","Direction=H","UseDPDF=Y")</f>
        <v>0</v>
      </c>
      <c r="U19" s="14">
        <f>_xll.BDH("ITCI US Equity","LT_DBT_EX_OPER_LEA_LIABS_TO_EQTY","FQ2 2023","FQ2 2023","Currency=USD","Period=FQ","BEST_FPERIOD_OVERRIDE=FQ","FILING_STATUS=MR","Sort=A","Dates=H","DateFormat=P","Fill=—","Direction=H","UseDPDF=Y")</f>
        <v>0</v>
      </c>
      <c r="V19" s="14">
        <f>_xll.BDH("ITCI US Equity","LT_DBT_EX_OPER_LEA_LIABS_TO_EQTY","FQ3 2023","FQ3 2023","Currency=USD","Period=FQ","BEST_FPERIOD_OVERRIDE=FQ","FILING_STATUS=MR","Sort=A","Dates=H","DateFormat=P","Fill=—","Direction=H","UseDPDF=Y")</f>
        <v>0</v>
      </c>
      <c r="W19" s="14">
        <f>_xll.BDH("ITCI US Equity","LT_DBT_EX_OPER_LEA_LIABS_TO_EQTY","FQ4 2023","FQ4 2023","Currency=USD","Period=FQ","BEST_FPERIOD_OVERRIDE=FQ","FILING_STATUS=MR","Sort=A","Dates=H","DateFormat=P","Fill=—","Direction=H","UseDPDF=Y")</f>
        <v>0</v>
      </c>
      <c r="X19" s="14">
        <f>_xll.BDH("ITCI US Equity","LT_DBT_EX_OPER_LEA_LIABS_TO_EQTY","FQ1 2024","FQ1 2024","Currency=USD","Period=FQ","BEST_FPERIOD_OVERRIDE=FQ","FILING_STATUS=MR","Sort=A","Dates=H","DateFormat=P","Fill=—","Direction=H","UseDPDF=Y")</f>
        <v>0</v>
      </c>
      <c r="Y19" s="14">
        <f>_xll.BDH("ITCI US Equity","LT_DBT_EX_OPER_LEA_LIABS_TO_EQTY","FQ2 2024","FQ2 2024","Currency=USD","Period=FQ","BEST_FPERIOD_OVERRIDE=FQ","FILING_STATUS=MR","Sort=A","Dates=H","DateFormat=P","Fill=—","Direction=H","UseDPDF=Y")</f>
        <v>0</v>
      </c>
      <c r="Z19" s="14">
        <f>_xll.BDH("ITCI US Equity","LT_DBT_EX_OPER_LEA_LIABS_TO_EQTY","FQ3 2024","FQ3 2024","Currency=USD","Period=FQ","BEST_FPERIOD_OVERRIDE=FQ","FILING_STATUS=MR","Sort=A","Dates=H","DateFormat=P","Fill=—","Direction=H","UseDPDF=Y")</f>
        <v>0</v>
      </c>
      <c r="AA19" s="14">
        <f>_xll.BDH("ITCI US Equity","LT_DBT_EX_OPER_LEA_LIABS_TO_EQTY","FQ4 2024","FQ4 2024","Currency=USD","Period=FQ","BEST_FPERIOD_OVERRIDE=FQ","FILING_STATUS=MR","Sort=A","Dates=H","DateFormat=P","Fill=—","Direction=H","UseDPDF=Y")</f>
        <v>0</v>
      </c>
    </row>
    <row r="20" spans="1:27" x14ac:dyDescent="0.25">
      <c r="A20" s="10" t="s">
        <v>1183</v>
      </c>
      <c r="B20" s="10" t="s">
        <v>1203</v>
      </c>
      <c r="C20" s="14">
        <f>_xll.BDH("ITCI US Equity","LT_DBT_TO_CPTL_EX_OPER_LEA_LIABS","FQ4 2018","FQ4 2018","Currency=USD","Period=FQ","BEST_FPERIOD_OVERRIDE=FQ","FILING_STATUS=MR","Sort=A","Dates=H","DateFormat=P","Fill=—","Direction=H","UseDPDF=Y")</f>
        <v>0</v>
      </c>
      <c r="D20" s="14">
        <f>_xll.BDH("ITCI US Equity","LT_DBT_TO_CPTL_EX_OPER_LEA_LIABS","FQ1 2019","FQ1 2019","Currency=USD","Period=FQ","BEST_FPERIOD_OVERRIDE=FQ","FILING_STATUS=MR","Sort=A","Dates=H","DateFormat=P","Fill=—","Direction=H","UseDPDF=Y")</f>
        <v>0</v>
      </c>
      <c r="E20" s="14">
        <f>_xll.BDH("ITCI US Equity","LT_DBT_TO_CPTL_EX_OPER_LEA_LIABS","FQ2 2019","FQ2 2019","Currency=USD","Period=FQ","BEST_FPERIOD_OVERRIDE=FQ","FILING_STATUS=MR","Sort=A","Dates=H","DateFormat=P","Fill=—","Direction=H","UseDPDF=Y")</f>
        <v>0</v>
      </c>
      <c r="F20" s="14">
        <f>_xll.BDH("ITCI US Equity","LT_DBT_TO_CPTL_EX_OPER_LEA_LIABS","FQ3 2019","FQ3 2019","Currency=USD","Period=FQ","BEST_FPERIOD_OVERRIDE=FQ","FILING_STATUS=MR","Sort=A","Dates=H","DateFormat=P","Fill=—","Direction=H","UseDPDF=Y")</f>
        <v>0</v>
      </c>
      <c r="G20" s="14">
        <f>_xll.BDH("ITCI US Equity","LT_DBT_TO_CPTL_EX_OPER_LEA_LIABS","FQ4 2019","FQ4 2019","Currency=USD","Period=FQ","BEST_FPERIOD_OVERRIDE=FQ","FILING_STATUS=MR","Sort=A","Dates=H","DateFormat=P","Fill=—","Direction=H","UseDPDF=Y")</f>
        <v>0</v>
      </c>
      <c r="H20" s="14">
        <f>_xll.BDH("ITCI US Equity","LT_DBT_TO_CPTL_EX_OPER_LEA_LIABS","FQ1 2020","FQ1 2020","Currency=USD","Period=FQ","BEST_FPERIOD_OVERRIDE=FQ","FILING_STATUS=MR","Sort=A","Dates=H","DateFormat=P","Fill=—","Direction=H","UseDPDF=Y")</f>
        <v>0</v>
      </c>
      <c r="I20" s="14">
        <f>_xll.BDH("ITCI US Equity","LT_DBT_TO_CPTL_EX_OPER_LEA_LIABS","FQ2 2020","FQ2 2020","Currency=USD","Period=FQ","BEST_FPERIOD_OVERRIDE=FQ","FILING_STATUS=MR","Sort=A","Dates=H","DateFormat=P","Fill=—","Direction=H","UseDPDF=Y")</f>
        <v>0</v>
      </c>
      <c r="J20" s="14">
        <f>_xll.BDH("ITCI US Equity","LT_DBT_TO_CPTL_EX_OPER_LEA_LIABS","FQ3 2020","FQ3 2020","Currency=USD","Period=FQ","BEST_FPERIOD_OVERRIDE=FQ","FILING_STATUS=MR","Sort=A","Dates=H","DateFormat=P","Fill=—","Direction=H","UseDPDF=Y")</f>
        <v>0</v>
      </c>
      <c r="K20" s="14">
        <f>_xll.BDH("ITCI US Equity","LT_DBT_TO_CPTL_EX_OPER_LEA_LIABS","FQ4 2020","FQ4 2020","Currency=USD","Period=FQ","BEST_FPERIOD_OVERRIDE=FQ","FILING_STATUS=MR","Sort=A","Dates=H","DateFormat=P","Fill=—","Direction=H","UseDPDF=Y")</f>
        <v>0</v>
      </c>
      <c r="L20" s="14">
        <f>_xll.BDH("ITCI US Equity","LT_DBT_TO_CPTL_EX_OPER_LEA_LIABS","FQ1 2021","FQ1 2021","Currency=USD","Period=FQ","BEST_FPERIOD_OVERRIDE=FQ","FILING_STATUS=MR","Sort=A","Dates=H","DateFormat=P","Fill=—","Direction=H","UseDPDF=Y")</f>
        <v>0</v>
      </c>
      <c r="M20" s="14">
        <f>_xll.BDH("ITCI US Equity","LT_DBT_TO_CPTL_EX_OPER_LEA_LIABS","FQ2 2021","FQ2 2021","Currency=USD","Period=FQ","BEST_FPERIOD_OVERRIDE=FQ","FILING_STATUS=MR","Sort=A","Dates=H","DateFormat=P","Fill=—","Direction=H","UseDPDF=Y")</f>
        <v>0</v>
      </c>
      <c r="N20" s="14">
        <f>_xll.BDH("ITCI US Equity","LT_DBT_TO_CPTL_EX_OPER_LEA_LIABS","FQ3 2021","FQ3 2021","Currency=USD","Period=FQ","BEST_FPERIOD_OVERRIDE=FQ","FILING_STATUS=MR","Sort=A","Dates=H","DateFormat=P","Fill=—","Direction=H","UseDPDF=Y")</f>
        <v>0</v>
      </c>
      <c r="O20" s="14">
        <f>_xll.BDH("ITCI US Equity","LT_DBT_TO_CPTL_EX_OPER_LEA_LIABS","FQ4 2021","FQ4 2021","Currency=USD","Period=FQ","BEST_FPERIOD_OVERRIDE=FQ","FILING_STATUS=MR","Sort=A","Dates=H","DateFormat=P","Fill=—","Direction=H","UseDPDF=Y")</f>
        <v>0</v>
      </c>
      <c r="P20" s="14">
        <f>_xll.BDH("ITCI US Equity","LT_DBT_TO_CPTL_EX_OPER_LEA_LIABS","FQ1 2022","FQ1 2022","Currency=USD","Period=FQ","BEST_FPERIOD_OVERRIDE=FQ","FILING_STATUS=MR","Sort=A","Dates=H","DateFormat=P","Fill=—","Direction=H","UseDPDF=Y")</f>
        <v>0</v>
      </c>
      <c r="Q20" s="14">
        <f>_xll.BDH("ITCI US Equity","LT_DBT_TO_CPTL_EX_OPER_LEA_LIABS","FQ2 2022","FQ2 2022","Currency=USD","Period=FQ","BEST_FPERIOD_OVERRIDE=FQ","FILING_STATUS=MR","Sort=A","Dates=H","DateFormat=P","Fill=—","Direction=H","UseDPDF=Y")</f>
        <v>0</v>
      </c>
      <c r="R20" s="14">
        <f>_xll.BDH("ITCI US Equity","LT_DBT_TO_CPTL_EX_OPER_LEA_LIABS","FQ3 2022","FQ3 2022","Currency=USD","Period=FQ","BEST_FPERIOD_OVERRIDE=FQ","FILING_STATUS=MR","Sort=A","Dates=H","DateFormat=P","Fill=—","Direction=H","UseDPDF=Y")</f>
        <v>0</v>
      </c>
      <c r="S20" s="14">
        <f>_xll.BDH("ITCI US Equity","LT_DBT_TO_CPTL_EX_OPER_LEA_LIABS","FQ4 2022","FQ4 2022","Currency=USD","Period=FQ","BEST_FPERIOD_OVERRIDE=FQ","FILING_STATUS=MR","Sort=A","Dates=H","DateFormat=P","Fill=—","Direction=H","UseDPDF=Y")</f>
        <v>0</v>
      </c>
      <c r="T20" s="14">
        <f>_xll.BDH("ITCI US Equity","LT_DBT_TO_CPTL_EX_OPER_LEA_LIABS","FQ1 2023","FQ1 2023","Currency=USD","Period=FQ","BEST_FPERIOD_OVERRIDE=FQ","FILING_STATUS=MR","Sort=A","Dates=H","DateFormat=P","Fill=—","Direction=H","UseDPDF=Y")</f>
        <v>0</v>
      </c>
      <c r="U20" s="14">
        <f>_xll.BDH("ITCI US Equity","LT_DBT_TO_CPTL_EX_OPER_LEA_LIABS","FQ2 2023","FQ2 2023","Currency=USD","Period=FQ","BEST_FPERIOD_OVERRIDE=FQ","FILING_STATUS=MR","Sort=A","Dates=H","DateFormat=P","Fill=—","Direction=H","UseDPDF=Y")</f>
        <v>0</v>
      </c>
      <c r="V20" s="14">
        <f>_xll.BDH("ITCI US Equity","LT_DBT_TO_CPTL_EX_OPER_LEA_LIABS","FQ3 2023","FQ3 2023","Currency=USD","Period=FQ","BEST_FPERIOD_OVERRIDE=FQ","FILING_STATUS=MR","Sort=A","Dates=H","DateFormat=P","Fill=—","Direction=H","UseDPDF=Y")</f>
        <v>0</v>
      </c>
      <c r="W20" s="14">
        <f>_xll.BDH("ITCI US Equity","LT_DBT_TO_CPTL_EX_OPER_LEA_LIABS","FQ4 2023","FQ4 2023","Currency=USD","Period=FQ","BEST_FPERIOD_OVERRIDE=FQ","FILING_STATUS=MR","Sort=A","Dates=H","DateFormat=P","Fill=—","Direction=H","UseDPDF=Y")</f>
        <v>0</v>
      </c>
      <c r="X20" s="14">
        <f>_xll.BDH("ITCI US Equity","LT_DBT_TO_CPTL_EX_OPER_LEA_LIABS","FQ1 2024","FQ1 2024","Currency=USD","Period=FQ","BEST_FPERIOD_OVERRIDE=FQ","FILING_STATUS=MR","Sort=A","Dates=H","DateFormat=P","Fill=—","Direction=H","UseDPDF=Y")</f>
        <v>0</v>
      </c>
      <c r="Y20" s="14">
        <f>_xll.BDH("ITCI US Equity","LT_DBT_TO_CPTL_EX_OPER_LEA_LIABS","FQ2 2024","FQ2 2024","Currency=USD","Period=FQ","BEST_FPERIOD_OVERRIDE=FQ","FILING_STATUS=MR","Sort=A","Dates=H","DateFormat=P","Fill=—","Direction=H","UseDPDF=Y")</f>
        <v>0</v>
      </c>
      <c r="Z20" s="14">
        <f>_xll.BDH("ITCI US Equity","LT_DBT_TO_CPTL_EX_OPER_LEA_LIABS","FQ3 2024","FQ3 2024","Currency=USD","Period=FQ","BEST_FPERIOD_OVERRIDE=FQ","FILING_STATUS=MR","Sort=A","Dates=H","DateFormat=P","Fill=—","Direction=H","UseDPDF=Y")</f>
        <v>0</v>
      </c>
      <c r="AA20" s="14">
        <f>_xll.BDH("ITCI US Equity","LT_DBT_TO_CPTL_EX_OPER_LEA_LIABS","FQ4 2024","FQ4 2024","Currency=USD","Period=FQ","BEST_FPERIOD_OVERRIDE=FQ","FILING_STATUS=MR","Sort=A","Dates=H","DateFormat=P","Fill=—","Direction=H","UseDPDF=Y")</f>
        <v>0</v>
      </c>
    </row>
    <row r="21" spans="1:27" x14ac:dyDescent="0.25">
      <c r="A21" s="10" t="s">
        <v>1185</v>
      </c>
      <c r="B21" s="10" t="s">
        <v>1204</v>
      </c>
      <c r="C21" s="14">
        <f>_xll.BDH("ITCI US Equity","LT_DBT_AST_EX_OP_LEA_LIAB_AST","FQ4 2018","FQ4 2018","Currency=USD","Period=FQ","BEST_FPERIOD_OVERRIDE=FQ","FILING_STATUS=MR","Sort=A","Dates=H","DateFormat=P","Fill=—","Direction=H","UseDPDF=Y")</f>
        <v>0</v>
      </c>
      <c r="D21" s="14">
        <f>_xll.BDH("ITCI US Equity","LT_DBT_AST_EX_OP_LEA_LIAB_AST","FQ1 2019","FQ1 2019","Currency=USD","Period=FQ","BEST_FPERIOD_OVERRIDE=FQ","FILING_STATUS=MR","Sort=A","Dates=H","DateFormat=P","Fill=—","Direction=H","UseDPDF=Y")</f>
        <v>0</v>
      </c>
      <c r="E21" s="14">
        <f>_xll.BDH("ITCI US Equity","LT_DBT_AST_EX_OP_LEA_LIAB_AST","FQ2 2019","FQ2 2019","Currency=USD","Period=FQ","BEST_FPERIOD_OVERRIDE=FQ","FILING_STATUS=MR","Sort=A","Dates=H","DateFormat=P","Fill=—","Direction=H","UseDPDF=Y")</f>
        <v>0</v>
      </c>
      <c r="F21" s="14">
        <f>_xll.BDH("ITCI US Equity","LT_DBT_AST_EX_OP_LEA_LIAB_AST","FQ3 2019","FQ3 2019","Currency=USD","Period=FQ","BEST_FPERIOD_OVERRIDE=FQ","FILING_STATUS=MR","Sort=A","Dates=H","DateFormat=P","Fill=—","Direction=H","UseDPDF=Y")</f>
        <v>0</v>
      </c>
      <c r="G21" s="14">
        <f>_xll.BDH("ITCI US Equity","LT_DBT_AST_EX_OP_LEA_LIAB_AST","FQ4 2019","FQ4 2019","Currency=USD","Period=FQ","BEST_FPERIOD_OVERRIDE=FQ","FILING_STATUS=MR","Sort=A","Dates=H","DateFormat=P","Fill=—","Direction=H","UseDPDF=Y")</f>
        <v>0</v>
      </c>
      <c r="H21" s="14">
        <f>_xll.BDH("ITCI US Equity","LT_DBT_AST_EX_OP_LEA_LIAB_AST","FQ1 2020","FQ1 2020","Currency=USD","Period=FQ","BEST_FPERIOD_OVERRIDE=FQ","FILING_STATUS=MR","Sort=A","Dates=H","DateFormat=P","Fill=—","Direction=H","UseDPDF=Y")</f>
        <v>0</v>
      </c>
      <c r="I21" s="14">
        <f>_xll.BDH("ITCI US Equity","LT_DBT_AST_EX_OP_LEA_LIAB_AST","FQ2 2020","FQ2 2020","Currency=USD","Period=FQ","BEST_FPERIOD_OVERRIDE=FQ","FILING_STATUS=MR","Sort=A","Dates=H","DateFormat=P","Fill=—","Direction=H","UseDPDF=Y")</f>
        <v>0</v>
      </c>
      <c r="J21" s="14">
        <f>_xll.BDH("ITCI US Equity","LT_DBT_AST_EX_OP_LEA_LIAB_AST","FQ3 2020","FQ3 2020","Currency=USD","Period=FQ","BEST_FPERIOD_OVERRIDE=FQ","FILING_STATUS=MR","Sort=A","Dates=H","DateFormat=P","Fill=—","Direction=H","UseDPDF=Y")</f>
        <v>0</v>
      </c>
      <c r="K21" s="14">
        <f>_xll.BDH("ITCI US Equity","LT_DBT_AST_EX_OP_LEA_LIAB_AST","FQ4 2020","FQ4 2020","Currency=USD","Period=FQ","BEST_FPERIOD_OVERRIDE=FQ","FILING_STATUS=MR","Sort=A","Dates=H","DateFormat=P","Fill=—","Direction=H","UseDPDF=Y")</f>
        <v>0</v>
      </c>
      <c r="L21" s="14">
        <f>_xll.BDH("ITCI US Equity","LT_DBT_AST_EX_OP_LEA_LIAB_AST","FQ1 2021","FQ1 2021","Currency=USD","Period=FQ","BEST_FPERIOD_OVERRIDE=FQ","FILING_STATUS=MR","Sort=A","Dates=H","DateFormat=P","Fill=—","Direction=H","UseDPDF=Y")</f>
        <v>0</v>
      </c>
      <c r="M21" s="14">
        <f>_xll.BDH("ITCI US Equity","LT_DBT_AST_EX_OP_LEA_LIAB_AST","FQ2 2021","FQ2 2021","Currency=USD","Period=FQ","BEST_FPERIOD_OVERRIDE=FQ","FILING_STATUS=MR","Sort=A","Dates=H","DateFormat=P","Fill=—","Direction=H","UseDPDF=Y")</f>
        <v>0</v>
      </c>
      <c r="N21" s="14">
        <f>_xll.BDH("ITCI US Equity","LT_DBT_AST_EX_OP_LEA_LIAB_AST","FQ3 2021","FQ3 2021","Currency=USD","Period=FQ","BEST_FPERIOD_OVERRIDE=FQ","FILING_STATUS=MR","Sort=A","Dates=H","DateFormat=P","Fill=—","Direction=H","UseDPDF=Y")</f>
        <v>0</v>
      </c>
      <c r="O21" s="14">
        <f>_xll.BDH("ITCI US Equity","LT_DBT_AST_EX_OP_LEA_LIAB_AST","FQ4 2021","FQ4 2021","Currency=USD","Period=FQ","BEST_FPERIOD_OVERRIDE=FQ","FILING_STATUS=MR","Sort=A","Dates=H","DateFormat=P","Fill=—","Direction=H","UseDPDF=Y")</f>
        <v>0</v>
      </c>
      <c r="P21" s="14">
        <f>_xll.BDH("ITCI US Equity","LT_DBT_AST_EX_OP_LEA_LIAB_AST","FQ1 2022","FQ1 2022","Currency=USD","Period=FQ","BEST_FPERIOD_OVERRIDE=FQ","FILING_STATUS=MR","Sort=A","Dates=H","DateFormat=P","Fill=—","Direction=H","UseDPDF=Y")</f>
        <v>0</v>
      </c>
      <c r="Q21" s="14">
        <f>_xll.BDH("ITCI US Equity","LT_DBT_AST_EX_OP_LEA_LIAB_AST","FQ2 2022","FQ2 2022","Currency=USD","Period=FQ","BEST_FPERIOD_OVERRIDE=FQ","FILING_STATUS=MR","Sort=A","Dates=H","DateFormat=P","Fill=—","Direction=H","UseDPDF=Y")</f>
        <v>0</v>
      </c>
      <c r="R21" s="14">
        <f>_xll.BDH("ITCI US Equity","LT_DBT_AST_EX_OP_LEA_LIAB_AST","FQ3 2022","FQ3 2022","Currency=USD","Period=FQ","BEST_FPERIOD_OVERRIDE=FQ","FILING_STATUS=MR","Sort=A","Dates=H","DateFormat=P","Fill=—","Direction=H","UseDPDF=Y")</f>
        <v>0</v>
      </c>
      <c r="S21" s="14">
        <f>_xll.BDH("ITCI US Equity","LT_DBT_AST_EX_OP_LEA_LIAB_AST","FQ4 2022","FQ4 2022","Currency=USD","Period=FQ","BEST_FPERIOD_OVERRIDE=FQ","FILING_STATUS=MR","Sort=A","Dates=H","DateFormat=P","Fill=—","Direction=H","UseDPDF=Y")</f>
        <v>0</v>
      </c>
      <c r="T21" s="14">
        <f>_xll.BDH("ITCI US Equity","LT_DBT_AST_EX_OP_LEA_LIAB_AST","FQ1 2023","FQ1 2023","Currency=USD","Period=FQ","BEST_FPERIOD_OVERRIDE=FQ","FILING_STATUS=MR","Sort=A","Dates=H","DateFormat=P","Fill=—","Direction=H","UseDPDF=Y")</f>
        <v>0</v>
      </c>
      <c r="U21" s="14">
        <f>_xll.BDH("ITCI US Equity","LT_DBT_AST_EX_OP_LEA_LIAB_AST","FQ2 2023","FQ2 2023","Currency=USD","Period=FQ","BEST_FPERIOD_OVERRIDE=FQ","FILING_STATUS=MR","Sort=A","Dates=H","DateFormat=P","Fill=—","Direction=H","UseDPDF=Y")</f>
        <v>0</v>
      </c>
      <c r="V21" s="14">
        <f>_xll.BDH("ITCI US Equity","LT_DBT_AST_EX_OP_LEA_LIAB_AST","FQ3 2023","FQ3 2023","Currency=USD","Period=FQ","BEST_FPERIOD_OVERRIDE=FQ","FILING_STATUS=MR","Sort=A","Dates=H","DateFormat=P","Fill=—","Direction=H","UseDPDF=Y")</f>
        <v>0</v>
      </c>
      <c r="W21" s="14">
        <f>_xll.BDH("ITCI US Equity","LT_DBT_AST_EX_OP_LEA_LIAB_AST","FQ4 2023","FQ4 2023","Currency=USD","Period=FQ","BEST_FPERIOD_OVERRIDE=FQ","FILING_STATUS=MR","Sort=A","Dates=H","DateFormat=P","Fill=—","Direction=H","UseDPDF=Y")</f>
        <v>0</v>
      </c>
      <c r="X21" s="14">
        <f>_xll.BDH("ITCI US Equity","LT_DBT_AST_EX_OP_LEA_LIAB_AST","FQ1 2024","FQ1 2024","Currency=USD","Period=FQ","BEST_FPERIOD_OVERRIDE=FQ","FILING_STATUS=MR","Sort=A","Dates=H","DateFormat=P","Fill=—","Direction=H","UseDPDF=Y")</f>
        <v>0</v>
      </c>
      <c r="Y21" s="14">
        <f>_xll.BDH("ITCI US Equity","LT_DBT_AST_EX_OP_LEA_LIAB_AST","FQ2 2024","FQ2 2024","Currency=USD","Period=FQ","BEST_FPERIOD_OVERRIDE=FQ","FILING_STATUS=MR","Sort=A","Dates=H","DateFormat=P","Fill=—","Direction=H","UseDPDF=Y")</f>
        <v>0</v>
      </c>
      <c r="Z21" s="14">
        <f>_xll.BDH("ITCI US Equity","LT_DBT_AST_EX_OP_LEA_LIAB_AST","FQ3 2024","FQ3 2024","Currency=USD","Period=FQ","BEST_FPERIOD_OVERRIDE=FQ","FILING_STATUS=MR","Sort=A","Dates=H","DateFormat=P","Fill=—","Direction=H","UseDPDF=Y")</f>
        <v>0</v>
      </c>
      <c r="AA21" s="14">
        <f>_xll.BDH("ITCI US Equity","LT_DBT_AST_EX_OP_LEA_LIAB_AST","FQ4 2024","FQ4 2024","Currency=USD","Period=FQ","BEST_FPERIOD_OVERRIDE=FQ","FILING_STATUS=MR","Sort=A","Dates=H","DateFormat=P","Fill=—","Direction=H","UseDPDF=Y")</f>
        <v>0</v>
      </c>
    </row>
    <row r="22" spans="1:27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5">
      <c r="A23" s="10" t="s">
        <v>1187</v>
      </c>
      <c r="B23" s="10" t="s">
        <v>1205</v>
      </c>
      <c r="C23" s="14">
        <f>_xll.BDH("ITCI US Equity","TOT_DBT_EX_OP_LEA_LIABS_TO_EQTY","FQ4 2018","FQ4 2018","Currency=USD","Period=FQ","BEST_FPERIOD_OVERRIDE=FQ","FILING_STATUS=MR","Sort=A","Dates=H","DateFormat=P","Fill=—","Direction=H","UseDPDF=Y")</f>
        <v>0</v>
      </c>
      <c r="D23" s="14">
        <f>_xll.BDH("ITCI US Equity","TOT_DBT_EX_OP_LEA_LIABS_TO_EQTY","FQ1 2019","FQ1 2019","Currency=USD","Period=FQ","BEST_FPERIOD_OVERRIDE=FQ","FILING_STATUS=MR","Sort=A","Dates=H","DateFormat=P","Fill=—","Direction=H","UseDPDF=Y")</f>
        <v>0</v>
      </c>
      <c r="E23" s="14">
        <f>_xll.BDH("ITCI US Equity","TOT_DBT_EX_OP_LEA_LIABS_TO_EQTY","FQ2 2019","FQ2 2019","Currency=USD","Period=FQ","BEST_FPERIOD_OVERRIDE=FQ","FILING_STATUS=MR","Sort=A","Dates=H","DateFormat=P","Fill=—","Direction=H","UseDPDF=Y")</f>
        <v>0</v>
      </c>
      <c r="F23" s="14">
        <f>_xll.BDH("ITCI US Equity","TOT_DBT_EX_OP_LEA_LIABS_TO_EQTY","FQ3 2019","FQ3 2019","Currency=USD","Period=FQ","BEST_FPERIOD_OVERRIDE=FQ","FILING_STATUS=MR","Sort=A","Dates=H","DateFormat=P","Fill=—","Direction=H","UseDPDF=Y")</f>
        <v>0</v>
      </c>
      <c r="G23" s="14">
        <f>_xll.BDH("ITCI US Equity","TOT_DBT_EX_OP_LEA_LIABS_TO_EQTY","FQ4 2019","FQ4 2019","Currency=USD","Period=FQ","BEST_FPERIOD_OVERRIDE=FQ","FILING_STATUS=MR","Sort=A","Dates=H","DateFormat=P","Fill=—","Direction=H","UseDPDF=Y")</f>
        <v>0</v>
      </c>
      <c r="H23" s="14">
        <f>_xll.BDH("ITCI US Equity","TOT_DBT_EX_OP_LEA_LIABS_TO_EQTY","FQ1 2020","FQ1 2020","Currency=USD","Period=FQ","BEST_FPERIOD_OVERRIDE=FQ","FILING_STATUS=MR","Sort=A","Dates=H","DateFormat=P","Fill=—","Direction=H","UseDPDF=Y")</f>
        <v>0</v>
      </c>
      <c r="I23" s="14">
        <f>_xll.BDH("ITCI US Equity","TOT_DBT_EX_OP_LEA_LIABS_TO_EQTY","FQ2 2020","FQ2 2020","Currency=USD","Period=FQ","BEST_FPERIOD_OVERRIDE=FQ","FILING_STATUS=MR","Sort=A","Dates=H","DateFormat=P","Fill=—","Direction=H","UseDPDF=Y")</f>
        <v>0</v>
      </c>
      <c r="J23" s="14">
        <f>_xll.BDH("ITCI US Equity","TOT_DBT_EX_OP_LEA_LIABS_TO_EQTY","FQ3 2020","FQ3 2020","Currency=USD","Period=FQ","BEST_FPERIOD_OVERRIDE=FQ","FILING_STATUS=MR","Sort=A","Dates=H","DateFormat=P","Fill=—","Direction=H","UseDPDF=Y")</f>
        <v>0</v>
      </c>
      <c r="K23" s="14">
        <f>_xll.BDH("ITCI US Equity","TOT_DBT_EX_OP_LEA_LIABS_TO_EQTY","FQ4 2020","FQ4 2020","Currency=USD","Period=FQ","BEST_FPERIOD_OVERRIDE=FQ","FILING_STATUS=MR","Sort=A","Dates=H","DateFormat=P","Fill=—","Direction=H","UseDPDF=Y")</f>
        <v>0</v>
      </c>
      <c r="L23" s="14">
        <f>_xll.BDH("ITCI US Equity","TOT_DBT_EX_OP_LEA_LIABS_TO_EQTY","FQ1 2021","FQ1 2021","Currency=USD","Period=FQ","BEST_FPERIOD_OVERRIDE=FQ","FILING_STATUS=MR","Sort=A","Dates=H","DateFormat=P","Fill=—","Direction=H","UseDPDF=Y")</f>
        <v>0</v>
      </c>
      <c r="M23" s="14">
        <f>_xll.BDH("ITCI US Equity","TOT_DBT_EX_OP_LEA_LIABS_TO_EQTY","FQ2 2021","FQ2 2021","Currency=USD","Period=FQ","BEST_FPERIOD_OVERRIDE=FQ","FILING_STATUS=MR","Sort=A","Dates=H","DateFormat=P","Fill=—","Direction=H","UseDPDF=Y")</f>
        <v>0</v>
      </c>
      <c r="N23" s="14">
        <f>_xll.BDH("ITCI US Equity","TOT_DBT_EX_OP_LEA_LIABS_TO_EQTY","FQ3 2021","FQ3 2021","Currency=USD","Period=FQ","BEST_FPERIOD_OVERRIDE=FQ","FILING_STATUS=MR","Sort=A","Dates=H","DateFormat=P","Fill=—","Direction=H","UseDPDF=Y")</f>
        <v>0</v>
      </c>
      <c r="O23" s="14">
        <f>_xll.BDH("ITCI US Equity","TOT_DBT_EX_OP_LEA_LIABS_TO_EQTY","FQ4 2021","FQ4 2021","Currency=USD","Period=FQ","BEST_FPERIOD_OVERRIDE=FQ","FILING_STATUS=MR","Sort=A","Dates=H","DateFormat=P","Fill=—","Direction=H","UseDPDF=Y")</f>
        <v>0</v>
      </c>
      <c r="P23" s="14">
        <f>_xll.BDH("ITCI US Equity","TOT_DBT_EX_OP_LEA_LIABS_TO_EQTY","FQ1 2022","FQ1 2022","Currency=USD","Period=FQ","BEST_FPERIOD_OVERRIDE=FQ","FILING_STATUS=MR","Sort=A","Dates=H","DateFormat=P","Fill=—","Direction=H","UseDPDF=Y")</f>
        <v>0</v>
      </c>
      <c r="Q23" s="14">
        <f>_xll.BDH("ITCI US Equity","TOT_DBT_EX_OP_LEA_LIABS_TO_EQTY","FQ2 2022","FQ2 2022","Currency=USD","Period=FQ","BEST_FPERIOD_OVERRIDE=FQ","FILING_STATUS=MR","Sort=A","Dates=H","DateFormat=P","Fill=—","Direction=H","UseDPDF=Y")</f>
        <v>0</v>
      </c>
      <c r="R23" s="14">
        <f>_xll.BDH("ITCI US Equity","TOT_DBT_EX_OP_LEA_LIABS_TO_EQTY","FQ3 2022","FQ3 2022","Currency=USD","Period=FQ","BEST_FPERIOD_OVERRIDE=FQ","FILING_STATUS=MR","Sort=A","Dates=H","DateFormat=P","Fill=—","Direction=H","UseDPDF=Y")</f>
        <v>0</v>
      </c>
      <c r="S23" s="14">
        <f>_xll.BDH("ITCI US Equity","TOT_DBT_EX_OP_LEA_LIABS_TO_EQTY","FQ4 2022","FQ4 2022","Currency=USD","Period=FQ","BEST_FPERIOD_OVERRIDE=FQ","FILING_STATUS=MR","Sort=A","Dates=H","DateFormat=P","Fill=—","Direction=H","UseDPDF=Y")</f>
        <v>0</v>
      </c>
      <c r="T23" s="14">
        <f>_xll.BDH("ITCI US Equity","TOT_DBT_EX_OP_LEA_LIABS_TO_EQTY","FQ1 2023","FQ1 2023","Currency=USD","Period=FQ","BEST_FPERIOD_OVERRIDE=FQ","FILING_STATUS=MR","Sort=A","Dates=H","DateFormat=P","Fill=—","Direction=H","UseDPDF=Y")</f>
        <v>0</v>
      </c>
      <c r="U23" s="14">
        <f>_xll.BDH("ITCI US Equity","TOT_DBT_EX_OP_LEA_LIABS_TO_EQTY","FQ2 2023","FQ2 2023","Currency=USD","Period=FQ","BEST_FPERIOD_OVERRIDE=FQ","FILING_STATUS=MR","Sort=A","Dates=H","DateFormat=P","Fill=—","Direction=H","UseDPDF=Y")</f>
        <v>0</v>
      </c>
      <c r="V23" s="14">
        <f>_xll.BDH("ITCI US Equity","TOT_DBT_EX_OP_LEA_LIABS_TO_EQTY","FQ3 2023","FQ3 2023","Currency=USD","Period=FQ","BEST_FPERIOD_OVERRIDE=FQ","FILING_STATUS=MR","Sort=A","Dates=H","DateFormat=P","Fill=—","Direction=H","UseDPDF=Y")</f>
        <v>0</v>
      </c>
      <c r="W23" s="14">
        <f>_xll.BDH("ITCI US Equity","TOT_DBT_EX_OP_LEA_LIABS_TO_EQTY","FQ4 2023","FQ4 2023","Currency=USD","Period=FQ","BEST_FPERIOD_OVERRIDE=FQ","FILING_STATUS=MR","Sort=A","Dates=H","DateFormat=P","Fill=—","Direction=H","UseDPDF=Y")</f>
        <v>0</v>
      </c>
      <c r="X23" s="14">
        <f>_xll.BDH("ITCI US Equity","TOT_DBT_EX_OP_LEA_LIABS_TO_EQTY","FQ1 2024","FQ1 2024","Currency=USD","Period=FQ","BEST_FPERIOD_OVERRIDE=FQ","FILING_STATUS=MR","Sort=A","Dates=H","DateFormat=P","Fill=—","Direction=H","UseDPDF=Y")</f>
        <v>0</v>
      </c>
      <c r="Y23" s="14">
        <f>_xll.BDH("ITCI US Equity","TOT_DBT_EX_OP_LEA_LIABS_TO_EQTY","FQ2 2024","FQ2 2024","Currency=USD","Period=FQ","BEST_FPERIOD_OVERRIDE=FQ","FILING_STATUS=MR","Sort=A","Dates=H","DateFormat=P","Fill=—","Direction=H","UseDPDF=Y")</f>
        <v>0</v>
      </c>
      <c r="Z23" s="14">
        <f>_xll.BDH("ITCI US Equity","TOT_DBT_EX_OP_LEA_LIABS_TO_EQTY","FQ3 2024","FQ3 2024","Currency=USD","Period=FQ","BEST_FPERIOD_OVERRIDE=FQ","FILING_STATUS=MR","Sort=A","Dates=H","DateFormat=P","Fill=—","Direction=H","UseDPDF=Y")</f>
        <v>0</v>
      </c>
      <c r="AA23" s="14">
        <f>_xll.BDH("ITCI US Equity","TOT_DBT_EX_OP_LEA_LIABS_TO_EQTY","FQ4 2024","FQ4 2024","Currency=USD","Period=FQ","BEST_FPERIOD_OVERRIDE=FQ","FILING_STATUS=MR","Sort=A","Dates=H","DateFormat=P","Fill=—","Direction=H","UseDPDF=Y")</f>
        <v>0</v>
      </c>
    </row>
    <row r="24" spans="1:27" x14ac:dyDescent="0.25">
      <c r="A24" s="10" t="s">
        <v>1189</v>
      </c>
      <c r="B24" s="10" t="s">
        <v>269</v>
      </c>
      <c r="C24" s="14">
        <f>_xll.BDH("ITCI US Equity","TOT_DBT_TO_CPTL_EX_OP_LEA_LIABS","FQ4 2018","FQ4 2018","Currency=USD","Period=FQ","BEST_FPERIOD_OVERRIDE=FQ","FILING_STATUS=MR","Sort=A","Dates=H","DateFormat=P","Fill=—","Direction=H","UseDPDF=Y")</f>
        <v>0</v>
      </c>
      <c r="D24" s="14">
        <f>_xll.BDH("ITCI US Equity","TOT_DBT_TO_CPTL_EX_OP_LEA_LIABS","FQ1 2019","FQ1 2019","Currency=USD","Period=FQ","BEST_FPERIOD_OVERRIDE=FQ","FILING_STATUS=MR","Sort=A","Dates=H","DateFormat=P","Fill=—","Direction=H","UseDPDF=Y")</f>
        <v>0</v>
      </c>
      <c r="E24" s="14">
        <f>_xll.BDH("ITCI US Equity","TOT_DBT_TO_CPTL_EX_OP_LEA_LIABS","FQ2 2019","FQ2 2019","Currency=USD","Period=FQ","BEST_FPERIOD_OVERRIDE=FQ","FILING_STATUS=MR","Sort=A","Dates=H","DateFormat=P","Fill=—","Direction=H","UseDPDF=Y")</f>
        <v>0</v>
      </c>
      <c r="F24" s="14">
        <f>_xll.BDH("ITCI US Equity","TOT_DBT_TO_CPTL_EX_OP_LEA_LIABS","FQ3 2019","FQ3 2019","Currency=USD","Period=FQ","BEST_FPERIOD_OVERRIDE=FQ","FILING_STATUS=MR","Sort=A","Dates=H","DateFormat=P","Fill=—","Direction=H","UseDPDF=Y")</f>
        <v>0</v>
      </c>
      <c r="G24" s="14">
        <f>_xll.BDH("ITCI US Equity","TOT_DBT_TO_CPTL_EX_OP_LEA_LIABS","FQ4 2019","FQ4 2019","Currency=USD","Period=FQ","BEST_FPERIOD_OVERRIDE=FQ","FILING_STATUS=MR","Sort=A","Dates=H","DateFormat=P","Fill=—","Direction=H","UseDPDF=Y")</f>
        <v>0</v>
      </c>
      <c r="H24" s="14">
        <f>_xll.BDH("ITCI US Equity","TOT_DBT_TO_CPTL_EX_OP_LEA_LIABS","FQ1 2020","FQ1 2020","Currency=USD","Period=FQ","BEST_FPERIOD_OVERRIDE=FQ","FILING_STATUS=MR","Sort=A","Dates=H","DateFormat=P","Fill=—","Direction=H","UseDPDF=Y")</f>
        <v>0</v>
      </c>
      <c r="I24" s="14">
        <f>_xll.BDH("ITCI US Equity","TOT_DBT_TO_CPTL_EX_OP_LEA_LIABS","FQ2 2020","FQ2 2020","Currency=USD","Period=FQ","BEST_FPERIOD_OVERRIDE=FQ","FILING_STATUS=MR","Sort=A","Dates=H","DateFormat=P","Fill=—","Direction=H","UseDPDF=Y")</f>
        <v>0</v>
      </c>
      <c r="J24" s="14">
        <f>_xll.BDH("ITCI US Equity","TOT_DBT_TO_CPTL_EX_OP_LEA_LIABS","FQ3 2020","FQ3 2020","Currency=USD","Period=FQ","BEST_FPERIOD_OVERRIDE=FQ","FILING_STATUS=MR","Sort=A","Dates=H","DateFormat=P","Fill=—","Direction=H","UseDPDF=Y")</f>
        <v>0</v>
      </c>
      <c r="K24" s="14">
        <f>_xll.BDH("ITCI US Equity","TOT_DBT_TO_CPTL_EX_OP_LEA_LIABS","FQ4 2020","FQ4 2020","Currency=USD","Period=FQ","BEST_FPERIOD_OVERRIDE=FQ","FILING_STATUS=MR","Sort=A","Dates=H","DateFormat=P","Fill=—","Direction=H","UseDPDF=Y")</f>
        <v>0</v>
      </c>
      <c r="L24" s="14">
        <f>_xll.BDH("ITCI US Equity","TOT_DBT_TO_CPTL_EX_OP_LEA_LIABS","FQ1 2021","FQ1 2021","Currency=USD","Period=FQ","BEST_FPERIOD_OVERRIDE=FQ","FILING_STATUS=MR","Sort=A","Dates=H","DateFormat=P","Fill=—","Direction=H","UseDPDF=Y")</f>
        <v>0</v>
      </c>
      <c r="M24" s="14">
        <f>_xll.BDH("ITCI US Equity","TOT_DBT_TO_CPTL_EX_OP_LEA_LIABS","FQ2 2021","FQ2 2021","Currency=USD","Period=FQ","BEST_FPERIOD_OVERRIDE=FQ","FILING_STATUS=MR","Sort=A","Dates=H","DateFormat=P","Fill=—","Direction=H","UseDPDF=Y")</f>
        <v>0</v>
      </c>
      <c r="N24" s="14">
        <f>_xll.BDH("ITCI US Equity","TOT_DBT_TO_CPTL_EX_OP_LEA_LIABS","FQ3 2021","FQ3 2021","Currency=USD","Period=FQ","BEST_FPERIOD_OVERRIDE=FQ","FILING_STATUS=MR","Sort=A","Dates=H","DateFormat=P","Fill=—","Direction=H","UseDPDF=Y")</f>
        <v>0</v>
      </c>
      <c r="O24" s="14">
        <f>_xll.BDH("ITCI US Equity","TOT_DBT_TO_CPTL_EX_OP_LEA_LIABS","FQ4 2021","FQ4 2021","Currency=USD","Period=FQ","BEST_FPERIOD_OVERRIDE=FQ","FILING_STATUS=MR","Sort=A","Dates=H","DateFormat=P","Fill=—","Direction=H","UseDPDF=Y")</f>
        <v>0</v>
      </c>
      <c r="P24" s="14">
        <f>_xll.BDH("ITCI US Equity","TOT_DBT_TO_CPTL_EX_OP_LEA_LIABS","FQ1 2022","FQ1 2022","Currency=USD","Period=FQ","BEST_FPERIOD_OVERRIDE=FQ","FILING_STATUS=MR","Sort=A","Dates=H","DateFormat=P","Fill=—","Direction=H","UseDPDF=Y")</f>
        <v>0</v>
      </c>
      <c r="Q24" s="14">
        <f>_xll.BDH("ITCI US Equity","TOT_DBT_TO_CPTL_EX_OP_LEA_LIABS","FQ2 2022","FQ2 2022","Currency=USD","Period=FQ","BEST_FPERIOD_OVERRIDE=FQ","FILING_STATUS=MR","Sort=A","Dates=H","DateFormat=P","Fill=—","Direction=H","UseDPDF=Y")</f>
        <v>0</v>
      </c>
      <c r="R24" s="14">
        <f>_xll.BDH("ITCI US Equity","TOT_DBT_TO_CPTL_EX_OP_LEA_LIABS","FQ3 2022","FQ3 2022","Currency=USD","Period=FQ","BEST_FPERIOD_OVERRIDE=FQ","FILING_STATUS=MR","Sort=A","Dates=H","DateFormat=P","Fill=—","Direction=H","UseDPDF=Y")</f>
        <v>0</v>
      </c>
      <c r="S24" s="14">
        <f>_xll.BDH("ITCI US Equity","TOT_DBT_TO_CPTL_EX_OP_LEA_LIABS","FQ4 2022","FQ4 2022","Currency=USD","Period=FQ","BEST_FPERIOD_OVERRIDE=FQ","FILING_STATUS=MR","Sort=A","Dates=H","DateFormat=P","Fill=—","Direction=H","UseDPDF=Y")</f>
        <v>0</v>
      </c>
      <c r="T24" s="14">
        <f>_xll.BDH("ITCI US Equity","TOT_DBT_TO_CPTL_EX_OP_LEA_LIABS","FQ1 2023","FQ1 2023","Currency=USD","Period=FQ","BEST_FPERIOD_OVERRIDE=FQ","FILING_STATUS=MR","Sort=A","Dates=H","DateFormat=P","Fill=—","Direction=H","UseDPDF=Y")</f>
        <v>0</v>
      </c>
      <c r="U24" s="14">
        <f>_xll.BDH("ITCI US Equity","TOT_DBT_TO_CPTL_EX_OP_LEA_LIABS","FQ2 2023","FQ2 2023","Currency=USD","Period=FQ","BEST_FPERIOD_OVERRIDE=FQ","FILING_STATUS=MR","Sort=A","Dates=H","DateFormat=P","Fill=—","Direction=H","UseDPDF=Y")</f>
        <v>0</v>
      </c>
      <c r="V24" s="14">
        <f>_xll.BDH("ITCI US Equity","TOT_DBT_TO_CPTL_EX_OP_LEA_LIABS","FQ3 2023","FQ3 2023","Currency=USD","Period=FQ","BEST_FPERIOD_OVERRIDE=FQ","FILING_STATUS=MR","Sort=A","Dates=H","DateFormat=P","Fill=—","Direction=H","UseDPDF=Y")</f>
        <v>0</v>
      </c>
      <c r="W24" s="14">
        <f>_xll.BDH("ITCI US Equity","TOT_DBT_TO_CPTL_EX_OP_LEA_LIABS","FQ4 2023","FQ4 2023","Currency=USD","Period=FQ","BEST_FPERIOD_OVERRIDE=FQ","FILING_STATUS=MR","Sort=A","Dates=H","DateFormat=P","Fill=—","Direction=H","UseDPDF=Y")</f>
        <v>0</v>
      </c>
      <c r="X24" s="14">
        <f>_xll.BDH("ITCI US Equity","TOT_DBT_TO_CPTL_EX_OP_LEA_LIABS","FQ1 2024","FQ1 2024","Currency=USD","Period=FQ","BEST_FPERIOD_OVERRIDE=FQ","FILING_STATUS=MR","Sort=A","Dates=H","DateFormat=P","Fill=—","Direction=H","UseDPDF=Y")</f>
        <v>0</v>
      </c>
      <c r="Y24" s="14">
        <f>_xll.BDH("ITCI US Equity","TOT_DBT_TO_CPTL_EX_OP_LEA_LIABS","FQ2 2024","FQ2 2024","Currency=USD","Period=FQ","BEST_FPERIOD_OVERRIDE=FQ","FILING_STATUS=MR","Sort=A","Dates=H","DateFormat=P","Fill=—","Direction=H","UseDPDF=Y")</f>
        <v>0</v>
      </c>
      <c r="Z24" s="14">
        <f>_xll.BDH("ITCI US Equity","TOT_DBT_TO_CPTL_EX_OP_LEA_LIABS","FQ3 2024","FQ3 2024","Currency=USD","Period=FQ","BEST_FPERIOD_OVERRIDE=FQ","FILING_STATUS=MR","Sort=A","Dates=H","DateFormat=P","Fill=—","Direction=H","UseDPDF=Y")</f>
        <v>0</v>
      </c>
      <c r="AA24" s="14">
        <f>_xll.BDH("ITCI US Equity","TOT_DBT_TO_CPTL_EX_OP_LEA_LIABS","FQ4 2024","FQ4 2024","Currency=USD","Period=FQ","BEST_FPERIOD_OVERRIDE=FQ","FILING_STATUS=MR","Sort=A","Dates=H","DateFormat=P","Fill=—","Direction=H","UseDPDF=Y")</f>
        <v>0</v>
      </c>
    </row>
    <row r="25" spans="1:27" x14ac:dyDescent="0.25">
      <c r="A25" s="10" t="s">
        <v>1190</v>
      </c>
      <c r="B25" s="10" t="s">
        <v>1206</v>
      </c>
      <c r="C25" s="14">
        <f>_xll.BDH("ITCI US Equity","TOT_DBT_AST_EX_OP_LEA_LIAB_AST","FQ4 2018","FQ4 2018","Currency=USD","Period=FQ","BEST_FPERIOD_OVERRIDE=FQ","FILING_STATUS=MR","Sort=A","Dates=H","DateFormat=P","Fill=—","Direction=H","UseDPDF=Y")</f>
        <v>0</v>
      </c>
      <c r="D25" s="14">
        <f>_xll.BDH("ITCI US Equity","TOT_DBT_AST_EX_OP_LEA_LIAB_AST","FQ1 2019","FQ1 2019","Currency=USD","Period=FQ","BEST_FPERIOD_OVERRIDE=FQ","FILING_STATUS=MR","Sort=A","Dates=H","DateFormat=P","Fill=—","Direction=H","UseDPDF=Y")</f>
        <v>0</v>
      </c>
      <c r="E25" s="14">
        <f>_xll.BDH("ITCI US Equity","TOT_DBT_AST_EX_OP_LEA_LIAB_AST","FQ2 2019","FQ2 2019","Currency=USD","Period=FQ","BEST_FPERIOD_OVERRIDE=FQ","FILING_STATUS=MR","Sort=A","Dates=H","DateFormat=P","Fill=—","Direction=H","UseDPDF=Y")</f>
        <v>0</v>
      </c>
      <c r="F25" s="14">
        <f>_xll.BDH("ITCI US Equity","TOT_DBT_AST_EX_OP_LEA_LIAB_AST","FQ3 2019","FQ3 2019","Currency=USD","Period=FQ","BEST_FPERIOD_OVERRIDE=FQ","FILING_STATUS=MR","Sort=A","Dates=H","DateFormat=P","Fill=—","Direction=H","UseDPDF=Y")</f>
        <v>0</v>
      </c>
      <c r="G25" s="14">
        <f>_xll.BDH("ITCI US Equity","TOT_DBT_AST_EX_OP_LEA_LIAB_AST","FQ4 2019","FQ4 2019","Currency=USD","Period=FQ","BEST_FPERIOD_OVERRIDE=FQ","FILING_STATUS=MR","Sort=A","Dates=H","DateFormat=P","Fill=—","Direction=H","UseDPDF=Y")</f>
        <v>0</v>
      </c>
      <c r="H25" s="14">
        <f>_xll.BDH("ITCI US Equity","TOT_DBT_AST_EX_OP_LEA_LIAB_AST","FQ1 2020","FQ1 2020","Currency=USD","Period=FQ","BEST_FPERIOD_OVERRIDE=FQ","FILING_STATUS=MR","Sort=A","Dates=H","DateFormat=P","Fill=—","Direction=H","UseDPDF=Y")</f>
        <v>0</v>
      </c>
      <c r="I25" s="14">
        <f>_xll.BDH("ITCI US Equity","TOT_DBT_AST_EX_OP_LEA_LIAB_AST","FQ2 2020","FQ2 2020","Currency=USD","Period=FQ","BEST_FPERIOD_OVERRIDE=FQ","FILING_STATUS=MR","Sort=A","Dates=H","DateFormat=P","Fill=—","Direction=H","UseDPDF=Y")</f>
        <v>0</v>
      </c>
      <c r="J25" s="14">
        <f>_xll.BDH("ITCI US Equity","TOT_DBT_AST_EX_OP_LEA_LIAB_AST","FQ3 2020","FQ3 2020","Currency=USD","Period=FQ","BEST_FPERIOD_OVERRIDE=FQ","FILING_STATUS=MR","Sort=A","Dates=H","DateFormat=P","Fill=—","Direction=H","UseDPDF=Y")</f>
        <v>0</v>
      </c>
      <c r="K25" s="14">
        <f>_xll.BDH("ITCI US Equity","TOT_DBT_AST_EX_OP_LEA_LIAB_AST","FQ4 2020","FQ4 2020","Currency=USD","Period=FQ","BEST_FPERIOD_OVERRIDE=FQ","FILING_STATUS=MR","Sort=A","Dates=H","DateFormat=P","Fill=—","Direction=H","UseDPDF=Y")</f>
        <v>0</v>
      </c>
      <c r="L25" s="14">
        <f>_xll.BDH("ITCI US Equity","TOT_DBT_AST_EX_OP_LEA_LIAB_AST","FQ1 2021","FQ1 2021","Currency=USD","Period=FQ","BEST_FPERIOD_OVERRIDE=FQ","FILING_STATUS=MR","Sort=A","Dates=H","DateFormat=P","Fill=—","Direction=H","UseDPDF=Y")</f>
        <v>0</v>
      </c>
      <c r="M25" s="14">
        <f>_xll.BDH("ITCI US Equity","TOT_DBT_AST_EX_OP_LEA_LIAB_AST","FQ2 2021","FQ2 2021","Currency=USD","Period=FQ","BEST_FPERIOD_OVERRIDE=FQ","FILING_STATUS=MR","Sort=A","Dates=H","DateFormat=P","Fill=—","Direction=H","UseDPDF=Y")</f>
        <v>0</v>
      </c>
      <c r="N25" s="14">
        <f>_xll.BDH("ITCI US Equity","TOT_DBT_AST_EX_OP_LEA_LIAB_AST","FQ3 2021","FQ3 2021","Currency=USD","Period=FQ","BEST_FPERIOD_OVERRIDE=FQ","FILING_STATUS=MR","Sort=A","Dates=H","DateFormat=P","Fill=—","Direction=H","UseDPDF=Y")</f>
        <v>0</v>
      </c>
      <c r="O25" s="14">
        <f>_xll.BDH("ITCI US Equity","TOT_DBT_AST_EX_OP_LEA_LIAB_AST","FQ4 2021","FQ4 2021","Currency=USD","Period=FQ","BEST_FPERIOD_OVERRIDE=FQ","FILING_STATUS=MR","Sort=A","Dates=H","DateFormat=P","Fill=—","Direction=H","UseDPDF=Y")</f>
        <v>0</v>
      </c>
      <c r="P25" s="14">
        <f>_xll.BDH("ITCI US Equity","TOT_DBT_AST_EX_OP_LEA_LIAB_AST","FQ1 2022","FQ1 2022","Currency=USD","Period=FQ","BEST_FPERIOD_OVERRIDE=FQ","FILING_STATUS=MR","Sort=A","Dates=H","DateFormat=P","Fill=—","Direction=H","UseDPDF=Y")</f>
        <v>0</v>
      </c>
      <c r="Q25" s="14">
        <f>_xll.BDH("ITCI US Equity","TOT_DBT_AST_EX_OP_LEA_LIAB_AST","FQ2 2022","FQ2 2022","Currency=USD","Period=FQ","BEST_FPERIOD_OVERRIDE=FQ","FILING_STATUS=MR","Sort=A","Dates=H","DateFormat=P","Fill=—","Direction=H","UseDPDF=Y")</f>
        <v>0</v>
      </c>
      <c r="R25" s="14">
        <f>_xll.BDH("ITCI US Equity","TOT_DBT_AST_EX_OP_LEA_LIAB_AST","FQ3 2022","FQ3 2022","Currency=USD","Period=FQ","BEST_FPERIOD_OVERRIDE=FQ","FILING_STATUS=MR","Sort=A","Dates=H","DateFormat=P","Fill=—","Direction=H","UseDPDF=Y")</f>
        <v>0</v>
      </c>
      <c r="S25" s="14">
        <f>_xll.BDH("ITCI US Equity","TOT_DBT_AST_EX_OP_LEA_LIAB_AST","FQ4 2022","FQ4 2022","Currency=USD","Period=FQ","BEST_FPERIOD_OVERRIDE=FQ","FILING_STATUS=MR","Sort=A","Dates=H","DateFormat=P","Fill=—","Direction=H","UseDPDF=Y")</f>
        <v>0</v>
      </c>
      <c r="T25" s="14">
        <f>_xll.BDH("ITCI US Equity","TOT_DBT_AST_EX_OP_LEA_LIAB_AST","FQ1 2023","FQ1 2023","Currency=USD","Period=FQ","BEST_FPERIOD_OVERRIDE=FQ","FILING_STATUS=MR","Sort=A","Dates=H","DateFormat=P","Fill=—","Direction=H","UseDPDF=Y")</f>
        <v>0</v>
      </c>
      <c r="U25" s="14">
        <f>_xll.BDH("ITCI US Equity","TOT_DBT_AST_EX_OP_LEA_LIAB_AST","FQ2 2023","FQ2 2023","Currency=USD","Period=FQ","BEST_FPERIOD_OVERRIDE=FQ","FILING_STATUS=MR","Sort=A","Dates=H","DateFormat=P","Fill=—","Direction=H","UseDPDF=Y")</f>
        <v>0</v>
      </c>
      <c r="V25" s="14">
        <f>_xll.BDH("ITCI US Equity","TOT_DBT_AST_EX_OP_LEA_LIAB_AST","FQ3 2023","FQ3 2023","Currency=USD","Period=FQ","BEST_FPERIOD_OVERRIDE=FQ","FILING_STATUS=MR","Sort=A","Dates=H","DateFormat=P","Fill=—","Direction=H","UseDPDF=Y")</f>
        <v>0</v>
      </c>
      <c r="W25" s="14">
        <f>_xll.BDH("ITCI US Equity","TOT_DBT_AST_EX_OP_LEA_LIAB_AST","FQ4 2023","FQ4 2023","Currency=USD","Period=FQ","BEST_FPERIOD_OVERRIDE=FQ","FILING_STATUS=MR","Sort=A","Dates=H","DateFormat=P","Fill=—","Direction=H","UseDPDF=Y")</f>
        <v>0</v>
      </c>
      <c r="X25" s="14">
        <f>_xll.BDH("ITCI US Equity","TOT_DBT_AST_EX_OP_LEA_LIAB_AST","FQ1 2024","FQ1 2024","Currency=USD","Period=FQ","BEST_FPERIOD_OVERRIDE=FQ","FILING_STATUS=MR","Sort=A","Dates=H","DateFormat=P","Fill=—","Direction=H","UseDPDF=Y")</f>
        <v>0</v>
      </c>
      <c r="Y25" s="14">
        <f>_xll.BDH("ITCI US Equity","TOT_DBT_AST_EX_OP_LEA_LIAB_AST","FQ2 2024","FQ2 2024","Currency=USD","Period=FQ","BEST_FPERIOD_OVERRIDE=FQ","FILING_STATUS=MR","Sort=A","Dates=H","DateFormat=P","Fill=—","Direction=H","UseDPDF=Y")</f>
        <v>0</v>
      </c>
      <c r="Z25" s="14">
        <f>_xll.BDH("ITCI US Equity","TOT_DBT_AST_EX_OP_LEA_LIAB_AST","FQ3 2024","FQ3 2024","Currency=USD","Period=FQ","BEST_FPERIOD_OVERRIDE=FQ","FILING_STATUS=MR","Sort=A","Dates=H","DateFormat=P","Fill=—","Direction=H","UseDPDF=Y")</f>
        <v>0</v>
      </c>
      <c r="AA25" s="14">
        <f>_xll.BDH("ITCI US Equity","TOT_DBT_AST_EX_OP_LEA_LIAB_AST","FQ4 2024","FQ4 2024","Currency=USD","Period=FQ","BEST_FPERIOD_OVERRIDE=FQ","FILING_STATUS=MR","Sort=A","Dates=H","DateFormat=P","Fill=—","Direction=H","UseDPDF=Y")</f>
        <v>0</v>
      </c>
    </row>
    <row r="26" spans="1:27" x14ac:dyDescent="0.25">
      <c r="A26" s="10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5">
      <c r="A27" s="10" t="s">
        <v>1192</v>
      </c>
      <c r="B27" s="10" t="s">
        <v>1207</v>
      </c>
      <c r="C27" s="14">
        <f>_xll.BDH("ITCI US Equity","NET_DBT_EX_OPER_LEA_LIABS_EQTY","FQ4 2018","FQ4 2018","Currency=USD","Period=FQ","BEST_FPERIOD_OVERRIDE=FQ","FILING_STATUS=MR","Sort=A","Dates=H","DateFormat=P","Fill=—","Direction=H","UseDPDF=Y")</f>
        <v>-109.3844</v>
      </c>
      <c r="D27" s="14">
        <f>_xll.BDH("ITCI US Equity","NET_DBT_EX_OPER_LEA_LIABS_EQTY","FQ1 2019","FQ1 2019","Currency=USD","Period=FQ","BEST_FPERIOD_OVERRIDE=FQ","FILING_STATUS=MR","Sort=A","Dates=H","DateFormat=P","Fill=—","Direction=H","UseDPDF=Y")</f>
        <v>-108.38760000000001</v>
      </c>
      <c r="E27" s="14">
        <f>_xll.BDH("ITCI US Equity","NET_DBT_EX_OPER_LEA_LIABS_EQTY","FQ2 2019","FQ2 2019","Currency=USD","Period=FQ","BEST_FPERIOD_OVERRIDE=FQ","FILING_STATUS=MR","Sort=A","Dates=H","DateFormat=P","Fill=—","Direction=H","UseDPDF=Y")</f>
        <v>-111.11190000000001</v>
      </c>
      <c r="F27" s="14">
        <f>_xll.BDH("ITCI US Equity","NET_DBT_EX_OPER_LEA_LIABS_EQTY","FQ3 2019","FQ3 2019","Currency=USD","Period=FQ","BEST_FPERIOD_OVERRIDE=FQ","FILING_STATUS=MR","Sort=A","Dates=H","DateFormat=P","Fill=—","Direction=H","UseDPDF=Y")</f>
        <v>-112.5852</v>
      </c>
      <c r="G27" s="14">
        <f>_xll.BDH("ITCI US Equity","NET_DBT_EX_OPER_LEA_LIABS_EQTY","FQ4 2019","FQ4 2019","Currency=USD","Period=FQ","BEST_FPERIOD_OVERRIDE=FQ","FILING_STATUS=MR","Sort=A","Dates=H","DateFormat=P","Fill=—","Direction=H","UseDPDF=Y")</f>
        <v>-114.87269999999999</v>
      </c>
      <c r="H27" s="14">
        <f>_xll.BDH("ITCI US Equity","NET_DBT_EX_OPER_LEA_LIABS_EQTY","FQ1 2020","FQ1 2020","Currency=USD","Period=FQ","BEST_FPERIOD_OVERRIDE=FQ","FILING_STATUS=MR","Sort=A","Dates=H","DateFormat=P","Fill=—","Direction=H","UseDPDF=Y")</f>
        <v>-104.2992</v>
      </c>
      <c r="I27" s="14">
        <f>_xll.BDH("ITCI US Equity","NET_DBT_EX_OPER_LEA_LIABS_EQTY","FQ2 2020","FQ2 2020","Currency=USD","Period=FQ","BEST_FPERIOD_OVERRIDE=FQ","FILING_STATUS=MR","Sort=A","Dates=H","DateFormat=P","Fill=—","Direction=H","UseDPDF=Y")</f>
        <v>-107.4379</v>
      </c>
      <c r="J27" s="14">
        <f>_xll.BDH("ITCI US Equity","NET_DBT_EX_OPER_LEA_LIABS_EQTY","FQ3 2020","FQ3 2020","Currency=USD","Period=FQ","BEST_FPERIOD_OVERRIDE=FQ","FILING_STATUS=MR","Sort=A","Dates=H","DateFormat=P","Fill=—","Direction=H","UseDPDF=Y")</f>
        <v>-101.7694</v>
      </c>
      <c r="K27" s="14">
        <f>_xll.BDH("ITCI US Equity","NET_DBT_EX_OPER_LEA_LIABS_EQTY","FQ4 2020","FQ4 2020","Currency=USD","Period=FQ","BEST_FPERIOD_OVERRIDE=FQ","FILING_STATUS=MR","Sort=A","Dates=H","DateFormat=P","Fill=—","Direction=H","UseDPDF=Y")</f>
        <v>-100.0895</v>
      </c>
      <c r="L27" s="14">
        <f>_xll.BDH("ITCI US Equity","NET_DBT_EX_OPER_LEA_LIABS_EQTY","FQ1 2021","FQ1 2021","Currency=USD","Period=FQ","BEST_FPERIOD_OVERRIDE=FQ","FILING_STATUS=MR","Sort=A","Dates=H","DateFormat=P","Fill=—","Direction=H","UseDPDF=Y")</f>
        <v>-99.969800000000006</v>
      </c>
      <c r="M27" s="14">
        <f>_xll.BDH("ITCI US Equity","NET_DBT_EX_OPER_LEA_LIABS_EQTY","FQ2 2021","FQ2 2021","Currency=USD","Period=FQ","BEST_FPERIOD_OVERRIDE=FQ","FILING_STATUS=MR","Sort=A","Dates=H","DateFormat=P","Fill=—","Direction=H","UseDPDF=Y")</f>
        <v>-100.2116</v>
      </c>
      <c r="N27" s="14">
        <f>_xll.BDH("ITCI US Equity","NET_DBT_EX_OPER_LEA_LIABS_EQTY","FQ3 2021","FQ3 2021","Currency=USD","Period=FQ","BEST_FPERIOD_OVERRIDE=FQ","FILING_STATUS=MR","Sort=A","Dates=H","DateFormat=P","Fill=—","Direction=H","UseDPDF=Y")</f>
        <v>-98.054000000000002</v>
      </c>
      <c r="O27" s="14">
        <f>_xll.BDH("ITCI US Equity","NET_DBT_EX_OPER_LEA_LIABS_EQTY","FQ4 2021","FQ4 2021","Currency=USD","Period=FQ","BEST_FPERIOD_OVERRIDE=FQ","FILING_STATUS=MR","Sort=A","Dates=H","DateFormat=P","Fill=—","Direction=H","UseDPDF=Y")</f>
        <v>-98.670100000000005</v>
      </c>
      <c r="P27" s="14">
        <f>_xll.BDH("ITCI US Equity","NET_DBT_EX_OPER_LEA_LIABS_EQTY","FQ1 2022","FQ1 2022","Currency=USD","Period=FQ","BEST_FPERIOD_OVERRIDE=FQ","FILING_STATUS=MR","Sort=A","Dates=H","DateFormat=P","Fill=—","Direction=H","UseDPDF=Y")</f>
        <v>-97.363399999999999</v>
      </c>
      <c r="Q27" s="14">
        <f>_xll.BDH("ITCI US Equity","NET_DBT_EX_OPER_LEA_LIABS_EQTY","FQ2 2022","FQ2 2022","Currency=USD","Period=FQ","BEST_FPERIOD_OVERRIDE=FQ","FILING_STATUS=MR","Sort=A","Dates=H","DateFormat=P","Fill=—","Direction=H","UseDPDF=Y")</f>
        <v>-93.856499999999997</v>
      </c>
      <c r="R27" s="14">
        <f>_xll.BDH("ITCI US Equity","NET_DBT_EX_OPER_LEA_LIABS_EQTY","FQ3 2022","FQ3 2022","Currency=USD","Period=FQ","BEST_FPERIOD_OVERRIDE=FQ","FILING_STATUS=MR","Sort=A","Dates=H","DateFormat=P","Fill=—","Direction=H","UseDPDF=Y")</f>
        <v>-91.730500000000006</v>
      </c>
      <c r="S27" s="14">
        <f>_xll.BDH("ITCI US Equity","NET_DBT_EX_OPER_LEA_LIABS_EQTY","FQ4 2022","FQ4 2022","Currency=USD","Period=FQ","BEST_FPERIOD_OVERRIDE=FQ","FILING_STATUS=MR","Sort=A","Dates=H","DateFormat=P","Fill=—","Direction=H","UseDPDF=Y")</f>
        <v>-90.219800000000006</v>
      </c>
      <c r="T27" s="14">
        <f>_xll.BDH("ITCI US Equity","NET_DBT_EX_OPER_LEA_LIABS_EQTY","FQ1 2023","FQ1 2023","Currency=USD","Period=FQ","BEST_FPERIOD_OVERRIDE=FQ","FILING_STATUS=MR","Sort=A","Dates=H","DateFormat=P","Fill=—","Direction=H","UseDPDF=Y")</f>
        <v>-85.834800000000001</v>
      </c>
      <c r="U27" s="14">
        <f>_xll.BDH("ITCI US Equity","NET_DBT_EX_OPER_LEA_LIABS_EQTY","FQ2 2023","FQ2 2023","Currency=USD","Period=FQ","BEST_FPERIOD_OVERRIDE=FQ","FILING_STATUS=MR","Sort=A","Dates=H","DateFormat=P","Fill=—","Direction=H","UseDPDF=Y")</f>
        <v>-84.477400000000003</v>
      </c>
      <c r="V27" s="14">
        <f>_xll.BDH("ITCI US Equity","NET_DBT_EX_OPER_LEA_LIABS_EQTY","FQ3 2023","FQ3 2023","Currency=USD","Period=FQ","BEST_FPERIOD_OVERRIDE=FQ","FILING_STATUS=MR","Sort=A","Dates=H","DateFormat=P","Fill=—","Direction=H","UseDPDF=Y")</f>
        <v>-82.076999999999998</v>
      </c>
      <c r="W27" s="14">
        <f>_xll.BDH("ITCI US Equity","NET_DBT_EX_OPER_LEA_LIABS_EQTY","FQ4 2023","FQ4 2023","Currency=USD","Period=FQ","BEST_FPERIOD_OVERRIDE=FQ","FILING_STATUS=MR","Sort=A","Dates=H","DateFormat=P","Fill=—","Direction=H","UseDPDF=Y")</f>
        <v>-84.193600000000004</v>
      </c>
      <c r="X27" s="14">
        <f>_xll.BDH("ITCI US Equity","NET_DBT_EX_OPER_LEA_LIABS_EQTY","FQ1 2024","FQ1 2024","Currency=USD","Period=FQ","BEST_FPERIOD_OVERRIDE=FQ","FILING_STATUS=MR","Sort=A","Dates=H","DateFormat=P","Fill=—","Direction=H","UseDPDF=Y")</f>
        <v>-79.3369</v>
      </c>
      <c r="Y27" s="14">
        <f>_xll.BDH("ITCI US Equity","NET_DBT_EX_OPER_LEA_LIABS_EQTY","FQ2 2024","FQ2 2024","Currency=USD","Period=FQ","BEST_FPERIOD_OVERRIDE=FQ","FILING_STATUS=MR","Sort=A","Dates=H","DateFormat=P","Fill=—","Direction=H","UseDPDF=Y")</f>
        <v>-89.367099999999994</v>
      </c>
      <c r="Z27" s="14">
        <f>_xll.BDH("ITCI US Equity","NET_DBT_EX_OPER_LEA_LIABS_EQTY","FQ3 2024","FQ3 2024","Currency=USD","Period=FQ","BEST_FPERIOD_OVERRIDE=FQ","FILING_STATUS=MR","Sort=A","Dates=H","DateFormat=P","Fill=—","Direction=H","UseDPDF=Y")</f>
        <v>-87.922700000000006</v>
      </c>
      <c r="AA27" s="14">
        <f>_xll.BDH("ITCI US Equity","NET_DBT_EX_OPER_LEA_LIABS_EQTY","FQ4 2024","FQ4 2024","Currency=USD","Period=FQ","BEST_FPERIOD_OVERRIDE=FQ","FILING_STATUS=MR","Sort=A","Dates=H","DateFormat=P","Fill=—","Direction=H","UseDPDF=Y")</f>
        <v>-87.165899999999993</v>
      </c>
    </row>
    <row r="28" spans="1:27" x14ac:dyDescent="0.25">
      <c r="A28" s="10" t="s">
        <v>1193</v>
      </c>
      <c r="B28" s="10" t="s">
        <v>1208</v>
      </c>
      <c r="C28" s="14">
        <f>_xll.BDH("ITCI US Equity","NET_DBT_CPTL_EX_OPER_LEA_LIABS","FQ4 2018","FQ4 2018","Currency=USD","Period=FQ","BEST_FPERIOD_OVERRIDE=FQ","FILING_STATUS=MR","Sort=A","Dates=H","DateFormat=P","Fill=—","Direction=H","UseDPDF=Y")</f>
        <v>1165.5971</v>
      </c>
      <c r="D28" s="14">
        <f>_xll.BDH("ITCI US Equity","NET_DBT_CPTL_EX_OPER_LEA_LIABS","FQ1 2019","FQ1 2019","Currency=USD","Period=FQ","BEST_FPERIOD_OVERRIDE=FQ","FILING_STATUS=MR","Sort=A","Dates=H","DateFormat=P","Fill=—","Direction=H","UseDPDF=Y")</f>
        <v>1292.2302</v>
      </c>
      <c r="E28" s="14">
        <f>_xll.BDH("ITCI US Equity","NET_DBT_CPTL_EX_OPER_LEA_LIABS","FQ2 2019","FQ2 2019","Currency=USD","Period=FQ","BEST_FPERIOD_OVERRIDE=FQ","FILING_STATUS=MR","Sort=A","Dates=H","DateFormat=P","Fill=—","Direction=H","UseDPDF=Y")</f>
        <v>999.93730000000005</v>
      </c>
      <c r="F28" s="14">
        <f>_xll.BDH("ITCI US Equity","NET_DBT_CPTL_EX_OPER_LEA_LIABS","FQ3 2019","FQ3 2019","Currency=USD","Period=FQ","BEST_FPERIOD_OVERRIDE=FQ","FILING_STATUS=MR","Sort=A","Dates=H","DateFormat=P","Fill=—","Direction=H","UseDPDF=Y")</f>
        <v>894.58540000000005</v>
      </c>
      <c r="G28" s="14">
        <f>_xll.BDH("ITCI US Equity","NET_DBT_CPTL_EX_OPER_LEA_LIABS","FQ4 2019","FQ4 2019","Currency=USD","Period=FQ","BEST_FPERIOD_OVERRIDE=FQ","FILING_STATUS=MR","Sort=A","Dates=H","DateFormat=P","Fill=—","Direction=H","UseDPDF=Y")</f>
        <v>772.37130000000002</v>
      </c>
      <c r="H28" s="14">
        <f>_xll.BDH("ITCI US Equity","NET_DBT_CPTL_EX_OPER_LEA_LIABS","FQ1 2020","FQ1 2020","Currency=USD","Period=FQ","BEST_FPERIOD_OVERRIDE=FQ","FILING_STATUS=MR","Sort=A","Dates=H","DateFormat=P","Fill=—","Direction=H","UseDPDF=Y")</f>
        <v>2426.0401000000002</v>
      </c>
      <c r="I28" s="14">
        <f>_xll.BDH("ITCI US Equity","NET_DBT_CPTL_EX_OPER_LEA_LIABS","FQ2 2020","FQ2 2020","Currency=USD","Period=FQ","BEST_FPERIOD_OVERRIDE=FQ","FILING_STATUS=MR","Sort=A","Dates=H","DateFormat=P","Fill=—","Direction=H","UseDPDF=Y")</f>
        <v>1444.4641999999999</v>
      </c>
      <c r="J28" s="14">
        <f>_xll.BDH("ITCI US Equity","NET_DBT_CPTL_EX_OPER_LEA_LIABS","FQ3 2020","FQ3 2020","Currency=USD","Period=FQ","BEST_FPERIOD_OVERRIDE=FQ","FILING_STATUS=MR","Sort=A","Dates=H","DateFormat=P","Fill=—","Direction=H","UseDPDF=Y")</f>
        <v>5751.6737000000003</v>
      </c>
      <c r="K28" s="14">
        <f>_xll.BDH("ITCI US Equity","NET_DBT_CPTL_EX_OPER_LEA_LIABS","FQ4 2020","FQ4 2020","Currency=USD","Period=FQ","BEST_FPERIOD_OVERRIDE=FQ","FILING_STATUS=MR","Sort=A","Dates=H","DateFormat=P","Fill=—","Direction=H","UseDPDF=Y")</f>
        <v>111819.452</v>
      </c>
      <c r="L28" s="14">
        <f>_xll.BDH("ITCI US Equity","NET_DBT_CPTL_EX_OPER_LEA_LIABS","FQ1 2021","FQ1 2021","Currency=USD","Period=FQ","BEST_FPERIOD_OVERRIDE=FQ","FILING_STATUS=MR","Sort=A","Dates=H","DateFormat=P","Fill=—","Direction=H","UseDPDF=Y")</f>
        <v>-330641.58649999998</v>
      </c>
      <c r="M28" s="14">
        <f>_xll.BDH("ITCI US Equity","NET_DBT_CPTL_EX_OPER_LEA_LIABS","FQ2 2021","FQ2 2021","Currency=USD","Period=FQ","BEST_FPERIOD_OVERRIDE=FQ","FILING_STATUS=MR","Sort=A","Dates=H","DateFormat=P","Fill=—","Direction=H","UseDPDF=Y")</f>
        <v>47354.126600000003</v>
      </c>
      <c r="N28" s="14">
        <f>_xll.BDH("ITCI US Equity","NET_DBT_CPTL_EX_OPER_LEA_LIABS","FQ3 2021","FQ3 2021","Currency=USD","Period=FQ","BEST_FPERIOD_OVERRIDE=FQ","FILING_STATUS=MR","Sort=A","Dates=H","DateFormat=P","Fill=—","Direction=H","UseDPDF=Y")</f>
        <v>-5038.7226000000001</v>
      </c>
      <c r="O28" s="14">
        <f>_xll.BDH("ITCI US Equity","NET_DBT_CPTL_EX_OPER_LEA_LIABS","FQ4 2021","FQ4 2021","Currency=USD","Period=FQ","BEST_FPERIOD_OVERRIDE=FQ","FILING_STATUS=MR","Sort=A","Dates=H","DateFormat=P","Fill=—","Direction=H","UseDPDF=Y")</f>
        <v>-7419.6208999999999</v>
      </c>
      <c r="P28" s="14">
        <f>_xll.BDH("ITCI US Equity","NET_DBT_CPTL_EX_OPER_LEA_LIABS","FQ1 2022","FQ1 2022","Currency=USD","Period=FQ","BEST_FPERIOD_OVERRIDE=FQ","FILING_STATUS=MR","Sort=A","Dates=H","DateFormat=P","Fill=—","Direction=H","UseDPDF=Y")</f>
        <v>-3692.6993000000002</v>
      </c>
      <c r="Q28" s="14">
        <f>_xll.BDH("ITCI US Equity","NET_DBT_CPTL_EX_OPER_LEA_LIABS","FQ2 2022","FQ2 2022","Currency=USD","Period=FQ","BEST_FPERIOD_OVERRIDE=FQ","FILING_STATUS=MR","Sort=A","Dates=H","DateFormat=P","Fill=—","Direction=H","UseDPDF=Y")</f>
        <v>-1527.7429999999999</v>
      </c>
      <c r="R28" s="14">
        <f>_xll.BDH("ITCI US Equity","NET_DBT_CPTL_EX_OPER_LEA_LIABS","FQ3 2022","FQ3 2022","Currency=USD","Period=FQ","BEST_FPERIOD_OVERRIDE=FQ","FILING_STATUS=MR","Sort=A","Dates=H","DateFormat=P","Fill=—","Direction=H","UseDPDF=Y")</f>
        <v>-1109.2624000000001</v>
      </c>
      <c r="S28" s="14">
        <f>_xll.BDH("ITCI US Equity","NET_DBT_CPTL_EX_OPER_LEA_LIABS","FQ4 2022","FQ4 2022","Currency=USD","Period=FQ","BEST_FPERIOD_OVERRIDE=FQ","FILING_STATUS=MR","Sort=A","Dates=H","DateFormat=P","Fill=—","Direction=H","UseDPDF=Y")</f>
        <v>-922.47329999999999</v>
      </c>
      <c r="T28" s="14">
        <f>_xll.BDH("ITCI US Equity","NET_DBT_CPTL_EX_OPER_LEA_LIABS","FQ1 2023","FQ1 2023","Currency=USD","Period=FQ","BEST_FPERIOD_OVERRIDE=FQ","FILING_STATUS=MR","Sort=A","Dates=H","DateFormat=P","Fill=—","Direction=H","UseDPDF=Y")</f>
        <v>-605.95709999999997</v>
      </c>
      <c r="U28" s="14">
        <f>_xll.BDH("ITCI US Equity","NET_DBT_CPTL_EX_OPER_LEA_LIABS","FQ2 2023","FQ2 2023","Currency=USD","Period=FQ","BEST_FPERIOD_OVERRIDE=FQ","FILING_STATUS=MR","Sort=A","Dates=H","DateFormat=P","Fill=—","Direction=H","UseDPDF=Y")</f>
        <v>-544.22299999999996</v>
      </c>
      <c r="V28" s="14">
        <f>_xll.BDH("ITCI US Equity","NET_DBT_CPTL_EX_OPER_LEA_LIABS","FQ3 2023","FQ3 2023","Currency=USD","Period=FQ","BEST_FPERIOD_OVERRIDE=FQ","FILING_STATUS=MR","Sort=A","Dates=H","DateFormat=P","Fill=—","Direction=H","UseDPDF=Y")</f>
        <v>-457.94260000000003</v>
      </c>
      <c r="W28" s="14">
        <f>_xll.BDH("ITCI US Equity","NET_DBT_CPTL_EX_OPER_LEA_LIABS","FQ4 2023","FQ4 2023","Currency=USD","Period=FQ","BEST_FPERIOD_OVERRIDE=FQ","FILING_STATUS=MR","Sort=A","Dates=H","DateFormat=P","Fill=—","Direction=H","UseDPDF=Y")</f>
        <v>-532.65409999999997</v>
      </c>
      <c r="X28" s="14">
        <f>_xll.BDH("ITCI US Equity","NET_DBT_CPTL_EX_OPER_LEA_LIABS","FQ1 2024","FQ1 2024","Currency=USD","Period=FQ","BEST_FPERIOD_OVERRIDE=FQ","FILING_STATUS=MR","Sort=A","Dates=H","DateFormat=P","Fill=—","Direction=H","UseDPDF=Y")</f>
        <v>-383.95400000000001</v>
      </c>
      <c r="Y28" s="14">
        <f>_xll.BDH("ITCI US Equity","NET_DBT_CPTL_EX_OPER_LEA_LIABS","FQ2 2024","FQ2 2024","Currency=USD","Period=FQ","BEST_FPERIOD_OVERRIDE=FQ","FILING_STATUS=MR","Sort=A","Dates=H","DateFormat=P","Fill=—","Direction=H","UseDPDF=Y")</f>
        <v>-840.48069999999996</v>
      </c>
      <c r="Z28" s="14">
        <f>_xll.BDH("ITCI US Equity","NET_DBT_CPTL_EX_OPER_LEA_LIABS","FQ3 2024","FQ3 2024","Currency=USD","Period=FQ","BEST_FPERIOD_OVERRIDE=FQ","FILING_STATUS=MR","Sort=A","Dates=H","DateFormat=P","Fill=—","Direction=H","UseDPDF=Y")</f>
        <v>-728.00009999999997</v>
      </c>
      <c r="AA28" s="14">
        <f>_xll.BDH("ITCI US Equity","NET_DBT_CPTL_EX_OPER_LEA_LIABS","FQ4 2024","FQ4 2024","Currency=USD","Period=FQ","BEST_FPERIOD_OVERRIDE=FQ","FILING_STATUS=MR","Sort=A","Dates=H","DateFormat=P","Fill=—","Direction=H","UseDPDF=Y")</f>
        <v>-679.17690000000005</v>
      </c>
    </row>
    <row r="29" spans="1:27" x14ac:dyDescent="0.25">
      <c r="A29" s="10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5">
      <c r="A30" s="10" t="s">
        <v>78</v>
      </c>
      <c r="B30" s="10" t="s">
        <v>1209</v>
      </c>
      <c r="C30" s="13">
        <f>_xll.BDH("ITCI US Equity","EBITDA_AFTER_OPERATING_LEA_EXPN","FQ4 2018","FQ4 2018","Currency=USD","Period=FQ","BEST_FPERIOD_OVERRIDE=FQ","FILING_STATUS=MR","SCALING_FORMAT=MLN","FA_ADJUSTED=GAAP","Sort=A","Dates=H","DateFormat=P","Fill=—","Direction=H","UseDPDF=Y")</f>
        <v>-42.527500000000003</v>
      </c>
      <c r="D30" s="13">
        <f>_xll.BDH("ITCI US Equity","EBITDA_AFTER_OPERATING_LEA_EXPN","FQ1 2019","FQ1 2019","Currency=USD","Period=FQ","BEST_FPERIOD_OVERRIDE=FQ","FILING_STATUS=MR","SCALING_FORMAT=MLN","FA_ADJUSTED=GAAP","Sort=A","Dates=H","DateFormat=P","Fill=—","Direction=H","UseDPDF=Y")</f>
        <v>-36.594499999999996</v>
      </c>
      <c r="E30" s="13">
        <f>_xll.BDH("ITCI US Equity","EBITDA_AFTER_OPERATING_LEA_EXPN","FQ2 2019","FQ2 2019","Currency=USD","Period=FQ","BEST_FPERIOD_OVERRIDE=FQ","FILING_STATUS=MR","SCALING_FORMAT=MLN","FA_ADJUSTED=GAAP","Sort=A","Dates=H","DateFormat=P","Fill=—","Direction=H","UseDPDF=Y")</f>
        <v>-39.066099999999999</v>
      </c>
      <c r="F30" s="13">
        <f>_xll.BDH("ITCI US Equity","EBITDA_AFTER_OPERATING_LEA_EXPN","FQ3 2019","FQ3 2019","Currency=USD","Period=FQ","BEST_FPERIOD_OVERRIDE=FQ","FILING_STATUS=MR","SCALING_FORMAT=MLN","FA_ADJUSTED=GAAP","Sort=A","Dates=H","DateFormat=P","Fill=—","Direction=H","UseDPDF=Y")</f>
        <v>-36.247199999999999</v>
      </c>
      <c r="G30" s="13">
        <f>_xll.BDH("ITCI US Equity","EBITDA_AFTER_OPERATING_LEA_EXPN","FQ4 2019","FQ4 2019","Currency=USD","Period=FQ","BEST_FPERIOD_OVERRIDE=FQ","FILING_STATUS=MR","SCALING_FORMAT=MLN","FA_ADJUSTED=GAAP","Sort=A","Dates=H","DateFormat=P","Fill=—","Direction=H","UseDPDF=Y")</f>
        <v>-41.627000000000002</v>
      </c>
      <c r="H30" s="13">
        <f>_xll.BDH("ITCI US Equity","EBITDA_AFTER_OPERATING_LEA_EXPN","FQ1 2020","FQ1 2020","Currency=USD","Period=FQ","BEST_FPERIOD_OVERRIDE=FQ","FILING_STATUS=MR","SCALING_FORMAT=MLN","FA_ADJUSTED=GAAP","Sort=A","Dates=H","DateFormat=P","Fill=—","Direction=H","UseDPDF=Y")</f>
        <v>-48.936700000000002</v>
      </c>
      <c r="I30" s="13">
        <f>_xll.BDH("ITCI US Equity","EBITDA_AFTER_OPERATING_LEA_EXPN","FQ2 2020","FQ2 2020","Currency=USD","Period=FQ","BEST_FPERIOD_OVERRIDE=FQ","FILING_STATUS=MR","SCALING_FORMAT=MLN","FA_ADJUSTED=GAAP","Sort=A","Dates=H","DateFormat=P","Fill=—","Direction=H","UseDPDF=Y")</f>
        <v>-64.739999999999995</v>
      </c>
      <c r="J30" s="13">
        <f>_xll.BDH("ITCI US Equity","EBITDA_AFTER_OPERATING_LEA_EXPN","FQ3 2020","FQ3 2020","Currency=USD","Period=FQ","BEST_FPERIOD_OVERRIDE=FQ","FILING_STATUS=MR","SCALING_FORMAT=MLN","FA_ADJUSTED=GAAP","Sort=A","Dates=H","DateFormat=P","Fill=—","Direction=H","UseDPDF=Y")</f>
        <v>-55.815399999999997</v>
      </c>
      <c r="K30" s="13">
        <f>_xll.BDH("ITCI US Equity","EBITDA_AFTER_OPERATING_LEA_EXPN","FQ4 2020","FQ4 2020","Currency=USD","Period=FQ","BEST_FPERIOD_OVERRIDE=FQ","FILING_STATUS=MR","SCALING_FORMAT=MLN","FA_ADJUSTED=GAAP","Sort=A","Dates=H","DateFormat=P","Fill=—","Direction=H","UseDPDF=Y")</f>
        <v>-61.2074</v>
      </c>
      <c r="L30" s="13">
        <f>_xll.BDH("ITCI US Equity","EBITDA_AFTER_OPERATING_LEA_EXPN","FQ1 2021","FQ1 2021","Currency=USD","Period=FQ","BEST_FPERIOD_OVERRIDE=FQ","FILING_STATUS=MR","SCALING_FORMAT=MLN","FA_ADJUSTED=GAAP","Sort=A","Dates=H","DateFormat=P","Fill=—","Direction=H","UseDPDF=Y")</f>
        <v>-53.091700000000003</v>
      </c>
      <c r="M30" s="13">
        <f>_xll.BDH("ITCI US Equity","EBITDA_AFTER_OPERATING_LEA_EXPN","FQ2 2021","FQ2 2021","Currency=USD","Period=FQ","BEST_FPERIOD_OVERRIDE=FQ","FILING_STATUS=MR","SCALING_FORMAT=MLN","FA_ADJUSTED=GAAP","Sort=A","Dates=H","DateFormat=P","Fill=—","Direction=H","UseDPDF=Y")</f>
        <v>-69.015500000000003</v>
      </c>
      <c r="N30" s="13">
        <f>_xll.BDH("ITCI US Equity","EBITDA_AFTER_OPERATING_LEA_EXPN","FQ3 2021","FQ3 2021","Currency=USD","Period=FQ","BEST_FPERIOD_OVERRIDE=FQ","FILING_STATUS=MR","SCALING_FORMAT=MLN","FA_ADJUSTED=GAAP","Sort=A","Dates=H","DateFormat=P","Fill=—","Direction=H","UseDPDF=Y")</f>
        <v>-77.189899999999994</v>
      </c>
      <c r="O30" s="13">
        <f>_xll.BDH("ITCI US Equity","EBITDA_AFTER_OPERATING_LEA_EXPN","FQ4 2021","FQ4 2021","Currency=USD","Period=FQ","BEST_FPERIOD_OVERRIDE=FQ","FILING_STATUS=MR","SCALING_FORMAT=MLN","FA_ADJUSTED=GAAP","Sort=A","Dates=H","DateFormat=P","Fill=—","Direction=H","UseDPDF=Y")</f>
        <v>-85.857699999999994</v>
      </c>
      <c r="P30" s="13">
        <f>_xll.BDH("ITCI US Equity","EBITDA_AFTER_OPERATING_LEA_EXPN","FQ1 2022","FQ1 2022","Currency=USD","Period=FQ","BEST_FPERIOD_OVERRIDE=FQ","FILING_STATUS=MR","SCALING_FORMAT=MLN","FA_ADJUSTED=GAAP","Sort=A","Dates=H","DateFormat=P","Fill=—","Direction=H","UseDPDF=Y")</f>
        <v>-72.491</v>
      </c>
      <c r="Q30" s="13">
        <f>_xll.BDH("ITCI US Equity","EBITDA_AFTER_OPERATING_LEA_EXPN","FQ2 2022","FQ2 2022","Currency=USD","Period=FQ","BEST_FPERIOD_OVERRIDE=FQ","FILING_STATUS=MR","SCALING_FORMAT=MLN","FA_ADJUSTED=GAAP","Sort=A","Dates=H","DateFormat=P","Fill=—","Direction=H","UseDPDF=Y")</f>
        <v>-87.751000000000005</v>
      </c>
      <c r="R30" s="13">
        <f>_xll.BDH("ITCI US Equity","EBITDA_AFTER_OPERATING_LEA_EXPN","FQ3 2022","FQ3 2022","Currency=USD","Period=FQ","BEST_FPERIOD_OVERRIDE=FQ","FILING_STATUS=MR","SCALING_FORMAT=MLN","FA_ADJUSTED=GAAP","Sort=A","Dates=H","DateFormat=P","Fill=—","Direction=H","UseDPDF=Y")</f>
        <v>-55.459000000000003</v>
      </c>
      <c r="S30" s="13">
        <f>_xll.BDH("ITCI US Equity","EBITDA_AFTER_OPERATING_LEA_EXPN","FQ4 2022","FQ4 2022","Currency=USD","Period=FQ","BEST_FPERIOD_OVERRIDE=FQ","FILING_STATUS=MR","SCALING_FORMAT=MLN","FA_ADJUSTED=GAAP","Sort=A","Dates=H","DateFormat=P","Fill=—","Direction=H","UseDPDF=Y")</f>
        <v>-47.268999999999998</v>
      </c>
      <c r="T30" s="13">
        <f>_xll.BDH("ITCI US Equity","EBITDA_AFTER_OPERATING_LEA_EXPN","FQ1 2023","FQ1 2023","Currency=USD","Period=FQ","BEST_FPERIOD_OVERRIDE=FQ","FILING_STATUS=MR","SCALING_FORMAT=MLN","FA_ADJUSTED=GAAP","Sort=A","Dates=H","DateFormat=P","Fill=—","Direction=H","UseDPDF=Y")</f>
        <v>-48.258000000000003</v>
      </c>
      <c r="U30" s="13">
        <f>_xll.BDH("ITCI US Equity","EBITDA_AFTER_OPERATING_LEA_EXPN","FQ2 2023","FQ2 2023","Currency=USD","Period=FQ","BEST_FPERIOD_OVERRIDE=FQ","FILING_STATUS=MR","SCALING_FORMAT=MLN","FA_ADJUSTED=GAAP","Sort=A","Dates=H","DateFormat=P","Fill=—","Direction=H","UseDPDF=Y")</f>
        <v>-47.055999999999997</v>
      </c>
      <c r="V30" s="13">
        <f>_xll.BDH("ITCI US Equity","EBITDA_AFTER_OPERATING_LEA_EXPN","FQ3 2023","FQ3 2023","Currency=USD","Period=FQ","BEST_FPERIOD_OVERRIDE=FQ","FILING_STATUS=MR","SCALING_FORMAT=MLN","FA_ADJUSTED=GAAP","Sort=A","Dates=H","DateFormat=P","Fill=—","Direction=H","UseDPDF=Y")</f>
        <v>-29.577999999999999</v>
      </c>
      <c r="W30" s="13">
        <f>_xll.BDH("ITCI US Equity","EBITDA_AFTER_OPERATING_LEA_EXPN","FQ4 2023","FQ4 2023","Currency=USD","Period=FQ","BEST_FPERIOD_OVERRIDE=FQ","FILING_STATUS=MR","SCALING_FORMAT=MLN","FA_ADJUSTED=GAAP","Sort=A","Dates=H","DateFormat=P","Fill=—","Direction=H","UseDPDF=Y")</f>
        <v>-33.960999999999999</v>
      </c>
      <c r="X30" s="13">
        <f>_xll.BDH("ITCI US Equity","EBITDA_AFTER_OPERATING_LEA_EXPN","FQ1 2024","FQ1 2024","Currency=USD","Period=FQ","BEST_FPERIOD_OVERRIDE=FQ","FILING_STATUS=MR","SCALING_FORMAT=MLN","FA_ADJUSTED=GAAP","Sort=A","Dates=H","DateFormat=P","Fill=—","Direction=H","UseDPDF=Y")</f>
        <v>-20.82</v>
      </c>
      <c r="Y30" s="13">
        <f>_xll.BDH("ITCI US Equity","EBITDA_AFTER_OPERATING_LEA_EXPN","FQ2 2024","FQ2 2024","Currency=USD","Period=FQ","BEST_FPERIOD_OVERRIDE=FQ","FILING_STATUS=MR","SCALING_FORMAT=MLN","FA_ADJUSTED=GAAP","Sort=A","Dates=H","DateFormat=P","Fill=—","Direction=H","UseDPDF=Y")</f>
        <v>-27.594000000000001</v>
      </c>
      <c r="Z30" s="13">
        <f>_xll.BDH("ITCI US Equity","EBITDA_AFTER_OPERATING_LEA_EXPN","FQ3 2024","FQ3 2024","Currency=USD","Period=FQ","BEST_FPERIOD_OVERRIDE=FQ","FILING_STATUS=MR","SCALING_FORMAT=MLN","FA_ADJUSTED=GAAP","Sort=A","Dates=H","DateFormat=P","Fill=—","Direction=H","UseDPDF=Y")</f>
        <v>-38.710999999999999</v>
      </c>
      <c r="AA30" s="13">
        <f>_xll.BDH("ITCI US Equity","EBITDA_AFTER_OPERATING_LEA_EXPN","FQ4 2024","FQ4 2024","Currency=USD","Period=FQ","BEST_FPERIOD_OVERRIDE=FQ","FILING_STATUS=MR","SCALING_FORMAT=MLN","FA_ADJUSTED=GAAP","Sort=A","Dates=H","DateFormat=P","Fill=—","Direction=H","UseDPDF=Y")</f>
        <v>-29.088000000000001</v>
      </c>
    </row>
    <row r="31" spans="1:27" x14ac:dyDescent="0.25">
      <c r="A31" s="10" t="s">
        <v>1195</v>
      </c>
      <c r="B31" s="10" t="s">
        <v>1210</v>
      </c>
      <c r="C31" s="13">
        <f>_xll.BDH("ITCI US Equity","EBITDA_AFT_CAPEX_AND_OP_LEA_EXPN","FQ4 2018","FQ4 2018","Currency=USD","Period=FQ","BEST_FPERIOD_OVERRIDE=FQ","FILING_STATUS=MR","SCALING_FORMAT=MLN","FA_ADJUSTED=GAAP","Sort=A","Dates=H","DateFormat=P","Fill=—","Direction=H","UseDPDF=Y")</f>
        <v>-42.586199999999998</v>
      </c>
      <c r="D31" s="13">
        <f>_xll.BDH("ITCI US Equity","EBITDA_AFT_CAPEX_AND_OP_LEA_EXPN","FQ1 2019","FQ1 2019","Currency=USD","Period=FQ","BEST_FPERIOD_OVERRIDE=FQ","FILING_STATUS=MR","SCALING_FORMAT=MLN","FA_ADJUSTED=GAAP","Sort=A","Dates=H","DateFormat=P","Fill=—","Direction=H","UseDPDF=Y")</f>
        <v>-36.661700000000003</v>
      </c>
      <c r="E31" s="13">
        <f>_xll.BDH("ITCI US Equity","EBITDA_AFT_CAPEX_AND_OP_LEA_EXPN","FQ2 2019","FQ2 2019","Currency=USD","Period=FQ","BEST_FPERIOD_OVERRIDE=FQ","FILING_STATUS=MR","SCALING_FORMAT=MLN","FA_ADJUSTED=GAAP","Sort=A","Dates=H","DateFormat=P","Fill=—","Direction=H","UseDPDF=Y")</f>
        <v>-40.128399999999999</v>
      </c>
      <c r="F31" s="13">
        <f>_xll.BDH("ITCI US Equity","EBITDA_AFT_CAPEX_AND_OP_LEA_EXPN","FQ3 2019","FQ3 2019","Currency=USD","Period=FQ","BEST_FPERIOD_OVERRIDE=FQ","FILING_STATUS=MR","SCALING_FORMAT=MLN","FA_ADJUSTED=GAAP","Sort=A","Dates=H","DateFormat=P","Fill=—","Direction=H","UseDPDF=Y")</f>
        <v>-36.468299999999999</v>
      </c>
      <c r="G31" s="13" t="str">
        <f>_xll.BDH("ITCI US Equity","EBITDA_AFT_CAPEX_AND_OP_LEA_EXPN","FQ4 2019","FQ4 2019","Currency=USD","Period=FQ","BEST_FPERIOD_OVERRIDE=FQ","FILING_STATUS=MR","SCALING_FORMAT=MLN","FA_ADJUSTED=GAAP","Sort=A","Dates=H","DateFormat=P","Fill=—","Direction=H","UseDPDF=Y")</f>
        <v>—</v>
      </c>
      <c r="H31" s="13">
        <f>_xll.BDH("ITCI US Equity","EBITDA_AFT_CAPEX_AND_OP_LEA_EXPN","FQ1 2020","FQ1 2020","Currency=USD","Period=FQ","BEST_FPERIOD_OVERRIDE=FQ","FILING_STATUS=MR","SCALING_FORMAT=MLN","FA_ADJUSTED=GAAP","Sort=A","Dates=H","DateFormat=P","Fill=—","Direction=H","UseDPDF=Y")</f>
        <v>-48.958799999999997</v>
      </c>
      <c r="I31" s="13">
        <f>_xll.BDH("ITCI US Equity","EBITDA_AFT_CAPEX_AND_OP_LEA_EXPN","FQ2 2020","FQ2 2020","Currency=USD","Period=FQ","BEST_FPERIOD_OVERRIDE=FQ","FILING_STATUS=MR","SCALING_FORMAT=MLN","FA_ADJUSTED=GAAP","Sort=A","Dates=H","DateFormat=P","Fill=—","Direction=H","UseDPDF=Y")</f>
        <v>-64.739999999999995</v>
      </c>
      <c r="J31" s="13">
        <f>_xll.BDH("ITCI US Equity","EBITDA_AFT_CAPEX_AND_OP_LEA_EXPN","FQ3 2020","FQ3 2020","Currency=USD","Period=FQ","BEST_FPERIOD_OVERRIDE=FQ","FILING_STATUS=MR","SCALING_FORMAT=MLN","FA_ADJUSTED=GAAP","Sort=A","Dates=H","DateFormat=P","Fill=—","Direction=H","UseDPDF=Y")</f>
        <v>-55.985300000000002</v>
      </c>
      <c r="K31" s="13">
        <f>_xll.BDH("ITCI US Equity","EBITDA_AFT_CAPEX_AND_OP_LEA_EXPN","FQ4 2020","FQ4 2020","Currency=USD","Period=FQ","BEST_FPERIOD_OVERRIDE=FQ","FILING_STATUS=MR","SCALING_FORMAT=MLN","FA_ADJUSTED=GAAP","Sort=A","Dates=H","DateFormat=P","Fill=—","Direction=H","UseDPDF=Y")</f>
        <v>-61.2821</v>
      </c>
      <c r="L31" s="13">
        <f>_xll.BDH("ITCI US Equity","EBITDA_AFT_CAPEX_AND_OP_LEA_EXPN","FQ1 2021","FQ1 2021","Currency=USD","Period=FQ","BEST_FPERIOD_OVERRIDE=FQ","FILING_STATUS=MR","SCALING_FORMAT=MLN","FA_ADJUSTED=GAAP","Sort=A","Dates=H","DateFormat=P","Fill=—","Direction=H","UseDPDF=Y")</f>
        <v>-53.091700000000003</v>
      </c>
      <c r="M31" s="13">
        <f>_xll.BDH("ITCI US Equity","EBITDA_AFT_CAPEX_AND_OP_LEA_EXPN","FQ2 2021","FQ2 2021","Currency=USD","Period=FQ","BEST_FPERIOD_OVERRIDE=FQ","FILING_STATUS=MR","SCALING_FORMAT=MLN","FA_ADJUSTED=GAAP","Sort=A","Dates=H","DateFormat=P","Fill=—","Direction=H","UseDPDF=Y")</f>
        <v>-69.030699999999996</v>
      </c>
      <c r="N31" s="13">
        <f>_xll.BDH("ITCI US Equity","EBITDA_AFT_CAPEX_AND_OP_LEA_EXPN","FQ3 2021","FQ3 2021","Currency=USD","Period=FQ","BEST_FPERIOD_OVERRIDE=FQ","FILING_STATUS=MR","SCALING_FORMAT=MLN","FA_ADJUSTED=GAAP","Sort=A","Dates=H","DateFormat=P","Fill=—","Direction=H","UseDPDF=Y")</f>
        <v>-77.499099999999999</v>
      </c>
      <c r="O31" s="13">
        <f>_xll.BDH("ITCI US Equity","EBITDA_AFT_CAPEX_AND_OP_LEA_EXPN","FQ4 2021","FQ4 2021","Currency=USD","Period=FQ","BEST_FPERIOD_OVERRIDE=FQ","FILING_STATUS=MR","SCALING_FORMAT=MLN","FA_ADJUSTED=GAAP","Sort=A","Dates=H","DateFormat=P","Fill=—","Direction=H","UseDPDF=Y")</f>
        <v>-85.858999999999995</v>
      </c>
      <c r="P31" s="13">
        <f>_xll.BDH("ITCI US Equity","EBITDA_AFT_CAPEX_AND_OP_LEA_EXPN","FQ1 2022","FQ1 2022","Currency=USD","Period=FQ","BEST_FPERIOD_OVERRIDE=FQ","FILING_STATUS=MR","SCALING_FORMAT=MLN","FA_ADJUSTED=GAAP","Sort=A","Dates=H","DateFormat=P","Fill=—","Direction=H","UseDPDF=Y")</f>
        <v>-73.057000000000002</v>
      </c>
      <c r="Q31" s="13">
        <f>_xll.BDH("ITCI US Equity","EBITDA_AFT_CAPEX_AND_OP_LEA_EXPN","FQ2 2022","FQ2 2022","Currency=USD","Period=FQ","BEST_FPERIOD_OVERRIDE=FQ","FILING_STATUS=MR","SCALING_FORMAT=MLN","FA_ADJUSTED=GAAP","Sort=A","Dates=H","DateFormat=P","Fill=—","Direction=H","UseDPDF=Y")</f>
        <v>-87.873999999999995</v>
      </c>
      <c r="R31" s="13">
        <f>_xll.BDH("ITCI US Equity","EBITDA_AFT_CAPEX_AND_OP_LEA_EXPN","FQ3 2022","FQ3 2022","Currency=USD","Period=FQ","BEST_FPERIOD_OVERRIDE=FQ","FILING_STATUS=MR","SCALING_FORMAT=MLN","FA_ADJUSTED=GAAP","Sort=A","Dates=H","DateFormat=P","Fill=—","Direction=H","UseDPDF=Y")</f>
        <v>-55.576000000000001</v>
      </c>
      <c r="S31" s="13">
        <f>_xll.BDH("ITCI US Equity","EBITDA_AFT_CAPEX_AND_OP_LEA_EXPN","FQ4 2022","FQ4 2022","Currency=USD","Period=FQ","BEST_FPERIOD_OVERRIDE=FQ","FILING_STATUS=MR","SCALING_FORMAT=MLN","FA_ADJUSTED=GAAP","Sort=A","Dates=H","DateFormat=P","Fill=—","Direction=H","UseDPDF=Y")</f>
        <v>-47.268999999999998</v>
      </c>
      <c r="T31" s="13">
        <f>_xll.BDH("ITCI US Equity","EBITDA_AFT_CAPEX_AND_OP_LEA_EXPN","FQ1 2023","FQ1 2023","Currency=USD","Period=FQ","BEST_FPERIOD_OVERRIDE=FQ","FILING_STATUS=MR","SCALING_FORMAT=MLN","FA_ADJUSTED=GAAP","Sort=A","Dates=H","DateFormat=P","Fill=—","Direction=H","UseDPDF=Y")</f>
        <v>-48.258000000000003</v>
      </c>
      <c r="U31" s="13">
        <f>_xll.BDH("ITCI US Equity","EBITDA_AFT_CAPEX_AND_OP_LEA_EXPN","FQ2 2023","FQ2 2023","Currency=USD","Period=FQ","BEST_FPERIOD_OVERRIDE=FQ","FILING_STATUS=MR","SCALING_FORMAT=MLN","FA_ADJUSTED=GAAP","Sort=A","Dates=H","DateFormat=P","Fill=—","Direction=H","UseDPDF=Y")</f>
        <v>-47.055999999999997</v>
      </c>
      <c r="V31" s="13">
        <f>_xll.BDH("ITCI US Equity","EBITDA_AFT_CAPEX_AND_OP_LEA_EXPN","FQ3 2023","FQ3 2023","Currency=USD","Period=FQ","BEST_FPERIOD_OVERRIDE=FQ","FILING_STATUS=MR","SCALING_FORMAT=MLN","FA_ADJUSTED=GAAP","Sort=A","Dates=H","DateFormat=P","Fill=—","Direction=H","UseDPDF=Y")</f>
        <v>-29.846</v>
      </c>
      <c r="W31" s="13">
        <f>_xll.BDH("ITCI US Equity","EBITDA_AFT_CAPEX_AND_OP_LEA_EXPN","FQ4 2023","FQ4 2023","Currency=USD","Period=FQ","BEST_FPERIOD_OVERRIDE=FQ","FILING_STATUS=MR","SCALING_FORMAT=MLN","FA_ADJUSTED=GAAP","Sort=A","Dates=H","DateFormat=P","Fill=—","Direction=H","UseDPDF=Y")</f>
        <v>-33.962000000000003</v>
      </c>
      <c r="X31" s="13">
        <f>_xll.BDH("ITCI US Equity","EBITDA_AFT_CAPEX_AND_OP_LEA_EXPN","FQ1 2024","FQ1 2024","Currency=USD","Period=FQ","BEST_FPERIOD_OVERRIDE=FQ","FILING_STATUS=MR","SCALING_FORMAT=MLN","FA_ADJUSTED=GAAP","Sort=A","Dates=H","DateFormat=P","Fill=—","Direction=H","UseDPDF=Y")</f>
        <v>-20.82</v>
      </c>
      <c r="Y31" s="13">
        <f>_xll.BDH("ITCI US Equity","EBITDA_AFT_CAPEX_AND_OP_LEA_EXPN","FQ2 2024","FQ2 2024","Currency=USD","Period=FQ","BEST_FPERIOD_OVERRIDE=FQ","FILING_STATUS=MR","SCALING_FORMAT=MLN","FA_ADJUSTED=GAAP","Sort=A","Dates=H","DateFormat=P","Fill=—","Direction=H","UseDPDF=Y")</f>
        <v>-27.646999999999998</v>
      </c>
      <c r="Z31" s="13">
        <f>_xll.BDH("ITCI US Equity","EBITDA_AFT_CAPEX_AND_OP_LEA_EXPN","FQ3 2024","FQ3 2024","Currency=USD","Period=FQ","BEST_FPERIOD_OVERRIDE=FQ","FILING_STATUS=MR","SCALING_FORMAT=MLN","FA_ADJUSTED=GAAP","Sort=A","Dates=H","DateFormat=P","Fill=—","Direction=H","UseDPDF=Y")</f>
        <v>-39.406999999999996</v>
      </c>
      <c r="AA31" s="13" t="str">
        <f>_xll.BDH("ITCI US Equity","EBITDA_AFT_CAPEX_AND_OP_LEA_EXPN","FQ4 2024","FQ4 2024","Currency=USD","Period=FQ","BEST_FPERIOD_OVERRIDE=FQ","FILING_STATUS=MR","SCALING_FORMAT=MLN","FA_ADJUSTED=GAAP","Sort=A","Dates=H","DateFormat=P","Fill=—","Direction=H","UseDPDF=Y")</f>
        <v>—</v>
      </c>
    </row>
    <row r="32" spans="1:27" x14ac:dyDescent="0.25">
      <c r="A32" s="10" t="s">
        <v>141</v>
      </c>
      <c r="B32" s="10" t="s">
        <v>1211</v>
      </c>
      <c r="C32" s="13">
        <f>_xll.BDH("ITCI US Equity","EBIT_AFTER_OPERATING_LEASE","FQ4 2018","FQ4 2018","Currency=USD","Period=FQ","BEST_FPERIOD_OVERRIDE=FQ","FILING_STATUS=MR","SCALING_FORMAT=MLN","FA_ADJUSTED=GAAP","Sort=A","Dates=H","DateFormat=P","Fill=—","Direction=H","UseDPDF=Y")</f>
        <v>-42.622900000000001</v>
      </c>
      <c r="D32" s="13">
        <f>_xll.BDH("ITCI US Equity","EBIT_AFTER_OPERATING_LEASE","FQ1 2019","FQ1 2019","Currency=USD","Period=FQ","BEST_FPERIOD_OVERRIDE=FQ","FILING_STATUS=MR","SCALING_FORMAT=MLN","FA_ADJUSTED=GAAP","Sort=A","Dates=H","DateFormat=P","Fill=—","Direction=H","UseDPDF=Y")</f>
        <v>-36.695799999999998</v>
      </c>
      <c r="E32" s="13">
        <f>_xll.BDH("ITCI US Equity","EBIT_AFTER_OPERATING_LEASE","FQ2 2019","FQ2 2019","Currency=USD","Period=FQ","BEST_FPERIOD_OVERRIDE=FQ","FILING_STATUS=MR","SCALING_FORMAT=MLN","FA_ADJUSTED=GAAP","Sort=A","Dates=H","DateFormat=P","Fill=—","Direction=H","UseDPDF=Y")</f>
        <v>-39.171100000000003</v>
      </c>
      <c r="F32" s="13">
        <f>_xll.BDH("ITCI US Equity","EBIT_AFTER_OPERATING_LEASE","FQ3 2019","FQ3 2019","Currency=USD","Period=FQ","BEST_FPERIOD_OVERRIDE=FQ","FILING_STATUS=MR","SCALING_FORMAT=MLN","FA_ADJUSTED=GAAP","Sort=A","Dates=H","DateFormat=P","Fill=—","Direction=H","UseDPDF=Y")</f>
        <v>-36.376199999999997</v>
      </c>
      <c r="G32" s="13">
        <f>_xll.BDH("ITCI US Equity","EBIT_AFTER_OPERATING_LEASE","FQ4 2019","FQ4 2019","Currency=USD","Period=FQ","BEST_FPERIOD_OVERRIDE=FQ","FILING_STATUS=MR","SCALING_FORMAT=MLN","FA_ADJUSTED=GAAP","Sort=A","Dates=H","DateFormat=P","Fill=—","Direction=H","UseDPDF=Y")</f>
        <v>-41.768700000000003</v>
      </c>
      <c r="H32" s="13">
        <f>_xll.BDH("ITCI US Equity","EBIT_AFTER_OPERATING_LEASE","FQ1 2020","FQ1 2020","Currency=USD","Period=FQ","BEST_FPERIOD_OVERRIDE=FQ","FILING_STATUS=MR","SCALING_FORMAT=MLN","FA_ADJUSTED=GAAP","Sort=A","Dates=H","DateFormat=P","Fill=—","Direction=H","UseDPDF=Y")</f>
        <v>-49.085500000000003</v>
      </c>
      <c r="I32" s="13">
        <f>_xll.BDH("ITCI US Equity","EBIT_AFTER_OPERATING_LEASE","FQ2 2020","FQ2 2020","Currency=USD","Period=FQ","BEST_FPERIOD_OVERRIDE=FQ","FILING_STATUS=MR","SCALING_FORMAT=MLN","FA_ADJUSTED=GAAP","Sort=A","Dates=H","DateFormat=P","Fill=—","Direction=H","UseDPDF=Y")</f>
        <v>-64.872299999999996</v>
      </c>
      <c r="J32" s="13">
        <f>_xll.BDH("ITCI US Equity","EBIT_AFTER_OPERATING_LEASE","FQ3 2020","FQ3 2020","Currency=USD","Period=FQ","BEST_FPERIOD_OVERRIDE=FQ","FILING_STATUS=MR","SCALING_FORMAT=MLN","FA_ADJUSTED=GAAP","Sort=A","Dates=H","DateFormat=P","Fill=—","Direction=H","UseDPDF=Y")</f>
        <v>-55.936500000000002</v>
      </c>
      <c r="K32" s="13">
        <f>_xll.BDH("ITCI US Equity","EBIT_AFTER_OPERATING_LEASE","FQ4 2020","FQ4 2020","Currency=USD","Period=FQ","BEST_FPERIOD_OVERRIDE=FQ","FILING_STATUS=MR","SCALING_FORMAT=MLN","FA_ADJUSTED=GAAP","Sort=A","Dates=H","DateFormat=P","Fill=—","Direction=H","UseDPDF=Y")</f>
        <v>-61.333300000000001</v>
      </c>
      <c r="L32" s="13">
        <f>_xll.BDH("ITCI US Equity","EBIT_AFTER_OPERATING_LEASE","FQ1 2021","FQ1 2021","Currency=USD","Period=FQ","BEST_FPERIOD_OVERRIDE=FQ","FILING_STATUS=MR","SCALING_FORMAT=MLN","FA_ADJUSTED=GAAP","Sort=A","Dates=H","DateFormat=P","Fill=—","Direction=H","UseDPDF=Y")</f>
        <v>-53.218699999999998</v>
      </c>
      <c r="M32" s="13">
        <f>_xll.BDH("ITCI US Equity","EBIT_AFTER_OPERATING_LEASE","FQ2 2021","FQ2 2021","Currency=USD","Period=FQ","BEST_FPERIOD_OVERRIDE=FQ","FILING_STATUS=MR","SCALING_FORMAT=MLN","FA_ADJUSTED=GAAP","Sort=A","Dates=H","DateFormat=P","Fill=—","Direction=H","UseDPDF=Y")</f>
        <v>-69.141099999999994</v>
      </c>
      <c r="N32" s="13">
        <f>_xll.BDH("ITCI US Equity","EBIT_AFTER_OPERATING_LEASE","FQ3 2021","FQ3 2021","Currency=USD","Period=FQ","BEST_FPERIOD_OVERRIDE=FQ","FILING_STATUS=MR","SCALING_FORMAT=MLN","FA_ADJUSTED=GAAP","Sort=A","Dates=H","DateFormat=P","Fill=—","Direction=H","UseDPDF=Y")</f>
        <v>-77.323800000000006</v>
      </c>
      <c r="O32" s="13">
        <f>_xll.BDH("ITCI US Equity","EBIT_AFTER_OPERATING_LEASE","FQ4 2021","FQ4 2021","Currency=USD","Period=FQ","BEST_FPERIOD_OVERRIDE=FQ","FILING_STATUS=MR","SCALING_FORMAT=MLN","FA_ADJUSTED=GAAP","Sort=A","Dates=H","DateFormat=P","Fill=—","Direction=H","UseDPDF=Y")</f>
        <v>-86.004599999999996</v>
      </c>
      <c r="P32" s="13">
        <f>_xll.BDH("ITCI US Equity","EBIT_AFTER_OPERATING_LEASE","FQ1 2022","FQ1 2022","Currency=USD","Period=FQ","BEST_FPERIOD_OVERRIDE=FQ","FILING_STATUS=MR","SCALING_FORMAT=MLN","FA_ADJUSTED=GAAP","Sort=A","Dates=H","DateFormat=P","Fill=—","Direction=H","UseDPDF=Y")</f>
        <v>-72.662000000000006</v>
      </c>
      <c r="Q32" s="13">
        <f>_xll.BDH("ITCI US Equity","EBIT_AFTER_OPERATING_LEASE","FQ2 2022","FQ2 2022","Currency=USD","Period=FQ","BEST_FPERIOD_OVERRIDE=FQ","FILING_STATUS=MR","SCALING_FORMAT=MLN","FA_ADJUSTED=GAAP","Sort=A","Dates=H","DateFormat=P","Fill=—","Direction=H","UseDPDF=Y")</f>
        <v>-87.923000000000002</v>
      </c>
      <c r="R32" s="13">
        <f>_xll.BDH("ITCI US Equity","EBIT_AFTER_OPERATING_LEASE","FQ3 2022","FQ3 2022","Currency=USD","Period=FQ","BEST_FPERIOD_OVERRIDE=FQ","FILING_STATUS=MR","SCALING_FORMAT=MLN","FA_ADJUSTED=GAAP","Sort=A","Dates=H","DateFormat=P","Fill=—","Direction=H","UseDPDF=Y")</f>
        <v>-55.628999999999998</v>
      </c>
      <c r="S32" s="13">
        <f>_xll.BDH("ITCI US Equity","EBIT_AFTER_OPERATING_LEASE","FQ4 2022","FQ4 2022","Currency=USD","Period=FQ","BEST_FPERIOD_OVERRIDE=FQ","FILING_STATUS=MR","SCALING_FORMAT=MLN","FA_ADJUSTED=GAAP","Sort=A","Dates=H","DateFormat=P","Fill=—","Direction=H","UseDPDF=Y")</f>
        <v>-47.411999999999999</v>
      </c>
      <c r="T32" s="13">
        <f>_xll.BDH("ITCI US Equity","EBIT_AFTER_OPERATING_LEASE","FQ1 2023","FQ1 2023","Currency=USD","Period=FQ","BEST_FPERIOD_OVERRIDE=FQ","FILING_STATUS=MR","SCALING_FORMAT=MLN","FA_ADJUSTED=GAAP","Sort=A","Dates=H","DateFormat=P","Fill=—","Direction=H","UseDPDF=Y")</f>
        <v>-48.392000000000003</v>
      </c>
      <c r="U32" s="13">
        <f>_xll.BDH("ITCI US Equity","EBIT_AFTER_OPERATING_LEASE","FQ2 2023","FQ2 2023","Currency=USD","Period=FQ","BEST_FPERIOD_OVERRIDE=FQ","FILING_STATUS=MR","SCALING_FORMAT=MLN","FA_ADJUSTED=GAAP","Sort=A","Dates=H","DateFormat=P","Fill=—","Direction=H","UseDPDF=Y")</f>
        <v>-47.179000000000002</v>
      </c>
      <c r="V32" s="13">
        <f>_xll.BDH("ITCI US Equity","EBIT_AFTER_OPERATING_LEASE","FQ3 2023","FQ3 2023","Currency=USD","Period=FQ","BEST_FPERIOD_OVERRIDE=FQ","FILING_STATUS=MR","SCALING_FORMAT=MLN","FA_ADJUSTED=GAAP","Sort=A","Dates=H","DateFormat=P","Fill=—","Direction=H","UseDPDF=Y")</f>
        <v>-29.713000000000001</v>
      </c>
      <c r="W32" s="13">
        <f>_xll.BDH("ITCI US Equity","EBIT_AFTER_OPERATING_LEASE","FQ4 2023","FQ4 2023","Currency=USD","Period=FQ","BEST_FPERIOD_OVERRIDE=FQ","FILING_STATUS=MR","SCALING_FORMAT=MLN","FA_ADJUSTED=GAAP","Sort=A","Dates=H","DateFormat=P","Fill=—","Direction=H","UseDPDF=Y")</f>
        <v>-34.097000000000001</v>
      </c>
      <c r="X32" s="13">
        <f>_xll.BDH("ITCI US Equity","EBIT_AFTER_OPERATING_LEASE","FQ1 2024","FQ1 2024","Currency=USD","Period=FQ","BEST_FPERIOD_OVERRIDE=FQ","FILING_STATUS=MR","SCALING_FORMAT=MLN","FA_ADJUSTED=GAAP","Sort=A","Dates=H","DateFormat=P","Fill=—","Direction=H","UseDPDF=Y")</f>
        <v>-20.952000000000002</v>
      </c>
      <c r="Y32" s="13">
        <f>_xll.BDH("ITCI US Equity","EBIT_AFTER_OPERATING_LEASE","FQ2 2024","FQ2 2024","Currency=USD","Period=FQ","BEST_FPERIOD_OVERRIDE=FQ","FILING_STATUS=MR","SCALING_FORMAT=MLN","FA_ADJUSTED=GAAP","Sort=A","Dates=H","DateFormat=P","Fill=—","Direction=H","UseDPDF=Y")</f>
        <v>-27.722999999999999</v>
      </c>
      <c r="Z32" s="13">
        <f>_xll.BDH("ITCI US Equity","EBIT_AFTER_OPERATING_LEASE","FQ3 2024","FQ3 2024","Currency=USD","Period=FQ","BEST_FPERIOD_OVERRIDE=FQ","FILING_STATUS=MR","SCALING_FORMAT=MLN","FA_ADJUSTED=GAAP","Sort=A","Dates=H","DateFormat=P","Fill=—","Direction=H","UseDPDF=Y")</f>
        <v>-38.848999999999997</v>
      </c>
      <c r="AA32" s="13">
        <f>_xll.BDH("ITCI US Equity","EBIT_AFTER_OPERATING_LEASE","FQ4 2024","FQ4 2024","Currency=USD","Period=FQ","BEST_FPERIOD_OVERRIDE=FQ","FILING_STATUS=MR","SCALING_FORMAT=MLN","FA_ADJUSTED=GAAP","Sort=A","Dates=H","DateFormat=P","Fill=—","Direction=H","UseDPDF=Y")</f>
        <v>-29.196999999999999</v>
      </c>
    </row>
    <row r="33" spans="1:27" x14ac:dyDescent="0.25">
      <c r="A33" s="7" t="s">
        <v>90</v>
      </c>
      <c r="B33" s="7"/>
      <c r="C33" s="7" t="s">
        <v>5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25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1212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10" t="s">
        <v>1213</v>
      </c>
      <c r="B6" s="10" t="s">
        <v>1214</v>
      </c>
      <c r="C6" s="14">
        <f>_xll.BDH("ITCI US Equity","CASH_RATIO","FQ4 2018","FQ4 2018","Currency=USD","Period=FQ","BEST_FPERIOD_OVERRIDE=FQ","FILING_STATUS=MR","Sort=A","Dates=H","DateFormat=P","Fill=—","Direction=H","UseDPDF=Y")</f>
        <v>9.5740999999999996</v>
      </c>
      <c r="D6" s="14">
        <f>_xll.BDH("ITCI US Equity","CASH_RATIO","FQ1 2019","FQ1 2019","Currency=USD","Period=FQ","BEST_FPERIOD_OVERRIDE=FQ","FILING_STATUS=MR","Sort=A","Dates=H","DateFormat=P","Fill=—","Direction=H","UseDPDF=Y")</f>
        <v>9.3382000000000005</v>
      </c>
      <c r="E6" s="14">
        <f>_xll.BDH("ITCI US Equity","CASH_RATIO","FQ2 2019","FQ2 2019","Currency=USD","Period=FQ","BEST_FPERIOD_OVERRIDE=FQ","FILING_STATUS=MR","Sort=A","Dates=H","DateFormat=P","Fill=—","Direction=H","UseDPDF=Y")</f>
        <v>8.7713000000000001</v>
      </c>
      <c r="F6" s="14">
        <f>_xll.BDH("ITCI US Equity","CASH_RATIO","FQ3 2019","FQ3 2019","Currency=USD","Period=FQ","BEST_FPERIOD_OVERRIDE=FQ","FILING_STATUS=MR","Sort=A","Dates=H","DateFormat=P","Fill=—","Direction=H","UseDPDF=Y")</f>
        <v>7.6539000000000001</v>
      </c>
      <c r="G6" s="14">
        <f>_xll.BDH("ITCI US Equity","CASH_RATIO","FQ4 2019","FQ4 2019","Currency=USD","Period=FQ","BEST_FPERIOD_OVERRIDE=FQ","FILING_STATUS=MR","Sort=A","Dates=H","DateFormat=P","Fill=—","Direction=H","UseDPDF=Y")</f>
        <v>6.1840000000000002</v>
      </c>
      <c r="H6" s="14">
        <f>_xll.BDH("ITCI US Equity","CASH_RATIO","FQ1 2020","FQ1 2020","Currency=USD","Period=FQ","BEST_FPERIOD_OVERRIDE=FQ","FILING_STATUS=MR","Sort=A","Dates=H","DateFormat=P","Fill=—","Direction=H","UseDPDF=Y")</f>
        <v>14.4468</v>
      </c>
      <c r="I6" s="14">
        <f>_xll.BDH("ITCI US Equity","CASH_RATIO","FQ2 2020","FQ2 2020","Currency=USD","Period=FQ","BEST_FPERIOD_OVERRIDE=FQ","FILING_STATUS=MR","Sort=A","Dates=H","DateFormat=P","Fill=—","Direction=H","UseDPDF=Y")</f>
        <v>10.1325</v>
      </c>
      <c r="J6" s="14">
        <f>_xll.BDH("ITCI US Equity","CASH_RATIO","FQ3 2020","FQ3 2020","Currency=USD","Period=FQ","BEST_FPERIOD_OVERRIDE=FQ","FILING_STATUS=MR","Sort=A","Dates=H","DateFormat=P","Fill=—","Direction=H","UseDPDF=Y")</f>
        <v>18.984300000000001</v>
      </c>
      <c r="K6" s="14">
        <f>_xll.BDH("ITCI US Equity","CASH_RATIO","FQ4 2020","FQ4 2020","Currency=USD","Period=FQ","BEST_FPERIOD_OVERRIDE=FQ","FILING_STATUS=MR","Sort=A","Dates=H","DateFormat=P","Fill=—","Direction=H","UseDPDF=Y")</f>
        <v>17.839600000000001</v>
      </c>
      <c r="L6" s="14">
        <f>_xll.BDH("ITCI US Equity","CASH_RATIO","FQ1 2021","FQ1 2021","Currency=USD","Period=FQ","BEST_FPERIOD_OVERRIDE=FQ","FILING_STATUS=MR","Sort=A","Dates=H","DateFormat=P","Fill=—","Direction=H","UseDPDF=Y")</f>
        <v>15.414099999999999</v>
      </c>
      <c r="M6" s="14">
        <f>_xll.BDH("ITCI US Equity","CASH_RATIO","FQ2 2021","FQ2 2021","Currency=USD","Period=FQ","BEST_FPERIOD_OVERRIDE=FQ","FILING_STATUS=MR","Sort=A","Dates=H","DateFormat=P","Fill=—","Direction=H","UseDPDF=Y")</f>
        <v>11.0023</v>
      </c>
      <c r="N6" s="14">
        <f>_xll.BDH("ITCI US Equity","CASH_RATIO","FQ3 2021","FQ3 2021","Currency=USD","Period=FQ","BEST_FPERIOD_OVERRIDE=FQ","FILING_STATUS=MR","Sort=A","Dates=H","DateFormat=P","Fill=—","Direction=H","UseDPDF=Y")</f>
        <v>9.5656999999999996</v>
      </c>
      <c r="O6" s="14">
        <f>_xll.BDH("ITCI US Equity","CASH_RATIO","FQ4 2021","FQ4 2021","Currency=USD","Period=FQ","BEST_FPERIOD_OVERRIDE=FQ","FILING_STATUS=MR","Sort=A","Dates=H","DateFormat=P","Fill=—","Direction=H","UseDPDF=Y")</f>
        <v>7.7279</v>
      </c>
      <c r="P6" s="14">
        <f>_xll.BDH("ITCI US Equity","CASH_RATIO","FQ1 2022","FQ1 2022","Currency=USD","Period=FQ","BEST_FPERIOD_OVERRIDE=FQ","FILING_STATUS=MR","Sort=A","Dates=H","DateFormat=P","Fill=—","Direction=H","UseDPDF=Y")</f>
        <v>13.065799999999999</v>
      </c>
      <c r="Q6" s="14">
        <f>_xll.BDH("ITCI US Equity","CASH_RATIO","FQ2 2022","FQ2 2022","Currency=USD","Period=FQ","BEST_FPERIOD_OVERRIDE=FQ","FILING_STATUS=MR","Sort=A","Dates=H","DateFormat=P","Fill=—","Direction=H","UseDPDF=Y")</f>
        <v>9.5963999999999992</v>
      </c>
      <c r="R6" s="14">
        <f>_xll.BDH("ITCI US Equity","CASH_RATIO","FQ3 2022","FQ3 2022","Currency=USD","Period=FQ","BEST_FPERIOD_OVERRIDE=FQ","FILING_STATUS=MR","Sort=A","Dates=H","DateFormat=P","Fill=—","Direction=H","UseDPDF=Y")</f>
        <v>8.1221999999999994</v>
      </c>
      <c r="S6" s="14">
        <f>_xll.BDH("ITCI US Equity","CASH_RATIO","FQ4 2022","FQ4 2022","Currency=USD","Period=FQ","BEST_FPERIOD_OVERRIDE=FQ","FILING_STATUS=MR","Sort=A","Dates=H","DateFormat=P","Fill=—","Direction=H","UseDPDF=Y")</f>
        <v>7.1112000000000002</v>
      </c>
      <c r="T6" s="14">
        <f>_xll.BDH("ITCI US Equity","CASH_RATIO","FQ1 2023","FQ1 2023","Currency=USD","Period=FQ","BEST_FPERIOD_OVERRIDE=FQ","FILING_STATUS=MR","Sort=A","Dates=H","DateFormat=P","Fill=—","Direction=H","UseDPDF=Y")</f>
        <v>6.7687999999999997</v>
      </c>
      <c r="U6" s="14">
        <f>_xll.BDH("ITCI US Equity","CASH_RATIO","FQ2 2023","FQ2 2023","Currency=USD","Period=FQ","BEST_FPERIOD_OVERRIDE=FQ","FILING_STATUS=MR","Sort=A","Dates=H","DateFormat=P","Fill=—","Direction=H","UseDPDF=Y")</f>
        <v>5.5697000000000001</v>
      </c>
      <c r="V6" s="14">
        <f>_xll.BDH("ITCI US Equity","CASH_RATIO","FQ3 2023","FQ3 2023","Currency=USD","Period=FQ","BEST_FPERIOD_OVERRIDE=FQ","FILING_STATUS=MR","Sort=A","Dates=H","DateFormat=P","Fill=—","Direction=H","UseDPDF=Y")</f>
        <v>4.7823000000000002</v>
      </c>
      <c r="W6" s="14">
        <f>_xll.BDH("ITCI US Equity","CASH_RATIO","FQ4 2023","FQ4 2023","Currency=USD","Period=FQ","BEST_FPERIOD_OVERRIDE=FQ","FILING_STATUS=MR","Sort=A","Dates=H","DateFormat=P","Fill=—","Direction=H","UseDPDF=Y")</f>
        <v>4.0304000000000002</v>
      </c>
      <c r="X6" s="14">
        <f>_xll.BDH("ITCI US Equity","CASH_RATIO","FQ1 2024","FQ1 2024","Currency=USD","Period=FQ","BEST_FPERIOD_OVERRIDE=FQ","FILING_STATUS=MR","Sort=A","Dates=H","DateFormat=P","Fill=—","Direction=H","UseDPDF=Y")</f>
        <v>3.5283000000000002</v>
      </c>
      <c r="Y6" s="14">
        <f>_xll.BDH("ITCI US Equity","CASH_RATIO","FQ2 2024","FQ2 2024","Currency=USD","Period=FQ","BEST_FPERIOD_OVERRIDE=FQ","FILING_STATUS=MR","Sort=A","Dates=H","DateFormat=P","Fill=—","Direction=H","UseDPDF=Y")</f>
        <v>6.3230000000000004</v>
      </c>
      <c r="Z6" s="14">
        <f>_xll.BDH("ITCI US Equity","CASH_RATIO","FQ3 2024","FQ3 2024","Currency=USD","Period=FQ","BEST_FPERIOD_OVERRIDE=FQ","FILING_STATUS=MR","Sort=A","Dates=H","DateFormat=P","Fill=—","Direction=H","UseDPDF=Y")</f>
        <v>6.0594999999999999</v>
      </c>
      <c r="AA6" s="14">
        <f>_xll.BDH("ITCI US Equity","CASH_RATIO","FQ4 2024","FQ4 2024","Currency=USD","Period=FQ","BEST_FPERIOD_OVERRIDE=FQ","FILING_STATUS=MR","Sort=A","Dates=H","DateFormat=P","Fill=—","Direction=H","UseDPDF=Y")</f>
        <v>4.8665000000000003</v>
      </c>
    </row>
    <row r="7" spans="1:27" x14ac:dyDescent="0.25">
      <c r="A7" s="10" t="s">
        <v>680</v>
      </c>
      <c r="B7" s="10" t="s">
        <v>681</v>
      </c>
      <c r="C7" s="14">
        <f>_xll.BDH("ITCI US Equity","CUR_RATIO","FQ4 2018","FQ4 2018","Currency=USD","Period=FQ","BEST_FPERIOD_OVERRIDE=FQ","FILING_STATUS=MR","Sort=A","Dates=H","DateFormat=P","Fill=—","Direction=H","UseDPDF=Y")</f>
        <v>9.7919</v>
      </c>
      <c r="D7" s="14">
        <f>_xll.BDH("ITCI US Equity","CUR_RATIO","FQ1 2019","FQ1 2019","Currency=USD","Period=FQ","BEST_FPERIOD_OVERRIDE=FQ","FILING_STATUS=MR","Sort=A","Dates=H","DateFormat=P","Fill=—","Direction=H","UseDPDF=Y")</f>
        <v>9.5861000000000001</v>
      </c>
      <c r="E7" s="14">
        <f>_xll.BDH("ITCI US Equity","CUR_RATIO","FQ2 2019","FQ2 2019","Currency=USD","Period=FQ","BEST_FPERIOD_OVERRIDE=FQ","FILING_STATUS=MR","Sort=A","Dates=H","DateFormat=P","Fill=—","Direction=H","UseDPDF=Y")</f>
        <v>8.8648000000000007</v>
      </c>
      <c r="F7" s="14">
        <f>_xll.BDH("ITCI US Equity","CUR_RATIO","FQ3 2019","FQ3 2019","Currency=USD","Period=FQ","BEST_FPERIOD_OVERRIDE=FQ","FILING_STATUS=MR","Sort=A","Dates=H","DateFormat=P","Fill=—","Direction=H","UseDPDF=Y")</f>
        <v>7.7744</v>
      </c>
      <c r="G7" s="14">
        <f>_xll.BDH("ITCI US Equity","CUR_RATIO","FQ4 2019","FQ4 2019","Currency=USD","Period=FQ","BEST_FPERIOD_OVERRIDE=FQ","FILING_STATUS=MR","Sort=A","Dates=H","DateFormat=P","Fill=—","Direction=H","UseDPDF=Y")</f>
        <v>6.3582999999999998</v>
      </c>
      <c r="H7" s="14">
        <f>_xll.BDH("ITCI US Equity","CUR_RATIO","FQ1 2020","FQ1 2020","Currency=USD","Period=FQ","BEST_FPERIOD_OVERRIDE=FQ","FILING_STATUS=MR","Sort=A","Dates=H","DateFormat=P","Fill=—","Direction=H","UseDPDF=Y")</f>
        <v>14.833500000000001</v>
      </c>
      <c r="I7" s="14">
        <f>_xll.BDH("ITCI US Equity","CUR_RATIO","FQ2 2020","FQ2 2020","Currency=USD","Period=FQ","BEST_FPERIOD_OVERRIDE=FQ","FILING_STATUS=MR","Sort=A","Dates=H","DateFormat=P","Fill=—","Direction=H","UseDPDF=Y")</f>
        <v>10.401199999999999</v>
      </c>
      <c r="J7" s="14">
        <f>_xll.BDH("ITCI US Equity","CUR_RATIO","FQ3 2020","FQ3 2020","Currency=USD","Period=FQ","BEST_FPERIOD_OVERRIDE=FQ","FILING_STATUS=MR","Sort=A","Dates=H","DateFormat=P","Fill=—","Direction=H","UseDPDF=Y")</f>
        <v>19.5869</v>
      </c>
      <c r="K7" s="14">
        <f>_xll.BDH("ITCI US Equity","CUR_RATIO","FQ4 2020","FQ4 2020","Currency=USD","Period=FQ","BEST_FPERIOD_OVERRIDE=FQ","FILING_STATUS=MR","Sort=A","Dates=H","DateFormat=P","Fill=—","Direction=H","UseDPDF=Y")</f>
        <v>18.747499999999999</v>
      </c>
      <c r="L7" s="14">
        <f>_xll.BDH("ITCI US Equity","CUR_RATIO","FQ1 2021","FQ1 2021","Currency=USD","Period=FQ","BEST_FPERIOD_OVERRIDE=FQ","FILING_STATUS=MR","Sort=A","Dates=H","DateFormat=P","Fill=—","Direction=H","UseDPDF=Y")</f>
        <v>16.349399999999999</v>
      </c>
      <c r="M7" s="14">
        <f>_xll.BDH("ITCI US Equity","CUR_RATIO","FQ2 2021","FQ2 2021","Currency=USD","Period=FQ","BEST_FPERIOD_OVERRIDE=FQ","FILING_STATUS=MR","Sort=A","Dates=H","DateFormat=P","Fill=—","Direction=H","UseDPDF=Y")</f>
        <v>11.9254</v>
      </c>
      <c r="N7" s="14">
        <f>_xll.BDH("ITCI US Equity","CUR_RATIO","FQ3 2021","FQ3 2021","Currency=USD","Period=FQ","BEST_FPERIOD_OVERRIDE=FQ","FILING_STATUS=MR","Sort=A","Dates=H","DateFormat=P","Fill=—","Direction=H","UseDPDF=Y")</f>
        <v>10.687200000000001</v>
      </c>
      <c r="O7" s="14">
        <f>_xll.BDH("ITCI US Equity","CUR_RATIO","FQ4 2021","FQ4 2021","Currency=USD","Period=FQ","BEST_FPERIOD_OVERRIDE=FQ","FILING_STATUS=MR","Sort=A","Dates=H","DateFormat=P","Fill=—","Direction=H","UseDPDF=Y")</f>
        <v>8.7576999999999998</v>
      </c>
      <c r="P7" s="14">
        <f>_xll.BDH("ITCI US Equity","CUR_RATIO","FQ1 2022","FQ1 2022","Currency=USD","Period=FQ","BEST_FPERIOD_OVERRIDE=FQ","FILING_STATUS=MR","Sort=A","Dates=H","DateFormat=P","Fill=—","Direction=H","UseDPDF=Y")</f>
        <v>14.3607</v>
      </c>
      <c r="Q7" s="14">
        <f>_xll.BDH("ITCI US Equity","CUR_RATIO","FQ2 2022","FQ2 2022","Currency=USD","Period=FQ","BEST_FPERIOD_OVERRIDE=FQ","FILING_STATUS=MR","Sort=A","Dates=H","DateFormat=P","Fill=—","Direction=H","UseDPDF=Y")</f>
        <v>11.1732</v>
      </c>
      <c r="R7" s="14">
        <f>_xll.BDH("ITCI US Equity","CUR_RATIO","FQ3 2022","FQ3 2022","Currency=USD","Period=FQ","BEST_FPERIOD_OVERRIDE=FQ","FILING_STATUS=MR","Sort=A","Dates=H","DateFormat=P","Fill=—","Direction=H","UseDPDF=Y")</f>
        <v>9.8147000000000002</v>
      </c>
      <c r="S7" s="14">
        <f>_xll.BDH("ITCI US Equity","CUR_RATIO","FQ4 2022","FQ4 2022","Currency=USD","Period=FQ","BEST_FPERIOD_OVERRIDE=FQ","FILING_STATUS=MR","Sort=A","Dates=H","DateFormat=P","Fill=—","Direction=H","UseDPDF=Y")</f>
        <v>8.8658000000000001</v>
      </c>
      <c r="T7" s="14">
        <f>_xll.BDH("ITCI US Equity","CUR_RATIO","FQ1 2023","FQ1 2023","Currency=USD","Period=FQ","BEST_FPERIOD_OVERRIDE=FQ","FILING_STATUS=MR","Sort=A","Dates=H","DateFormat=P","Fill=—","Direction=H","UseDPDF=Y")</f>
        <v>8.8719999999999999</v>
      </c>
      <c r="U7" s="14">
        <f>_xll.BDH("ITCI US Equity","CUR_RATIO","FQ2 2023","FQ2 2023","Currency=USD","Period=FQ","BEST_FPERIOD_OVERRIDE=FQ","FILING_STATUS=MR","Sort=A","Dates=H","DateFormat=P","Fill=—","Direction=H","UseDPDF=Y")</f>
        <v>7.5811999999999999</v>
      </c>
      <c r="V7" s="14">
        <f>_xll.BDH("ITCI US Equity","CUR_RATIO","FQ3 2023","FQ3 2023","Currency=USD","Period=FQ","BEST_FPERIOD_OVERRIDE=FQ","FILING_STATUS=MR","Sort=A","Dates=H","DateFormat=P","Fill=—","Direction=H","UseDPDF=Y")</f>
        <v>6.8136000000000001</v>
      </c>
      <c r="W7" s="14">
        <f>_xll.BDH("ITCI US Equity","CUR_RATIO","FQ4 2023","FQ4 2023","Currency=USD","Period=FQ","BEST_FPERIOD_OVERRIDE=FQ","FILING_STATUS=MR","Sort=A","Dates=H","DateFormat=P","Fill=—","Direction=H","UseDPDF=Y")</f>
        <v>5.4053000000000004</v>
      </c>
      <c r="X7" s="14">
        <f>_xll.BDH("ITCI US Equity","CUR_RATIO","FQ1 2024","FQ1 2024","Currency=USD","Period=FQ","BEST_FPERIOD_OVERRIDE=FQ","FILING_STATUS=MR","Sort=A","Dates=H","DateFormat=P","Fill=—","Direction=H","UseDPDF=Y")</f>
        <v>5.1226000000000003</v>
      </c>
      <c r="Y7" s="14">
        <f>_xll.BDH("ITCI US Equity","CUR_RATIO","FQ2 2024","FQ2 2024","Currency=USD","Period=FQ","BEST_FPERIOD_OVERRIDE=FQ","FILING_STATUS=MR","Sort=A","Dates=H","DateFormat=P","Fill=—","Direction=H","UseDPDF=Y")</f>
        <v>7.8148999999999997</v>
      </c>
      <c r="Z7" s="14">
        <f>_xll.BDH("ITCI US Equity","CUR_RATIO","FQ3 2024","FQ3 2024","Currency=USD","Period=FQ","BEST_FPERIOD_OVERRIDE=FQ","FILING_STATUS=MR","Sort=A","Dates=H","DateFormat=P","Fill=—","Direction=H","UseDPDF=Y")</f>
        <v>7.6558000000000002</v>
      </c>
      <c r="AA7" s="14">
        <f>_xll.BDH("ITCI US Equity","CUR_RATIO","FQ4 2024","FQ4 2024","Currency=USD","Period=FQ","BEST_FPERIOD_OVERRIDE=FQ","FILING_STATUS=MR","Sort=A","Dates=H","DateFormat=P","Fill=—","Direction=H","UseDPDF=Y")</f>
        <v>6.3555999999999999</v>
      </c>
    </row>
    <row r="8" spans="1:27" x14ac:dyDescent="0.25">
      <c r="A8" s="10" t="s">
        <v>1215</v>
      </c>
      <c r="B8" s="10" t="s">
        <v>1216</v>
      </c>
      <c r="C8" s="14">
        <f>_xll.BDH("ITCI US Equity","QUICK_RATIO","FQ4 2018","FQ4 2018","Currency=USD","Period=FQ","BEST_FPERIOD_OVERRIDE=FQ","FILING_STATUS=MR","Sort=A","Dates=H","DateFormat=P","Fill=—","Direction=H","UseDPDF=Y")</f>
        <v>9.5740999999999996</v>
      </c>
      <c r="D8" s="14">
        <f>_xll.BDH("ITCI US Equity","QUICK_RATIO","FQ1 2019","FQ1 2019","Currency=USD","Period=FQ","BEST_FPERIOD_OVERRIDE=FQ","FILING_STATUS=MR","Sort=A","Dates=H","DateFormat=P","Fill=—","Direction=H","UseDPDF=Y")</f>
        <v>9.3382000000000005</v>
      </c>
      <c r="E8" s="14">
        <f>_xll.BDH("ITCI US Equity","QUICK_RATIO","FQ2 2019","FQ2 2019","Currency=USD","Period=FQ","BEST_FPERIOD_OVERRIDE=FQ","FILING_STATUS=MR","Sort=A","Dates=H","DateFormat=P","Fill=—","Direction=H","UseDPDF=Y")</f>
        <v>8.7713000000000001</v>
      </c>
      <c r="F8" s="14">
        <f>_xll.BDH("ITCI US Equity","QUICK_RATIO","FQ3 2019","FQ3 2019","Currency=USD","Period=FQ","BEST_FPERIOD_OVERRIDE=FQ","FILING_STATUS=MR","Sort=A","Dates=H","DateFormat=P","Fill=—","Direction=H","UseDPDF=Y")</f>
        <v>7.6539000000000001</v>
      </c>
      <c r="G8" s="14">
        <f>_xll.BDH("ITCI US Equity","QUICK_RATIO","FQ4 2019","FQ4 2019","Currency=USD","Period=FQ","BEST_FPERIOD_OVERRIDE=FQ","FILING_STATUS=MR","Sort=A","Dates=H","DateFormat=P","Fill=—","Direction=H","UseDPDF=Y")</f>
        <v>6.1840000000000002</v>
      </c>
      <c r="H8" s="14">
        <f>_xll.BDH("ITCI US Equity","QUICK_RATIO","FQ1 2020","FQ1 2020","Currency=USD","Period=FQ","BEST_FPERIOD_OVERRIDE=FQ","FILING_STATUS=MR","Sort=A","Dates=H","DateFormat=P","Fill=—","Direction=H","UseDPDF=Y")</f>
        <v>14.4903</v>
      </c>
      <c r="I8" s="14">
        <f>_xll.BDH("ITCI US Equity","QUICK_RATIO","FQ2 2020","FQ2 2020","Currency=USD","Period=FQ","BEST_FPERIOD_OVERRIDE=FQ","FILING_STATUS=MR","Sort=A","Dates=H","DateFormat=P","Fill=—","Direction=H","UseDPDF=Y")</f>
        <v>10.191000000000001</v>
      </c>
      <c r="J8" s="14">
        <f>_xll.BDH("ITCI US Equity","QUICK_RATIO","FQ3 2020","FQ3 2020","Currency=USD","Period=FQ","BEST_FPERIOD_OVERRIDE=FQ","FILING_STATUS=MR","Sort=A","Dates=H","DateFormat=P","Fill=—","Direction=H","UseDPDF=Y")</f>
        <v>19.181000000000001</v>
      </c>
      <c r="K8" s="14">
        <f>_xll.BDH("ITCI US Equity","QUICK_RATIO","FQ4 2020","FQ4 2020","Currency=USD","Period=FQ","BEST_FPERIOD_OVERRIDE=FQ","FILING_STATUS=MR","Sort=A","Dates=H","DateFormat=P","Fill=—","Direction=H","UseDPDF=Y")</f>
        <v>18.131699999999999</v>
      </c>
      <c r="L8" s="14">
        <f>_xll.BDH("ITCI US Equity","QUICK_RATIO","FQ1 2021","FQ1 2021","Currency=USD","Period=FQ","BEST_FPERIOD_OVERRIDE=FQ","FILING_STATUS=MR","Sort=A","Dates=H","DateFormat=P","Fill=—","Direction=H","UseDPDF=Y")</f>
        <v>15.7582</v>
      </c>
      <c r="M8" s="14">
        <f>_xll.BDH("ITCI US Equity","QUICK_RATIO","FQ2 2021","FQ2 2021","Currency=USD","Period=FQ","BEST_FPERIOD_OVERRIDE=FQ","FILING_STATUS=MR","Sort=A","Dates=H","DateFormat=P","Fill=—","Direction=H","UseDPDF=Y")</f>
        <v>11.3035</v>
      </c>
      <c r="N8" s="14">
        <f>_xll.BDH("ITCI US Equity","QUICK_RATIO","FQ3 2021","FQ3 2021","Currency=USD","Period=FQ","BEST_FPERIOD_OVERRIDE=FQ","FILING_STATUS=MR","Sort=A","Dates=H","DateFormat=P","Fill=—","Direction=H","UseDPDF=Y")</f>
        <v>9.9050999999999991</v>
      </c>
      <c r="O8" s="14">
        <f>_xll.BDH("ITCI US Equity","QUICK_RATIO","FQ4 2021","FQ4 2021","Currency=USD","Period=FQ","BEST_FPERIOD_OVERRIDE=FQ","FILING_STATUS=MR","Sort=A","Dates=H","DateFormat=P","Fill=—","Direction=H","UseDPDF=Y")</f>
        <v>8.1057000000000006</v>
      </c>
      <c r="P8" s="14">
        <f>_xll.BDH("ITCI US Equity","QUICK_RATIO","FQ1 2022","FQ1 2022","Currency=USD","Period=FQ","BEST_FPERIOD_OVERRIDE=FQ","FILING_STATUS=MR","Sort=A","Dates=H","DateFormat=P","Fill=—","Direction=H","UseDPDF=Y")</f>
        <v>13.621600000000001</v>
      </c>
      <c r="Q8" s="14">
        <f>_xll.BDH("ITCI US Equity","QUICK_RATIO","FQ2 2022","FQ2 2022","Currency=USD","Period=FQ","BEST_FPERIOD_OVERRIDE=FQ","FILING_STATUS=MR","Sort=A","Dates=H","DateFormat=P","Fill=—","Direction=H","UseDPDF=Y")</f>
        <v>10.2614</v>
      </c>
      <c r="R8" s="14">
        <f>_xll.BDH("ITCI US Equity","QUICK_RATIO","FQ3 2022","FQ3 2022","Currency=USD","Period=FQ","BEST_FPERIOD_OVERRIDE=FQ","FILING_STATUS=MR","Sort=A","Dates=H","DateFormat=P","Fill=—","Direction=H","UseDPDF=Y")</f>
        <v>8.9171999999999993</v>
      </c>
      <c r="S8" s="14">
        <f>_xll.BDH("ITCI US Equity","QUICK_RATIO","FQ4 2022","FQ4 2022","Currency=USD","Period=FQ","BEST_FPERIOD_OVERRIDE=FQ","FILING_STATUS=MR","Sort=A","Dates=H","DateFormat=P","Fill=—","Direction=H","UseDPDF=Y")</f>
        <v>8.0145</v>
      </c>
      <c r="T8" s="14">
        <f>_xll.BDH("ITCI US Equity","QUICK_RATIO","FQ1 2023","FQ1 2023","Currency=USD","Period=FQ","BEST_FPERIOD_OVERRIDE=FQ","FILING_STATUS=MR","Sort=A","Dates=H","DateFormat=P","Fill=—","Direction=H","UseDPDF=Y")</f>
        <v>7.7934000000000001</v>
      </c>
      <c r="U8" s="14">
        <f>_xll.BDH("ITCI US Equity","QUICK_RATIO","FQ2 2023","FQ2 2023","Currency=USD","Period=FQ","BEST_FPERIOD_OVERRIDE=FQ","FILING_STATUS=MR","Sort=A","Dates=H","DateFormat=P","Fill=—","Direction=H","UseDPDF=Y")</f>
        <v>6.6117999999999997</v>
      </c>
      <c r="V8" s="14">
        <f>_xll.BDH("ITCI US Equity","QUICK_RATIO","FQ3 2023","FQ3 2023","Currency=USD","Period=FQ","BEST_FPERIOD_OVERRIDE=FQ","FILING_STATUS=MR","Sort=A","Dates=H","DateFormat=P","Fill=—","Direction=H","UseDPDF=Y")</f>
        <v>5.7782</v>
      </c>
      <c r="W8" s="14">
        <f>_xll.BDH("ITCI US Equity","QUICK_RATIO","FQ4 2023","FQ4 2023","Currency=USD","Period=FQ","BEST_FPERIOD_OVERRIDE=FQ","FILING_STATUS=MR","Sort=A","Dates=H","DateFormat=P","Fill=—","Direction=H","UseDPDF=Y")</f>
        <v>4.9532999999999996</v>
      </c>
      <c r="X8" s="14">
        <f>_xll.BDH("ITCI US Equity","QUICK_RATIO","FQ1 2024","FQ1 2024","Currency=USD","Period=FQ","BEST_FPERIOD_OVERRIDE=FQ","FILING_STATUS=MR","Sort=A","Dates=H","DateFormat=P","Fill=—","Direction=H","UseDPDF=Y")</f>
        <v>4.5012999999999996</v>
      </c>
      <c r="Y8" s="14">
        <f>_xll.BDH("ITCI US Equity","QUICK_RATIO","FQ2 2024","FQ2 2024","Currency=USD","Period=FQ","BEST_FPERIOD_OVERRIDE=FQ","FILING_STATUS=MR","Sort=A","Dates=H","DateFormat=P","Fill=—","Direction=H","UseDPDF=Y")</f>
        <v>7.2237</v>
      </c>
      <c r="Z8" s="14">
        <f>_xll.BDH("ITCI US Equity","QUICK_RATIO","FQ3 2024","FQ3 2024","Currency=USD","Period=FQ","BEST_FPERIOD_OVERRIDE=FQ","FILING_STATUS=MR","Sort=A","Dates=H","DateFormat=P","Fill=—","Direction=H","UseDPDF=Y")</f>
        <v>6.9360999999999997</v>
      </c>
      <c r="AA8" s="14">
        <f>_xll.BDH("ITCI US Equity","QUICK_RATIO","FQ4 2024","FQ4 2024","Currency=USD","Period=FQ","BEST_FPERIOD_OVERRIDE=FQ","FILING_STATUS=MR","Sort=A","Dates=H","DateFormat=P","Fill=—","Direction=H","UseDPDF=Y")</f>
        <v>5.6760000000000002</v>
      </c>
    </row>
    <row r="9" spans="1:27" x14ac:dyDescent="0.25">
      <c r="A9" s="10" t="s">
        <v>1217</v>
      </c>
      <c r="B9" s="10" t="s">
        <v>1218</v>
      </c>
      <c r="C9" s="14">
        <f>_xll.BDH("ITCI US Equity","CFO_TO_AVG_CURRENT_LIABILITIES","FQ4 2018","FQ4 2018","Currency=USD","Period=FQ","BEST_FPERIOD_OVERRIDE=FQ","FILING_STATUS=MR","Sort=A","Dates=H","DateFormat=P","Fill=—","Direction=H","UseDPDF=Y")</f>
        <v>-4.6791999999999998</v>
      </c>
      <c r="D9" s="14">
        <f>_xll.BDH("ITCI US Equity","CFO_TO_AVG_CURRENT_LIABILITIES","FQ1 2019","FQ1 2019","Currency=USD","Period=FQ","BEST_FPERIOD_OVERRIDE=FQ","FILING_STATUS=MR","Sort=A","Dates=H","DateFormat=P","Fill=—","Direction=H","UseDPDF=Y")</f>
        <v>-4.7717999999999998</v>
      </c>
      <c r="E9" s="14">
        <f>_xll.BDH("ITCI US Equity","CFO_TO_AVG_CURRENT_LIABILITIES","FQ2 2019","FQ2 2019","Currency=USD","Period=FQ","BEST_FPERIOD_OVERRIDE=FQ","FILING_STATUS=MR","Sort=A","Dates=H","DateFormat=P","Fill=—","Direction=H","UseDPDF=Y")</f>
        <v>-4.6833999999999998</v>
      </c>
      <c r="F9" s="14">
        <f>_xll.BDH("ITCI US Equity","CFO_TO_AVG_CURRENT_LIABILITIES","FQ3 2019","FQ3 2019","Currency=USD","Period=FQ","BEST_FPERIOD_OVERRIDE=FQ","FILING_STATUS=MR","Sort=A","Dates=H","DateFormat=P","Fill=—","Direction=H","UseDPDF=Y")</f>
        <v>-3.9066999999999998</v>
      </c>
      <c r="G9" s="14">
        <f>_xll.BDH("ITCI US Equity","CFO_TO_AVG_CURRENT_LIABILITIES","FQ4 2019","FQ4 2019","Currency=USD","Period=FQ","BEST_FPERIOD_OVERRIDE=FQ","FILING_STATUS=MR","Sort=A","Dates=H","DateFormat=P","Fill=—","Direction=H","UseDPDF=Y")</f>
        <v>-3.5293999999999999</v>
      </c>
      <c r="H9" s="14">
        <f>_xll.BDH("ITCI US Equity","CFO_TO_AVG_CURRENT_LIABILITIES","FQ1 2020","FQ1 2020","Currency=USD","Period=FQ","BEST_FPERIOD_OVERRIDE=FQ","FILING_STATUS=MR","Sort=A","Dates=H","DateFormat=P","Fill=—","Direction=H","UseDPDF=Y")</f>
        <v>-4.4469000000000003</v>
      </c>
      <c r="I9" s="14">
        <f>_xll.BDH("ITCI US Equity","CFO_TO_AVG_CURRENT_LIABILITIES","FQ2 2020","FQ2 2020","Currency=USD","Period=FQ","BEST_FPERIOD_OVERRIDE=FQ","FILING_STATUS=MR","Sort=A","Dates=H","DateFormat=P","Fill=—","Direction=H","UseDPDF=Y")</f>
        <v>-4.4881000000000002</v>
      </c>
      <c r="J9" s="14">
        <f>_xll.BDH("ITCI US Equity","CFO_TO_AVG_CURRENT_LIABILITIES","FQ3 2020","FQ3 2020","Currency=USD","Period=FQ","BEST_FPERIOD_OVERRIDE=FQ","FILING_STATUS=MR","Sort=A","Dates=H","DateFormat=P","Fill=—","Direction=H","UseDPDF=Y")</f>
        <v>-5.5148999999999999</v>
      </c>
      <c r="K9" s="14">
        <f>_xll.BDH("ITCI US Equity","CFO_TO_AVG_CURRENT_LIABILITIES","FQ4 2020","FQ4 2020","Currency=USD","Period=FQ","BEST_FPERIOD_OVERRIDE=FQ","FILING_STATUS=MR","Sort=A","Dates=H","DateFormat=P","Fill=—","Direction=H","UseDPDF=Y")</f>
        <v>-6.2967000000000004</v>
      </c>
      <c r="L9" s="14">
        <f>_xll.BDH("ITCI US Equity","CFO_TO_AVG_CURRENT_LIABILITIES","FQ1 2021","FQ1 2021","Currency=USD","Period=FQ","BEST_FPERIOD_OVERRIDE=FQ","FILING_STATUS=MR","Sort=A","Dates=H","DateFormat=P","Fill=—","Direction=H","UseDPDF=Y")</f>
        <v>-6.4035000000000002</v>
      </c>
      <c r="M9" s="14">
        <f>_xll.BDH("ITCI US Equity","CFO_TO_AVG_CURRENT_LIABILITIES","FQ2 2021","FQ2 2021","Currency=USD","Period=FQ","BEST_FPERIOD_OVERRIDE=FQ","FILING_STATUS=MR","Sort=A","Dates=H","DateFormat=P","Fill=—","Direction=H","UseDPDF=Y")</f>
        <v>-5.2702999999999998</v>
      </c>
      <c r="N9" s="14">
        <f>_xll.BDH("ITCI US Equity","CFO_TO_AVG_CURRENT_LIABILITIES","FQ3 2021","FQ3 2021","Currency=USD","Period=FQ","BEST_FPERIOD_OVERRIDE=FQ","FILING_STATUS=MR","Sort=A","Dates=H","DateFormat=P","Fill=—","Direction=H","UseDPDF=Y")</f>
        <v>-5.7914000000000003</v>
      </c>
      <c r="O9" s="14">
        <f>_xll.BDH("ITCI US Equity","CFO_TO_AVG_CURRENT_LIABILITIES","FQ4 2021","FQ4 2021","Currency=USD","Period=FQ","BEST_FPERIOD_OVERRIDE=FQ","FILING_STATUS=MR","Sort=A","Dates=H","DateFormat=P","Fill=—","Direction=H","UseDPDF=Y")</f>
        <v>-5.7542</v>
      </c>
      <c r="P9" s="14">
        <f>_xll.BDH("ITCI US Equity","CFO_TO_AVG_CURRENT_LIABILITIES","FQ1 2022","FQ1 2022","Currency=USD","Period=FQ","BEST_FPERIOD_OVERRIDE=FQ","FILING_STATUS=MR","Sort=A","Dates=H","DateFormat=P","Fill=—","Direction=H","UseDPDF=Y")</f>
        <v>-5.9654999999999996</v>
      </c>
      <c r="Q9" s="14">
        <f>_xll.BDH("ITCI US Equity","CFO_TO_AVG_CURRENT_LIABILITIES","FQ2 2022","FQ2 2022","Currency=USD","Period=FQ","BEST_FPERIOD_OVERRIDE=FQ","FILING_STATUS=MR","Sort=A","Dates=H","DateFormat=P","Fill=—","Direction=H","UseDPDF=Y")</f>
        <v>-5.4535999999999998</v>
      </c>
      <c r="R9" s="14">
        <f>_xll.BDH("ITCI US Equity","CFO_TO_AVG_CURRENT_LIABILITIES","FQ3 2022","FQ3 2022","Currency=USD","Period=FQ","BEST_FPERIOD_OVERRIDE=FQ","FILING_STATUS=MR","Sort=A","Dates=H","DateFormat=P","Fill=—","Direction=H","UseDPDF=Y")</f>
        <v>-4.7786999999999997</v>
      </c>
      <c r="S9" s="14">
        <f>_xll.BDH("ITCI US Equity","CFO_TO_AVG_CURRENT_LIABILITIES","FQ4 2022","FQ4 2022","Currency=USD","Period=FQ","BEST_FPERIOD_OVERRIDE=FQ","FILING_STATUS=MR","Sort=A","Dates=H","DateFormat=P","Fill=—","Direction=H","UseDPDF=Y")</f>
        <v>-3.9561000000000002</v>
      </c>
      <c r="T9" s="14">
        <f>_xll.BDH("ITCI US Equity","CFO_TO_AVG_CURRENT_LIABILITIES","FQ1 2023","FQ1 2023","Currency=USD","Period=FQ","BEST_FPERIOD_OVERRIDE=FQ","FILING_STATUS=MR","Sort=A","Dates=H","DateFormat=P","Fill=—","Direction=H","UseDPDF=Y")</f>
        <v>-3.5684999999999998</v>
      </c>
      <c r="U9" s="14">
        <f>_xll.BDH("ITCI US Equity","CFO_TO_AVG_CURRENT_LIABILITIES","FQ2 2023","FQ2 2023","Currency=USD","Period=FQ","BEST_FPERIOD_OVERRIDE=FQ","FILING_STATUS=MR","Sort=A","Dates=H","DateFormat=P","Fill=—","Direction=H","UseDPDF=Y")</f>
        <v>-2.3281999999999998</v>
      </c>
      <c r="V9" s="14">
        <f>_xll.BDH("ITCI US Equity","CFO_TO_AVG_CURRENT_LIABILITIES","FQ3 2023","FQ3 2023","Currency=USD","Period=FQ","BEST_FPERIOD_OVERRIDE=FQ","FILING_STATUS=MR","Sort=A","Dates=H","DateFormat=P","Fill=—","Direction=H","UseDPDF=Y")</f>
        <v>-1.7876000000000001</v>
      </c>
      <c r="W9" s="14">
        <f>_xll.BDH("ITCI US Equity","CFO_TO_AVG_CURRENT_LIABILITIES","FQ4 2023","FQ4 2023","Currency=USD","Period=FQ","BEST_FPERIOD_OVERRIDE=FQ","FILING_STATUS=MR","Sort=A","Dates=H","DateFormat=P","Fill=—","Direction=H","UseDPDF=Y")</f>
        <v>-1.2013</v>
      </c>
      <c r="X9" s="14">
        <f>_xll.BDH("ITCI US Equity","CFO_TO_AVG_CURRENT_LIABILITIES","FQ1 2024","FQ1 2024","Currency=USD","Period=FQ","BEST_FPERIOD_OVERRIDE=FQ","FILING_STATUS=MR","Sort=A","Dates=H","DateFormat=P","Fill=—","Direction=H","UseDPDF=Y")</f>
        <v>-0.91659999999999997</v>
      </c>
      <c r="Y9" s="14">
        <f>_xll.BDH("ITCI US Equity","CFO_TO_AVG_CURRENT_LIABILITIES","FQ2 2024","FQ2 2024","Currency=USD","Period=FQ","BEST_FPERIOD_OVERRIDE=FQ","FILING_STATUS=MR","Sort=A","Dates=H","DateFormat=P","Fill=—","Direction=H","UseDPDF=Y")</f>
        <v>-0.4798</v>
      </c>
      <c r="Z9" s="14">
        <f>_xll.BDH("ITCI US Equity","CFO_TO_AVG_CURRENT_LIABILITIES","FQ3 2024","FQ3 2024","Currency=USD","Period=FQ","BEST_FPERIOD_OVERRIDE=FQ","FILING_STATUS=MR","Sort=A","Dates=H","DateFormat=P","Fill=—","Direction=H","UseDPDF=Y")</f>
        <v>-0.46179999999999999</v>
      </c>
      <c r="AA9" s="14">
        <f>_xll.BDH("ITCI US Equity","CFO_TO_AVG_CURRENT_LIABILITIES","FQ4 2024","FQ4 2024","Currency=USD","Period=FQ","BEST_FPERIOD_OVERRIDE=FQ","FILING_STATUS=MR","Sort=A","Dates=H","DateFormat=P","Fill=—","Direction=H","UseDPDF=Y")</f>
        <v>-0.44450000000000001</v>
      </c>
    </row>
    <row r="10" spans="1:27" x14ac:dyDescent="0.25">
      <c r="A10" s="10" t="s">
        <v>1179</v>
      </c>
      <c r="B10" s="10" t="s">
        <v>1180</v>
      </c>
      <c r="C10" s="14">
        <f>_xll.BDH("ITCI US Equity","COM_EQY_TO_TOT_ASSET","FQ4 2018","FQ4 2018","Currency=USD","Period=FQ","BEST_FPERIOD_OVERRIDE=FQ","FILING_STATUS=MR","Sort=A","Dates=H","DateFormat=P","Fill=—","Direction=H","UseDPDF=Y")</f>
        <v>88.944299999999998</v>
      </c>
      <c r="D10" s="14">
        <f>_xll.BDH("ITCI US Equity","COM_EQY_TO_TOT_ASSET","FQ1 2019","FQ1 2019","Currency=USD","Period=FQ","BEST_FPERIOD_OVERRIDE=FQ","FILING_STATUS=MR","Sort=A","Dates=H","DateFormat=P","Fill=—","Direction=H","UseDPDF=Y")</f>
        <v>84.150800000000004</v>
      </c>
      <c r="E10" s="14">
        <f>_xll.BDH("ITCI US Equity","COM_EQY_TO_TOT_ASSET","FQ2 2019","FQ2 2019","Currency=USD","Period=FQ","BEST_FPERIOD_OVERRIDE=FQ","FILING_STATUS=MR","Sort=A","Dates=H","DateFormat=P","Fill=—","Direction=H","UseDPDF=Y")</f>
        <v>82.865200000000002</v>
      </c>
      <c r="F10" s="14">
        <f>_xll.BDH("ITCI US Equity","COM_EQY_TO_TOT_ASSET","FQ3 2019","FQ3 2019","Currency=USD","Period=FQ","BEST_FPERIOD_OVERRIDE=FQ","FILING_STATUS=MR","Sort=A","Dates=H","DateFormat=P","Fill=—","Direction=H","UseDPDF=Y")</f>
        <v>80.877600000000001</v>
      </c>
      <c r="G10" s="14">
        <f>_xll.BDH("ITCI US Equity","COM_EQY_TO_TOT_ASSET","FQ4 2019","FQ4 2019","Currency=USD","Period=FQ","BEST_FPERIOD_OVERRIDE=FQ","FILING_STATUS=MR","Sort=A","Dates=H","DateFormat=P","Fill=—","Direction=H","UseDPDF=Y")</f>
        <v>77.634500000000003</v>
      </c>
      <c r="H10" s="14">
        <f>_xll.BDH("ITCI US Equity","COM_EQY_TO_TOT_ASSET","FQ1 2020","FQ1 2020","Currency=USD","Period=FQ","BEST_FPERIOD_OVERRIDE=FQ","FILING_STATUS=MR","Sort=A","Dates=H","DateFormat=P","Fill=—","Direction=H","UseDPDF=Y")</f>
        <v>89.4452</v>
      </c>
      <c r="I10" s="14">
        <f>_xll.BDH("ITCI US Equity","COM_EQY_TO_TOT_ASSET","FQ2 2020","FQ2 2020","Currency=USD","Period=FQ","BEST_FPERIOD_OVERRIDE=FQ","FILING_STATUS=MR","Sort=A","Dates=H","DateFormat=P","Fill=—","Direction=H","UseDPDF=Y")</f>
        <v>86.074700000000007</v>
      </c>
      <c r="J10" s="14">
        <f>_xll.BDH("ITCI US Equity","COM_EQY_TO_TOT_ASSET","FQ3 2020","FQ3 2020","Currency=USD","Period=FQ","BEST_FPERIOD_OVERRIDE=FQ","FILING_STATUS=MR","Sort=A","Dates=H","DateFormat=P","Fill=—","Direction=H","UseDPDF=Y")</f>
        <v>91.974699999999999</v>
      </c>
      <c r="K10" s="14">
        <f>_xll.BDH("ITCI US Equity","COM_EQY_TO_TOT_ASSET","FQ4 2020","FQ4 2020","Currency=USD","Period=FQ","BEST_FPERIOD_OVERRIDE=FQ","FILING_STATUS=MR","Sort=A","Dates=H","DateFormat=P","Fill=—","Direction=H","UseDPDF=Y")</f>
        <v>91.572199999999995</v>
      </c>
      <c r="L10" s="14">
        <f>_xll.BDH("ITCI US Equity","COM_EQY_TO_TOT_ASSET","FQ1 2021","FQ1 2021","Currency=USD","Period=FQ","BEST_FPERIOD_OVERRIDE=FQ","FILING_STATUS=MR","Sort=A","Dates=H","DateFormat=P","Fill=—","Direction=H","UseDPDF=Y")</f>
        <v>90.757599999999996</v>
      </c>
      <c r="M10" s="14">
        <f>_xll.BDH("ITCI US Equity","COM_EQY_TO_TOT_ASSET","FQ2 2021","FQ2 2021","Currency=USD","Period=FQ","BEST_FPERIOD_OVERRIDE=FQ","FILING_STATUS=MR","Sort=A","Dates=H","DateFormat=P","Fill=—","Direction=H","UseDPDF=Y")</f>
        <v>88.475099999999998</v>
      </c>
      <c r="N10" s="14">
        <f>_xll.BDH("ITCI US Equity","COM_EQY_TO_TOT_ASSET","FQ3 2021","FQ3 2021","Currency=USD","Period=FQ","BEST_FPERIOD_OVERRIDE=FQ","FILING_STATUS=MR","Sort=A","Dates=H","DateFormat=P","Fill=—","Direction=H","UseDPDF=Y")</f>
        <v>87.392700000000005</v>
      </c>
      <c r="O10" s="14">
        <f>_xll.BDH("ITCI US Equity","COM_EQY_TO_TOT_ASSET","FQ4 2021","FQ4 2021","Currency=USD","Period=FQ","BEST_FPERIOD_OVERRIDE=FQ","FILING_STATUS=MR","Sort=A","Dates=H","DateFormat=P","Fill=—","Direction=H","UseDPDF=Y")</f>
        <v>85.297399999999996</v>
      </c>
      <c r="P10" s="14">
        <f>_xll.BDH("ITCI US Equity","COM_EQY_TO_TOT_ASSET","FQ1 2022","FQ1 2022","Currency=USD","Period=FQ","BEST_FPERIOD_OVERRIDE=FQ","FILING_STATUS=MR","Sort=A","Dates=H","DateFormat=P","Fill=—","Direction=H","UseDPDF=Y")</f>
        <v>91.2697</v>
      </c>
      <c r="Q10" s="14">
        <f>_xll.BDH("ITCI US Equity","COM_EQY_TO_TOT_ASSET","FQ2 2022","FQ2 2022","Currency=USD","Period=FQ","BEST_FPERIOD_OVERRIDE=FQ","FILING_STATUS=MR","Sort=A","Dates=H","DateFormat=P","Fill=—","Direction=H","UseDPDF=Y")</f>
        <v>88.950800000000001</v>
      </c>
      <c r="R10" s="14">
        <f>_xll.BDH("ITCI US Equity","COM_EQY_TO_TOT_ASSET","FQ3 2022","FQ3 2022","Currency=USD","Period=FQ","BEST_FPERIOD_OVERRIDE=FQ","FILING_STATUS=MR","Sort=A","Dates=H","DateFormat=P","Fill=—","Direction=H","UseDPDF=Y")</f>
        <v>87.65</v>
      </c>
      <c r="S10" s="14">
        <f>_xll.BDH("ITCI US Equity","COM_EQY_TO_TOT_ASSET","FQ4 2022","FQ4 2022","Currency=USD","Period=FQ","BEST_FPERIOD_OVERRIDE=FQ","FILING_STATUS=MR","Sort=A","Dates=H","DateFormat=P","Fill=—","Direction=H","UseDPDF=Y")</f>
        <v>86.921999999999997</v>
      </c>
      <c r="T10" s="14">
        <f>_xll.BDH("ITCI US Equity","COM_EQY_TO_TOT_ASSET","FQ1 2023","FQ1 2023","Currency=USD","Period=FQ","BEST_FPERIOD_OVERRIDE=FQ","FILING_STATUS=MR","Sort=A","Dates=H","DateFormat=P","Fill=—","Direction=H","UseDPDF=Y")</f>
        <v>86.907600000000002</v>
      </c>
      <c r="U10" s="14">
        <f>_xll.BDH("ITCI US Equity","COM_EQY_TO_TOT_ASSET","FQ2 2023","FQ2 2023","Currency=USD","Period=FQ","BEST_FPERIOD_OVERRIDE=FQ","FILING_STATUS=MR","Sort=A","Dates=H","DateFormat=P","Fill=—","Direction=H","UseDPDF=Y")</f>
        <v>85.073999999999998</v>
      </c>
      <c r="V10" s="14">
        <f>_xll.BDH("ITCI US Equity","COM_EQY_TO_TOT_ASSET","FQ3 2023","FQ3 2023","Currency=USD","Period=FQ","BEST_FPERIOD_OVERRIDE=FQ","FILING_STATUS=MR","Sort=A","Dates=H","DateFormat=P","Fill=—","Direction=H","UseDPDF=Y")</f>
        <v>83.6995</v>
      </c>
      <c r="W10" s="14">
        <f>_xll.BDH("ITCI US Equity","COM_EQY_TO_TOT_ASSET","FQ4 2023","FQ4 2023","Currency=USD","Period=FQ","BEST_FPERIOD_OVERRIDE=FQ","FILING_STATUS=MR","Sort=A","Dates=H","DateFormat=P","Fill=—","Direction=H","UseDPDF=Y")</f>
        <v>81.206699999999998</v>
      </c>
      <c r="X10" s="14">
        <f>_xll.BDH("ITCI US Equity","COM_EQY_TO_TOT_ASSET","FQ1 2024","FQ1 2024","Currency=USD","Period=FQ","BEST_FPERIOD_OVERRIDE=FQ","FILING_STATUS=MR","Sort=A","Dates=H","DateFormat=P","Fill=—","Direction=H","UseDPDF=Y")</f>
        <v>80.250200000000007</v>
      </c>
      <c r="Y10" s="14">
        <f>_xll.BDH("ITCI US Equity","COM_EQY_TO_TOT_ASSET","FQ2 2024","FQ2 2024","Currency=USD","Period=FQ","BEST_FPERIOD_OVERRIDE=FQ","FILING_STATUS=MR","Sort=A","Dates=H","DateFormat=P","Fill=—","Direction=H","UseDPDF=Y")</f>
        <v>86.679900000000004</v>
      </c>
      <c r="Z10" s="14">
        <f>_xll.BDH("ITCI US Equity","COM_EQY_TO_TOT_ASSET","FQ3 2024","FQ3 2024","Currency=USD","Period=FQ","BEST_FPERIOD_OVERRIDE=FQ","FILING_STATUS=MR","Sort=A","Dates=H","DateFormat=P","Fill=—","Direction=H","UseDPDF=Y")</f>
        <v>86.438199999999995</v>
      </c>
      <c r="AA10" s="14">
        <f>_xll.BDH("ITCI US Equity","COM_EQY_TO_TOT_ASSET","FQ4 2024","FQ4 2024","Currency=USD","Period=FQ","BEST_FPERIOD_OVERRIDE=FQ","FILING_STATUS=MR","Sort=A","Dates=H","DateFormat=P","Fill=—","Direction=H","UseDPDF=Y")</f>
        <v>84.018600000000006</v>
      </c>
    </row>
    <row r="11" spans="1:27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10" t="s">
        <v>1181</v>
      </c>
      <c r="B12" s="10" t="s">
        <v>1182</v>
      </c>
      <c r="C12" s="14">
        <f>_xll.BDH("ITCI US Equity","LT_DEBT_TO_TOT_EQY","FQ4 2018","FQ4 2018","Currency=USD","Period=FQ","BEST_FPERIOD_OVERRIDE=FQ","FILING_STATUS=MR","Sort=A","Dates=H","DateFormat=P","Fill=—","Direction=H","UseDPDF=Y")</f>
        <v>0</v>
      </c>
      <c r="D12" s="14">
        <f>_xll.BDH("ITCI US Equity","LT_DEBT_TO_TOT_EQY","FQ1 2019","FQ1 2019","Currency=USD","Period=FQ","BEST_FPERIOD_OVERRIDE=FQ","FILING_STATUS=MR","Sort=A","Dates=H","DateFormat=P","Fill=—","Direction=H","UseDPDF=Y")</f>
        <v>7.2272999999999996</v>
      </c>
      <c r="E12" s="14">
        <f>_xll.BDH("ITCI US Equity","LT_DEBT_TO_TOT_EQY","FQ2 2019","FQ2 2019","Currency=USD","Period=FQ","BEST_FPERIOD_OVERRIDE=FQ","FILING_STATUS=MR","Sort=A","Dates=H","DateFormat=P","Fill=—","Direction=H","UseDPDF=Y")</f>
        <v>8.0101999999999993</v>
      </c>
      <c r="F12" s="14">
        <f>_xll.BDH("ITCI US Equity","LT_DEBT_TO_TOT_EQY","FQ3 2019","FQ3 2019","Currency=USD","Period=FQ","BEST_FPERIOD_OVERRIDE=FQ","FILING_STATUS=MR","Sort=A","Dates=H","DateFormat=P","Fill=—","Direction=H","UseDPDF=Y")</f>
        <v>8.9341000000000008</v>
      </c>
      <c r="G12" s="14">
        <f>_xll.BDH("ITCI US Equity","LT_DEBT_TO_TOT_EQY","FQ4 2019","FQ4 2019","Currency=USD","Period=FQ","BEST_FPERIOD_OVERRIDE=FQ","FILING_STATUS=MR","Sort=A","Dates=H","DateFormat=P","Fill=—","Direction=H","UseDPDF=Y")</f>
        <v>10.233000000000001</v>
      </c>
      <c r="H12" s="14">
        <f>_xll.BDH("ITCI US Equity","LT_DEBT_TO_TOT_EQY","FQ1 2020","FQ1 2020","Currency=USD","Period=FQ","BEST_FPERIOD_OVERRIDE=FQ","FILING_STATUS=MR","Sort=A","Dates=H","DateFormat=P","Fill=—","Direction=H","UseDPDF=Y")</f>
        <v>4.5808</v>
      </c>
      <c r="I12" s="14">
        <f>_xll.BDH("ITCI US Equity","LT_DEBT_TO_TOT_EQY","FQ2 2020","FQ2 2020","Currency=USD","Period=FQ","BEST_FPERIOD_OVERRIDE=FQ","FILING_STATUS=MR","Sort=A","Dates=H","DateFormat=P","Fill=—","Direction=H","UseDPDF=Y")</f>
        <v>5.5749000000000004</v>
      </c>
      <c r="J12" s="14">
        <f>_xll.BDH("ITCI US Equity","LT_DEBT_TO_TOT_EQY","FQ3 2020","FQ3 2020","Currency=USD","Period=FQ","BEST_FPERIOD_OVERRIDE=FQ","FILING_STATUS=MR","Sort=A","Dates=H","DateFormat=P","Fill=—","Direction=H","UseDPDF=Y")</f>
        <v>3.3647999999999998</v>
      </c>
      <c r="K12" s="14">
        <f>_xll.BDH("ITCI US Equity","LT_DEBT_TO_TOT_EQY","FQ4 2020","FQ4 2020","Currency=USD","Period=FQ","BEST_FPERIOD_OVERRIDE=FQ","FILING_STATUS=MR","Sort=A","Dates=H","DateFormat=P","Fill=—","Direction=H","UseDPDF=Y")</f>
        <v>3.5929000000000002</v>
      </c>
      <c r="L12" s="14">
        <f>_xll.BDH("ITCI US Equity","LT_DEBT_TO_TOT_EQY","FQ1 2021","FQ1 2021","Currency=USD","Period=FQ","BEST_FPERIOD_OVERRIDE=FQ","FILING_STATUS=MR","Sort=A","Dates=H","DateFormat=P","Fill=—","Direction=H","UseDPDF=Y")</f>
        <v>3.698</v>
      </c>
      <c r="M12" s="14">
        <f>_xll.BDH("ITCI US Equity","LT_DEBT_TO_TOT_EQY","FQ2 2021","FQ2 2021","Currency=USD","Period=FQ","BEST_FPERIOD_OVERRIDE=FQ","FILING_STATUS=MR","Sort=A","Dates=H","DateFormat=P","Fill=—","Direction=H","UseDPDF=Y")</f>
        <v>3.9178999999999999</v>
      </c>
      <c r="N12" s="14">
        <f>_xll.BDH("ITCI US Equity","LT_DEBT_TO_TOT_EQY","FQ3 2021","FQ3 2021","Currency=USD","Period=FQ","BEST_FPERIOD_OVERRIDE=FQ","FILING_STATUS=MR","Sort=A","Dates=H","DateFormat=P","Fill=—","Direction=H","UseDPDF=Y")</f>
        <v>4.1753999999999998</v>
      </c>
      <c r="O12" s="14">
        <f>_xll.BDH("ITCI US Equity","LT_DEBT_TO_TOT_EQY","FQ4 2021","FQ4 2021","Currency=USD","Period=FQ","BEST_FPERIOD_OVERRIDE=FQ","FILING_STATUS=MR","Sort=A","Dates=H","DateFormat=P","Fill=—","Direction=H","UseDPDF=Y")</f>
        <v>4.4688999999999997</v>
      </c>
      <c r="P12" s="14">
        <f>_xll.BDH("ITCI US Equity","LT_DEBT_TO_TOT_EQY","FQ1 2022","FQ1 2022","Currency=USD","Period=FQ","BEST_FPERIOD_OVERRIDE=FQ","FILING_STATUS=MR","Sort=A","Dates=H","DateFormat=P","Fill=—","Direction=H","UseDPDF=Y")</f>
        <v>2.1137000000000001</v>
      </c>
      <c r="Q12" s="14">
        <f>_xll.BDH("ITCI US Equity","LT_DEBT_TO_TOT_EQY","FQ2 2022","FQ2 2022","Currency=USD","Period=FQ","BEST_FPERIOD_OVERRIDE=FQ","FILING_STATUS=MR","Sort=A","Dates=H","DateFormat=P","Fill=—","Direction=H","UseDPDF=Y")</f>
        <v>2.6412</v>
      </c>
      <c r="R12" s="14">
        <f>_xll.BDH("ITCI US Equity","LT_DEBT_TO_TOT_EQY","FQ3 2022","FQ3 2022","Currency=USD","Period=FQ","BEST_FPERIOD_OVERRIDE=FQ","FILING_STATUS=MR","Sort=A","Dates=H","DateFormat=P","Fill=—","Direction=H","UseDPDF=Y")</f>
        <v>2.7964000000000002</v>
      </c>
      <c r="S12" s="14">
        <f>_xll.BDH("ITCI US Equity","LT_DEBT_TO_TOT_EQY","FQ4 2022","FQ4 2022","Currency=USD","Period=FQ","BEST_FPERIOD_OVERRIDE=FQ","FILING_STATUS=MR","Sort=A","Dates=H","DateFormat=P","Fill=—","Direction=H","UseDPDF=Y")</f>
        <v>2.3586</v>
      </c>
      <c r="T12" s="14">
        <f>_xll.BDH("ITCI US Equity","LT_DEBT_TO_TOT_EQY","FQ1 2023","FQ1 2023","Currency=USD","Period=FQ","BEST_FPERIOD_OVERRIDE=FQ","FILING_STATUS=MR","Sort=A","Dates=H","DateFormat=P","Fill=—","Direction=H","UseDPDF=Y")</f>
        <v>2.3837999999999999</v>
      </c>
      <c r="U12" s="14">
        <f>_xll.BDH("ITCI US Equity","LT_DEBT_TO_TOT_EQY","FQ2 2023","FQ2 2023","Currency=USD","Period=FQ","BEST_FPERIOD_OVERRIDE=FQ","FILING_STATUS=MR","Sort=A","Dates=H","DateFormat=P","Fill=—","Direction=H","UseDPDF=Y")</f>
        <v>2.3772000000000002</v>
      </c>
      <c r="V12" s="14">
        <f>_xll.BDH("ITCI US Equity","LT_DEBT_TO_TOT_EQY","FQ3 2023","FQ3 2023","Currency=USD","Period=FQ","BEST_FPERIOD_OVERRIDE=FQ","FILING_STATUS=MR","Sort=A","Dates=H","DateFormat=P","Fill=—","Direction=H","UseDPDF=Y")</f>
        <v>2.3125</v>
      </c>
      <c r="W12" s="14">
        <f>_xll.BDH("ITCI US Equity","LT_DEBT_TO_TOT_EQY","FQ4 2023","FQ4 2023","Currency=USD","Period=FQ","BEST_FPERIOD_OVERRIDE=FQ","FILING_STATUS=MR","Sort=A","Dates=H","DateFormat=P","Fill=—","Direction=H","UseDPDF=Y")</f>
        <v>2.2532000000000001</v>
      </c>
      <c r="X12" s="14">
        <f>_xll.BDH("ITCI US Equity","LT_DEBT_TO_TOT_EQY","FQ1 2024","FQ1 2024","Currency=USD","Period=FQ","BEST_FPERIOD_OVERRIDE=FQ","FILING_STATUS=MR","Sort=A","Dates=H","DateFormat=P","Fill=—","Direction=H","UseDPDF=Y")</f>
        <v>2.1246</v>
      </c>
      <c r="Y12" s="14">
        <f>_xll.BDH("ITCI US Equity","LT_DEBT_TO_TOT_EQY","FQ2 2024","FQ2 2024","Currency=USD","Period=FQ","BEST_FPERIOD_OVERRIDE=FQ","FILING_STATUS=MR","Sort=A","Dates=H","DateFormat=P","Fill=—","Direction=H","UseDPDF=Y")</f>
        <v>1.2333000000000001</v>
      </c>
      <c r="Z12" s="14">
        <f>_xll.BDH("ITCI US Equity","LT_DEBT_TO_TOT_EQY","FQ3 2024","FQ3 2024","Currency=USD","Period=FQ","BEST_FPERIOD_OVERRIDE=FQ","FILING_STATUS=MR","Sort=A","Dates=H","DateFormat=P","Fill=—","Direction=H","UseDPDF=Y")</f>
        <v>1.1797</v>
      </c>
      <c r="AA12" s="14">
        <f>_xll.BDH("ITCI US Equity","LT_DEBT_TO_TOT_EQY","FQ4 2024","FQ4 2024","Currency=USD","Period=FQ","BEST_FPERIOD_OVERRIDE=FQ","FILING_STATUS=MR","Sort=A","Dates=H","DateFormat=P","Fill=—","Direction=H","UseDPDF=Y")</f>
        <v>1.1100000000000001</v>
      </c>
    </row>
    <row r="13" spans="1:27" x14ac:dyDescent="0.25">
      <c r="A13" s="10" t="s">
        <v>1183</v>
      </c>
      <c r="B13" s="10" t="s">
        <v>1184</v>
      </c>
      <c r="C13" s="14">
        <f>_xll.BDH("ITCI US Equity","LT_DEBT_TO_TOT_CAP","FQ4 2018","FQ4 2018","Currency=USD","Period=FQ","BEST_FPERIOD_OVERRIDE=FQ","FILING_STATUS=MR","Sort=A","Dates=H","DateFormat=P","Fill=—","Direction=H","UseDPDF=Y")</f>
        <v>0</v>
      </c>
      <c r="D13" s="14">
        <f>_xll.BDH("ITCI US Equity","LT_DEBT_TO_TOT_CAP","FQ1 2019","FQ1 2019","Currency=USD","Period=FQ","BEST_FPERIOD_OVERRIDE=FQ","FILING_STATUS=MR","Sort=A","Dates=H","DateFormat=P","Fill=—","Direction=H","UseDPDF=Y")</f>
        <v>6.6782000000000004</v>
      </c>
      <c r="E13" s="14">
        <f>_xll.BDH("ITCI US Equity","LT_DEBT_TO_TOT_CAP","FQ2 2019","FQ2 2019","Currency=USD","Period=FQ","BEST_FPERIOD_OVERRIDE=FQ","FILING_STATUS=MR","Sort=A","Dates=H","DateFormat=P","Fill=—","Direction=H","UseDPDF=Y")</f>
        <v>7.3562000000000003</v>
      </c>
      <c r="F13" s="14">
        <f>_xll.BDH("ITCI US Equity","LT_DEBT_TO_TOT_CAP","FQ3 2019","FQ3 2019","Currency=USD","Period=FQ","BEST_FPERIOD_OVERRIDE=FQ","FILING_STATUS=MR","Sort=A","Dates=H","DateFormat=P","Fill=—","Direction=H","UseDPDF=Y")</f>
        <v>8.1262000000000008</v>
      </c>
      <c r="G13" s="14">
        <f>_xll.BDH("ITCI US Equity","LT_DEBT_TO_TOT_CAP","FQ4 2019","FQ4 2019","Currency=USD","Period=FQ","BEST_FPERIOD_OVERRIDE=FQ","FILING_STATUS=MR","Sort=A","Dates=H","DateFormat=P","Fill=—","Direction=H","UseDPDF=Y")</f>
        <v>9.1475000000000009</v>
      </c>
      <c r="H13" s="14">
        <f>_xll.BDH("ITCI US Equity","LT_DEBT_TO_TOT_CAP","FQ1 2020","FQ1 2020","Currency=USD","Period=FQ","BEST_FPERIOD_OVERRIDE=FQ","FILING_STATUS=MR","Sort=A","Dates=H","DateFormat=P","Fill=—","Direction=H","UseDPDF=Y")</f>
        <v>4.3491</v>
      </c>
      <c r="I13" s="14">
        <f>_xll.BDH("ITCI US Equity","LT_DEBT_TO_TOT_CAP","FQ2 2020","FQ2 2020","Currency=USD","Period=FQ","BEST_FPERIOD_OVERRIDE=FQ","FILING_STATUS=MR","Sort=A","Dates=H","DateFormat=P","Fill=—","Direction=H","UseDPDF=Y")</f>
        <v>5.2286000000000001</v>
      </c>
      <c r="J13" s="14">
        <f>_xll.BDH("ITCI US Equity","LT_DEBT_TO_TOT_CAP","FQ3 2020","FQ3 2020","Currency=USD","Period=FQ","BEST_FPERIOD_OVERRIDE=FQ","FILING_STATUS=MR","Sort=A","Dates=H","DateFormat=P","Fill=—","Direction=H","UseDPDF=Y")</f>
        <v>3.2320000000000002</v>
      </c>
      <c r="K13" s="14">
        <f>_xll.BDH("ITCI US Equity","LT_DEBT_TO_TOT_CAP","FQ4 2020","FQ4 2020","Currency=USD","Period=FQ","BEST_FPERIOD_OVERRIDE=FQ","FILING_STATUS=MR","Sort=A","Dates=H","DateFormat=P","Fill=—","Direction=H","UseDPDF=Y")</f>
        <v>3.4403000000000001</v>
      </c>
      <c r="L13" s="14">
        <f>_xll.BDH("ITCI US Equity","LT_DEBT_TO_TOT_CAP","FQ1 2021","FQ1 2021","Currency=USD","Period=FQ","BEST_FPERIOD_OVERRIDE=FQ","FILING_STATUS=MR","Sort=A","Dates=H","DateFormat=P","Fill=—","Direction=H","UseDPDF=Y")</f>
        <v>3.5350999999999999</v>
      </c>
      <c r="M13" s="14">
        <f>_xll.BDH("ITCI US Equity","LT_DEBT_TO_TOT_CAP","FQ2 2021","FQ2 2021","Currency=USD","Period=FQ","BEST_FPERIOD_OVERRIDE=FQ","FILING_STATUS=MR","Sort=A","Dates=H","DateFormat=P","Fill=—","Direction=H","UseDPDF=Y")</f>
        <v>3.7339000000000002</v>
      </c>
      <c r="N13" s="14">
        <f>_xll.BDH("ITCI US Equity","LT_DEBT_TO_TOT_CAP","FQ3 2021","FQ3 2021","Currency=USD","Period=FQ","BEST_FPERIOD_OVERRIDE=FQ","FILING_STATUS=MR","Sort=A","Dates=H","DateFormat=P","Fill=—","Direction=H","UseDPDF=Y")</f>
        <v>3.9605000000000001</v>
      </c>
      <c r="O13" s="14">
        <f>_xll.BDH("ITCI US Equity","LT_DEBT_TO_TOT_CAP","FQ4 2021","FQ4 2021","Currency=USD","Period=FQ","BEST_FPERIOD_OVERRIDE=FQ","FILING_STATUS=MR","Sort=A","Dates=H","DateFormat=P","Fill=—","Direction=H","UseDPDF=Y")</f>
        <v>4.2126999999999999</v>
      </c>
      <c r="P13" s="14">
        <f>_xll.BDH("ITCI US Equity","LT_DEBT_TO_TOT_CAP","FQ1 2022","FQ1 2022","Currency=USD","Period=FQ","BEST_FPERIOD_OVERRIDE=FQ","FILING_STATUS=MR","Sort=A","Dates=H","DateFormat=P","Fill=—","Direction=H","UseDPDF=Y")</f>
        <v>2.0506000000000002</v>
      </c>
      <c r="Q13" s="14">
        <f>_xll.BDH("ITCI US Equity","LT_DEBT_TO_TOT_CAP","FQ2 2022","FQ2 2022","Currency=USD","Period=FQ","BEST_FPERIOD_OVERRIDE=FQ","FILING_STATUS=MR","Sort=A","Dates=H","DateFormat=P","Fill=—","Direction=H","UseDPDF=Y")</f>
        <v>2.5467</v>
      </c>
      <c r="R13" s="14">
        <f>_xll.BDH("ITCI US Equity","LT_DEBT_TO_TOT_CAP","FQ3 2022","FQ3 2022","Currency=USD","Period=FQ","BEST_FPERIOD_OVERRIDE=FQ","FILING_STATUS=MR","Sort=A","Dates=H","DateFormat=P","Fill=—","Direction=H","UseDPDF=Y")</f>
        <v>2.6926000000000001</v>
      </c>
      <c r="S13" s="14">
        <f>_xll.BDH("ITCI US Equity","LT_DEBT_TO_TOT_CAP","FQ4 2022","FQ4 2022","Currency=USD","Period=FQ","BEST_FPERIOD_OVERRIDE=FQ","FILING_STATUS=MR","Sort=A","Dates=H","DateFormat=P","Fill=—","Direction=H","UseDPDF=Y")</f>
        <v>2.2887</v>
      </c>
      <c r="T13" s="14">
        <f>_xll.BDH("ITCI US Equity","LT_DEBT_TO_TOT_CAP","FQ1 2023","FQ1 2023","Currency=USD","Period=FQ","BEST_FPERIOD_OVERRIDE=FQ","FILING_STATUS=MR","Sort=A","Dates=H","DateFormat=P","Fill=—","Direction=H","UseDPDF=Y")</f>
        <v>2.3155999999999999</v>
      </c>
      <c r="U13" s="14">
        <f>_xll.BDH("ITCI US Equity","LT_DEBT_TO_TOT_CAP","FQ2 2023","FQ2 2023","Currency=USD","Period=FQ","BEST_FPERIOD_OVERRIDE=FQ","FILING_STATUS=MR","Sort=A","Dates=H","DateFormat=P","Fill=—","Direction=H","UseDPDF=Y")</f>
        <v>2.3088000000000002</v>
      </c>
      <c r="V13" s="14">
        <f>_xll.BDH("ITCI US Equity","LT_DEBT_TO_TOT_CAP","FQ3 2023","FQ3 2023","Currency=USD","Period=FQ","BEST_FPERIOD_OVERRIDE=FQ","FILING_STATUS=MR","Sort=A","Dates=H","DateFormat=P","Fill=—","Direction=H","UseDPDF=Y")</f>
        <v>2.2471999999999999</v>
      </c>
      <c r="W13" s="14">
        <f>_xll.BDH("ITCI US Equity","LT_DEBT_TO_TOT_CAP","FQ4 2023","FQ4 2023","Currency=USD","Period=FQ","BEST_FPERIOD_OVERRIDE=FQ","FILING_STATUS=MR","Sort=A","Dates=H","DateFormat=P","Fill=—","Direction=H","UseDPDF=Y")</f>
        <v>2.1905000000000001</v>
      </c>
      <c r="X13" s="14">
        <f>_xll.BDH("ITCI US Equity","LT_DEBT_TO_TOT_CAP","FQ1 2024","FQ1 2024","Currency=USD","Period=FQ","BEST_FPERIOD_OVERRIDE=FQ","FILING_STATUS=MR","Sort=A","Dates=H","DateFormat=P","Fill=—","Direction=H","UseDPDF=Y")</f>
        <v>2.0680999999999998</v>
      </c>
      <c r="Y13" s="14">
        <f>_xll.BDH("ITCI US Equity","LT_DEBT_TO_TOT_CAP","FQ2 2024","FQ2 2024","Currency=USD","Period=FQ","BEST_FPERIOD_OVERRIDE=FQ","FILING_STATUS=MR","Sort=A","Dates=H","DateFormat=P","Fill=—","Direction=H","UseDPDF=Y")</f>
        <v>1.2139</v>
      </c>
      <c r="Z13" s="14">
        <f>_xll.BDH("ITCI US Equity","LT_DEBT_TO_TOT_CAP","FQ3 2024","FQ3 2024","Currency=USD","Period=FQ","BEST_FPERIOD_OVERRIDE=FQ","FILING_STATUS=MR","Sort=A","Dates=H","DateFormat=P","Fill=—","Direction=H","UseDPDF=Y")</f>
        <v>1.1617999999999999</v>
      </c>
      <c r="AA13" s="14">
        <f>_xll.BDH("ITCI US Equity","LT_DEBT_TO_TOT_CAP","FQ4 2024","FQ4 2024","Currency=USD","Period=FQ","BEST_FPERIOD_OVERRIDE=FQ","FILING_STATUS=MR","Sort=A","Dates=H","DateFormat=P","Fill=—","Direction=H","UseDPDF=Y")</f>
        <v>1.0938000000000001</v>
      </c>
    </row>
    <row r="14" spans="1:27" x14ac:dyDescent="0.25">
      <c r="A14" s="10" t="s">
        <v>1185</v>
      </c>
      <c r="B14" s="10" t="s">
        <v>1186</v>
      </c>
      <c r="C14" s="14">
        <f>_xll.BDH("ITCI US Equity","LT_DEBT_TO_TOT_ASSET","FQ4 2018","FQ4 2018","Currency=USD","Period=FQ","BEST_FPERIOD_OVERRIDE=FQ","FILING_STATUS=MR","Sort=A","Dates=H","DateFormat=P","Fill=—","Direction=H","UseDPDF=Y")</f>
        <v>0</v>
      </c>
      <c r="D14" s="14">
        <f>_xll.BDH("ITCI US Equity","LT_DEBT_TO_TOT_ASSET","FQ1 2019","FQ1 2019","Currency=USD","Period=FQ","BEST_FPERIOD_OVERRIDE=FQ","FILING_STATUS=MR","Sort=A","Dates=H","DateFormat=P","Fill=—","Direction=H","UseDPDF=Y")</f>
        <v>6.0818000000000003</v>
      </c>
      <c r="E14" s="14">
        <f>_xll.BDH("ITCI US Equity","LT_DEBT_TO_TOT_ASSET","FQ2 2019","FQ2 2019","Currency=USD","Period=FQ","BEST_FPERIOD_OVERRIDE=FQ","FILING_STATUS=MR","Sort=A","Dates=H","DateFormat=P","Fill=—","Direction=H","UseDPDF=Y")</f>
        <v>6.6376999999999997</v>
      </c>
      <c r="F14" s="14">
        <f>_xll.BDH("ITCI US Equity","LT_DEBT_TO_TOT_ASSET","FQ3 2019","FQ3 2019","Currency=USD","Period=FQ","BEST_FPERIOD_OVERRIDE=FQ","FILING_STATUS=MR","Sort=A","Dates=H","DateFormat=P","Fill=—","Direction=H","UseDPDF=Y")</f>
        <v>7.2256999999999998</v>
      </c>
      <c r="G14" s="14">
        <f>_xll.BDH("ITCI US Equity","LT_DEBT_TO_TOT_ASSET","FQ4 2019","FQ4 2019","Currency=USD","Period=FQ","BEST_FPERIOD_OVERRIDE=FQ","FILING_STATUS=MR","Sort=A","Dates=H","DateFormat=P","Fill=—","Direction=H","UseDPDF=Y")</f>
        <v>7.9443999999999999</v>
      </c>
      <c r="H14" s="14">
        <f>_xll.BDH("ITCI US Equity","LT_DEBT_TO_TOT_ASSET","FQ1 2020","FQ1 2020","Currency=USD","Period=FQ","BEST_FPERIOD_OVERRIDE=FQ","FILING_STATUS=MR","Sort=A","Dates=H","DateFormat=P","Fill=—","Direction=H","UseDPDF=Y")</f>
        <v>4.0972999999999997</v>
      </c>
      <c r="I14" s="14">
        <f>_xll.BDH("ITCI US Equity","LT_DEBT_TO_TOT_ASSET","FQ2 2020","FQ2 2020","Currency=USD","Period=FQ","BEST_FPERIOD_OVERRIDE=FQ","FILING_STATUS=MR","Sort=A","Dates=H","DateFormat=P","Fill=—","Direction=H","UseDPDF=Y")</f>
        <v>4.7984999999999998</v>
      </c>
      <c r="J14" s="14">
        <f>_xll.BDH("ITCI US Equity","LT_DEBT_TO_TOT_ASSET","FQ3 2020","FQ3 2020","Currency=USD","Period=FQ","BEST_FPERIOD_OVERRIDE=FQ","FILING_STATUS=MR","Sort=A","Dates=H","DateFormat=P","Fill=—","Direction=H","UseDPDF=Y")</f>
        <v>3.0947</v>
      </c>
      <c r="K14" s="14">
        <f>_xll.BDH("ITCI US Equity","LT_DEBT_TO_TOT_ASSET","FQ4 2020","FQ4 2020","Currency=USD","Period=FQ","BEST_FPERIOD_OVERRIDE=FQ","FILING_STATUS=MR","Sort=A","Dates=H","DateFormat=P","Fill=—","Direction=H","UseDPDF=Y")</f>
        <v>3.2900999999999998</v>
      </c>
      <c r="L14" s="14">
        <f>_xll.BDH("ITCI US Equity","LT_DEBT_TO_TOT_ASSET","FQ1 2021","FQ1 2021","Currency=USD","Period=FQ","BEST_FPERIOD_OVERRIDE=FQ","FILING_STATUS=MR","Sort=A","Dates=H","DateFormat=P","Fill=—","Direction=H","UseDPDF=Y")</f>
        <v>3.3561999999999999</v>
      </c>
      <c r="M14" s="14">
        <f>_xll.BDH("ITCI US Equity","LT_DEBT_TO_TOT_ASSET","FQ2 2021","FQ2 2021","Currency=USD","Period=FQ","BEST_FPERIOD_OVERRIDE=FQ","FILING_STATUS=MR","Sort=A","Dates=H","DateFormat=P","Fill=—","Direction=H","UseDPDF=Y")</f>
        <v>3.4664000000000001</v>
      </c>
      <c r="N14" s="14">
        <f>_xll.BDH("ITCI US Equity","LT_DEBT_TO_TOT_ASSET","FQ3 2021","FQ3 2021","Currency=USD","Period=FQ","BEST_FPERIOD_OVERRIDE=FQ","FILING_STATUS=MR","Sort=A","Dates=H","DateFormat=P","Fill=—","Direction=H","UseDPDF=Y")</f>
        <v>3.649</v>
      </c>
      <c r="O14" s="14">
        <f>_xll.BDH("ITCI US Equity","LT_DEBT_TO_TOT_ASSET","FQ4 2021","FQ4 2021","Currency=USD","Period=FQ","BEST_FPERIOD_OVERRIDE=FQ","FILING_STATUS=MR","Sort=A","Dates=H","DateFormat=P","Fill=—","Direction=H","UseDPDF=Y")</f>
        <v>3.8117999999999999</v>
      </c>
      <c r="P14" s="14">
        <f>_xll.BDH("ITCI US Equity","LT_DEBT_TO_TOT_ASSET","FQ1 2022","FQ1 2022","Currency=USD","Period=FQ","BEST_FPERIOD_OVERRIDE=FQ","FILING_STATUS=MR","Sort=A","Dates=H","DateFormat=P","Fill=—","Direction=H","UseDPDF=Y")</f>
        <v>1.9291</v>
      </c>
      <c r="Q14" s="14">
        <f>_xll.BDH("ITCI US Equity","LT_DEBT_TO_TOT_ASSET","FQ2 2022","FQ2 2022","Currency=USD","Period=FQ","BEST_FPERIOD_OVERRIDE=FQ","FILING_STATUS=MR","Sort=A","Dates=H","DateFormat=P","Fill=—","Direction=H","UseDPDF=Y")</f>
        <v>2.3494000000000002</v>
      </c>
      <c r="R14" s="14">
        <f>_xll.BDH("ITCI US Equity","LT_DEBT_TO_TOT_ASSET","FQ3 2022","FQ3 2022","Currency=USD","Period=FQ","BEST_FPERIOD_OVERRIDE=FQ","FILING_STATUS=MR","Sort=A","Dates=H","DateFormat=P","Fill=—","Direction=H","UseDPDF=Y")</f>
        <v>2.4510000000000001</v>
      </c>
      <c r="S14" s="14">
        <f>_xll.BDH("ITCI US Equity","LT_DEBT_TO_TOT_ASSET","FQ4 2022","FQ4 2022","Currency=USD","Period=FQ","BEST_FPERIOD_OVERRIDE=FQ","FILING_STATUS=MR","Sort=A","Dates=H","DateFormat=P","Fill=—","Direction=H","UseDPDF=Y")</f>
        <v>2.0501</v>
      </c>
      <c r="T14" s="14">
        <f>_xll.BDH("ITCI US Equity","LT_DEBT_TO_TOT_ASSET","FQ1 2023","FQ1 2023","Currency=USD","Period=FQ","BEST_FPERIOD_OVERRIDE=FQ","FILING_STATUS=MR","Sort=A","Dates=H","DateFormat=P","Fill=—","Direction=H","UseDPDF=Y")</f>
        <v>2.0716999999999999</v>
      </c>
      <c r="U14" s="14">
        <f>_xll.BDH("ITCI US Equity","LT_DEBT_TO_TOT_ASSET","FQ2 2023","FQ2 2023","Currency=USD","Period=FQ","BEST_FPERIOD_OVERRIDE=FQ","FILING_STATUS=MR","Sort=A","Dates=H","DateFormat=P","Fill=—","Direction=H","UseDPDF=Y")</f>
        <v>2.0224000000000002</v>
      </c>
      <c r="V14" s="14">
        <f>_xll.BDH("ITCI US Equity","LT_DEBT_TO_TOT_ASSET","FQ3 2023","FQ3 2023","Currency=USD","Period=FQ","BEST_FPERIOD_OVERRIDE=FQ","FILING_STATUS=MR","Sort=A","Dates=H","DateFormat=P","Fill=—","Direction=H","UseDPDF=Y")</f>
        <v>1.9356</v>
      </c>
      <c r="W14" s="14">
        <f>_xll.BDH("ITCI US Equity","LT_DEBT_TO_TOT_ASSET","FQ4 2023","FQ4 2023","Currency=USD","Period=FQ","BEST_FPERIOD_OVERRIDE=FQ","FILING_STATUS=MR","Sort=A","Dates=H","DateFormat=P","Fill=—","Direction=H","UseDPDF=Y")</f>
        <v>1.8298000000000001</v>
      </c>
      <c r="X14" s="14">
        <f>_xll.BDH("ITCI US Equity","LT_DEBT_TO_TOT_ASSET","FQ1 2024","FQ1 2024","Currency=USD","Period=FQ","BEST_FPERIOD_OVERRIDE=FQ","FILING_STATUS=MR","Sort=A","Dates=H","DateFormat=P","Fill=—","Direction=H","UseDPDF=Y")</f>
        <v>1.7050000000000001</v>
      </c>
      <c r="Y14" s="14">
        <f>_xll.BDH("ITCI US Equity","LT_DEBT_TO_TOT_ASSET","FQ2 2024","FQ2 2024","Currency=USD","Period=FQ","BEST_FPERIOD_OVERRIDE=FQ","FILING_STATUS=MR","Sort=A","Dates=H","DateFormat=P","Fill=—","Direction=H","UseDPDF=Y")</f>
        <v>1.0690999999999999</v>
      </c>
      <c r="Z14" s="14">
        <f>_xll.BDH("ITCI US Equity","LT_DEBT_TO_TOT_ASSET","FQ3 2024","FQ3 2024","Currency=USD","Period=FQ","BEST_FPERIOD_OVERRIDE=FQ","FILING_STATUS=MR","Sort=A","Dates=H","DateFormat=P","Fill=—","Direction=H","UseDPDF=Y")</f>
        <v>1.0197000000000001</v>
      </c>
      <c r="AA14" s="14">
        <f>_xll.BDH("ITCI US Equity","LT_DEBT_TO_TOT_ASSET","FQ4 2024","FQ4 2024","Currency=USD","Period=FQ","BEST_FPERIOD_OVERRIDE=FQ","FILING_STATUS=MR","Sort=A","Dates=H","DateFormat=P","Fill=—","Direction=H","UseDPDF=Y")</f>
        <v>0.93259999999999998</v>
      </c>
    </row>
    <row r="15" spans="1:27" x14ac:dyDescent="0.25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5">
      <c r="A16" s="10" t="s">
        <v>1187</v>
      </c>
      <c r="B16" s="10" t="s">
        <v>1188</v>
      </c>
      <c r="C16" s="14">
        <f>_xll.BDH("ITCI US Equity","TOT_DEBT_TO_TOT_EQY","FQ4 2018","FQ4 2018","Currency=USD","Period=FQ","BEST_FPERIOD_OVERRIDE=FQ","FILING_STATUS=MR","Sort=A","Dates=H","DateFormat=P","Fill=—","Direction=H","UseDPDF=Y")</f>
        <v>0</v>
      </c>
      <c r="D16" s="14">
        <f>_xll.BDH("ITCI US Equity","TOT_DEBT_TO_TOT_EQY","FQ1 2019","FQ1 2019","Currency=USD","Period=FQ","BEST_FPERIOD_OVERRIDE=FQ","FILING_STATUS=MR","Sort=A","Dates=H","DateFormat=P","Fill=—","Direction=H","UseDPDF=Y")</f>
        <v>8.2227999999999994</v>
      </c>
      <c r="E16" s="14">
        <f>_xll.BDH("ITCI US Equity","TOT_DEBT_TO_TOT_EQY","FQ2 2019","FQ2 2019","Currency=USD","Period=FQ","BEST_FPERIOD_OVERRIDE=FQ","FILING_STATUS=MR","Sort=A","Dates=H","DateFormat=P","Fill=—","Direction=H","UseDPDF=Y")</f>
        <v>8.8916000000000004</v>
      </c>
      <c r="F16" s="14">
        <f>_xll.BDH("ITCI US Equity","TOT_DEBT_TO_TOT_EQY","FQ3 2019","FQ3 2019","Currency=USD","Period=FQ","BEST_FPERIOD_OVERRIDE=FQ","FILING_STATUS=MR","Sort=A","Dates=H","DateFormat=P","Fill=—","Direction=H","UseDPDF=Y")</f>
        <v>9.9420000000000002</v>
      </c>
      <c r="G16" s="14">
        <f>_xll.BDH("ITCI US Equity","TOT_DEBT_TO_TOT_EQY","FQ4 2019","FQ4 2019","Currency=USD","Period=FQ","BEST_FPERIOD_OVERRIDE=FQ","FILING_STATUS=MR","Sort=A","Dates=H","DateFormat=P","Fill=—","Direction=H","UseDPDF=Y")</f>
        <v>11.867599999999999</v>
      </c>
      <c r="H16" s="14">
        <f>_xll.BDH("ITCI US Equity","TOT_DEBT_TO_TOT_EQY","FQ1 2020","FQ1 2020","Currency=USD","Period=FQ","BEST_FPERIOD_OVERRIDE=FQ","FILING_STATUS=MR","Sort=A","Dates=H","DateFormat=P","Fill=—","Direction=H","UseDPDF=Y")</f>
        <v>5.3268000000000004</v>
      </c>
      <c r="I16" s="14">
        <f>_xll.BDH("ITCI US Equity","TOT_DEBT_TO_TOT_EQY","FQ2 2020","FQ2 2020","Currency=USD","Period=FQ","BEST_FPERIOD_OVERRIDE=FQ","FILING_STATUS=MR","Sort=A","Dates=H","DateFormat=P","Fill=—","Direction=H","UseDPDF=Y")</f>
        <v>6.6219000000000001</v>
      </c>
      <c r="J16" s="14">
        <f>_xll.BDH("ITCI US Equity","TOT_DEBT_TO_TOT_EQY","FQ3 2020","FQ3 2020","Currency=USD","Period=FQ","BEST_FPERIOD_OVERRIDE=FQ","FILING_STATUS=MR","Sort=A","Dates=H","DateFormat=P","Fill=—","Direction=H","UseDPDF=Y")</f>
        <v>4.1073000000000004</v>
      </c>
      <c r="K16" s="14">
        <f>_xll.BDH("ITCI US Equity","TOT_DEBT_TO_TOT_EQY","FQ4 2020","FQ4 2020","Currency=USD","Period=FQ","BEST_FPERIOD_OVERRIDE=FQ","FILING_STATUS=MR","Sort=A","Dates=H","DateFormat=P","Fill=—","Direction=H","UseDPDF=Y")</f>
        <v>4.4366000000000003</v>
      </c>
      <c r="L16" s="14">
        <f>_xll.BDH("ITCI US Equity","TOT_DEBT_TO_TOT_EQY","FQ1 2021","FQ1 2021","Currency=USD","Period=FQ","BEST_FPERIOD_OVERRIDE=FQ","FILING_STATUS=MR","Sort=A","Dates=H","DateFormat=P","Fill=—","Direction=H","UseDPDF=Y")</f>
        <v>4.6083999999999996</v>
      </c>
      <c r="M16" s="14">
        <f>_xll.BDH("ITCI US Equity","TOT_DEBT_TO_TOT_EQY","FQ2 2021","FQ2 2021","Currency=USD","Period=FQ","BEST_FPERIOD_OVERRIDE=FQ","FILING_STATUS=MR","Sort=A","Dates=H","DateFormat=P","Fill=—","Direction=H","UseDPDF=Y")</f>
        <v>4.9286000000000003</v>
      </c>
      <c r="N16" s="14">
        <f>_xll.BDH("ITCI US Equity","TOT_DEBT_TO_TOT_EQY","FQ3 2021","FQ3 2021","Currency=USD","Period=FQ","BEST_FPERIOD_OVERRIDE=FQ","FILING_STATUS=MR","Sort=A","Dates=H","DateFormat=P","Fill=—","Direction=H","UseDPDF=Y")</f>
        <v>5.4249000000000001</v>
      </c>
      <c r="O16" s="14">
        <f>_xll.BDH("ITCI US Equity","TOT_DEBT_TO_TOT_EQY","FQ4 2021","FQ4 2021","Currency=USD","Period=FQ","BEST_FPERIOD_OVERRIDE=FQ","FILING_STATUS=MR","Sort=A","Dates=H","DateFormat=P","Fill=—","Direction=H","UseDPDF=Y")</f>
        <v>6.0797999999999996</v>
      </c>
      <c r="P16" s="14">
        <f>_xll.BDH("ITCI US Equity","TOT_DEBT_TO_TOT_EQY","FQ1 2022","FQ1 2022","Currency=USD","Period=FQ","BEST_FPERIOD_OVERRIDE=FQ","FILING_STATUS=MR","Sort=A","Dates=H","DateFormat=P","Fill=—","Direction=H","UseDPDF=Y")</f>
        <v>3.0769000000000002</v>
      </c>
      <c r="Q16" s="14">
        <f>_xll.BDH("ITCI US Equity","TOT_DEBT_TO_TOT_EQY","FQ2 2022","FQ2 2022","Currency=USD","Period=FQ","BEST_FPERIOD_OVERRIDE=FQ","FILING_STATUS=MR","Sort=A","Dates=H","DateFormat=P","Fill=—","Direction=H","UseDPDF=Y")</f>
        <v>3.7134</v>
      </c>
      <c r="R16" s="14">
        <f>_xll.BDH("ITCI US Equity","TOT_DEBT_TO_TOT_EQY","FQ3 2022","FQ3 2022","Currency=USD","Period=FQ","BEST_FPERIOD_OVERRIDE=FQ","FILING_STATUS=MR","Sort=A","Dates=H","DateFormat=P","Fill=—","Direction=H","UseDPDF=Y")</f>
        <v>3.8534000000000002</v>
      </c>
      <c r="S16" s="14">
        <f>_xll.BDH("ITCI US Equity","TOT_DEBT_TO_TOT_EQY","FQ4 2022","FQ4 2022","Currency=USD","Period=FQ","BEST_FPERIOD_OVERRIDE=FQ","FILING_STATUS=MR","Sort=A","Dates=H","DateFormat=P","Fill=—","Direction=H","UseDPDF=Y")</f>
        <v>3.0547</v>
      </c>
      <c r="T16" s="14">
        <f>_xll.BDH("ITCI US Equity","TOT_DEBT_TO_TOT_EQY","FQ1 2023","FQ1 2023","Currency=USD","Period=FQ","BEST_FPERIOD_OVERRIDE=FQ","FILING_STATUS=MR","Sort=A","Dates=H","DateFormat=P","Fill=—","Direction=H","UseDPDF=Y")</f>
        <v>2.9464000000000001</v>
      </c>
      <c r="U16" s="14">
        <f>_xll.BDH("ITCI US Equity","TOT_DEBT_TO_TOT_EQY","FQ2 2023","FQ2 2023","Currency=USD","Period=FQ","BEST_FPERIOD_OVERRIDE=FQ","FILING_STATUS=MR","Sort=A","Dates=H","DateFormat=P","Fill=—","Direction=H","UseDPDF=Y")</f>
        <v>2.9632999999999998</v>
      </c>
      <c r="V16" s="14">
        <f>_xll.BDH("ITCI US Equity","TOT_DEBT_TO_TOT_EQY","FQ3 2023","FQ3 2023","Currency=USD","Period=FQ","BEST_FPERIOD_OVERRIDE=FQ","FILING_STATUS=MR","Sort=A","Dates=H","DateFormat=P","Fill=—","Direction=H","UseDPDF=Y")</f>
        <v>2.9091999999999998</v>
      </c>
      <c r="W16" s="14">
        <f>_xll.BDH("ITCI US Equity","TOT_DEBT_TO_TOT_EQY","FQ4 2023","FQ4 2023","Currency=USD","Period=FQ","BEST_FPERIOD_OVERRIDE=FQ","FILING_STATUS=MR","Sort=A","Dates=H","DateFormat=P","Fill=—","Direction=H","UseDPDF=Y")</f>
        <v>2.8639000000000001</v>
      </c>
      <c r="X16" s="14">
        <f>_xll.BDH("ITCI US Equity","TOT_DEBT_TO_TOT_EQY","FQ1 2024","FQ1 2024","Currency=USD","Period=FQ","BEST_FPERIOD_OVERRIDE=FQ","FILING_STATUS=MR","Sort=A","Dates=H","DateFormat=P","Fill=—","Direction=H","UseDPDF=Y")</f>
        <v>2.7315999999999998</v>
      </c>
      <c r="Y16" s="14">
        <f>_xll.BDH("ITCI US Equity","TOT_DEBT_TO_TOT_EQY","FQ2 2024","FQ2 2024","Currency=USD","Period=FQ","BEST_FPERIOD_OVERRIDE=FQ","FILING_STATUS=MR","Sort=A","Dates=H","DateFormat=P","Fill=—","Direction=H","UseDPDF=Y")</f>
        <v>1.5976999999999999</v>
      </c>
      <c r="Z16" s="14">
        <f>_xll.BDH("ITCI US Equity","TOT_DEBT_TO_TOT_EQY","FQ3 2024","FQ3 2024","Currency=USD","Period=FQ","BEST_FPERIOD_OVERRIDE=FQ","FILING_STATUS=MR","Sort=A","Dates=H","DateFormat=P","Fill=—","Direction=H","UseDPDF=Y")</f>
        <v>1.5468999999999999</v>
      </c>
      <c r="AA16" s="14">
        <f>_xll.BDH("ITCI US Equity","TOT_DEBT_TO_TOT_EQY","FQ4 2024","FQ4 2024","Currency=USD","Period=FQ","BEST_FPERIOD_OVERRIDE=FQ","FILING_STATUS=MR","Sort=A","Dates=H","DateFormat=P","Fill=—","Direction=H","UseDPDF=Y")</f>
        <v>1.4785999999999999</v>
      </c>
    </row>
    <row r="17" spans="1:27" x14ac:dyDescent="0.25">
      <c r="A17" s="10" t="s">
        <v>1189</v>
      </c>
      <c r="B17" s="10" t="s">
        <v>174</v>
      </c>
      <c r="C17" s="14">
        <f>_xll.BDH("ITCI US Equity","TOT_DEBT_TO_TOT_CAP","FQ4 2018","FQ4 2018","Currency=USD","Period=FQ","BEST_FPERIOD_OVERRIDE=FQ","FILING_STATUS=MR","Sort=A","Dates=H","DateFormat=P","Fill=—","Direction=H","UseDPDF=Y")</f>
        <v>0</v>
      </c>
      <c r="D17" s="14">
        <f>_xll.BDH("ITCI US Equity","TOT_DEBT_TO_TOT_CAP","FQ1 2019","FQ1 2019","Currency=USD","Period=FQ","BEST_FPERIOD_OVERRIDE=FQ","FILING_STATUS=MR","Sort=A","Dates=H","DateFormat=P","Fill=—","Direction=H","UseDPDF=Y")</f>
        <v>7.5979999999999999</v>
      </c>
      <c r="E17" s="14">
        <f>_xll.BDH("ITCI US Equity","TOT_DEBT_TO_TOT_CAP","FQ2 2019","FQ2 2019","Currency=USD","Period=FQ","BEST_FPERIOD_OVERRIDE=FQ","FILING_STATUS=MR","Sort=A","Dates=H","DateFormat=P","Fill=—","Direction=H","UseDPDF=Y")</f>
        <v>8.1654999999999998</v>
      </c>
      <c r="F17" s="14">
        <f>_xll.BDH("ITCI US Equity","TOT_DEBT_TO_TOT_CAP","FQ3 2019","FQ3 2019","Currency=USD","Period=FQ","BEST_FPERIOD_OVERRIDE=FQ","FILING_STATUS=MR","Sort=A","Dates=H","DateFormat=P","Fill=—","Direction=H","UseDPDF=Y")</f>
        <v>9.0429999999999993</v>
      </c>
      <c r="G17" s="14">
        <f>_xll.BDH("ITCI US Equity","TOT_DEBT_TO_TOT_CAP","FQ4 2019","FQ4 2019","Currency=USD","Period=FQ","BEST_FPERIOD_OVERRIDE=FQ","FILING_STATUS=MR","Sort=A","Dates=H","DateFormat=P","Fill=—","Direction=H","UseDPDF=Y")</f>
        <v>10.608599999999999</v>
      </c>
      <c r="H17" s="14">
        <f>_xll.BDH("ITCI US Equity","TOT_DEBT_TO_TOT_CAP","FQ1 2020","FQ1 2020","Currency=USD","Period=FQ","BEST_FPERIOD_OVERRIDE=FQ","FILING_STATUS=MR","Sort=A","Dates=H","DateFormat=P","Fill=—","Direction=H","UseDPDF=Y")</f>
        <v>5.0574000000000003</v>
      </c>
      <c r="I17" s="14">
        <f>_xll.BDH("ITCI US Equity","TOT_DEBT_TO_TOT_CAP","FQ2 2020","FQ2 2020","Currency=USD","Period=FQ","BEST_FPERIOD_OVERRIDE=FQ","FILING_STATUS=MR","Sort=A","Dates=H","DateFormat=P","Fill=—","Direction=H","UseDPDF=Y")</f>
        <v>6.2107000000000001</v>
      </c>
      <c r="J17" s="14">
        <f>_xll.BDH("ITCI US Equity","TOT_DEBT_TO_TOT_CAP","FQ3 2020","FQ3 2020","Currency=USD","Period=FQ","BEST_FPERIOD_OVERRIDE=FQ","FILING_STATUS=MR","Sort=A","Dates=H","DateFormat=P","Fill=—","Direction=H","UseDPDF=Y")</f>
        <v>3.9451999999999998</v>
      </c>
      <c r="K17" s="14">
        <f>_xll.BDH("ITCI US Equity","TOT_DEBT_TO_TOT_CAP","FQ4 2020","FQ4 2020","Currency=USD","Period=FQ","BEST_FPERIOD_OVERRIDE=FQ","FILING_STATUS=MR","Sort=A","Dates=H","DateFormat=P","Fill=—","Direction=H","UseDPDF=Y")</f>
        <v>4.2481</v>
      </c>
      <c r="L17" s="14">
        <f>_xll.BDH("ITCI US Equity","TOT_DEBT_TO_TOT_CAP","FQ1 2021","FQ1 2021","Currency=USD","Period=FQ","BEST_FPERIOD_OVERRIDE=FQ","FILING_STATUS=MR","Sort=A","Dates=H","DateFormat=P","Fill=—","Direction=H","UseDPDF=Y")</f>
        <v>4.4054000000000002</v>
      </c>
      <c r="M17" s="14">
        <f>_xll.BDH("ITCI US Equity","TOT_DEBT_TO_TOT_CAP","FQ2 2021","FQ2 2021","Currency=USD","Period=FQ","BEST_FPERIOD_OVERRIDE=FQ","FILING_STATUS=MR","Sort=A","Dates=H","DateFormat=P","Fill=—","Direction=H","UseDPDF=Y")</f>
        <v>4.6970999999999998</v>
      </c>
      <c r="N17" s="14">
        <f>_xll.BDH("ITCI US Equity","TOT_DEBT_TO_TOT_CAP","FQ3 2021","FQ3 2021","Currency=USD","Period=FQ","BEST_FPERIOD_OVERRIDE=FQ","FILING_STATUS=MR","Sort=A","Dates=H","DateFormat=P","Fill=—","Direction=H","UseDPDF=Y")</f>
        <v>5.1456999999999997</v>
      </c>
      <c r="O17" s="14">
        <f>_xll.BDH("ITCI US Equity","TOT_DEBT_TO_TOT_CAP","FQ4 2021","FQ4 2021","Currency=USD","Period=FQ","BEST_FPERIOD_OVERRIDE=FQ","FILING_STATUS=MR","Sort=A","Dates=H","DateFormat=P","Fill=—","Direction=H","UseDPDF=Y")</f>
        <v>5.7313000000000001</v>
      </c>
      <c r="P17" s="14">
        <f>_xll.BDH("ITCI US Equity","TOT_DEBT_TO_TOT_CAP","FQ1 2022","FQ1 2022","Currency=USD","Period=FQ","BEST_FPERIOD_OVERRIDE=FQ","FILING_STATUS=MR","Sort=A","Dates=H","DateFormat=P","Fill=—","Direction=H","UseDPDF=Y")</f>
        <v>2.9849999999999999</v>
      </c>
      <c r="Q17" s="14">
        <f>_xll.BDH("ITCI US Equity","TOT_DEBT_TO_TOT_CAP","FQ2 2022","FQ2 2022","Currency=USD","Period=FQ","BEST_FPERIOD_OVERRIDE=FQ","FILING_STATUS=MR","Sort=A","Dates=H","DateFormat=P","Fill=—","Direction=H","UseDPDF=Y")</f>
        <v>3.5804</v>
      </c>
      <c r="R17" s="14">
        <f>_xll.BDH("ITCI US Equity","TOT_DEBT_TO_TOT_CAP","FQ3 2022","FQ3 2022","Currency=USD","Period=FQ","BEST_FPERIOD_OVERRIDE=FQ","FILING_STATUS=MR","Sort=A","Dates=H","DateFormat=P","Fill=—","Direction=H","UseDPDF=Y")</f>
        <v>3.7103999999999999</v>
      </c>
      <c r="S17" s="14">
        <f>_xll.BDH("ITCI US Equity","TOT_DEBT_TO_TOT_CAP","FQ4 2022","FQ4 2022","Currency=USD","Period=FQ","BEST_FPERIOD_OVERRIDE=FQ","FILING_STATUS=MR","Sort=A","Dates=H","DateFormat=P","Fill=—","Direction=H","UseDPDF=Y")</f>
        <v>2.9641999999999999</v>
      </c>
      <c r="T17" s="14">
        <f>_xll.BDH("ITCI US Equity","TOT_DEBT_TO_TOT_CAP","FQ1 2023","FQ1 2023","Currency=USD","Period=FQ","BEST_FPERIOD_OVERRIDE=FQ","FILING_STATUS=MR","Sort=A","Dates=H","DateFormat=P","Fill=—","Direction=H","UseDPDF=Y")</f>
        <v>2.8620999999999999</v>
      </c>
      <c r="U17" s="14">
        <f>_xll.BDH("ITCI US Equity","TOT_DEBT_TO_TOT_CAP","FQ2 2023","FQ2 2023","Currency=USD","Period=FQ","BEST_FPERIOD_OVERRIDE=FQ","FILING_STATUS=MR","Sort=A","Dates=H","DateFormat=P","Fill=—","Direction=H","UseDPDF=Y")</f>
        <v>2.8780000000000001</v>
      </c>
      <c r="V17" s="14">
        <f>_xll.BDH("ITCI US Equity","TOT_DEBT_TO_TOT_CAP","FQ3 2023","FQ3 2023","Currency=USD","Period=FQ","BEST_FPERIOD_OVERRIDE=FQ","FILING_STATUS=MR","Sort=A","Dates=H","DateFormat=P","Fill=—","Direction=H","UseDPDF=Y")</f>
        <v>2.827</v>
      </c>
      <c r="W17" s="14">
        <f>_xll.BDH("ITCI US Equity","TOT_DEBT_TO_TOT_CAP","FQ4 2023","FQ4 2023","Currency=USD","Period=FQ","BEST_FPERIOD_OVERRIDE=FQ","FILING_STATUS=MR","Sort=A","Dates=H","DateFormat=P","Fill=—","Direction=H","UseDPDF=Y")</f>
        <v>2.7841999999999998</v>
      </c>
      <c r="X17" s="14">
        <f>_xll.BDH("ITCI US Equity","TOT_DEBT_TO_TOT_CAP","FQ1 2024","FQ1 2024","Currency=USD","Period=FQ","BEST_FPERIOD_OVERRIDE=FQ","FILING_STATUS=MR","Sort=A","Dates=H","DateFormat=P","Fill=—","Direction=H","UseDPDF=Y")</f>
        <v>2.6589999999999998</v>
      </c>
      <c r="Y17" s="14">
        <f>_xll.BDH("ITCI US Equity","TOT_DEBT_TO_TOT_CAP","FQ2 2024","FQ2 2024","Currency=USD","Period=FQ","BEST_FPERIOD_OVERRIDE=FQ","FILING_STATUS=MR","Sort=A","Dates=H","DateFormat=P","Fill=—","Direction=H","UseDPDF=Y")</f>
        <v>1.5726</v>
      </c>
      <c r="Z17" s="14">
        <f>_xll.BDH("ITCI US Equity","TOT_DEBT_TO_TOT_CAP","FQ3 2024","FQ3 2024","Currency=USD","Period=FQ","BEST_FPERIOD_OVERRIDE=FQ","FILING_STATUS=MR","Sort=A","Dates=H","DateFormat=P","Fill=—","Direction=H","UseDPDF=Y")</f>
        <v>1.5233000000000001</v>
      </c>
      <c r="AA17" s="14">
        <f>_xll.BDH("ITCI US Equity","TOT_DEBT_TO_TOT_CAP","FQ4 2024","FQ4 2024","Currency=USD","Period=FQ","BEST_FPERIOD_OVERRIDE=FQ","FILING_STATUS=MR","Sort=A","Dates=H","DateFormat=P","Fill=—","Direction=H","UseDPDF=Y")</f>
        <v>1.4570000000000001</v>
      </c>
    </row>
    <row r="18" spans="1:27" x14ac:dyDescent="0.25">
      <c r="A18" s="10" t="s">
        <v>1190</v>
      </c>
      <c r="B18" s="10" t="s">
        <v>1191</v>
      </c>
      <c r="C18" s="14">
        <f>_xll.BDH("ITCI US Equity","TOT_DEBT_TO_TOT_ASSET","FQ4 2018","FQ4 2018","Currency=USD","Period=FQ","BEST_FPERIOD_OVERRIDE=FQ","FILING_STATUS=MR","Sort=A","Dates=H","DateFormat=P","Fill=—","Direction=H","UseDPDF=Y")</f>
        <v>0</v>
      </c>
      <c r="D18" s="14">
        <f>_xll.BDH("ITCI US Equity","TOT_DEBT_TO_TOT_ASSET","FQ1 2019","FQ1 2019","Currency=USD","Period=FQ","BEST_FPERIOD_OVERRIDE=FQ","FILING_STATUS=MR","Sort=A","Dates=H","DateFormat=P","Fill=—","Direction=H","UseDPDF=Y")</f>
        <v>6.9195000000000002</v>
      </c>
      <c r="E18" s="14">
        <f>_xll.BDH("ITCI US Equity","TOT_DEBT_TO_TOT_ASSET","FQ2 2019","FQ2 2019","Currency=USD","Period=FQ","BEST_FPERIOD_OVERRIDE=FQ","FILING_STATUS=MR","Sort=A","Dates=H","DateFormat=P","Fill=—","Direction=H","UseDPDF=Y")</f>
        <v>7.3680000000000003</v>
      </c>
      <c r="F18" s="14">
        <f>_xll.BDH("ITCI US Equity","TOT_DEBT_TO_TOT_ASSET","FQ3 2019","FQ3 2019","Currency=USD","Period=FQ","BEST_FPERIOD_OVERRIDE=FQ","FILING_STATUS=MR","Sort=A","Dates=H","DateFormat=P","Fill=—","Direction=H","UseDPDF=Y")</f>
        <v>8.0409000000000006</v>
      </c>
      <c r="G18" s="14">
        <f>_xll.BDH("ITCI US Equity","TOT_DEBT_TO_TOT_ASSET","FQ4 2019","FQ4 2019","Currency=USD","Period=FQ","BEST_FPERIOD_OVERRIDE=FQ","FILING_STATUS=MR","Sort=A","Dates=H","DateFormat=P","Fill=—","Direction=H","UseDPDF=Y")</f>
        <v>9.2133000000000003</v>
      </c>
      <c r="H18" s="14">
        <f>_xll.BDH("ITCI US Equity","TOT_DEBT_TO_TOT_ASSET","FQ1 2020","FQ1 2020","Currency=USD","Period=FQ","BEST_FPERIOD_OVERRIDE=FQ","FILING_STATUS=MR","Sort=A","Dates=H","DateFormat=P","Fill=—","Direction=H","UseDPDF=Y")</f>
        <v>4.7645999999999997</v>
      </c>
      <c r="I18" s="14">
        <f>_xll.BDH("ITCI US Equity","TOT_DEBT_TO_TOT_ASSET","FQ2 2020","FQ2 2020","Currency=USD","Period=FQ","BEST_FPERIOD_OVERRIDE=FQ","FILING_STATUS=MR","Sort=A","Dates=H","DateFormat=P","Fill=—","Direction=H","UseDPDF=Y")</f>
        <v>5.6997999999999998</v>
      </c>
      <c r="J18" s="14">
        <f>_xll.BDH("ITCI US Equity","TOT_DEBT_TO_TOT_ASSET","FQ3 2020","FQ3 2020","Currency=USD","Period=FQ","BEST_FPERIOD_OVERRIDE=FQ","FILING_STATUS=MR","Sort=A","Dates=H","DateFormat=P","Fill=—","Direction=H","UseDPDF=Y")</f>
        <v>3.7776999999999998</v>
      </c>
      <c r="K18" s="14">
        <f>_xll.BDH("ITCI US Equity","TOT_DEBT_TO_TOT_ASSET","FQ4 2020","FQ4 2020","Currency=USD","Period=FQ","BEST_FPERIOD_OVERRIDE=FQ","FILING_STATUS=MR","Sort=A","Dates=H","DateFormat=P","Fill=—","Direction=H","UseDPDF=Y")</f>
        <v>4.0627000000000004</v>
      </c>
      <c r="L18" s="14">
        <f>_xll.BDH("ITCI US Equity","TOT_DEBT_TO_TOT_ASSET","FQ1 2021","FQ1 2021","Currency=USD","Period=FQ","BEST_FPERIOD_OVERRIDE=FQ","FILING_STATUS=MR","Sort=A","Dates=H","DateFormat=P","Fill=—","Direction=H","UseDPDF=Y")</f>
        <v>4.1825000000000001</v>
      </c>
      <c r="M18" s="14">
        <f>_xll.BDH("ITCI US Equity","TOT_DEBT_TO_TOT_ASSET","FQ2 2021","FQ2 2021","Currency=USD","Period=FQ","BEST_FPERIOD_OVERRIDE=FQ","FILING_STATUS=MR","Sort=A","Dates=H","DateFormat=P","Fill=—","Direction=H","UseDPDF=Y")</f>
        <v>4.3605999999999998</v>
      </c>
      <c r="N18" s="14">
        <f>_xll.BDH("ITCI US Equity","TOT_DEBT_TO_TOT_ASSET","FQ3 2021","FQ3 2021","Currency=USD","Period=FQ","BEST_FPERIOD_OVERRIDE=FQ","FILING_STATUS=MR","Sort=A","Dates=H","DateFormat=P","Fill=—","Direction=H","UseDPDF=Y")</f>
        <v>4.7409999999999997</v>
      </c>
      <c r="O18" s="14">
        <f>_xll.BDH("ITCI US Equity","TOT_DEBT_TO_TOT_ASSET","FQ4 2021","FQ4 2021","Currency=USD","Period=FQ","BEST_FPERIOD_OVERRIDE=FQ","FILING_STATUS=MR","Sort=A","Dates=H","DateFormat=P","Fill=—","Direction=H","UseDPDF=Y")</f>
        <v>5.1859000000000002</v>
      </c>
      <c r="P18" s="14">
        <f>_xll.BDH("ITCI US Equity","TOT_DEBT_TO_TOT_ASSET","FQ1 2022","FQ1 2022","Currency=USD","Period=FQ","BEST_FPERIOD_OVERRIDE=FQ","FILING_STATUS=MR","Sort=A","Dates=H","DateFormat=P","Fill=—","Direction=H","UseDPDF=Y")</f>
        <v>2.8083</v>
      </c>
      <c r="Q18" s="14">
        <f>_xll.BDH("ITCI US Equity","TOT_DEBT_TO_TOT_ASSET","FQ2 2022","FQ2 2022","Currency=USD","Period=FQ","BEST_FPERIOD_OVERRIDE=FQ","FILING_STATUS=MR","Sort=A","Dates=H","DateFormat=P","Fill=—","Direction=H","UseDPDF=Y")</f>
        <v>3.3031000000000001</v>
      </c>
      <c r="R18" s="14">
        <f>_xll.BDH("ITCI US Equity","TOT_DEBT_TO_TOT_ASSET","FQ3 2022","FQ3 2022","Currency=USD","Period=FQ","BEST_FPERIOD_OVERRIDE=FQ","FILING_STATUS=MR","Sort=A","Dates=H","DateFormat=P","Fill=—","Direction=H","UseDPDF=Y")</f>
        <v>3.3774999999999999</v>
      </c>
      <c r="S18" s="14">
        <f>_xll.BDH("ITCI US Equity","TOT_DEBT_TO_TOT_ASSET","FQ4 2022","FQ4 2022","Currency=USD","Period=FQ","BEST_FPERIOD_OVERRIDE=FQ","FILING_STATUS=MR","Sort=A","Dates=H","DateFormat=P","Fill=—","Direction=H","UseDPDF=Y")</f>
        <v>2.6551999999999998</v>
      </c>
      <c r="T18" s="14">
        <f>_xll.BDH("ITCI US Equity","TOT_DEBT_TO_TOT_ASSET","FQ1 2023","FQ1 2023","Currency=USD","Period=FQ","BEST_FPERIOD_OVERRIDE=FQ","FILING_STATUS=MR","Sort=A","Dates=H","DateFormat=P","Fill=—","Direction=H","UseDPDF=Y")</f>
        <v>2.5607000000000002</v>
      </c>
      <c r="U18" s="14">
        <f>_xll.BDH("ITCI US Equity","TOT_DEBT_TO_TOT_ASSET","FQ2 2023","FQ2 2023","Currency=USD","Period=FQ","BEST_FPERIOD_OVERRIDE=FQ","FILING_STATUS=MR","Sort=A","Dates=H","DateFormat=P","Fill=—","Direction=H","UseDPDF=Y")</f>
        <v>2.5209999999999999</v>
      </c>
      <c r="V18" s="14">
        <f>_xll.BDH("ITCI US Equity","TOT_DEBT_TO_TOT_ASSET","FQ3 2023","FQ3 2023","Currency=USD","Period=FQ","BEST_FPERIOD_OVERRIDE=FQ","FILING_STATUS=MR","Sort=A","Dates=H","DateFormat=P","Fill=—","Direction=H","UseDPDF=Y")</f>
        <v>2.4350000000000001</v>
      </c>
      <c r="W18" s="14">
        <f>_xll.BDH("ITCI US Equity","TOT_DEBT_TO_TOT_ASSET","FQ4 2023","FQ4 2023","Currency=USD","Period=FQ","BEST_FPERIOD_OVERRIDE=FQ","FILING_STATUS=MR","Sort=A","Dates=H","DateFormat=P","Fill=—","Direction=H","UseDPDF=Y")</f>
        <v>2.3256999999999999</v>
      </c>
      <c r="X18" s="14">
        <f>_xll.BDH("ITCI US Equity","TOT_DEBT_TO_TOT_ASSET","FQ1 2024","FQ1 2024","Currency=USD","Period=FQ","BEST_FPERIOD_OVERRIDE=FQ","FILING_STATUS=MR","Sort=A","Dates=H","DateFormat=P","Fill=—","Direction=H","UseDPDF=Y")</f>
        <v>2.1920999999999999</v>
      </c>
      <c r="Y18" s="14">
        <f>_xll.BDH("ITCI US Equity","TOT_DEBT_TO_TOT_ASSET","FQ2 2024","FQ2 2024","Currency=USD","Period=FQ","BEST_FPERIOD_OVERRIDE=FQ","FILING_STATUS=MR","Sort=A","Dates=H","DateFormat=P","Fill=—","Direction=H","UseDPDF=Y")</f>
        <v>1.3849</v>
      </c>
      <c r="Z18" s="14">
        <f>_xll.BDH("ITCI US Equity","TOT_DEBT_TO_TOT_ASSET","FQ3 2024","FQ3 2024","Currency=USD","Period=FQ","BEST_FPERIOD_OVERRIDE=FQ","FILING_STATUS=MR","Sort=A","Dates=H","DateFormat=P","Fill=—","Direction=H","UseDPDF=Y")</f>
        <v>1.3371</v>
      </c>
      <c r="AA18" s="14">
        <f>_xll.BDH("ITCI US Equity","TOT_DEBT_TO_TOT_ASSET","FQ4 2024","FQ4 2024","Currency=USD","Period=FQ","BEST_FPERIOD_OVERRIDE=FQ","FILING_STATUS=MR","Sort=A","Dates=H","DateFormat=P","Fill=—","Direction=H","UseDPDF=Y")</f>
        <v>1.2423</v>
      </c>
    </row>
    <row r="19" spans="1:27" x14ac:dyDescent="0.25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5">
      <c r="A20" s="10" t="s">
        <v>1219</v>
      </c>
      <c r="B20" s="10" t="s">
        <v>1220</v>
      </c>
      <c r="C20" s="14">
        <f>_xll.BDH("ITCI US Equity","CASH_FLOW_TO_TOT_LIAB","FQ4 2018","FQ4 2018","Currency=USD","Period=FQ","BEST_FPERIOD_OVERRIDE=FQ","FILING_STATUS=MR","Sort=A","Dates=H","DateFormat=P","Fill=—","Direction=H","UseDPDF=Y")</f>
        <v>-299.22579999999999</v>
      </c>
      <c r="D20" s="14">
        <f>_xll.BDH("ITCI US Equity","CASH_FLOW_TO_TOT_LIAB","FQ1 2019","FQ1 2019","Currency=USD","Period=FQ","BEST_FPERIOD_OVERRIDE=FQ","FILING_STATUS=MR","Sort=A","Dates=H","DateFormat=P","Fill=—","Direction=H","UseDPDF=Y")</f>
        <v>-233.29320000000001</v>
      </c>
      <c r="E20" s="14">
        <f>_xll.BDH("ITCI US Equity","CASH_FLOW_TO_TOT_LIAB","FQ2 2019","FQ2 2019","Currency=USD","Period=FQ","BEST_FPERIOD_OVERRIDE=FQ","FILING_STATUS=MR","Sort=A","Dates=H","DateFormat=P","Fill=—","Direction=H","UseDPDF=Y")</f>
        <v>-226.97200000000001</v>
      </c>
      <c r="F20" s="14">
        <f>_xll.BDH("ITCI US Equity","CASH_FLOW_TO_TOT_LIAB","FQ3 2019","FQ3 2019","Currency=USD","Period=FQ","BEST_FPERIOD_OVERRIDE=FQ","FILING_STATUS=MR","Sort=A","Dates=H","DateFormat=P","Fill=—","Direction=H","UseDPDF=Y")</f>
        <v>-227.59620000000001</v>
      </c>
      <c r="G20" s="14">
        <f>_xll.BDH("ITCI US Equity","CASH_FLOW_TO_TOT_LIAB","FQ4 2019","FQ4 2019","Currency=USD","Period=FQ","BEST_FPERIOD_OVERRIDE=FQ","FILING_STATUS=MR","Sort=A","Dates=H","DateFormat=P","Fill=—","Direction=H","UseDPDF=Y")</f>
        <v>-227.8125</v>
      </c>
      <c r="H20" s="14">
        <f>_xll.BDH("ITCI US Equity","CASH_FLOW_TO_TOT_LIAB","FQ1 2020","FQ1 2020","Currency=USD","Period=FQ","BEST_FPERIOD_OVERRIDE=FQ","FILING_STATUS=MR","Sort=A","Dates=H","DateFormat=P","Fill=—","Direction=H","UseDPDF=Y")</f>
        <v>-282.66930000000002</v>
      </c>
      <c r="I20" s="14">
        <f>_xll.BDH("ITCI US Equity","CASH_FLOW_TO_TOT_LIAB","FQ2 2020","FQ2 2020","Currency=USD","Period=FQ","BEST_FPERIOD_OVERRIDE=FQ","FILING_STATUS=MR","Sort=A","Dates=H","DateFormat=P","Fill=—","Direction=H","UseDPDF=Y")</f>
        <v>-265.95060000000001</v>
      </c>
      <c r="J20" s="14">
        <f>_xll.BDH("ITCI US Equity","CASH_FLOW_TO_TOT_LIAB","FQ3 2020","FQ3 2020","Currency=USD","Period=FQ","BEST_FPERIOD_OVERRIDE=FQ","FILING_STATUS=MR","Sort=A","Dates=H","DateFormat=P","Fill=—","Direction=H","UseDPDF=Y")</f>
        <v>-318.08</v>
      </c>
      <c r="K20" s="14">
        <f>_xll.BDH("ITCI US Equity","CASH_FLOW_TO_TOT_LIAB","FQ4 2020","FQ4 2020","Currency=USD","Period=FQ","BEST_FPERIOD_OVERRIDE=FQ","FILING_STATUS=MR","Sort=A","Dates=H","DateFormat=P","Fill=—","Direction=H","UseDPDF=Y")</f>
        <v>-380.57780000000002</v>
      </c>
      <c r="L20" s="14">
        <f>_xll.BDH("ITCI US Equity","CASH_FLOW_TO_TOT_LIAB","FQ1 2021","FQ1 2021","Currency=USD","Period=FQ","BEST_FPERIOD_OVERRIDE=FQ","FILING_STATUS=MR","Sort=A","Dates=H","DateFormat=P","Fill=—","Direction=H","UseDPDF=Y")</f>
        <v>-363.51929999999999</v>
      </c>
      <c r="M20" s="14">
        <f>_xll.BDH("ITCI US Equity","CASH_FLOW_TO_TOT_LIAB","FQ2 2021","FQ2 2021","Currency=USD","Period=FQ","BEST_FPERIOD_OVERRIDE=FQ","FILING_STATUS=MR","Sort=A","Dates=H","DateFormat=P","Fill=—","Direction=H","UseDPDF=Y")</f>
        <v>-331.3152</v>
      </c>
      <c r="N20" s="14">
        <f>_xll.BDH("ITCI US Equity","CASH_FLOW_TO_TOT_LIAB","FQ3 2021","FQ3 2021","Currency=USD","Period=FQ","BEST_FPERIOD_OVERRIDE=FQ","FILING_STATUS=MR","Sort=A","Dates=H","DateFormat=P","Fill=—","Direction=H","UseDPDF=Y")</f>
        <v>-362.57979999999998</v>
      </c>
      <c r="O20" s="14">
        <f>_xll.BDH("ITCI US Equity","CASH_FLOW_TO_TOT_LIAB","FQ4 2021","FQ4 2021","Currency=USD","Period=FQ","BEST_FPERIOD_OVERRIDE=FQ","FILING_STATUS=MR","Sort=A","Dates=H","DateFormat=P","Fill=—","Direction=H","UseDPDF=Y")</f>
        <v>-360.31979999999999</v>
      </c>
      <c r="P20" s="14">
        <f>_xll.BDH("ITCI US Equity","CASH_FLOW_TO_TOT_LIAB","FQ1 2022","FQ1 2022","Currency=USD","Period=FQ","BEST_FPERIOD_OVERRIDE=FQ","FILING_STATUS=MR","Sort=A","Dates=H","DateFormat=P","Fill=—","Direction=H","UseDPDF=Y")</f>
        <v>-388.53429999999997</v>
      </c>
      <c r="Q20" s="14">
        <f>_xll.BDH("ITCI US Equity","CASH_FLOW_TO_TOT_LIAB","FQ2 2022","FQ2 2022","Currency=USD","Period=FQ","BEST_FPERIOD_OVERRIDE=FQ","FILING_STATUS=MR","Sort=A","Dates=H","DateFormat=P","Fill=—","Direction=H","UseDPDF=Y")</f>
        <v>-367.96010000000001</v>
      </c>
      <c r="R20" s="14">
        <f>_xll.BDH("ITCI US Equity","CASH_FLOW_TO_TOT_LIAB","FQ3 2022","FQ3 2022","Currency=USD","Period=FQ","BEST_FPERIOD_OVERRIDE=FQ","FILING_STATUS=MR","Sort=A","Dates=H","DateFormat=P","Fill=—","Direction=H","UseDPDF=Y")</f>
        <v>-314.95859999999999</v>
      </c>
      <c r="S20" s="14">
        <f>_xll.BDH("ITCI US Equity","CASH_FLOW_TO_TOT_LIAB","FQ4 2022","FQ4 2022","Currency=USD","Period=FQ","BEST_FPERIOD_OVERRIDE=FQ","FILING_STATUS=MR","Sort=A","Dates=H","DateFormat=P","Fill=—","Direction=H","UseDPDF=Y")</f>
        <v>-273.71690000000001</v>
      </c>
      <c r="T20" s="14">
        <f>_xll.BDH("ITCI US Equity","CASH_FLOW_TO_TOT_LIAB","FQ1 2023","FQ1 2023","Currency=USD","Period=FQ","BEST_FPERIOD_OVERRIDE=FQ","FILING_STATUS=MR","Sort=A","Dates=H","DateFormat=P","Fill=—","Direction=H","UseDPDF=Y")</f>
        <v>-261.66919999999999</v>
      </c>
      <c r="U20" s="14">
        <f>_xll.BDH("ITCI US Equity","CASH_FLOW_TO_TOT_LIAB","FQ2 2023","FQ2 2023","Currency=USD","Period=FQ","BEST_FPERIOD_OVERRIDE=FQ","FILING_STATUS=MR","Sort=A","Dates=H","DateFormat=P","Fill=—","Direction=H","UseDPDF=Y")</f>
        <v>-177.83160000000001</v>
      </c>
      <c r="V20" s="14">
        <f>_xll.BDH("ITCI US Equity","CASH_FLOW_TO_TOT_LIAB","FQ3 2023","FQ3 2023","Currency=USD","Period=FQ","BEST_FPERIOD_OVERRIDE=FQ","FILING_STATUS=MR","Sort=A","Dates=H","DateFormat=P","Fill=—","Direction=H","UseDPDF=Y")</f>
        <v>-137.90979999999999</v>
      </c>
      <c r="W20" s="14">
        <f>_xll.BDH("ITCI US Equity","CASH_FLOW_TO_TOT_LIAB","FQ4 2023","FQ4 2023","Currency=USD","Period=FQ","BEST_FPERIOD_OVERRIDE=FQ","FILING_STATUS=MR","Sort=A","Dates=H","DateFormat=P","Fill=—","Direction=H","UseDPDF=Y")</f>
        <v>-90.741600000000005</v>
      </c>
      <c r="X20" s="14">
        <f>_xll.BDH("ITCI US Equity","CASH_FLOW_TO_TOT_LIAB","FQ1 2024","FQ1 2024","Currency=USD","Period=FQ","BEST_FPERIOD_OVERRIDE=FQ","FILING_STATUS=MR","Sort=A","Dates=H","DateFormat=P","Fill=—","Direction=H","UseDPDF=Y")</f>
        <v>-66.592299999999994</v>
      </c>
      <c r="Y20" s="14">
        <f>_xll.BDH("ITCI US Equity","CASH_FLOW_TO_TOT_LIAB","FQ2 2024","FQ2 2024","Currency=USD","Period=FQ","BEST_FPERIOD_OVERRIDE=FQ","FILING_STATUS=MR","Sort=A","Dates=H","DateFormat=P","Fill=—","Direction=H","UseDPDF=Y")</f>
        <v>-34.626399999999997</v>
      </c>
      <c r="Z20" s="14">
        <f>_xll.BDH("ITCI US Equity","CASH_FLOW_TO_TOT_LIAB","FQ3 2024","FQ3 2024","Currency=USD","Period=FQ","BEST_FPERIOD_OVERRIDE=FQ","FILING_STATUS=MR","Sort=A","Dates=H","DateFormat=P","Fill=—","Direction=H","UseDPDF=Y")</f>
        <v>-34.6066</v>
      </c>
      <c r="AA20" s="14">
        <f>_xll.BDH("ITCI US Equity","CASH_FLOW_TO_TOT_LIAB","FQ4 2024","FQ4 2024","Currency=USD","Period=FQ","BEST_FPERIOD_OVERRIDE=FQ","FILING_STATUS=MR","Sort=A","Dates=H","DateFormat=P","Fill=—","Direction=H","UseDPDF=Y")</f>
        <v>-33.497999999999998</v>
      </c>
    </row>
    <row r="21" spans="1:27" x14ac:dyDescent="0.25">
      <c r="A21" s="10" t="s">
        <v>1221</v>
      </c>
      <c r="B21" s="10" t="s">
        <v>1222</v>
      </c>
      <c r="C21" s="14">
        <f>_xll.BDH("ITCI US Equity","CAP_EXPEND_RATIO","FQ4 2018","FQ4 2018","Currency=USD","Period=FQ","BEST_FPERIOD_OVERRIDE=FQ","FILING_STATUS=MR","Sort=A","Dates=H","DateFormat=P","Fill=—","Direction=H","UseDPDF=Y")</f>
        <v>-496.34120000000001</v>
      </c>
      <c r="D21" s="14">
        <f>_xll.BDH("ITCI US Equity","CAP_EXPEND_RATIO","FQ1 2019","FQ1 2019","Currency=USD","Period=FQ","BEST_FPERIOD_OVERRIDE=FQ","FILING_STATUS=MR","Sort=A","Dates=H","DateFormat=P","Fill=—","Direction=H","UseDPDF=Y")</f>
        <v>-530.25350000000003</v>
      </c>
      <c r="E21" s="14">
        <f>_xll.BDH("ITCI US Equity","CAP_EXPEND_RATIO","FQ2 2019","FQ2 2019","Currency=USD","Period=FQ","BEST_FPERIOD_OVERRIDE=FQ","FILING_STATUS=MR","Sort=A","Dates=H","DateFormat=P","Fill=—","Direction=H","UseDPDF=Y")</f>
        <v>-25.705100000000002</v>
      </c>
      <c r="F21" s="14">
        <f>_xll.BDH("ITCI US Equity","CAP_EXPEND_RATIO","FQ3 2019","FQ3 2019","Currency=USD","Period=FQ","BEST_FPERIOD_OVERRIDE=FQ","FILING_STATUS=MR","Sort=A","Dates=H","DateFormat=P","Fill=—","Direction=H","UseDPDF=Y")</f>
        <v>-135.6294</v>
      </c>
      <c r="G21" s="14" t="str">
        <f>_xll.BDH("ITCI US Equity","CAP_EXPEND_RATIO","FQ4 2019","FQ4 2019","Currency=USD","Period=FQ","BEST_FPERIOD_OVERRIDE=FQ","FILING_STATUS=MR","Sort=A","Dates=H","DateFormat=P","Fill=—","Direction=H","UseDPDF=Y")</f>
        <v>—</v>
      </c>
      <c r="H21" s="14">
        <f>_xll.BDH("ITCI US Equity","CAP_EXPEND_RATIO","FQ1 2020","FQ1 2020","Currency=USD","Period=FQ","BEST_FPERIOD_OVERRIDE=FQ","FILING_STATUS=MR","Sort=A","Dates=H","DateFormat=P","Fill=—","Direction=H","UseDPDF=Y")</f>
        <v>-2323.2899000000002</v>
      </c>
      <c r="I21" s="14" t="str">
        <f>_xll.BDH("ITCI US Equity","CAP_EXPEND_RATIO","FQ2 2020","FQ2 2020","Currency=USD","Period=FQ","BEST_FPERIOD_OVERRIDE=FQ","FILING_STATUS=MR","Sort=A","Dates=H","DateFormat=P","Fill=—","Direction=H","UseDPDF=Y")</f>
        <v>—</v>
      </c>
      <c r="J21" s="14">
        <f>_xll.BDH("ITCI US Equity","CAP_EXPEND_RATIO","FQ3 2020","FQ3 2020","Currency=USD","Period=FQ","BEST_FPERIOD_OVERRIDE=FQ","FILING_STATUS=MR","Sort=A","Dates=H","DateFormat=P","Fill=—","Direction=H","UseDPDF=Y")</f>
        <v>-374.19510000000002</v>
      </c>
      <c r="K21" s="14">
        <f>_xll.BDH("ITCI US Equity","CAP_EXPEND_RATIO","FQ4 2020","FQ4 2020","Currency=USD","Period=FQ","BEST_FPERIOD_OVERRIDE=FQ","FILING_STATUS=MR","Sort=A","Dates=H","DateFormat=P","Fill=—","Direction=H","UseDPDF=Y")</f>
        <v>-912.75070000000005</v>
      </c>
      <c r="L21" s="14" t="str">
        <f>_xll.BDH("ITCI US Equity","CAP_EXPEND_RATIO","FQ1 2021","FQ1 2021","Currency=USD","Period=FQ","BEST_FPERIOD_OVERRIDE=FQ","FILING_STATUS=MR","Sort=A","Dates=H","DateFormat=P","Fill=—","Direction=H","UseDPDF=Y")</f>
        <v>—</v>
      </c>
      <c r="M21" s="14">
        <f>_xll.BDH("ITCI US Equity","CAP_EXPEND_RATIO","FQ2 2021","FQ2 2021","Currency=USD","Period=FQ","BEST_FPERIOD_OVERRIDE=FQ","FILING_STATUS=MR","Sort=A","Dates=H","DateFormat=P","Fill=—","Direction=H","UseDPDF=Y")</f>
        <v>-3891.7103999999999</v>
      </c>
      <c r="N21" s="14">
        <f>_xll.BDH("ITCI US Equity","CAP_EXPEND_RATIO","FQ3 2021","FQ3 2021","Currency=USD","Period=FQ","BEST_FPERIOD_OVERRIDE=FQ","FILING_STATUS=MR","Sort=A","Dates=H","DateFormat=P","Fill=—","Direction=H","UseDPDF=Y")</f>
        <v>-256.3177</v>
      </c>
      <c r="O21" s="14">
        <f>_xll.BDH("ITCI US Equity","CAP_EXPEND_RATIO","FQ4 2021","FQ4 2021","Currency=USD","Period=FQ","BEST_FPERIOD_OVERRIDE=FQ","FILING_STATUS=MR","Sort=A","Dates=H","DateFormat=P","Fill=—","Direction=H","UseDPDF=Y")</f>
        <v>-58924.746400000004</v>
      </c>
      <c r="P21" s="14">
        <f>_xll.BDH("ITCI US Equity","CAP_EXPEND_RATIO","FQ1 2022","FQ1 2022","Currency=USD","Period=FQ","BEST_FPERIOD_OVERRIDE=FQ","FILING_STATUS=MR","Sort=A","Dates=H","DateFormat=P","Fill=—","Direction=H","UseDPDF=Y")</f>
        <v>-146.37629999999999</v>
      </c>
      <c r="Q21" s="14">
        <f>_xll.BDH("ITCI US Equity","CAP_EXPEND_RATIO","FQ2 2022","FQ2 2022","Currency=USD","Period=FQ","BEST_FPERIOD_OVERRIDE=FQ","FILING_STATUS=MR","Sort=A","Dates=H","DateFormat=P","Fill=—","Direction=H","UseDPDF=Y")</f>
        <v>-770.6748</v>
      </c>
      <c r="R21" s="14">
        <f>_xll.BDH("ITCI US Equity","CAP_EXPEND_RATIO","FQ3 2022","FQ3 2022","Currency=USD","Period=FQ","BEST_FPERIOD_OVERRIDE=FQ","FILING_STATUS=MR","Sort=A","Dates=H","DateFormat=P","Fill=—","Direction=H","UseDPDF=Y")</f>
        <v>-455.99149999999997</v>
      </c>
      <c r="S21" s="14" t="str">
        <f>_xll.BDH("ITCI US Equity","CAP_EXPEND_RATIO","FQ4 2022","FQ4 2022","Currency=USD","Period=FQ","BEST_FPERIOD_OVERRIDE=FQ","FILING_STATUS=MR","Sort=A","Dates=H","DateFormat=P","Fill=—","Direction=H","UseDPDF=Y")</f>
        <v>—</v>
      </c>
      <c r="T21" s="14" t="str">
        <f>_xll.BDH("ITCI US Equity","CAP_EXPEND_RATIO","FQ1 2023","FQ1 2023","Currency=USD","Period=FQ","BEST_FPERIOD_OVERRIDE=FQ","FILING_STATUS=MR","Sort=A","Dates=H","DateFormat=P","Fill=—","Direction=H","UseDPDF=Y")</f>
        <v>—</v>
      </c>
      <c r="U21" s="14" t="str">
        <f>_xll.BDH("ITCI US Equity","CAP_EXPEND_RATIO","FQ2 2023","FQ2 2023","Currency=USD","Period=FQ","BEST_FPERIOD_OVERRIDE=FQ","FILING_STATUS=MR","Sort=A","Dates=H","DateFormat=P","Fill=—","Direction=H","UseDPDF=Y")</f>
        <v>—</v>
      </c>
      <c r="V21" s="14">
        <f>_xll.BDH("ITCI US Equity","CAP_EXPEND_RATIO","FQ3 2023","FQ3 2023","Currency=USD","Period=FQ","BEST_FPERIOD_OVERRIDE=FQ","FILING_STATUS=MR","Sort=A","Dates=H","DateFormat=P","Fill=—","Direction=H","UseDPDF=Y")</f>
        <v>-94.290999999999997</v>
      </c>
      <c r="W21" s="14">
        <f>_xll.BDH("ITCI US Equity","CAP_EXPEND_RATIO","FQ4 2023","FQ4 2023","Currency=USD","Period=FQ","BEST_FPERIOD_OVERRIDE=FQ","FILING_STATUS=MR","Sort=A","Dates=H","DateFormat=P","Fill=—","Direction=H","UseDPDF=Y")</f>
        <v>-2061</v>
      </c>
      <c r="X21" s="14" t="str">
        <f>_xll.BDH("ITCI US Equity","CAP_EXPEND_RATIO","FQ1 2024","FQ1 2024","Currency=USD","Period=FQ","BEST_FPERIOD_OVERRIDE=FQ","FILING_STATUS=MR","Sort=A","Dates=H","DateFormat=P","Fill=—","Direction=H","UseDPDF=Y")</f>
        <v>—</v>
      </c>
      <c r="Y21" s="14">
        <f>_xll.BDH("ITCI US Equity","CAP_EXPEND_RATIO","FQ2 2024","FQ2 2024","Currency=USD","Period=FQ","BEST_FPERIOD_OVERRIDE=FQ","FILING_STATUS=MR","Sort=A","Dates=H","DateFormat=P","Fill=—","Direction=H","UseDPDF=Y")</f>
        <v>10.2264</v>
      </c>
      <c r="Z21" s="14">
        <f>_xll.BDH("ITCI US Equity","CAP_EXPEND_RATIO","FQ3 2024","FQ3 2024","Currency=USD","Period=FQ","BEST_FPERIOD_OVERRIDE=FQ","FILING_STATUS=MR","Sort=A","Dates=H","DateFormat=P","Fill=—","Direction=H","UseDPDF=Y")</f>
        <v>-38.110599999999998</v>
      </c>
      <c r="AA21" s="14" t="str">
        <f>_xll.BDH("ITCI US Equity","CAP_EXPEND_RATIO","FQ4 2024","FQ4 2024","Currency=USD","Period=FQ","BEST_FPERIOD_OVERRIDE=FQ","FILING_STATUS=MR","Sort=A","Dates=H","DateFormat=P","Fill=—","Direction=H","UseDPDF=Y")</f>
        <v>—</v>
      </c>
    </row>
    <row r="22" spans="1:27" x14ac:dyDescent="0.25">
      <c r="A22" s="10" t="s">
        <v>1223</v>
      </c>
      <c r="B22" s="10" t="s">
        <v>1224</v>
      </c>
      <c r="C22" s="14">
        <f>_xll.BDH("ITCI US Equity","ALTMAN_Z_SCORE","FQ4 2018","FQ4 2018","Currency=USD","Period=FQ","BEST_FPERIOD_OVERRIDE=FQ","FILING_STATUS=MR","Sort=A","Dates=H","DateFormat=P","Fill=—","Direction=H","UseDPDF=Y")</f>
        <v>6.8392999999999997</v>
      </c>
      <c r="D22" s="14">
        <f>_xll.BDH("ITCI US Equity","ALTMAN_Z_SCORE","FQ1 2019","FQ1 2019","Currency=USD","Period=FQ","BEST_FPERIOD_OVERRIDE=FQ","FILING_STATUS=MR","Sort=A","Dates=H","DateFormat=P","Fill=—","Direction=H","UseDPDF=Y")</f>
        <v>4.4210000000000003</v>
      </c>
      <c r="E22" s="14">
        <f>_xll.BDH("ITCI US Equity","ALTMAN_Z_SCORE","FQ2 2019","FQ2 2019","Currency=USD","Period=FQ","BEST_FPERIOD_OVERRIDE=FQ","FILING_STATUS=MR","Sort=A","Dates=H","DateFormat=P","Fill=—","Direction=H","UseDPDF=Y")</f>
        <v>4.4865000000000004</v>
      </c>
      <c r="F22" s="14">
        <f>_xll.BDH("ITCI US Equity","ALTMAN_Z_SCORE","FQ3 2019","FQ3 2019","Currency=USD","Period=FQ","BEST_FPERIOD_OVERRIDE=FQ","FILING_STATUS=MR","Sort=A","Dates=H","DateFormat=P","Fill=—","Direction=H","UseDPDF=Y")</f>
        <v>0.41389999999999999</v>
      </c>
      <c r="G22" s="14">
        <f>_xll.BDH("ITCI US Equity","ALTMAN_Z_SCORE","FQ4 2019","FQ4 2019","Currency=USD","Period=FQ","BEST_FPERIOD_OVERRIDE=FQ","FILING_STATUS=MR","Sort=A","Dates=H","DateFormat=P","Fill=—","Direction=H","UseDPDF=Y")</f>
        <v>15.1959</v>
      </c>
      <c r="H22" s="14">
        <f>_xll.BDH("ITCI US Equity","ALTMAN_Z_SCORE","FQ1 2020","FQ1 2020","Currency=USD","Period=FQ","BEST_FPERIOD_OVERRIDE=FQ","FILING_STATUS=MR","Sort=A","Dates=H","DateFormat=P","Fill=—","Direction=H","UseDPDF=Y")</f>
        <v>9.7363999999999997</v>
      </c>
      <c r="I22" s="14">
        <f>_xll.BDH("ITCI US Equity","ALTMAN_Z_SCORE","FQ2 2020","FQ2 2020","Currency=USD","Period=FQ","BEST_FPERIOD_OVERRIDE=FQ","FILING_STATUS=MR","Sort=A","Dates=H","DateFormat=P","Fill=—","Direction=H","UseDPDF=Y")</f>
        <v>13.66</v>
      </c>
      <c r="J22" s="14">
        <f>_xll.BDH("ITCI US Equity","ALTMAN_Z_SCORE","FQ3 2020","FQ3 2020","Currency=USD","Period=FQ","BEST_FPERIOD_OVERRIDE=FQ","FILING_STATUS=MR","Sort=A","Dates=H","DateFormat=P","Fill=—","Direction=H","UseDPDF=Y")</f>
        <v>18.128399999999999</v>
      </c>
      <c r="K22" s="14">
        <f>_xll.BDH("ITCI US Equity","ALTMAN_Z_SCORE","FQ4 2020","FQ4 2020","Currency=USD","Period=FQ","BEST_FPERIOD_OVERRIDE=FQ","FILING_STATUS=MR","Sort=A","Dates=H","DateFormat=P","Fill=—","Direction=H","UseDPDF=Y")</f>
        <v>23.5321</v>
      </c>
      <c r="L22" s="14">
        <f>_xll.BDH("ITCI US Equity","ALTMAN_Z_SCORE","FQ1 2021","FQ1 2021","Currency=USD","Period=FQ","BEST_FPERIOD_OVERRIDE=FQ","FILING_STATUS=MR","Sort=A","Dates=H","DateFormat=P","Fill=—","Direction=H","UseDPDF=Y")</f>
        <v>24.359000000000002</v>
      </c>
      <c r="M22" s="14">
        <f>_xll.BDH("ITCI US Equity","ALTMAN_Z_SCORE","FQ2 2021","FQ2 2021","Currency=USD","Period=FQ","BEST_FPERIOD_OVERRIDE=FQ","FILING_STATUS=MR","Sort=A","Dates=H","DateFormat=P","Fill=—","Direction=H","UseDPDF=Y")</f>
        <v>25.092099999999999</v>
      </c>
      <c r="N22" s="14">
        <f>_xll.BDH("ITCI US Equity","ALTMAN_Z_SCORE","FQ3 2021","FQ3 2021","Currency=USD","Period=FQ","BEST_FPERIOD_OVERRIDE=FQ","FILING_STATUS=MR","Sort=A","Dates=H","DateFormat=P","Fill=—","Direction=H","UseDPDF=Y")</f>
        <v>22.6783</v>
      </c>
      <c r="O22" s="14">
        <f>_xll.BDH("ITCI US Equity","ALTMAN_Z_SCORE","FQ4 2021","FQ4 2021","Currency=USD","Period=FQ","BEST_FPERIOD_OVERRIDE=FQ","FILING_STATUS=MR","Sort=A","Dates=H","DateFormat=P","Fill=—","Direction=H","UseDPDF=Y")</f>
        <v>31.286899999999999</v>
      </c>
      <c r="P22" s="14">
        <f>_xll.BDH("ITCI US Equity","ALTMAN_Z_SCORE","FQ1 2022","FQ1 2022","Currency=USD","Period=FQ","BEST_FPERIOD_OVERRIDE=FQ","FILING_STATUS=MR","Sort=A","Dates=H","DateFormat=P","Fill=—","Direction=H","UseDPDF=Y")</f>
        <v>43.279499999999999</v>
      </c>
      <c r="Q22" s="14">
        <f>_xll.BDH("ITCI US Equity","ALTMAN_Z_SCORE","FQ2 2022","FQ2 2022","Currency=USD","Period=FQ","BEST_FPERIOD_OVERRIDE=FQ","FILING_STATUS=MR","Sort=A","Dates=H","DateFormat=P","Fill=—","Direction=H","UseDPDF=Y")</f>
        <v>33.546500000000002</v>
      </c>
      <c r="R22" s="14">
        <f>_xll.BDH("ITCI US Equity","ALTMAN_Z_SCORE","FQ3 2022","FQ3 2022","Currency=USD","Period=FQ","BEST_FPERIOD_OVERRIDE=FQ","FILING_STATUS=MR","Sort=A","Dates=H","DateFormat=P","Fill=—","Direction=H","UseDPDF=Y")</f>
        <v>24.735199999999999</v>
      </c>
      <c r="S22" s="14">
        <f>_xll.BDH("ITCI US Equity","ALTMAN_Z_SCORE","FQ4 2022","FQ4 2022","Currency=USD","Period=FQ","BEST_FPERIOD_OVERRIDE=FQ","FILING_STATUS=MR","Sort=A","Dates=H","DateFormat=P","Fill=—","Direction=H","UseDPDF=Y")</f>
        <v>27.943200000000001</v>
      </c>
      <c r="T22" s="14">
        <f>_xll.BDH("ITCI US Equity","ALTMAN_Z_SCORE","FQ1 2023","FQ1 2023","Currency=USD","Period=FQ","BEST_FPERIOD_OVERRIDE=FQ","FILING_STATUS=MR","Sort=A","Dates=H","DateFormat=P","Fill=—","Direction=H","UseDPDF=Y")</f>
        <v>30.1693</v>
      </c>
      <c r="U22" s="14">
        <f>_xll.BDH("ITCI US Equity","ALTMAN_Z_SCORE","FQ2 2023","FQ2 2023","Currency=USD","Period=FQ","BEST_FPERIOD_OVERRIDE=FQ","FILING_STATUS=MR","Sort=A","Dates=H","DateFormat=P","Fill=—","Direction=H","UseDPDF=Y")</f>
        <v>31.760100000000001</v>
      </c>
      <c r="V22" s="14">
        <f>_xll.BDH("ITCI US Equity","ALTMAN_Z_SCORE","FQ3 2023","FQ3 2023","Currency=USD","Period=FQ","BEST_FPERIOD_OVERRIDE=FQ","FILING_STATUS=MR","Sort=A","Dates=H","DateFormat=P","Fill=—","Direction=H","UseDPDF=Y")</f>
        <v>23.367000000000001</v>
      </c>
      <c r="W22" s="14">
        <f>_xll.BDH("ITCI US Equity","ALTMAN_Z_SCORE","FQ4 2023","FQ4 2023","Currency=USD","Period=FQ","BEST_FPERIOD_OVERRIDE=FQ","FILING_STATUS=MR","Sort=A","Dates=H","DateFormat=P","Fill=—","Direction=H","UseDPDF=Y")</f>
        <v>27.918399999999998</v>
      </c>
      <c r="X22" s="14">
        <f>_xll.BDH("ITCI US Equity","ALTMAN_Z_SCORE","FQ1 2024","FQ1 2024","Currency=USD","Period=FQ","BEST_FPERIOD_OVERRIDE=FQ","FILING_STATUS=MR","Sort=A","Dates=H","DateFormat=P","Fill=—","Direction=H","UseDPDF=Y")</f>
        <v>25.181899999999999</v>
      </c>
      <c r="Y22" s="14">
        <f>_xll.BDH("ITCI US Equity","ALTMAN_Z_SCORE","FQ2 2024","FQ2 2024","Currency=USD","Period=FQ","BEST_FPERIOD_OVERRIDE=FQ","FILING_STATUS=MR","Sort=A","Dates=H","DateFormat=P","Fill=—","Direction=H","UseDPDF=Y")</f>
        <v>24.066099999999999</v>
      </c>
      <c r="Z22" s="14">
        <f>_xll.BDH("ITCI US Equity","ALTMAN_Z_SCORE","FQ3 2024","FQ3 2024","Currency=USD","Period=FQ","BEST_FPERIOD_OVERRIDE=FQ","FILING_STATUS=MR","Sort=A","Dates=H","DateFormat=P","Fill=—","Direction=H","UseDPDF=Y")</f>
        <v>25.218399999999999</v>
      </c>
      <c r="AA22" s="14">
        <f>_xll.BDH("ITCI US Equity","ALTMAN_Z_SCORE","FQ4 2024","FQ4 2024","Currency=USD","Period=FQ","BEST_FPERIOD_OVERRIDE=FQ","FILING_STATUS=MR","Sort=A","Dates=H","DateFormat=P","Fill=—","Direction=H","UseDPDF=Y")</f>
        <v>23.770499999999998</v>
      </c>
    </row>
    <row r="23" spans="1:27" x14ac:dyDescent="0.25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5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5">
      <c r="A25" s="7" t="s">
        <v>90</v>
      </c>
      <c r="B25" s="7"/>
      <c r="C25" s="7" t="s">
        <v>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21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1225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6" t="s">
        <v>1226</v>
      </c>
      <c r="B6" s="6" t="s">
        <v>1227</v>
      </c>
      <c r="C6" s="20" t="str">
        <f>_xll.BDH("ITCI US Equity","ACCT_RCV_TURN","FQ4 2018","FQ4 2018","Currency=USD","Period=FQ","BEST_FPERIOD_OVERRIDE=FQ","FILING_STATUS=MR","FA_ADJUSTED=GAAP","Sort=A","Dates=H","DateFormat=P","Fill=—","Direction=H","UseDPDF=Y")</f>
        <v>—</v>
      </c>
      <c r="D6" s="20" t="str">
        <f>_xll.BDH("ITCI US Equity","ACCT_RCV_TURN","FQ1 2019","FQ1 2019","Currency=USD","Period=FQ","BEST_FPERIOD_OVERRIDE=FQ","FILING_STATUS=MR","FA_ADJUSTED=GAAP","Sort=A","Dates=H","DateFormat=P","Fill=—","Direction=H","UseDPDF=Y")</f>
        <v>—</v>
      </c>
      <c r="E6" s="20" t="str">
        <f>_xll.BDH("ITCI US Equity","ACCT_RCV_TURN","FQ2 2019","FQ2 2019","Currency=USD","Period=FQ","BEST_FPERIOD_OVERRIDE=FQ","FILING_STATUS=MR","FA_ADJUSTED=GAAP","Sort=A","Dates=H","DateFormat=P","Fill=—","Direction=H","UseDPDF=Y")</f>
        <v>—</v>
      </c>
      <c r="F6" s="20" t="str">
        <f>_xll.BDH("ITCI US Equity","ACCT_RCV_TURN","FQ3 2019","FQ3 2019","Currency=USD","Period=FQ","BEST_FPERIOD_OVERRIDE=FQ","FILING_STATUS=MR","FA_ADJUSTED=GAAP","Sort=A","Dates=H","DateFormat=P","Fill=—","Direction=H","UseDPDF=Y")</f>
        <v>—</v>
      </c>
      <c r="G6" s="20" t="str">
        <f>_xll.BDH("ITCI US Equity","ACCT_RCV_TURN","FQ4 2019","FQ4 2019","Currency=USD","Period=FQ","BEST_FPERIOD_OVERRIDE=FQ","FILING_STATUS=MR","FA_ADJUSTED=GAAP","Sort=A","Dates=H","DateFormat=P","Fill=—","Direction=H","UseDPDF=Y")</f>
        <v>—</v>
      </c>
      <c r="H6" s="20">
        <f>_xll.BDH("ITCI US Equity","ACCT_RCV_TURN","FQ1 2020","FQ1 2020","Currency=USD","Period=FQ","BEST_FPERIOD_OVERRIDE=FQ","FILING_STATUS=MR","FA_ADJUSTED=GAAP","Sort=A","Dates=H","DateFormat=P","Fill=—","Direction=H","UseDPDF=Y")</f>
        <v>1.6937</v>
      </c>
      <c r="I6" s="20">
        <f>_xll.BDH("ITCI US Equity","ACCT_RCV_TURN","FQ2 2020","FQ2 2020","Currency=USD","Period=FQ","BEST_FPERIOD_OVERRIDE=FQ","FILING_STATUS=MR","FA_ADJUSTED=GAAP","Sort=A","Dates=H","DateFormat=P","Fill=—","Direction=H","UseDPDF=Y")</f>
        <v>2.5928</v>
      </c>
      <c r="J6" s="20">
        <f>_xll.BDH("ITCI US Equity","ACCT_RCV_TURN","FQ3 2020","FQ3 2020","Currency=USD","Period=FQ","BEST_FPERIOD_OVERRIDE=FQ","FILING_STATUS=MR","FA_ADJUSTED=GAAP","Sort=A","Dates=H","DateFormat=P","Fill=—","Direction=H","UseDPDF=Y")</f>
        <v>2.7856999999999998</v>
      </c>
      <c r="K6" s="20">
        <f>_xll.BDH("ITCI US Equity","ACCT_RCV_TURN","FQ4 2020","FQ4 2020","Currency=USD","Period=FQ","BEST_FPERIOD_OVERRIDE=FQ","FILING_STATUS=MR","FA_ADJUSTED=GAAP","Sort=A","Dates=H","DateFormat=P","Fill=—","Direction=H","UseDPDF=Y")</f>
        <v>4.2385000000000002</v>
      </c>
      <c r="L6" s="20">
        <f>_xll.BDH("ITCI US Equity","ACCT_RCV_TURN","FQ1 2021","FQ1 2021","Currency=USD","Period=FQ","BEST_FPERIOD_OVERRIDE=FQ","FILING_STATUS=MR","FA_ADJUSTED=GAAP","Sort=A","Dates=H","DateFormat=P","Fill=—","Direction=H","UseDPDF=Y")</f>
        <v>5.01</v>
      </c>
      <c r="M6" s="20">
        <f>_xll.BDH("ITCI US Equity","ACCT_RCV_TURN","FQ2 2021","FQ2 2021","Currency=USD","Period=FQ","BEST_FPERIOD_OVERRIDE=FQ","FILING_STATUS=MR","FA_ADJUSTED=GAAP","Sort=A","Dates=H","DateFormat=P","Fill=—","Direction=H","UseDPDF=Y")</f>
        <v>6.3563000000000001</v>
      </c>
      <c r="N6" s="20">
        <f>_xll.BDH("ITCI US Equity","ACCT_RCV_TURN","FQ3 2021","FQ3 2021","Currency=USD","Period=FQ","BEST_FPERIOD_OVERRIDE=FQ","FILING_STATUS=MR","FA_ADJUSTED=GAAP","Sort=A","Dates=H","DateFormat=P","Fill=—","Direction=H","UseDPDF=Y")</f>
        <v>5.7821999999999996</v>
      </c>
      <c r="O6" s="20">
        <f>_xll.BDH("ITCI US Equity","ACCT_RCV_TURN","FQ4 2021","FQ4 2021","Currency=USD","Period=FQ","BEST_FPERIOD_OVERRIDE=FQ","FILING_STATUS=MR","FA_ADJUSTED=GAAP","Sort=A","Dates=H","DateFormat=P","Fill=—","Direction=H","UseDPDF=Y")</f>
        <v>5.4204999999999997</v>
      </c>
      <c r="P6" s="20">
        <f>_xll.BDH("ITCI US Equity","ACCT_RCV_TURN","FQ1 2022","FQ1 2022","Currency=USD","Period=FQ","BEST_FPERIOD_OVERRIDE=FQ","FILING_STATUS=MR","FA_ADJUSTED=GAAP","Sort=A","Dates=H","DateFormat=P","Fill=—","Direction=H","UseDPDF=Y")</f>
        <v>4.4272999999999998</v>
      </c>
      <c r="Q6" s="20">
        <f>_xll.BDH("ITCI US Equity","ACCT_RCV_TURN","FQ2 2022","FQ2 2022","Currency=USD","Period=FQ","BEST_FPERIOD_OVERRIDE=FQ","FILING_STATUS=MR","FA_ADJUSTED=GAAP","Sort=A","Dates=H","DateFormat=P","Fill=—","Direction=H","UseDPDF=Y")</f>
        <v>4.4545000000000003</v>
      </c>
      <c r="R6" s="20">
        <f>_xll.BDH("ITCI US Equity","ACCT_RCV_TURN","FQ3 2022","FQ3 2022","Currency=USD","Period=FQ","BEST_FPERIOD_OVERRIDE=FQ","FILING_STATUS=MR","FA_ADJUSTED=GAAP","Sort=A","Dates=H","DateFormat=P","Fill=—","Direction=H","UseDPDF=Y")</f>
        <v>4.7945000000000002</v>
      </c>
      <c r="S6" s="20">
        <f>_xll.BDH("ITCI US Equity","ACCT_RCV_TURN","FQ4 2022","FQ4 2022","Currency=USD","Period=FQ","BEST_FPERIOD_OVERRIDE=FQ","FILING_STATUS=MR","FA_ADJUSTED=GAAP","Sort=A","Dates=H","DateFormat=P","Fill=—","Direction=H","UseDPDF=Y")</f>
        <v>5.2507000000000001</v>
      </c>
      <c r="T6" s="20">
        <f>_xll.BDH("ITCI US Equity","ACCT_RCV_TURN","FQ1 2023","FQ1 2023","Currency=USD","Period=FQ","BEST_FPERIOD_OVERRIDE=FQ","FILING_STATUS=MR","FA_ADJUSTED=GAAP","Sort=A","Dates=H","DateFormat=P","Fill=—","Direction=H","UseDPDF=Y")</f>
        <v>5.4316000000000004</v>
      </c>
      <c r="U6" s="20">
        <f>_xll.BDH("ITCI US Equity","ACCT_RCV_TURN","FQ2 2023","FQ2 2023","Currency=USD","Period=FQ","BEST_FPERIOD_OVERRIDE=FQ","FILING_STATUS=MR","FA_ADJUSTED=GAAP","Sort=A","Dates=H","DateFormat=P","Fill=—","Direction=H","UseDPDF=Y")</f>
        <v>5.1186999999999996</v>
      </c>
      <c r="V6" s="20">
        <f>_xll.BDH("ITCI US Equity","ACCT_RCV_TURN","FQ3 2023","FQ3 2023","Currency=USD","Period=FQ","BEST_FPERIOD_OVERRIDE=FQ","FILING_STATUS=MR","FA_ADJUSTED=GAAP","Sort=A","Dates=H","DateFormat=P","Fill=—","Direction=H","UseDPDF=Y")</f>
        <v>5.1172000000000004</v>
      </c>
      <c r="W6" s="20">
        <f>_xll.BDH("ITCI US Equity","ACCT_RCV_TURN","FQ4 2023","FQ4 2023","Currency=USD","Period=FQ","BEST_FPERIOD_OVERRIDE=FQ","FILING_STATUS=MR","FA_ADJUSTED=GAAP","Sort=A","Dates=H","DateFormat=P","Fill=—","Direction=H","UseDPDF=Y")</f>
        <v>4.9085999999999999</v>
      </c>
      <c r="X6" s="20">
        <f>_xll.BDH("ITCI US Equity","ACCT_RCV_TURN","FQ1 2024","FQ1 2024","Currency=USD","Period=FQ","BEST_FPERIOD_OVERRIDE=FQ","FILING_STATUS=MR","FA_ADJUSTED=GAAP","Sort=A","Dates=H","DateFormat=P","Fill=—","Direction=H","UseDPDF=Y")</f>
        <v>4.8323999999999998</v>
      </c>
      <c r="Y6" s="20">
        <f>_xll.BDH("ITCI US Equity","ACCT_RCV_TURN","FQ2 2024","FQ2 2024","Currency=USD","Period=FQ","BEST_FPERIOD_OVERRIDE=FQ","FILING_STATUS=MR","FA_ADJUSTED=GAAP","Sort=A","Dates=H","DateFormat=P","Fill=—","Direction=H","UseDPDF=Y")</f>
        <v>4.6717000000000004</v>
      </c>
      <c r="Z6" s="20">
        <f>_xll.BDH("ITCI US Equity","ACCT_RCV_TURN","FQ3 2024","FQ3 2024","Currency=USD","Period=FQ","BEST_FPERIOD_OVERRIDE=FQ","FILING_STATUS=MR","FA_ADJUSTED=GAAP","Sort=A","Dates=H","DateFormat=P","Fill=—","Direction=H","UseDPDF=Y")</f>
        <v>4.9439000000000002</v>
      </c>
      <c r="AA6" s="20">
        <f>_xll.BDH("ITCI US Equity","ACCT_RCV_TURN","FQ4 2024","FQ4 2024","Currency=USD","Period=FQ","BEST_FPERIOD_OVERRIDE=FQ","FILING_STATUS=MR","FA_ADJUSTED=GAAP","Sort=A","Dates=H","DateFormat=P","Fill=—","Direction=H","UseDPDF=Y")</f>
        <v>4.8541999999999996</v>
      </c>
    </row>
    <row r="7" spans="1:27" x14ac:dyDescent="0.25">
      <c r="A7" s="10" t="s">
        <v>1228</v>
      </c>
      <c r="B7" s="10" t="s">
        <v>1229</v>
      </c>
      <c r="C7" s="14" t="str">
        <f>_xll.BDH("ITCI US Equity","ACCT_RCV_DAYS","FQ4 2018","FQ4 2018","Currency=USD","Period=FQ","BEST_FPERIOD_OVERRIDE=FQ","FILING_STATUS=MR","FA_ADJUSTED=GAAP","Sort=A","Dates=H","DateFormat=P","Fill=—","Direction=H","UseDPDF=Y")</f>
        <v>—</v>
      </c>
      <c r="D7" s="14" t="str">
        <f>_xll.BDH("ITCI US Equity","ACCT_RCV_DAYS","FQ1 2019","FQ1 2019","Currency=USD","Period=FQ","BEST_FPERIOD_OVERRIDE=FQ","FILING_STATUS=MR","FA_ADJUSTED=GAAP","Sort=A","Dates=H","DateFormat=P","Fill=—","Direction=H","UseDPDF=Y")</f>
        <v>—</v>
      </c>
      <c r="E7" s="14" t="str">
        <f>_xll.BDH("ITCI US Equity","ACCT_RCV_DAYS","FQ2 2019","FQ2 2019","Currency=USD","Period=FQ","BEST_FPERIOD_OVERRIDE=FQ","FILING_STATUS=MR","FA_ADJUSTED=GAAP","Sort=A","Dates=H","DateFormat=P","Fill=—","Direction=H","UseDPDF=Y")</f>
        <v>—</v>
      </c>
      <c r="F7" s="14" t="str">
        <f>_xll.BDH("ITCI US Equity","ACCT_RCV_DAYS","FQ3 2019","FQ3 2019","Currency=USD","Period=FQ","BEST_FPERIOD_OVERRIDE=FQ","FILING_STATUS=MR","FA_ADJUSTED=GAAP","Sort=A","Dates=H","DateFormat=P","Fill=—","Direction=H","UseDPDF=Y")</f>
        <v>—</v>
      </c>
      <c r="G7" s="14" t="str">
        <f>_xll.BDH("ITCI US Equity","ACCT_RCV_DAYS","FQ4 2019","FQ4 2019","Currency=USD","Period=FQ","BEST_FPERIOD_OVERRIDE=FQ","FILING_STATUS=MR","FA_ADJUSTED=GAAP","Sort=A","Dates=H","DateFormat=P","Fill=—","Direction=H","UseDPDF=Y")</f>
        <v>—</v>
      </c>
      <c r="H7" s="14">
        <f>_xll.BDH("ITCI US Equity","ACCT_RCV_DAYS","FQ1 2020","FQ1 2020","Currency=USD","Period=FQ","BEST_FPERIOD_OVERRIDE=FQ","FILING_STATUS=MR","FA_ADJUSTED=GAAP","Sort=A","Dates=H","DateFormat=P","Fill=—","Direction=H","UseDPDF=Y")</f>
        <v>216.0975</v>
      </c>
      <c r="I7" s="14">
        <f>_xll.BDH("ITCI US Equity","ACCT_RCV_DAYS","FQ2 2020","FQ2 2020","Currency=USD","Period=FQ","BEST_FPERIOD_OVERRIDE=FQ","FILING_STATUS=MR","FA_ADJUSTED=GAAP","Sort=A","Dates=H","DateFormat=P","Fill=—","Direction=H","UseDPDF=Y")</f>
        <v>141.16159999999999</v>
      </c>
      <c r="J7" s="14">
        <f>_xll.BDH("ITCI US Equity","ACCT_RCV_DAYS","FQ3 2020","FQ3 2020","Currency=USD","Period=FQ","BEST_FPERIOD_OVERRIDE=FQ","FILING_STATUS=MR","FA_ADJUSTED=GAAP","Sort=A","Dates=H","DateFormat=P","Fill=—","Direction=H","UseDPDF=Y")</f>
        <v>131.38579999999999</v>
      </c>
      <c r="K7" s="14">
        <f>_xll.BDH("ITCI US Equity","ACCT_RCV_DAYS","FQ4 2020","FQ4 2020","Currency=USD","Period=FQ","BEST_FPERIOD_OVERRIDE=FQ","FILING_STATUS=MR","FA_ADJUSTED=GAAP","Sort=A","Dates=H","DateFormat=P","Fill=—","Direction=H","UseDPDF=Y")</f>
        <v>86.350800000000007</v>
      </c>
      <c r="L7" s="14">
        <f>_xll.BDH("ITCI US Equity","ACCT_RCV_DAYS","FQ1 2021","FQ1 2021","Currency=USD","Period=FQ","BEST_FPERIOD_OVERRIDE=FQ","FILING_STATUS=MR","FA_ADJUSTED=GAAP","Sort=A","Dates=H","DateFormat=P","Fill=—","Direction=H","UseDPDF=Y")</f>
        <v>72.853800000000007</v>
      </c>
      <c r="M7" s="14">
        <f>_xll.BDH("ITCI US Equity","ACCT_RCV_DAYS","FQ2 2021","FQ2 2021","Currency=USD","Period=FQ","BEST_FPERIOD_OVERRIDE=FQ","FILING_STATUS=MR","FA_ADJUSTED=GAAP","Sort=A","Dates=H","DateFormat=P","Fill=—","Direction=H","UseDPDF=Y")</f>
        <v>57.4238</v>
      </c>
      <c r="N7" s="14">
        <f>_xll.BDH("ITCI US Equity","ACCT_RCV_DAYS","FQ3 2021","FQ3 2021","Currency=USD","Period=FQ","BEST_FPERIOD_OVERRIDE=FQ","FILING_STATUS=MR","FA_ADJUSTED=GAAP","Sort=A","Dates=H","DateFormat=P","Fill=—","Direction=H","UseDPDF=Y")</f>
        <v>63.124499999999998</v>
      </c>
      <c r="O7" s="14">
        <f>_xll.BDH("ITCI US Equity","ACCT_RCV_DAYS","FQ4 2021","FQ4 2021","Currency=USD","Period=FQ","BEST_FPERIOD_OVERRIDE=FQ","FILING_STATUS=MR","FA_ADJUSTED=GAAP","Sort=A","Dates=H","DateFormat=P","Fill=—","Direction=H","UseDPDF=Y")</f>
        <v>67.336500000000001</v>
      </c>
      <c r="P7" s="14">
        <f>_xll.BDH("ITCI US Equity","ACCT_RCV_DAYS","FQ1 2022","FQ1 2022","Currency=USD","Period=FQ","BEST_FPERIOD_OVERRIDE=FQ","FILING_STATUS=MR","FA_ADJUSTED=GAAP","Sort=A","Dates=H","DateFormat=P","Fill=—","Direction=H","UseDPDF=Y")</f>
        <v>82.443600000000004</v>
      </c>
      <c r="Q7" s="14">
        <f>_xll.BDH("ITCI US Equity","ACCT_RCV_DAYS","FQ2 2022","FQ2 2022","Currency=USD","Period=FQ","BEST_FPERIOD_OVERRIDE=FQ","FILING_STATUS=MR","FA_ADJUSTED=GAAP","Sort=A","Dates=H","DateFormat=P","Fill=—","Direction=H","UseDPDF=Y")</f>
        <v>81.940299999999993</v>
      </c>
      <c r="R7" s="14">
        <f>_xll.BDH("ITCI US Equity","ACCT_RCV_DAYS","FQ3 2022","FQ3 2022","Currency=USD","Period=FQ","BEST_FPERIOD_OVERRIDE=FQ","FILING_STATUS=MR","FA_ADJUSTED=GAAP","Sort=A","Dates=H","DateFormat=P","Fill=—","Direction=H","UseDPDF=Y")</f>
        <v>76.1297</v>
      </c>
      <c r="S7" s="14">
        <f>_xll.BDH("ITCI US Equity","ACCT_RCV_DAYS","FQ4 2022","FQ4 2022","Currency=USD","Period=FQ","BEST_FPERIOD_OVERRIDE=FQ","FILING_STATUS=MR","FA_ADJUSTED=GAAP","Sort=A","Dates=H","DateFormat=P","Fill=—","Direction=H","UseDPDF=Y")</f>
        <v>69.514499999999998</v>
      </c>
      <c r="T7" s="14">
        <f>_xll.BDH("ITCI US Equity","ACCT_RCV_DAYS","FQ1 2023","FQ1 2023","Currency=USD","Period=FQ","BEST_FPERIOD_OVERRIDE=FQ","FILING_STATUS=MR","FA_ADJUSTED=GAAP","Sort=A","Dates=H","DateFormat=P","Fill=—","Direction=H","UseDPDF=Y")</f>
        <v>67.199600000000004</v>
      </c>
      <c r="U7" s="14">
        <f>_xll.BDH("ITCI US Equity","ACCT_RCV_DAYS","FQ2 2023","FQ2 2023","Currency=USD","Period=FQ","BEST_FPERIOD_OVERRIDE=FQ","FILING_STATUS=MR","FA_ADJUSTED=GAAP","Sort=A","Dates=H","DateFormat=P","Fill=—","Direction=H","UseDPDF=Y")</f>
        <v>71.3065</v>
      </c>
      <c r="V7" s="14">
        <f>_xll.BDH("ITCI US Equity","ACCT_RCV_DAYS","FQ3 2023","FQ3 2023","Currency=USD","Period=FQ","BEST_FPERIOD_OVERRIDE=FQ","FILING_STATUS=MR","FA_ADJUSTED=GAAP","Sort=A","Dates=H","DateFormat=P","Fill=—","Direction=H","UseDPDF=Y")</f>
        <v>71.328500000000005</v>
      </c>
      <c r="W7" s="14">
        <f>_xll.BDH("ITCI US Equity","ACCT_RCV_DAYS","FQ4 2023","FQ4 2023","Currency=USD","Period=FQ","BEST_FPERIOD_OVERRIDE=FQ","FILING_STATUS=MR","FA_ADJUSTED=GAAP","Sort=A","Dates=H","DateFormat=P","Fill=—","Direction=H","UseDPDF=Y")</f>
        <v>74.359399999999994</v>
      </c>
      <c r="X7" s="14">
        <f>_xll.BDH("ITCI US Equity","ACCT_RCV_DAYS","FQ1 2024","FQ1 2024","Currency=USD","Period=FQ","BEST_FPERIOD_OVERRIDE=FQ","FILING_STATUS=MR","FA_ADJUSTED=GAAP","Sort=A","Dates=H","DateFormat=P","Fill=—","Direction=H","UseDPDF=Y")</f>
        <v>75.738799999999998</v>
      </c>
      <c r="Y7" s="14">
        <f>_xll.BDH("ITCI US Equity","ACCT_RCV_DAYS","FQ2 2024","FQ2 2024","Currency=USD","Period=FQ","BEST_FPERIOD_OVERRIDE=FQ","FILING_STATUS=MR","FA_ADJUSTED=GAAP","Sort=A","Dates=H","DateFormat=P","Fill=—","Direction=H","UseDPDF=Y")</f>
        <v>78.343699999999998</v>
      </c>
      <c r="Z7" s="14">
        <f>_xll.BDH("ITCI US Equity","ACCT_RCV_DAYS","FQ3 2024","FQ3 2024","Currency=USD","Period=FQ","BEST_FPERIOD_OVERRIDE=FQ","FILING_STATUS=MR","FA_ADJUSTED=GAAP","Sort=A","Dates=H","DateFormat=P","Fill=—","Direction=H","UseDPDF=Y")</f>
        <v>74.031000000000006</v>
      </c>
      <c r="AA7" s="14">
        <f>_xll.BDH("ITCI US Equity","ACCT_RCV_DAYS","FQ4 2024","FQ4 2024","Currency=USD","Period=FQ","BEST_FPERIOD_OVERRIDE=FQ","FILING_STATUS=MR","FA_ADJUSTED=GAAP","Sort=A","Dates=H","DateFormat=P","Fill=—","Direction=H","UseDPDF=Y")</f>
        <v>75.397900000000007</v>
      </c>
    </row>
    <row r="8" spans="1:27" x14ac:dyDescent="0.25">
      <c r="A8" s="6" t="s">
        <v>1230</v>
      </c>
      <c r="B8" s="6" t="s">
        <v>1231</v>
      </c>
      <c r="C8" s="20" t="str">
        <f>_xll.BDH("ITCI US Equity","INVENT_TURN","FQ4 2018","FQ4 2018","Currency=USD","Period=FQ","BEST_FPERIOD_OVERRIDE=FQ","FILING_STATUS=MR","FA_ADJUSTED=GAAP","Sort=A","Dates=H","DateFormat=P","Fill=—","Direction=H","UseDPDF=Y")</f>
        <v>—</v>
      </c>
      <c r="D8" s="20" t="str">
        <f>_xll.BDH("ITCI US Equity","INVENT_TURN","FQ1 2019","FQ1 2019","Currency=USD","Period=FQ","BEST_FPERIOD_OVERRIDE=FQ","FILING_STATUS=MR","FA_ADJUSTED=GAAP","Sort=A","Dates=H","DateFormat=P","Fill=—","Direction=H","UseDPDF=Y")</f>
        <v>—</v>
      </c>
      <c r="E8" s="20" t="str">
        <f>_xll.BDH("ITCI US Equity","INVENT_TURN","FQ2 2019","FQ2 2019","Currency=USD","Period=FQ","BEST_FPERIOD_OVERRIDE=FQ","FILING_STATUS=MR","FA_ADJUSTED=GAAP","Sort=A","Dates=H","DateFormat=P","Fill=—","Direction=H","UseDPDF=Y")</f>
        <v>—</v>
      </c>
      <c r="F8" s="20" t="str">
        <f>_xll.BDH("ITCI US Equity","INVENT_TURN","FQ3 2019","FQ3 2019","Currency=USD","Period=FQ","BEST_FPERIOD_OVERRIDE=FQ","FILING_STATUS=MR","FA_ADJUSTED=GAAP","Sort=A","Dates=H","DateFormat=P","Fill=—","Direction=H","UseDPDF=Y")</f>
        <v>—</v>
      </c>
      <c r="G8" s="20" t="str">
        <f>_xll.BDH("ITCI US Equity","INVENT_TURN","FQ4 2019","FQ4 2019","Currency=USD","Period=FQ","BEST_FPERIOD_OVERRIDE=FQ","FILING_STATUS=MR","FA_ADJUSTED=GAAP","Sort=A","Dates=H","DateFormat=P","Fill=—","Direction=H","UseDPDF=Y")</f>
        <v>—</v>
      </c>
      <c r="H8" s="20" t="str">
        <f>_xll.BDH("ITCI US Equity","INVENT_TURN","FQ1 2020","FQ1 2020","Currency=USD","Period=FQ","BEST_FPERIOD_OVERRIDE=FQ","FILING_STATUS=MR","FA_ADJUSTED=GAAP","Sort=A","Dates=H","DateFormat=P","Fill=—","Direction=H","UseDPDF=Y")</f>
        <v>—</v>
      </c>
      <c r="I8" s="20" t="str">
        <f>_xll.BDH("ITCI US Equity","INVENT_TURN","FQ2 2020","FQ2 2020","Currency=USD","Period=FQ","BEST_FPERIOD_OVERRIDE=FQ","FILING_STATUS=MR","FA_ADJUSTED=GAAP","Sort=A","Dates=H","DateFormat=P","Fill=—","Direction=H","UseDPDF=Y")</f>
        <v>—</v>
      </c>
      <c r="J8" s="20" t="str">
        <f>_xll.BDH("ITCI US Equity","INVENT_TURN","FQ3 2020","FQ3 2020","Currency=USD","Period=FQ","BEST_FPERIOD_OVERRIDE=FQ","FILING_STATUS=MR","FA_ADJUSTED=GAAP","Sort=A","Dates=H","DateFormat=P","Fill=—","Direction=H","UseDPDF=Y")</f>
        <v>—</v>
      </c>
      <c r="K8" s="20">
        <f>_xll.BDH("ITCI US Equity","INVENT_TURN","FQ4 2020","FQ4 2020","Currency=USD","Period=FQ","BEST_FPERIOD_OVERRIDE=FQ","FILING_STATUS=MR","FA_ADJUSTED=GAAP","Sort=A","Dates=H","DateFormat=P","Fill=—","Direction=H","UseDPDF=Y")</f>
        <v>0.53710000000000002</v>
      </c>
      <c r="L8" s="20">
        <f>_xll.BDH("ITCI US Equity","INVENT_TURN","FQ1 2021","FQ1 2021","Currency=USD","Period=FQ","BEST_FPERIOD_OVERRIDE=FQ","FILING_STATUS=MR","FA_ADJUSTED=GAAP","Sort=A","Dates=H","DateFormat=P","Fill=—","Direction=H","UseDPDF=Y")</f>
        <v>0.73150000000000004</v>
      </c>
      <c r="M8" s="20">
        <f>_xll.BDH("ITCI US Equity","INVENT_TURN","FQ2 2021","FQ2 2021","Currency=USD","Period=FQ","BEST_FPERIOD_OVERRIDE=FQ","FILING_STATUS=MR","FA_ADJUSTED=GAAP","Sort=A","Dates=H","DateFormat=P","Fill=—","Direction=H","UseDPDF=Y")</f>
        <v>1.0278</v>
      </c>
      <c r="N8" s="20">
        <f>_xll.BDH("ITCI US Equity","INVENT_TURN","FQ3 2021","FQ3 2021","Currency=USD","Period=FQ","BEST_FPERIOD_OVERRIDE=FQ","FILING_STATUS=MR","FA_ADJUSTED=GAAP","Sort=A","Dates=H","DateFormat=P","Fill=—","Direction=H","UseDPDF=Y")</f>
        <v>1.1944999999999999</v>
      </c>
      <c r="O8" s="20">
        <f>_xll.BDH("ITCI US Equity","INVENT_TURN","FQ4 2021","FQ4 2021","Currency=USD","Period=FQ","BEST_FPERIOD_OVERRIDE=FQ","FILING_STATUS=MR","FA_ADJUSTED=GAAP","Sort=A","Dates=H","DateFormat=P","Fill=—","Direction=H","UseDPDF=Y")</f>
        <v>1.071</v>
      </c>
      <c r="P8" s="20">
        <f>_xll.BDH("ITCI US Equity","INVENT_TURN","FQ1 2022","FQ1 2022","Currency=USD","Period=FQ","BEST_FPERIOD_OVERRIDE=FQ","FILING_STATUS=MR","FA_ADJUSTED=GAAP","Sort=A","Dates=H","DateFormat=P","Fill=—","Direction=H","UseDPDF=Y")</f>
        <v>1.2583</v>
      </c>
      <c r="Q8" s="20">
        <f>_xll.BDH("ITCI US Equity","INVENT_TURN","FQ2 2022","FQ2 2022","Currency=USD","Period=FQ","BEST_FPERIOD_OVERRIDE=FQ","FILING_STATUS=MR","FA_ADJUSTED=GAAP","Sort=A","Dates=H","DateFormat=P","Fill=—","Direction=H","UseDPDF=Y")</f>
        <v>0.75290000000000001</v>
      </c>
      <c r="R8" s="20">
        <f>_xll.BDH("ITCI US Equity","INVENT_TURN","FQ3 2022","FQ3 2022","Currency=USD","Period=FQ","BEST_FPERIOD_OVERRIDE=FQ","FILING_STATUS=MR","FA_ADJUSTED=GAAP","Sort=A","Dates=H","DateFormat=P","Fill=—","Direction=H","UseDPDF=Y")</f>
        <v>1.0196000000000001</v>
      </c>
      <c r="S8" s="20">
        <f>_xll.BDH("ITCI US Equity","INVENT_TURN","FQ4 2022","FQ4 2022","Currency=USD","Period=FQ","BEST_FPERIOD_OVERRIDE=FQ","FILING_STATUS=MR","FA_ADJUSTED=GAAP","Sort=A","Dates=H","DateFormat=P","Fill=—","Direction=H","UseDPDF=Y")</f>
        <v>1.2829999999999999</v>
      </c>
      <c r="T8" s="20">
        <f>_xll.BDH("ITCI US Equity","INVENT_TURN","FQ1 2023","FQ1 2023","Currency=USD","Period=FQ","BEST_FPERIOD_OVERRIDE=FQ","FILING_STATUS=MR","FA_ADJUSTED=GAAP","Sort=A","Dates=H","DateFormat=P","Fill=—","Direction=H","UseDPDF=Y")</f>
        <v>1.3269</v>
      </c>
      <c r="U8" s="20">
        <f>_xll.BDH("ITCI US Equity","INVENT_TURN","FQ2 2023","FQ2 2023","Currency=USD","Period=FQ","BEST_FPERIOD_OVERRIDE=FQ","FILING_STATUS=MR","FA_ADJUSTED=GAAP","Sort=A","Dates=H","DateFormat=P","Fill=—","Direction=H","UseDPDF=Y")</f>
        <v>0.79359999999999997</v>
      </c>
      <c r="V8" s="20">
        <f>_xll.BDH("ITCI US Equity","INVENT_TURN","FQ3 2023","FQ3 2023","Currency=USD","Period=FQ","BEST_FPERIOD_OVERRIDE=FQ","FILING_STATUS=MR","FA_ADJUSTED=GAAP","Sort=A","Dates=H","DateFormat=P","Fill=—","Direction=H","UseDPDF=Y")</f>
        <v>0.89610000000000001</v>
      </c>
      <c r="W8" s="20">
        <f>_xll.BDH("ITCI US Equity","INVENT_TURN","FQ4 2023","FQ4 2023","Currency=USD","Period=FQ","BEST_FPERIOD_OVERRIDE=FQ","FILING_STATUS=MR","FA_ADJUSTED=GAAP","Sort=A","Dates=H","DateFormat=P","Fill=—","Direction=H","UseDPDF=Y")</f>
        <v>1.8975</v>
      </c>
      <c r="X8" s="20">
        <f>_xll.BDH("ITCI US Equity","INVENT_TURN","FQ1 2024","FQ1 2024","Currency=USD","Period=FQ","BEST_FPERIOD_OVERRIDE=FQ","FILING_STATUS=MR","FA_ADJUSTED=GAAP","Sort=A","Dates=H","DateFormat=P","Fill=—","Direction=H","UseDPDF=Y")</f>
        <v>1.6659999999999999</v>
      </c>
      <c r="Y8" s="20">
        <f>_xll.BDH("ITCI US Equity","INVENT_TURN","FQ2 2024","FQ2 2024","Currency=USD","Period=FQ","BEST_FPERIOD_OVERRIDE=FQ","FILING_STATUS=MR","FA_ADJUSTED=GAAP","Sort=A","Dates=H","DateFormat=P","Fill=—","Direction=H","UseDPDF=Y")</f>
        <v>1.3258000000000001</v>
      </c>
      <c r="Z8" s="20">
        <f>_xll.BDH("ITCI US Equity","INVENT_TURN","FQ3 2024","FQ3 2024","Currency=USD","Period=FQ","BEST_FPERIOD_OVERRIDE=FQ","FILING_STATUS=MR","FA_ADJUSTED=GAAP","Sort=A","Dates=H","DateFormat=P","Fill=—","Direction=H","UseDPDF=Y")</f>
        <v>1.4208000000000001</v>
      </c>
      <c r="AA8" s="20">
        <f>_xll.BDH("ITCI US Equity","INVENT_TURN","FQ4 2024","FQ4 2024","Currency=USD","Period=FQ","BEST_FPERIOD_OVERRIDE=FQ","FILING_STATUS=MR","FA_ADJUSTED=GAAP","Sort=A","Dates=H","DateFormat=P","Fill=—","Direction=H","UseDPDF=Y")</f>
        <v>3.0036</v>
      </c>
    </row>
    <row r="9" spans="1:27" x14ac:dyDescent="0.25">
      <c r="A9" s="10" t="s">
        <v>1232</v>
      </c>
      <c r="B9" s="10" t="s">
        <v>1233</v>
      </c>
      <c r="C9" s="14" t="str">
        <f>_xll.BDH("ITCI US Equity","INVENT_DAYS","FQ4 2018","FQ4 2018","Currency=USD","Period=FQ","BEST_FPERIOD_OVERRIDE=FQ","FILING_STATUS=MR","FA_ADJUSTED=GAAP","Sort=A","Dates=H","DateFormat=P","Fill=—","Direction=H","UseDPDF=Y")</f>
        <v>—</v>
      </c>
      <c r="D9" s="14" t="str">
        <f>_xll.BDH("ITCI US Equity","INVENT_DAYS","FQ1 2019","FQ1 2019","Currency=USD","Period=FQ","BEST_FPERIOD_OVERRIDE=FQ","FILING_STATUS=MR","FA_ADJUSTED=GAAP","Sort=A","Dates=H","DateFormat=P","Fill=—","Direction=H","UseDPDF=Y")</f>
        <v>—</v>
      </c>
      <c r="E9" s="14" t="str">
        <f>_xll.BDH("ITCI US Equity","INVENT_DAYS","FQ2 2019","FQ2 2019","Currency=USD","Period=FQ","BEST_FPERIOD_OVERRIDE=FQ","FILING_STATUS=MR","FA_ADJUSTED=GAAP","Sort=A","Dates=H","DateFormat=P","Fill=—","Direction=H","UseDPDF=Y")</f>
        <v>—</v>
      </c>
      <c r="F9" s="14" t="str">
        <f>_xll.BDH("ITCI US Equity","INVENT_DAYS","FQ3 2019","FQ3 2019","Currency=USD","Period=FQ","BEST_FPERIOD_OVERRIDE=FQ","FILING_STATUS=MR","FA_ADJUSTED=GAAP","Sort=A","Dates=H","DateFormat=P","Fill=—","Direction=H","UseDPDF=Y")</f>
        <v>—</v>
      </c>
      <c r="G9" s="14" t="str">
        <f>_xll.BDH("ITCI US Equity","INVENT_DAYS","FQ4 2019","FQ4 2019","Currency=USD","Period=FQ","BEST_FPERIOD_OVERRIDE=FQ","FILING_STATUS=MR","FA_ADJUSTED=GAAP","Sort=A","Dates=H","DateFormat=P","Fill=—","Direction=H","UseDPDF=Y")</f>
        <v>—</v>
      </c>
      <c r="H9" s="14" t="str">
        <f>_xll.BDH("ITCI US Equity","INVENT_DAYS","FQ1 2020","FQ1 2020","Currency=USD","Period=FQ","BEST_FPERIOD_OVERRIDE=FQ","FILING_STATUS=MR","FA_ADJUSTED=GAAP","Sort=A","Dates=H","DateFormat=P","Fill=—","Direction=H","UseDPDF=Y")</f>
        <v>—</v>
      </c>
      <c r="I9" s="14" t="str">
        <f>_xll.BDH("ITCI US Equity","INVENT_DAYS","FQ2 2020","FQ2 2020","Currency=USD","Period=FQ","BEST_FPERIOD_OVERRIDE=FQ","FILING_STATUS=MR","FA_ADJUSTED=GAAP","Sort=A","Dates=H","DateFormat=P","Fill=—","Direction=H","UseDPDF=Y")</f>
        <v>—</v>
      </c>
      <c r="J9" s="14" t="str">
        <f>_xll.BDH("ITCI US Equity","INVENT_DAYS","FQ3 2020","FQ3 2020","Currency=USD","Period=FQ","BEST_FPERIOD_OVERRIDE=FQ","FILING_STATUS=MR","FA_ADJUSTED=GAAP","Sort=A","Dates=H","DateFormat=P","Fill=—","Direction=H","UseDPDF=Y")</f>
        <v>—</v>
      </c>
      <c r="K9" s="14">
        <f>_xll.BDH("ITCI US Equity","INVENT_DAYS","FQ4 2020","FQ4 2020","Currency=USD","Period=FQ","BEST_FPERIOD_OVERRIDE=FQ","FILING_STATUS=MR","FA_ADJUSTED=GAAP","Sort=A","Dates=H","DateFormat=P","Fill=—","Direction=H","UseDPDF=Y")</f>
        <v>681.42409999999995</v>
      </c>
      <c r="L9" s="14">
        <f>_xll.BDH("ITCI US Equity","INVENT_DAYS","FQ1 2021","FQ1 2021","Currency=USD","Period=FQ","BEST_FPERIOD_OVERRIDE=FQ","FILING_STATUS=MR","FA_ADJUSTED=GAAP","Sort=A","Dates=H","DateFormat=P","Fill=—","Direction=H","UseDPDF=Y")</f>
        <v>498.97980000000001</v>
      </c>
      <c r="M9" s="14">
        <f>_xll.BDH("ITCI US Equity","INVENT_DAYS","FQ2 2021","FQ2 2021","Currency=USD","Period=FQ","BEST_FPERIOD_OVERRIDE=FQ","FILING_STATUS=MR","FA_ADJUSTED=GAAP","Sort=A","Dates=H","DateFormat=P","Fill=—","Direction=H","UseDPDF=Y")</f>
        <v>355.125</v>
      </c>
      <c r="N9" s="14">
        <f>_xll.BDH("ITCI US Equity","INVENT_DAYS","FQ3 2021","FQ3 2021","Currency=USD","Period=FQ","BEST_FPERIOD_OVERRIDE=FQ","FILING_STATUS=MR","FA_ADJUSTED=GAAP","Sort=A","Dates=H","DateFormat=P","Fill=—","Direction=H","UseDPDF=Y")</f>
        <v>305.57859999999999</v>
      </c>
      <c r="O9" s="14">
        <f>_xll.BDH("ITCI US Equity","INVENT_DAYS","FQ4 2021","FQ4 2021","Currency=USD","Period=FQ","BEST_FPERIOD_OVERRIDE=FQ","FILING_STATUS=MR","FA_ADJUSTED=GAAP","Sort=A","Dates=H","DateFormat=P","Fill=—","Direction=H","UseDPDF=Y")</f>
        <v>340.8168</v>
      </c>
      <c r="P9" s="14">
        <f>_xll.BDH("ITCI US Equity","INVENT_DAYS","FQ1 2022","FQ1 2022","Currency=USD","Period=FQ","BEST_FPERIOD_OVERRIDE=FQ","FILING_STATUS=MR","FA_ADJUSTED=GAAP","Sort=A","Dates=H","DateFormat=P","Fill=—","Direction=H","UseDPDF=Y")</f>
        <v>290.07639999999998</v>
      </c>
      <c r="Q9" s="14">
        <f>_xll.BDH("ITCI US Equity","INVENT_DAYS","FQ2 2022","FQ2 2022","Currency=USD","Period=FQ","BEST_FPERIOD_OVERRIDE=FQ","FILING_STATUS=MR","FA_ADJUSTED=GAAP","Sort=A","Dates=H","DateFormat=P","Fill=—","Direction=H","UseDPDF=Y")</f>
        <v>484.78320000000002</v>
      </c>
      <c r="R9" s="14">
        <f>_xll.BDH("ITCI US Equity","INVENT_DAYS","FQ3 2022","FQ3 2022","Currency=USD","Period=FQ","BEST_FPERIOD_OVERRIDE=FQ","FILING_STATUS=MR","FA_ADJUSTED=GAAP","Sort=A","Dates=H","DateFormat=P","Fill=—","Direction=H","UseDPDF=Y")</f>
        <v>357.98849999999999</v>
      </c>
      <c r="S9" s="14">
        <f>_xll.BDH("ITCI US Equity","INVENT_DAYS","FQ4 2022","FQ4 2022","Currency=USD","Period=FQ","BEST_FPERIOD_OVERRIDE=FQ","FILING_STATUS=MR","FA_ADJUSTED=GAAP","Sort=A","Dates=H","DateFormat=P","Fill=—","Direction=H","UseDPDF=Y")</f>
        <v>284.49509999999998</v>
      </c>
      <c r="T9" s="14">
        <f>_xll.BDH("ITCI US Equity","INVENT_DAYS","FQ1 2023","FQ1 2023","Currency=USD","Period=FQ","BEST_FPERIOD_OVERRIDE=FQ","FILING_STATUS=MR","FA_ADJUSTED=GAAP","Sort=A","Dates=H","DateFormat=P","Fill=—","Direction=H","UseDPDF=Y")</f>
        <v>275.08240000000001</v>
      </c>
      <c r="U9" s="14">
        <f>_xll.BDH("ITCI US Equity","INVENT_DAYS","FQ2 2023","FQ2 2023","Currency=USD","Period=FQ","BEST_FPERIOD_OVERRIDE=FQ","FILING_STATUS=MR","FA_ADJUSTED=GAAP","Sort=A","Dates=H","DateFormat=P","Fill=—","Direction=H","UseDPDF=Y")</f>
        <v>459.94099999999997</v>
      </c>
      <c r="V9" s="14">
        <f>_xll.BDH("ITCI US Equity","INVENT_DAYS","FQ3 2023","FQ3 2023","Currency=USD","Period=FQ","BEST_FPERIOD_OVERRIDE=FQ","FILING_STATUS=MR","FA_ADJUSTED=GAAP","Sort=A","Dates=H","DateFormat=P","Fill=—","Direction=H","UseDPDF=Y")</f>
        <v>407.34129999999999</v>
      </c>
      <c r="W9" s="14">
        <f>_xll.BDH("ITCI US Equity","INVENT_DAYS","FQ4 2023","FQ4 2023","Currency=USD","Period=FQ","BEST_FPERIOD_OVERRIDE=FQ","FILING_STATUS=MR","FA_ADJUSTED=GAAP","Sort=A","Dates=H","DateFormat=P","Fill=—","Direction=H","UseDPDF=Y")</f>
        <v>192.35380000000001</v>
      </c>
      <c r="X9" s="14">
        <f>_xll.BDH("ITCI US Equity","INVENT_DAYS","FQ1 2024","FQ1 2024","Currency=USD","Period=FQ","BEST_FPERIOD_OVERRIDE=FQ","FILING_STATUS=MR","FA_ADJUSTED=GAAP","Sort=A","Dates=H","DateFormat=P","Fill=—","Direction=H","UseDPDF=Y")</f>
        <v>219.68530000000001</v>
      </c>
      <c r="Y9" s="14">
        <f>_xll.BDH("ITCI US Equity","INVENT_DAYS","FQ2 2024","FQ2 2024","Currency=USD","Period=FQ","BEST_FPERIOD_OVERRIDE=FQ","FILING_STATUS=MR","FA_ADJUSTED=GAAP","Sort=A","Dates=H","DateFormat=P","Fill=—","Direction=H","UseDPDF=Y")</f>
        <v>276.05669999999998</v>
      </c>
      <c r="Z9" s="14">
        <f>_xll.BDH("ITCI US Equity","INVENT_DAYS","FQ3 2024","FQ3 2024","Currency=USD","Period=FQ","BEST_FPERIOD_OVERRIDE=FQ","FILING_STATUS=MR","FA_ADJUSTED=GAAP","Sort=A","Dates=H","DateFormat=P","Fill=—","Direction=H","UseDPDF=Y")</f>
        <v>257.59789999999998</v>
      </c>
      <c r="AA9" s="14">
        <f>_xll.BDH("ITCI US Equity","INVENT_DAYS","FQ4 2024","FQ4 2024","Currency=USD","Period=FQ","BEST_FPERIOD_OVERRIDE=FQ","FILING_STATUS=MR","FA_ADJUSTED=GAAP","Sort=A","Dates=H","DateFormat=P","Fill=—","Direction=H","UseDPDF=Y")</f>
        <v>121.8544</v>
      </c>
    </row>
    <row r="10" spans="1:27" x14ac:dyDescent="0.25">
      <c r="A10" s="6" t="s">
        <v>1234</v>
      </c>
      <c r="B10" s="6" t="s">
        <v>1235</v>
      </c>
      <c r="C10" s="20" t="str">
        <f>_xll.BDH("ITCI US Equity","ACCOUNTS_PAYABLE_TURNOVER","FQ4 2018","FQ4 2018","Currency=USD","Period=FQ","BEST_FPERIOD_OVERRIDE=FQ","FILING_STATUS=MR","FA_ADJUSTED=GAAP","Sort=A","Dates=H","DateFormat=P","Fill=—","Direction=H","UseDPDF=Y")</f>
        <v>—</v>
      </c>
      <c r="D10" s="20" t="str">
        <f>_xll.BDH("ITCI US Equity","ACCOUNTS_PAYABLE_TURNOVER","FQ1 2019","FQ1 2019","Currency=USD","Period=FQ","BEST_FPERIOD_OVERRIDE=FQ","FILING_STATUS=MR","FA_ADJUSTED=GAAP","Sort=A","Dates=H","DateFormat=P","Fill=—","Direction=H","UseDPDF=Y")</f>
        <v>—</v>
      </c>
      <c r="E10" s="20" t="str">
        <f>_xll.BDH("ITCI US Equity","ACCOUNTS_PAYABLE_TURNOVER","FQ2 2019","FQ2 2019","Currency=USD","Period=FQ","BEST_FPERIOD_OVERRIDE=FQ","FILING_STATUS=MR","FA_ADJUSTED=GAAP","Sort=A","Dates=H","DateFormat=P","Fill=—","Direction=H","UseDPDF=Y")</f>
        <v>—</v>
      </c>
      <c r="F10" s="20" t="str">
        <f>_xll.BDH("ITCI US Equity","ACCOUNTS_PAYABLE_TURNOVER","FQ3 2019","FQ3 2019","Currency=USD","Period=FQ","BEST_FPERIOD_OVERRIDE=FQ","FILING_STATUS=MR","FA_ADJUSTED=GAAP","Sort=A","Dates=H","DateFormat=P","Fill=—","Direction=H","UseDPDF=Y")</f>
        <v>—</v>
      </c>
      <c r="G10" s="20" t="str">
        <f>_xll.BDH("ITCI US Equity","ACCOUNTS_PAYABLE_TURNOVER","FQ4 2019","FQ4 2019","Currency=USD","Period=FQ","BEST_FPERIOD_OVERRIDE=FQ","FILING_STATUS=MR","FA_ADJUSTED=GAAP","Sort=A","Dates=H","DateFormat=P","Fill=—","Direction=H","UseDPDF=Y")</f>
        <v>—</v>
      </c>
      <c r="H10" s="20" t="str">
        <f>_xll.BDH("ITCI US Equity","ACCOUNTS_PAYABLE_TURNOVER","FQ1 2020","FQ1 2020","Currency=USD","Period=FQ","BEST_FPERIOD_OVERRIDE=FQ","FILING_STATUS=MR","FA_ADJUSTED=GAAP","Sort=A","Dates=H","DateFormat=P","Fill=—","Direction=H","UseDPDF=Y")</f>
        <v>—</v>
      </c>
      <c r="I10" s="20" t="str">
        <f>_xll.BDH("ITCI US Equity","ACCOUNTS_PAYABLE_TURNOVER","FQ2 2020","FQ2 2020","Currency=USD","Period=FQ","BEST_FPERIOD_OVERRIDE=FQ","FILING_STATUS=MR","FA_ADJUSTED=GAAP","Sort=A","Dates=H","DateFormat=P","Fill=—","Direction=H","UseDPDF=Y")</f>
        <v>—</v>
      </c>
      <c r="J10" s="20" t="str">
        <f>_xll.BDH("ITCI US Equity","ACCOUNTS_PAYABLE_TURNOVER","FQ3 2020","FQ3 2020","Currency=USD","Period=FQ","BEST_FPERIOD_OVERRIDE=FQ","FILING_STATUS=MR","FA_ADJUSTED=GAAP","Sort=A","Dates=H","DateFormat=P","Fill=—","Direction=H","UseDPDF=Y")</f>
        <v>—</v>
      </c>
      <c r="K10" s="20">
        <f>_xll.BDH("ITCI US Equity","ACCOUNTS_PAYABLE_TURNOVER","FQ4 2020","FQ4 2020","Currency=USD","Period=FQ","BEST_FPERIOD_OVERRIDE=FQ","FILING_STATUS=MR","FA_ADJUSTED=GAAP","Sort=A","Dates=H","DateFormat=P","Fill=—","Direction=H","UseDPDF=Y")</f>
        <v>1.3849</v>
      </c>
      <c r="L10" s="20">
        <f>_xll.BDH("ITCI US Equity","ACCOUNTS_PAYABLE_TURNOVER","FQ1 2021","FQ1 2021","Currency=USD","Period=FQ","BEST_FPERIOD_OVERRIDE=FQ","FILING_STATUS=MR","FA_ADJUSTED=GAAP","Sort=A","Dates=H","DateFormat=P","Fill=—","Direction=H","UseDPDF=Y")</f>
        <v>0.96060000000000001</v>
      </c>
      <c r="M10" s="20">
        <f>_xll.BDH("ITCI US Equity","ACCOUNTS_PAYABLE_TURNOVER","FQ2 2021","FQ2 2021","Currency=USD","Period=FQ","BEST_FPERIOD_OVERRIDE=FQ","FILING_STATUS=MR","FA_ADJUSTED=GAAP","Sort=A","Dates=H","DateFormat=P","Fill=—","Direction=H","UseDPDF=Y")</f>
        <v>0.99250000000000005</v>
      </c>
      <c r="N10" s="20">
        <f>_xll.BDH("ITCI US Equity","ACCOUNTS_PAYABLE_TURNOVER","FQ3 2021","FQ3 2021","Currency=USD","Period=FQ","BEST_FPERIOD_OVERRIDE=FQ","FILING_STATUS=MR","FA_ADJUSTED=GAAP","Sort=A","Dates=H","DateFormat=P","Fill=—","Direction=H","UseDPDF=Y")</f>
        <v>1.1512</v>
      </c>
      <c r="O10" s="20">
        <f>_xll.BDH("ITCI US Equity","ACCOUNTS_PAYABLE_TURNOVER","FQ4 2021","FQ4 2021","Currency=USD","Period=FQ","BEST_FPERIOD_OVERRIDE=FQ","FILING_STATUS=MR","FA_ADJUSTED=GAAP","Sort=A","Dates=H","DateFormat=P","Fill=—","Direction=H","UseDPDF=Y")</f>
        <v>1.2578</v>
      </c>
      <c r="P10" s="20">
        <f>_xll.BDH("ITCI US Equity","ACCOUNTS_PAYABLE_TURNOVER","FQ1 2022","FQ1 2022","Currency=USD","Period=FQ","BEST_FPERIOD_OVERRIDE=FQ","FILING_STATUS=MR","FA_ADJUSTED=GAAP","Sort=A","Dates=H","DateFormat=P","Fill=—","Direction=H","UseDPDF=Y")</f>
        <v>0.98650000000000004</v>
      </c>
      <c r="Q10" s="20">
        <f>_xll.BDH("ITCI US Equity","ACCOUNTS_PAYABLE_TURNOVER","FQ2 2022","FQ2 2022","Currency=USD","Period=FQ","BEST_FPERIOD_OVERRIDE=FQ","FILING_STATUS=MR","FA_ADJUSTED=GAAP","Sort=A","Dates=H","DateFormat=P","Fill=—","Direction=H","UseDPDF=Y")</f>
        <v>2.2179000000000002</v>
      </c>
      <c r="R10" s="20">
        <f>_xll.BDH("ITCI US Equity","ACCOUNTS_PAYABLE_TURNOVER","FQ3 2022","FQ3 2022","Currency=USD","Period=FQ","BEST_FPERIOD_OVERRIDE=FQ","FILING_STATUS=MR","FA_ADJUSTED=GAAP","Sort=A","Dates=H","DateFormat=P","Fill=—","Direction=H","UseDPDF=Y")</f>
        <v>2.4094000000000002</v>
      </c>
      <c r="S10" s="20">
        <f>_xll.BDH("ITCI US Equity","ACCOUNTS_PAYABLE_TURNOVER","FQ4 2022","FQ4 2022","Currency=USD","Period=FQ","BEST_FPERIOD_OVERRIDE=FQ","FILING_STATUS=MR","FA_ADJUSTED=GAAP","Sort=A","Dates=H","DateFormat=P","Fill=—","Direction=H","UseDPDF=Y")</f>
        <v>3.8157999999999999</v>
      </c>
      <c r="T10" s="20">
        <f>_xll.BDH("ITCI US Equity","ACCOUNTS_PAYABLE_TURNOVER","FQ1 2023","FQ1 2023","Currency=USD","Period=FQ","BEST_FPERIOD_OVERRIDE=FQ","FILING_STATUS=MR","FA_ADJUSTED=GAAP","Sort=A","Dates=H","DateFormat=P","Fill=—","Direction=H","UseDPDF=Y")</f>
        <v>4.4287999999999998</v>
      </c>
      <c r="U10" s="20">
        <f>_xll.BDH("ITCI US Equity","ACCOUNTS_PAYABLE_TURNOVER","FQ2 2023","FQ2 2023","Currency=USD","Period=FQ","BEST_FPERIOD_OVERRIDE=FQ","FILING_STATUS=MR","FA_ADJUSTED=GAAP","Sort=A","Dates=H","DateFormat=P","Fill=—","Direction=H","UseDPDF=Y")</f>
        <v>4.6992000000000003</v>
      </c>
      <c r="V10" s="20">
        <f>_xll.BDH("ITCI US Equity","ACCOUNTS_PAYABLE_TURNOVER","FQ3 2023","FQ3 2023","Currency=USD","Period=FQ","BEST_FPERIOD_OVERRIDE=FQ","FILING_STATUS=MR","FA_ADJUSTED=GAAP","Sort=A","Dates=H","DateFormat=P","Fill=—","Direction=H","UseDPDF=Y")</f>
        <v>3.9641999999999999</v>
      </c>
      <c r="W10" s="20">
        <f>_xll.BDH("ITCI US Equity","ACCOUNTS_PAYABLE_TURNOVER","FQ4 2023","FQ4 2023","Currency=USD","Period=FQ","BEST_FPERIOD_OVERRIDE=FQ","FILING_STATUS=MR","FA_ADJUSTED=GAAP","Sort=A","Dates=H","DateFormat=P","Fill=—","Direction=H","UseDPDF=Y")</f>
        <v>1.9657</v>
      </c>
      <c r="X10" s="20">
        <f>_xll.BDH("ITCI US Equity","ACCOUNTS_PAYABLE_TURNOVER","FQ1 2024","FQ1 2024","Currency=USD","Period=FQ","BEST_FPERIOD_OVERRIDE=FQ","FILING_STATUS=MR","FA_ADJUSTED=GAAP","Sort=A","Dates=H","DateFormat=P","Fill=—","Direction=H","UseDPDF=Y")</f>
        <v>2.4535</v>
      </c>
      <c r="Y10" s="20">
        <f>_xll.BDH("ITCI US Equity","ACCOUNTS_PAYABLE_TURNOVER","FQ2 2024","FQ2 2024","Currency=USD","Period=FQ","BEST_FPERIOD_OVERRIDE=FQ","FILING_STATUS=MR","FA_ADJUSTED=GAAP","Sort=A","Dates=H","DateFormat=P","Fill=—","Direction=H","UseDPDF=Y")</f>
        <v>1.5246</v>
      </c>
      <c r="Z10" s="20">
        <f>_xll.BDH("ITCI US Equity","ACCOUNTS_PAYABLE_TURNOVER","FQ3 2024","FQ3 2024","Currency=USD","Period=FQ","BEST_FPERIOD_OVERRIDE=FQ","FILING_STATUS=MR","FA_ADJUSTED=GAAP","Sort=A","Dates=H","DateFormat=P","Fill=—","Direction=H","UseDPDF=Y")</f>
        <v>2.6551</v>
      </c>
      <c r="AA10" s="20">
        <f>_xll.BDH("ITCI US Equity","ACCOUNTS_PAYABLE_TURNOVER","FQ4 2024","FQ4 2024","Currency=USD","Period=FQ","BEST_FPERIOD_OVERRIDE=FQ","FILING_STATUS=MR","FA_ADJUSTED=GAAP","Sort=A","Dates=H","DateFormat=P","Fill=—","Direction=H","UseDPDF=Y")</f>
        <v>3.8159999999999998</v>
      </c>
    </row>
    <row r="11" spans="1:27" x14ac:dyDescent="0.25">
      <c r="A11" s="10" t="s">
        <v>1236</v>
      </c>
      <c r="B11" s="10" t="s">
        <v>1237</v>
      </c>
      <c r="C11" s="14" t="str">
        <f>_xll.BDH("ITCI US Equity","ACCOUNTS_PAYABLE_TURNOVER_DAYS","FQ4 2018","FQ4 2018","Currency=USD","Period=FQ","BEST_FPERIOD_OVERRIDE=FQ","FILING_STATUS=MR","FA_ADJUSTED=GAAP","Sort=A","Dates=H","DateFormat=P","Fill=—","Direction=H","UseDPDF=Y")</f>
        <v>—</v>
      </c>
      <c r="D11" s="14" t="str">
        <f>_xll.BDH("ITCI US Equity","ACCOUNTS_PAYABLE_TURNOVER_DAYS","FQ1 2019","FQ1 2019","Currency=USD","Period=FQ","BEST_FPERIOD_OVERRIDE=FQ","FILING_STATUS=MR","FA_ADJUSTED=GAAP","Sort=A","Dates=H","DateFormat=P","Fill=—","Direction=H","UseDPDF=Y")</f>
        <v>—</v>
      </c>
      <c r="E11" s="14" t="str">
        <f>_xll.BDH("ITCI US Equity","ACCOUNTS_PAYABLE_TURNOVER_DAYS","FQ2 2019","FQ2 2019","Currency=USD","Period=FQ","BEST_FPERIOD_OVERRIDE=FQ","FILING_STATUS=MR","FA_ADJUSTED=GAAP","Sort=A","Dates=H","DateFormat=P","Fill=—","Direction=H","UseDPDF=Y")</f>
        <v>—</v>
      </c>
      <c r="F11" s="14" t="str">
        <f>_xll.BDH("ITCI US Equity","ACCOUNTS_PAYABLE_TURNOVER_DAYS","FQ3 2019","FQ3 2019","Currency=USD","Period=FQ","BEST_FPERIOD_OVERRIDE=FQ","FILING_STATUS=MR","FA_ADJUSTED=GAAP","Sort=A","Dates=H","DateFormat=P","Fill=—","Direction=H","UseDPDF=Y")</f>
        <v>—</v>
      </c>
      <c r="G11" s="14" t="str">
        <f>_xll.BDH("ITCI US Equity","ACCOUNTS_PAYABLE_TURNOVER_DAYS","FQ4 2019","FQ4 2019","Currency=USD","Period=FQ","BEST_FPERIOD_OVERRIDE=FQ","FILING_STATUS=MR","FA_ADJUSTED=GAAP","Sort=A","Dates=H","DateFormat=P","Fill=—","Direction=H","UseDPDF=Y")</f>
        <v>—</v>
      </c>
      <c r="H11" s="14" t="str">
        <f>_xll.BDH("ITCI US Equity","ACCOUNTS_PAYABLE_TURNOVER_DAYS","FQ1 2020","FQ1 2020","Currency=USD","Period=FQ","BEST_FPERIOD_OVERRIDE=FQ","FILING_STATUS=MR","FA_ADJUSTED=GAAP","Sort=A","Dates=H","DateFormat=P","Fill=—","Direction=H","UseDPDF=Y")</f>
        <v>—</v>
      </c>
      <c r="I11" s="14" t="str">
        <f>_xll.BDH("ITCI US Equity","ACCOUNTS_PAYABLE_TURNOVER_DAYS","FQ2 2020","FQ2 2020","Currency=USD","Period=FQ","BEST_FPERIOD_OVERRIDE=FQ","FILING_STATUS=MR","FA_ADJUSTED=GAAP","Sort=A","Dates=H","DateFormat=P","Fill=—","Direction=H","UseDPDF=Y")</f>
        <v>—</v>
      </c>
      <c r="J11" s="14" t="str">
        <f>_xll.BDH("ITCI US Equity","ACCOUNTS_PAYABLE_TURNOVER_DAYS","FQ3 2020","FQ3 2020","Currency=USD","Period=FQ","BEST_FPERIOD_OVERRIDE=FQ","FILING_STATUS=MR","FA_ADJUSTED=GAAP","Sort=A","Dates=H","DateFormat=P","Fill=—","Direction=H","UseDPDF=Y")</f>
        <v>—</v>
      </c>
      <c r="K11" s="14">
        <f>_xll.BDH("ITCI US Equity","ACCOUNTS_PAYABLE_TURNOVER_DAYS","FQ4 2020","FQ4 2020","Currency=USD","Period=FQ","BEST_FPERIOD_OVERRIDE=FQ","FILING_STATUS=MR","FA_ADJUSTED=GAAP","Sort=A","Dates=H","DateFormat=P","Fill=—","Direction=H","UseDPDF=Y")</f>
        <v>264.27260000000001</v>
      </c>
      <c r="L11" s="14">
        <f>_xll.BDH("ITCI US Equity","ACCOUNTS_PAYABLE_TURNOVER_DAYS","FQ1 2021","FQ1 2021","Currency=USD","Period=FQ","BEST_FPERIOD_OVERRIDE=FQ","FILING_STATUS=MR","FA_ADJUSTED=GAAP","Sort=A","Dates=H","DateFormat=P","Fill=—","Direction=H","UseDPDF=Y")</f>
        <v>379.96809999999999</v>
      </c>
      <c r="M11" s="14">
        <f>_xll.BDH("ITCI US Equity","ACCOUNTS_PAYABLE_TURNOVER_DAYS","FQ2 2021","FQ2 2021","Currency=USD","Period=FQ","BEST_FPERIOD_OVERRIDE=FQ","FILING_STATUS=MR","FA_ADJUSTED=GAAP","Sort=A","Dates=H","DateFormat=P","Fill=—","Direction=H","UseDPDF=Y")</f>
        <v>367.76990000000001</v>
      </c>
      <c r="N11" s="14">
        <f>_xll.BDH("ITCI US Equity","ACCOUNTS_PAYABLE_TURNOVER_DAYS","FQ3 2021","FQ3 2021","Currency=USD","Period=FQ","BEST_FPERIOD_OVERRIDE=FQ","FILING_STATUS=MR","FA_ADJUSTED=GAAP","Sort=A","Dates=H","DateFormat=P","Fill=—","Direction=H","UseDPDF=Y")</f>
        <v>317.05489999999998</v>
      </c>
      <c r="O11" s="14">
        <f>_xll.BDH("ITCI US Equity","ACCOUNTS_PAYABLE_TURNOVER_DAYS","FQ4 2021","FQ4 2021","Currency=USD","Period=FQ","BEST_FPERIOD_OVERRIDE=FQ","FILING_STATUS=MR","FA_ADJUSTED=GAAP","Sort=A","Dates=H","DateFormat=P","Fill=—","Direction=H","UseDPDF=Y")</f>
        <v>290.17869999999999</v>
      </c>
      <c r="P11" s="14">
        <f>_xll.BDH("ITCI US Equity","ACCOUNTS_PAYABLE_TURNOVER_DAYS","FQ1 2022","FQ1 2022","Currency=USD","Period=FQ","BEST_FPERIOD_OVERRIDE=FQ","FILING_STATUS=MR","FA_ADJUSTED=GAAP","Sort=A","Dates=H","DateFormat=P","Fill=—","Direction=H","UseDPDF=Y")</f>
        <v>369.97649999999999</v>
      </c>
      <c r="Q11" s="14">
        <f>_xll.BDH("ITCI US Equity","ACCOUNTS_PAYABLE_TURNOVER_DAYS","FQ2 2022","FQ2 2022","Currency=USD","Period=FQ","BEST_FPERIOD_OVERRIDE=FQ","FILING_STATUS=MR","FA_ADJUSTED=GAAP","Sort=A","Dates=H","DateFormat=P","Fill=—","Direction=H","UseDPDF=Y")</f>
        <v>164.57069999999999</v>
      </c>
      <c r="R11" s="14">
        <f>_xll.BDH("ITCI US Equity","ACCOUNTS_PAYABLE_TURNOVER_DAYS","FQ3 2022","FQ3 2022","Currency=USD","Period=FQ","BEST_FPERIOD_OVERRIDE=FQ","FILING_STATUS=MR","FA_ADJUSTED=GAAP","Sort=A","Dates=H","DateFormat=P","Fill=—","Direction=H","UseDPDF=Y")</f>
        <v>151.48910000000001</v>
      </c>
      <c r="S11" s="14">
        <f>_xll.BDH("ITCI US Equity","ACCOUNTS_PAYABLE_TURNOVER_DAYS","FQ4 2022","FQ4 2022","Currency=USD","Period=FQ","BEST_FPERIOD_OVERRIDE=FQ","FILING_STATUS=MR","FA_ADJUSTED=GAAP","Sort=A","Dates=H","DateFormat=P","Fill=—","Direction=H","UseDPDF=Y")</f>
        <v>95.654200000000003</v>
      </c>
      <c r="T11" s="14">
        <f>_xll.BDH("ITCI US Equity","ACCOUNTS_PAYABLE_TURNOVER_DAYS","FQ1 2023","FQ1 2023","Currency=USD","Period=FQ","BEST_FPERIOD_OVERRIDE=FQ","FILING_STATUS=MR","FA_ADJUSTED=GAAP","Sort=A","Dates=H","DateFormat=P","Fill=—","Direction=H","UseDPDF=Y")</f>
        <v>82.415599999999998</v>
      </c>
      <c r="U11" s="14">
        <f>_xll.BDH("ITCI US Equity","ACCOUNTS_PAYABLE_TURNOVER_DAYS","FQ2 2023","FQ2 2023","Currency=USD","Period=FQ","BEST_FPERIOD_OVERRIDE=FQ","FILING_STATUS=MR","FA_ADJUSTED=GAAP","Sort=A","Dates=H","DateFormat=P","Fill=—","Direction=H","UseDPDF=Y")</f>
        <v>77.673299999999998</v>
      </c>
      <c r="V11" s="14">
        <f>_xll.BDH("ITCI US Equity","ACCOUNTS_PAYABLE_TURNOVER_DAYS","FQ3 2023","FQ3 2023","Currency=USD","Period=FQ","BEST_FPERIOD_OVERRIDE=FQ","FILING_STATUS=MR","FA_ADJUSTED=GAAP","Sort=A","Dates=H","DateFormat=P","Fill=—","Direction=H","UseDPDF=Y")</f>
        <v>92.073099999999997</v>
      </c>
      <c r="W11" s="14">
        <f>_xll.BDH("ITCI US Equity","ACCOUNTS_PAYABLE_TURNOVER_DAYS","FQ4 2023","FQ4 2023","Currency=USD","Period=FQ","BEST_FPERIOD_OVERRIDE=FQ","FILING_STATUS=MR","FA_ADJUSTED=GAAP","Sort=A","Dates=H","DateFormat=P","Fill=—","Direction=H","UseDPDF=Y")</f>
        <v>185.68729999999999</v>
      </c>
      <c r="X11" s="14">
        <f>_xll.BDH("ITCI US Equity","ACCOUNTS_PAYABLE_TURNOVER_DAYS","FQ1 2024","FQ1 2024","Currency=USD","Period=FQ","BEST_FPERIOD_OVERRIDE=FQ","FILING_STATUS=MR","FA_ADJUSTED=GAAP","Sort=A","Dates=H","DateFormat=P","Fill=—","Direction=H","UseDPDF=Y")</f>
        <v>149.1739</v>
      </c>
      <c r="Y11" s="14">
        <f>_xll.BDH("ITCI US Equity","ACCOUNTS_PAYABLE_TURNOVER_DAYS","FQ2 2024","FQ2 2024","Currency=USD","Period=FQ","BEST_FPERIOD_OVERRIDE=FQ","FILING_STATUS=MR","FA_ADJUSTED=GAAP","Sort=A","Dates=H","DateFormat=P","Fill=—","Direction=H","UseDPDF=Y")</f>
        <v>240.05930000000001</v>
      </c>
      <c r="Z11" s="14">
        <f>_xll.BDH("ITCI US Equity","ACCOUNTS_PAYABLE_TURNOVER_DAYS","FQ3 2024","FQ3 2024","Currency=USD","Period=FQ","BEST_FPERIOD_OVERRIDE=FQ","FILING_STATUS=MR","FA_ADJUSTED=GAAP","Sort=A","Dates=H","DateFormat=P","Fill=—","Direction=H","UseDPDF=Y")</f>
        <v>137.85040000000001</v>
      </c>
      <c r="AA11" s="14">
        <f>_xll.BDH("ITCI US Equity","ACCOUNTS_PAYABLE_TURNOVER_DAYS","FQ4 2024","FQ4 2024","Currency=USD","Period=FQ","BEST_FPERIOD_OVERRIDE=FQ","FILING_STATUS=MR","FA_ADJUSTED=GAAP","Sort=A","Dates=H","DateFormat=P","Fill=—","Direction=H","UseDPDF=Y")</f>
        <v>95.912800000000004</v>
      </c>
    </row>
    <row r="12" spans="1:27" x14ac:dyDescent="0.25">
      <c r="A12" s="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x14ac:dyDescent="0.25">
      <c r="A13" s="6" t="s">
        <v>682</v>
      </c>
      <c r="B13" s="6" t="s">
        <v>683</v>
      </c>
      <c r="C13" s="20" t="str">
        <f>_xll.BDH("ITCI US Equity","CASH_CONVERSION_CYCLE","FQ4 2018","FQ4 2018","Currency=USD","Period=FQ","BEST_FPERIOD_OVERRIDE=FQ","FILING_STATUS=MR","FA_ADJUSTED=GAAP","Sort=A","Dates=H","DateFormat=P","Fill=—","Direction=H","UseDPDF=Y")</f>
        <v>—</v>
      </c>
      <c r="D13" s="20" t="str">
        <f>_xll.BDH("ITCI US Equity","CASH_CONVERSION_CYCLE","FQ1 2019","FQ1 2019","Currency=USD","Period=FQ","BEST_FPERIOD_OVERRIDE=FQ","FILING_STATUS=MR","FA_ADJUSTED=GAAP","Sort=A","Dates=H","DateFormat=P","Fill=—","Direction=H","UseDPDF=Y")</f>
        <v>—</v>
      </c>
      <c r="E13" s="20" t="str">
        <f>_xll.BDH("ITCI US Equity","CASH_CONVERSION_CYCLE","FQ2 2019","FQ2 2019","Currency=USD","Period=FQ","BEST_FPERIOD_OVERRIDE=FQ","FILING_STATUS=MR","FA_ADJUSTED=GAAP","Sort=A","Dates=H","DateFormat=P","Fill=—","Direction=H","UseDPDF=Y")</f>
        <v>—</v>
      </c>
      <c r="F13" s="20" t="str">
        <f>_xll.BDH("ITCI US Equity","CASH_CONVERSION_CYCLE","FQ3 2019","FQ3 2019","Currency=USD","Period=FQ","BEST_FPERIOD_OVERRIDE=FQ","FILING_STATUS=MR","FA_ADJUSTED=GAAP","Sort=A","Dates=H","DateFormat=P","Fill=—","Direction=H","UseDPDF=Y")</f>
        <v>—</v>
      </c>
      <c r="G13" s="20" t="str">
        <f>_xll.BDH("ITCI US Equity","CASH_CONVERSION_CYCLE","FQ4 2019","FQ4 2019","Currency=USD","Period=FQ","BEST_FPERIOD_OVERRIDE=FQ","FILING_STATUS=MR","FA_ADJUSTED=GAAP","Sort=A","Dates=H","DateFormat=P","Fill=—","Direction=H","UseDPDF=Y")</f>
        <v>—</v>
      </c>
      <c r="H13" s="20" t="str">
        <f>_xll.BDH("ITCI US Equity","CASH_CONVERSION_CYCLE","FQ1 2020","FQ1 2020","Currency=USD","Period=FQ","BEST_FPERIOD_OVERRIDE=FQ","FILING_STATUS=MR","FA_ADJUSTED=GAAP","Sort=A","Dates=H","DateFormat=P","Fill=—","Direction=H","UseDPDF=Y")</f>
        <v>—</v>
      </c>
      <c r="I13" s="20" t="str">
        <f>_xll.BDH("ITCI US Equity","CASH_CONVERSION_CYCLE","FQ2 2020","FQ2 2020","Currency=USD","Period=FQ","BEST_FPERIOD_OVERRIDE=FQ","FILING_STATUS=MR","FA_ADJUSTED=GAAP","Sort=A","Dates=H","DateFormat=P","Fill=—","Direction=H","UseDPDF=Y")</f>
        <v>—</v>
      </c>
      <c r="J13" s="20" t="str">
        <f>_xll.BDH("ITCI US Equity","CASH_CONVERSION_CYCLE","FQ3 2020","FQ3 2020","Currency=USD","Period=FQ","BEST_FPERIOD_OVERRIDE=FQ","FILING_STATUS=MR","FA_ADJUSTED=GAAP","Sort=A","Dates=H","DateFormat=P","Fill=—","Direction=H","UseDPDF=Y")</f>
        <v>—</v>
      </c>
      <c r="K13" s="20">
        <f>_xll.BDH("ITCI US Equity","CASH_CONVERSION_CYCLE","FQ4 2020","FQ4 2020","Currency=USD","Period=FQ","BEST_FPERIOD_OVERRIDE=FQ","FILING_STATUS=MR","FA_ADJUSTED=GAAP","Sort=A","Dates=H","DateFormat=P","Fill=—","Direction=H","UseDPDF=Y")</f>
        <v>503.50229999999999</v>
      </c>
      <c r="L13" s="20">
        <f>_xll.BDH("ITCI US Equity","CASH_CONVERSION_CYCLE","FQ1 2021","FQ1 2021","Currency=USD","Period=FQ","BEST_FPERIOD_OVERRIDE=FQ","FILING_STATUS=MR","FA_ADJUSTED=GAAP","Sort=A","Dates=H","DateFormat=P","Fill=—","Direction=H","UseDPDF=Y")</f>
        <v>191.8655</v>
      </c>
      <c r="M13" s="20">
        <f>_xll.BDH("ITCI US Equity","CASH_CONVERSION_CYCLE","FQ2 2021","FQ2 2021","Currency=USD","Period=FQ","BEST_FPERIOD_OVERRIDE=FQ","FILING_STATUS=MR","FA_ADJUSTED=GAAP","Sort=A","Dates=H","DateFormat=P","Fill=—","Direction=H","UseDPDF=Y")</f>
        <v>44.778799999999997</v>
      </c>
      <c r="N13" s="20">
        <f>_xll.BDH("ITCI US Equity","CASH_CONVERSION_CYCLE","FQ3 2021","FQ3 2021","Currency=USD","Period=FQ","BEST_FPERIOD_OVERRIDE=FQ","FILING_STATUS=MR","FA_ADJUSTED=GAAP","Sort=A","Dates=H","DateFormat=P","Fill=—","Direction=H","UseDPDF=Y")</f>
        <v>51.648099999999999</v>
      </c>
      <c r="O13" s="20">
        <f>_xll.BDH("ITCI US Equity","CASH_CONVERSION_CYCLE","FQ4 2021","FQ4 2021","Currency=USD","Period=FQ","BEST_FPERIOD_OVERRIDE=FQ","FILING_STATUS=MR","FA_ADJUSTED=GAAP","Sort=A","Dates=H","DateFormat=P","Fill=—","Direction=H","UseDPDF=Y")</f>
        <v>117.9747</v>
      </c>
      <c r="P13" s="20">
        <f>_xll.BDH("ITCI US Equity","CASH_CONVERSION_CYCLE","FQ1 2022","FQ1 2022","Currency=USD","Period=FQ","BEST_FPERIOD_OVERRIDE=FQ","FILING_STATUS=MR","FA_ADJUSTED=GAAP","Sort=A","Dates=H","DateFormat=P","Fill=—","Direction=H","UseDPDF=Y")</f>
        <v>2.5434000000000001</v>
      </c>
      <c r="Q13" s="20">
        <f>_xll.BDH("ITCI US Equity","CASH_CONVERSION_CYCLE","FQ2 2022","FQ2 2022","Currency=USD","Period=FQ","BEST_FPERIOD_OVERRIDE=FQ","FILING_STATUS=MR","FA_ADJUSTED=GAAP","Sort=A","Dates=H","DateFormat=P","Fill=—","Direction=H","UseDPDF=Y")</f>
        <v>402.15280000000001</v>
      </c>
      <c r="R13" s="20">
        <f>_xll.BDH("ITCI US Equity","CASH_CONVERSION_CYCLE","FQ3 2022","FQ3 2022","Currency=USD","Period=FQ","BEST_FPERIOD_OVERRIDE=FQ","FILING_STATUS=MR","FA_ADJUSTED=GAAP","Sort=A","Dates=H","DateFormat=P","Fill=—","Direction=H","UseDPDF=Y")</f>
        <v>282.62909999999999</v>
      </c>
      <c r="S13" s="20">
        <f>_xll.BDH("ITCI US Equity","CASH_CONVERSION_CYCLE","FQ4 2022","FQ4 2022","Currency=USD","Period=FQ","BEST_FPERIOD_OVERRIDE=FQ","FILING_STATUS=MR","FA_ADJUSTED=GAAP","Sort=A","Dates=H","DateFormat=P","Fill=—","Direction=H","UseDPDF=Y")</f>
        <v>258.35539999999997</v>
      </c>
      <c r="T13" s="20">
        <f>_xll.BDH("ITCI US Equity","CASH_CONVERSION_CYCLE","FQ1 2023","FQ1 2023","Currency=USD","Period=FQ","BEST_FPERIOD_OVERRIDE=FQ","FILING_STATUS=MR","FA_ADJUSTED=GAAP","Sort=A","Dates=H","DateFormat=P","Fill=—","Direction=H","UseDPDF=Y")</f>
        <v>259.86630000000002</v>
      </c>
      <c r="U13" s="20">
        <f>_xll.BDH("ITCI US Equity","CASH_CONVERSION_CYCLE","FQ2 2023","FQ2 2023","Currency=USD","Period=FQ","BEST_FPERIOD_OVERRIDE=FQ","FILING_STATUS=MR","FA_ADJUSTED=GAAP","Sort=A","Dates=H","DateFormat=P","Fill=—","Direction=H","UseDPDF=Y")</f>
        <v>453.57409999999999</v>
      </c>
      <c r="V13" s="20">
        <f>_xll.BDH("ITCI US Equity","CASH_CONVERSION_CYCLE","FQ3 2023","FQ3 2023","Currency=USD","Period=FQ","BEST_FPERIOD_OVERRIDE=FQ","FILING_STATUS=MR","FA_ADJUSTED=GAAP","Sort=A","Dates=H","DateFormat=P","Fill=—","Direction=H","UseDPDF=Y")</f>
        <v>386.59660000000002</v>
      </c>
      <c r="W13" s="20">
        <f>_xll.BDH("ITCI US Equity","CASH_CONVERSION_CYCLE","FQ4 2023","FQ4 2023","Currency=USD","Period=FQ","BEST_FPERIOD_OVERRIDE=FQ","FILING_STATUS=MR","FA_ADJUSTED=GAAP","Sort=A","Dates=H","DateFormat=P","Fill=—","Direction=H","UseDPDF=Y")</f>
        <v>81.025899999999993</v>
      </c>
      <c r="X13" s="20">
        <f>_xll.BDH("ITCI US Equity","CASH_CONVERSION_CYCLE","FQ1 2024","FQ1 2024","Currency=USD","Period=FQ","BEST_FPERIOD_OVERRIDE=FQ","FILING_STATUS=MR","FA_ADJUSTED=GAAP","Sort=A","Dates=H","DateFormat=P","Fill=—","Direction=H","UseDPDF=Y")</f>
        <v>146.25030000000001</v>
      </c>
      <c r="Y13" s="20">
        <f>_xll.BDH("ITCI US Equity","CASH_CONVERSION_CYCLE","FQ2 2024","FQ2 2024","Currency=USD","Period=FQ","BEST_FPERIOD_OVERRIDE=FQ","FILING_STATUS=MR","FA_ADJUSTED=GAAP","Sort=A","Dates=H","DateFormat=P","Fill=—","Direction=H","UseDPDF=Y")</f>
        <v>114.3412</v>
      </c>
      <c r="Z13" s="20">
        <f>_xll.BDH("ITCI US Equity","CASH_CONVERSION_CYCLE","FQ3 2024","FQ3 2024","Currency=USD","Period=FQ","BEST_FPERIOD_OVERRIDE=FQ","FILING_STATUS=MR","FA_ADJUSTED=GAAP","Sort=A","Dates=H","DateFormat=P","Fill=—","Direction=H","UseDPDF=Y")</f>
        <v>193.7784</v>
      </c>
      <c r="AA13" s="20">
        <f>_xll.BDH("ITCI US Equity","CASH_CONVERSION_CYCLE","FQ4 2024","FQ4 2024","Currency=USD","Period=FQ","BEST_FPERIOD_OVERRIDE=FQ","FILING_STATUS=MR","FA_ADJUSTED=GAAP","Sort=A","Dates=H","DateFormat=P","Fill=—","Direction=H","UseDPDF=Y")</f>
        <v>101.3395</v>
      </c>
    </row>
    <row r="14" spans="1:27" x14ac:dyDescent="0.25">
      <c r="A14" s="6" t="s">
        <v>1238</v>
      </c>
      <c r="B14" s="6" t="s">
        <v>1239</v>
      </c>
      <c r="C14" s="20" t="str">
        <f>_xll.BDH("ITCI US Equity","INV_TO_CASH_DAYS","FQ4 2018","FQ4 2018","Currency=USD","Period=FQ","BEST_FPERIOD_OVERRIDE=FQ","FILING_STATUS=MR","FA_ADJUSTED=GAAP","Sort=A","Dates=H","DateFormat=P","Fill=—","Direction=H","UseDPDF=Y")</f>
        <v>—</v>
      </c>
      <c r="D14" s="20" t="str">
        <f>_xll.BDH("ITCI US Equity","INV_TO_CASH_DAYS","FQ1 2019","FQ1 2019","Currency=USD","Period=FQ","BEST_FPERIOD_OVERRIDE=FQ","FILING_STATUS=MR","FA_ADJUSTED=GAAP","Sort=A","Dates=H","DateFormat=P","Fill=—","Direction=H","UseDPDF=Y")</f>
        <v>—</v>
      </c>
      <c r="E14" s="20" t="str">
        <f>_xll.BDH("ITCI US Equity","INV_TO_CASH_DAYS","FQ2 2019","FQ2 2019","Currency=USD","Period=FQ","BEST_FPERIOD_OVERRIDE=FQ","FILING_STATUS=MR","FA_ADJUSTED=GAAP","Sort=A","Dates=H","DateFormat=P","Fill=—","Direction=H","UseDPDF=Y")</f>
        <v>—</v>
      </c>
      <c r="F14" s="20" t="str">
        <f>_xll.BDH("ITCI US Equity","INV_TO_CASH_DAYS","FQ3 2019","FQ3 2019","Currency=USD","Period=FQ","BEST_FPERIOD_OVERRIDE=FQ","FILING_STATUS=MR","FA_ADJUSTED=GAAP","Sort=A","Dates=H","DateFormat=P","Fill=—","Direction=H","UseDPDF=Y")</f>
        <v>—</v>
      </c>
      <c r="G14" s="20" t="str">
        <f>_xll.BDH("ITCI US Equity","INV_TO_CASH_DAYS","FQ4 2019","FQ4 2019","Currency=USD","Period=FQ","BEST_FPERIOD_OVERRIDE=FQ","FILING_STATUS=MR","FA_ADJUSTED=GAAP","Sort=A","Dates=H","DateFormat=P","Fill=—","Direction=H","UseDPDF=Y")</f>
        <v>—</v>
      </c>
      <c r="H14" s="20" t="str">
        <f>_xll.BDH("ITCI US Equity","INV_TO_CASH_DAYS","FQ1 2020","FQ1 2020","Currency=USD","Period=FQ","BEST_FPERIOD_OVERRIDE=FQ","FILING_STATUS=MR","FA_ADJUSTED=GAAP","Sort=A","Dates=H","DateFormat=P","Fill=—","Direction=H","UseDPDF=Y")</f>
        <v>—</v>
      </c>
      <c r="I14" s="20" t="str">
        <f>_xll.BDH("ITCI US Equity","INV_TO_CASH_DAYS","FQ2 2020","FQ2 2020","Currency=USD","Period=FQ","BEST_FPERIOD_OVERRIDE=FQ","FILING_STATUS=MR","FA_ADJUSTED=GAAP","Sort=A","Dates=H","DateFormat=P","Fill=—","Direction=H","UseDPDF=Y")</f>
        <v>—</v>
      </c>
      <c r="J14" s="20" t="str">
        <f>_xll.BDH("ITCI US Equity","INV_TO_CASH_DAYS","FQ3 2020","FQ3 2020","Currency=USD","Period=FQ","BEST_FPERIOD_OVERRIDE=FQ","FILING_STATUS=MR","FA_ADJUSTED=GAAP","Sort=A","Dates=H","DateFormat=P","Fill=—","Direction=H","UseDPDF=Y")</f>
        <v>—</v>
      </c>
      <c r="K14" s="20">
        <f>_xll.BDH("ITCI US Equity","INV_TO_CASH_DAYS","FQ4 2020","FQ4 2020","Currency=USD","Period=FQ","BEST_FPERIOD_OVERRIDE=FQ","FILING_STATUS=MR","FA_ADJUSTED=GAAP","Sort=A","Dates=H","DateFormat=P","Fill=—","Direction=H","UseDPDF=Y")</f>
        <v>767.7749</v>
      </c>
      <c r="L14" s="20">
        <f>_xll.BDH("ITCI US Equity","INV_TO_CASH_DAYS","FQ1 2021","FQ1 2021","Currency=USD","Period=FQ","BEST_FPERIOD_OVERRIDE=FQ","FILING_STATUS=MR","FA_ADJUSTED=GAAP","Sort=A","Dates=H","DateFormat=P","Fill=—","Direction=H","UseDPDF=Y")</f>
        <v>571.83360000000005</v>
      </c>
      <c r="M14" s="20">
        <f>_xll.BDH("ITCI US Equity","INV_TO_CASH_DAYS","FQ2 2021","FQ2 2021","Currency=USD","Period=FQ","BEST_FPERIOD_OVERRIDE=FQ","FILING_STATUS=MR","FA_ADJUSTED=GAAP","Sort=A","Dates=H","DateFormat=P","Fill=—","Direction=H","UseDPDF=Y")</f>
        <v>412.5487</v>
      </c>
      <c r="N14" s="20">
        <f>_xll.BDH("ITCI US Equity","INV_TO_CASH_DAYS","FQ3 2021","FQ3 2021","Currency=USD","Period=FQ","BEST_FPERIOD_OVERRIDE=FQ","FILING_STATUS=MR","FA_ADJUSTED=GAAP","Sort=A","Dates=H","DateFormat=P","Fill=—","Direction=H","UseDPDF=Y")</f>
        <v>368.70310000000001</v>
      </c>
      <c r="O14" s="20">
        <f>_xll.BDH("ITCI US Equity","INV_TO_CASH_DAYS","FQ4 2021","FQ4 2021","Currency=USD","Period=FQ","BEST_FPERIOD_OVERRIDE=FQ","FILING_STATUS=MR","FA_ADJUSTED=GAAP","Sort=A","Dates=H","DateFormat=P","Fill=—","Direction=H","UseDPDF=Y")</f>
        <v>408.15339999999998</v>
      </c>
      <c r="P14" s="20">
        <f>_xll.BDH("ITCI US Equity","INV_TO_CASH_DAYS","FQ1 2022","FQ1 2022","Currency=USD","Period=FQ","BEST_FPERIOD_OVERRIDE=FQ","FILING_STATUS=MR","FA_ADJUSTED=GAAP","Sort=A","Dates=H","DateFormat=P","Fill=—","Direction=H","UseDPDF=Y")</f>
        <v>372.52</v>
      </c>
      <c r="Q14" s="20">
        <f>_xll.BDH("ITCI US Equity","INV_TO_CASH_DAYS","FQ2 2022","FQ2 2022","Currency=USD","Period=FQ","BEST_FPERIOD_OVERRIDE=FQ","FILING_STATUS=MR","FA_ADJUSTED=GAAP","Sort=A","Dates=H","DateFormat=P","Fill=—","Direction=H","UseDPDF=Y")</f>
        <v>566.72349999999994</v>
      </c>
      <c r="R14" s="20">
        <f>_xll.BDH("ITCI US Equity","INV_TO_CASH_DAYS","FQ3 2022","FQ3 2022","Currency=USD","Period=FQ","BEST_FPERIOD_OVERRIDE=FQ","FILING_STATUS=MR","FA_ADJUSTED=GAAP","Sort=A","Dates=H","DateFormat=P","Fill=—","Direction=H","UseDPDF=Y")</f>
        <v>434.1182</v>
      </c>
      <c r="S14" s="20">
        <f>_xll.BDH("ITCI US Equity","INV_TO_CASH_DAYS","FQ4 2022","FQ4 2022","Currency=USD","Period=FQ","BEST_FPERIOD_OVERRIDE=FQ","FILING_STATUS=MR","FA_ADJUSTED=GAAP","Sort=A","Dates=H","DateFormat=P","Fill=—","Direction=H","UseDPDF=Y")</f>
        <v>354.00959999999998</v>
      </c>
      <c r="T14" s="20">
        <f>_xll.BDH("ITCI US Equity","INV_TO_CASH_DAYS","FQ1 2023","FQ1 2023","Currency=USD","Period=FQ","BEST_FPERIOD_OVERRIDE=FQ","FILING_STATUS=MR","FA_ADJUSTED=GAAP","Sort=A","Dates=H","DateFormat=P","Fill=—","Direction=H","UseDPDF=Y")</f>
        <v>342.28190000000001</v>
      </c>
      <c r="U14" s="20">
        <f>_xll.BDH("ITCI US Equity","INV_TO_CASH_DAYS","FQ2 2023","FQ2 2023","Currency=USD","Period=FQ","BEST_FPERIOD_OVERRIDE=FQ","FILING_STATUS=MR","FA_ADJUSTED=GAAP","Sort=A","Dates=H","DateFormat=P","Fill=—","Direction=H","UseDPDF=Y")</f>
        <v>531.24739999999997</v>
      </c>
      <c r="V14" s="20">
        <f>_xll.BDH("ITCI US Equity","INV_TO_CASH_DAYS","FQ3 2023","FQ3 2023","Currency=USD","Period=FQ","BEST_FPERIOD_OVERRIDE=FQ","FILING_STATUS=MR","FA_ADJUSTED=GAAP","Sort=A","Dates=H","DateFormat=P","Fill=—","Direction=H","UseDPDF=Y")</f>
        <v>478.66980000000001</v>
      </c>
      <c r="W14" s="20">
        <f>_xll.BDH("ITCI US Equity","INV_TO_CASH_DAYS","FQ4 2023","FQ4 2023","Currency=USD","Period=FQ","BEST_FPERIOD_OVERRIDE=FQ","FILING_STATUS=MR","FA_ADJUSTED=GAAP","Sort=A","Dates=H","DateFormat=P","Fill=—","Direction=H","UseDPDF=Y")</f>
        <v>266.71319999999997</v>
      </c>
      <c r="X14" s="20">
        <f>_xll.BDH("ITCI US Equity","INV_TO_CASH_DAYS","FQ1 2024","FQ1 2024","Currency=USD","Period=FQ","BEST_FPERIOD_OVERRIDE=FQ","FILING_STATUS=MR","FA_ADJUSTED=GAAP","Sort=A","Dates=H","DateFormat=P","Fill=—","Direction=H","UseDPDF=Y")</f>
        <v>295.42419999999998</v>
      </c>
      <c r="Y14" s="20">
        <f>_xll.BDH("ITCI US Equity","INV_TO_CASH_DAYS","FQ2 2024","FQ2 2024","Currency=USD","Period=FQ","BEST_FPERIOD_OVERRIDE=FQ","FILING_STATUS=MR","FA_ADJUSTED=GAAP","Sort=A","Dates=H","DateFormat=P","Fill=—","Direction=H","UseDPDF=Y")</f>
        <v>354.40050000000002</v>
      </c>
      <c r="Z14" s="20">
        <f>_xll.BDH("ITCI US Equity","INV_TO_CASH_DAYS","FQ3 2024","FQ3 2024","Currency=USD","Period=FQ","BEST_FPERIOD_OVERRIDE=FQ","FILING_STATUS=MR","FA_ADJUSTED=GAAP","Sort=A","Dates=H","DateFormat=P","Fill=—","Direction=H","UseDPDF=Y")</f>
        <v>331.62880000000001</v>
      </c>
      <c r="AA14" s="20">
        <f>_xll.BDH("ITCI US Equity","INV_TO_CASH_DAYS","FQ4 2024","FQ4 2024","Currency=USD","Period=FQ","BEST_FPERIOD_OVERRIDE=FQ","FILING_STATUS=MR","FA_ADJUSTED=GAAP","Sort=A","Dates=H","DateFormat=P","Fill=—","Direction=H","UseDPDF=Y")</f>
        <v>197.25219999999999</v>
      </c>
    </row>
    <row r="15" spans="1:27" x14ac:dyDescent="0.25">
      <c r="A15" s="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x14ac:dyDescent="0.25">
      <c r="A16" s="6" t="s">
        <v>1240</v>
      </c>
      <c r="B16" s="6" t="s">
        <v>554</v>
      </c>
      <c r="C16" s="19">
        <f>_xll.BDH("ITCI US Equity","BS_INVENTORIES","FQ4 2018","FQ4 2018","Currency=USD","Period=FQ","BEST_FPERIOD_OVERRIDE=FQ","FILING_STATUS=MR","SCALING_FORMAT=MLN","Sort=A","Dates=H","DateFormat=P","Fill=—","Direction=H","UseDPDF=Y")</f>
        <v>0</v>
      </c>
      <c r="D16" s="19">
        <f>_xll.BDH("ITCI US Equity","BS_INVENTORIES","FQ1 2019","FQ1 2019","Currency=USD","Period=FQ","BEST_FPERIOD_OVERRIDE=FQ","FILING_STATUS=MR","SCALING_FORMAT=MLN","Sort=A","Dates=H","DateFormat=P","Fill=—","Direction=H","UseDPDF=Y")</f>
        <v>0</v>
      </c>
      <c r="E16" s="19">
        <f>_xll.BDH("ITCI US Equity","BS_INVENTORIES","FQ2 2019","FQ2 2019","Currency=USD","Period=FQ","BEST_FPERIOD_OVERRIDE=FQ","FILING_STATUS=MR","SCALING_FORMAT=MLN","Sort=A","Dates=H","DateFormat=P","Fill=—","Direction=H","UseDPDF=Y")</f>
        <v>0</v>
      </c>
      <c r="F16" s="19">
        <f>_xll.BDH("ITCI US Equity","BS_INVENTORIES","FQ3 2019","FQ3 2019","Currency=USD","Period=FQ","BEST_FPERIOD_OVERRIDE=FQ","FILING_STATUS=MR","SCALING_FORMAT=MLN","Sort=A","Dates=H","DateFormat=P","Fill=—","Direction=H","UseDPDF=Y")</f>
        <v>0</v>
      </c>
      <c r="G16" s="19">
        <f>_xll.BDH("ITCI US Equity","BS_INVENTORIES","FQ4 2019","FQ4 2019","Currency=USD","Period=FQ","BEST_FPERIOD_OVERRIDE=FQ","FILING_STATUS=MR","SCALING_FORMAT=MLN","Sort=A","Dates=H","DateFormat=P","Fill=—","Direction=H","UseDPDF=Y")</f>
        <v>0</v>
      </c>
      <c r="H16" s="19">
        <f>_xll.BDH("ITCI US Equity","BS_INVENTORIES","FQ1 2020","FQ1 2020","Currency=USD","Period=FQ","BEST_FPERIOD_OVERRIDE=FQ","FILING_STATUS=MR","SCALING_FORMAT=MLN","Sort=A","Dates=H","DateFormat=P","Fill=—","Direction=H","UseDPDF=Y")</f>
        <v>1.3911</v>
      </c>
      <c r="I16" s="19">
        <f>_xll.BDH("ITCI US Equity","BS_INVENTORIES","FQ2 2020","FQ2 2020","Currency=USD","Period=FQ","BEST_FPERIOD_OVERRIDE=FQ","FILING_STATUS=MR","SCALING_FORMAT=MLN","Sort=A","Dates=H","DateFormat=P","Fill=—","Direction=H","UseDPDF=Y")</f>
        <v>2.335</v>
      </c>
      <c r="J16" s="19">
        <f>_xll.BDH("ITCI US Equity","BS_INVENTORIES","FQ3 2020","FQ3 2020","Currency=USD","Period=FQ","BEST_FPERIOD_OVERRIDE=FQ","FILING_STATUS=MR","SCALING_FORMAT=MLN","Sort=A","Dates=H","DateFormat=P","Fill=—","Direction=H","UseDPDF=Y")</f>
        <v>2.9470999999999998</v>
      </c>
      <c r="K16" s="19">
        <f>_xll.BDH("ITCI US Equity","BS_INVENTORIES","FQ4 2020","FQ4 2020","Currency=USD","Period=FQ","BEST_FPERIOD_OVERRIDE=FQ","FILING_STATUS=MR","SCALING_FORMAT=MLN","Sort=A","Dates=H","DateFormat=P","Fill=—","Direction=H","UseDPDF=Y")</f>
        <v>7.0564</v>
      </c>
      <c r="L16" s="19">
        <f>_xll.BDH("ITCI US Equity","BS_INVENTORIES","FQ1 2021","FQ1 2021","Currency=USD","Period=FQ","BEST_FPERIOD_OVERRIDE=FQ","FILING_STATUS=MR","SCALING_FORMAT=MLN","Sort=A","Dates=H","DateFormat=P","Fill=—","Direction=H","UseDPDF=Y")</f>
        <v>7.5793999999999997</v>
      </c>
      <c r="M16" s="19">
        <f>_xll.BDH("ITCI US Equity","BS_INVENTORIES","FQ2 2021","FQ2 2021","Currency=USD","Period=FQ","BEST_FPERIOD_OVERRIDE=FQ","FILING_STATUS=MR","SCALING_FORMAT=MLN","Sort=A","Dates=H","DateFormat=P","Fill=—","Direction=H","UseDPDF=Y")</f>
        <v>7.7687999999999997</v>
      </c>
      <c r="N16" s="19">
        <f>_xll.BDH("ITCI US Equity","BS_INVENTORIES","FQ3 2021","FQ3 2021","Currency=USD","Period=FQ","BEST_FPERIOD_OVERRIDE=FQ","FILING_STATUS=MR","SCALING_FORMAT=MLN","Sort=A","Dates=H","DateFormat=P","Fill=—","Direction=H","UseDPDF=Y")</f>
        <v>8.1669</v>
      </c>
      <c r="O16" s="19">
        <f>_xll.BDH("ITCI US Equity","BS_INVENTORIES","FQ4 2021","FQ4 2021","Currency=USD","Period=FQ","BEST_FPERIOD_OVERRIDE=FQ","FILING_STATUS=MR","SCALING_FORMAT=MLN","Sort=A","Dates=H","DateFormat=P","Fill=—","Direction=H","UseDPDF=Y")</f>
        <v>7.9481000000000002</v>
      </c>
      <c r="P16" s="19">
        <f>_xll.BDH("ITCI US Equity","BS_INVENTORIES","FQ1 2022","FQ1 2022","Currency=USD","Period=FQ","BEST_FPERIOD_OVERRIDE=FQ","FILING_STATUS=MR","SCALING_FORMAT=MLN","Sort=A","Dates=H","DateFormat=P","Fill=—","Direction=H","UseDPDF=Y")</f>
        <v>7.8929999999999998</v>
      </c>
      <c r="Q16" s="19">
        <f>_xll.BDH("ITCI US Equity","BS_INVENTORIES","FQ2 2022","FQ2 2022","Currency=USD","Period=FQ","BEST_FPERIOD_OVERRIDE=FQ","FILING_STATUS=MR","SCALING_FORMAT=MLN","Sort=A","Dates=H","DateFormat=P","Fill=—","Direction=H","UseDPDF=Y")</f>
        <v>25.021999999999998</v>
      </c>
      <c r="R16" s="19">
        <f>_xll.BDH("ITCI US Equity","BS_INVENTORIES","FQ3 2022","FQ3 2022","Currency=USD","Period=FQ","BEST_FPERIOD_OVERRIDE=FQ","FILING_STATUS=MR","SCALING_FORMAT=MLN","Sort=A","Dates=H","DateFormat=P","Fill=—","Direction=H","UseDPDF=Y")</f>
        <v>23.597000000000001</v>
      </c>
      <c r="S16" s="19">
        <f>_xll.BDH("ITCI US Equity","BS_INVENTORIES","FQ4 2022","FQ4 2022","Currency=USD","Period=FQ","BEST_FPERIOD_OVERRIDE=FQ","FILING_STATUS=MR","SCALING_FORMAT=MLN","Sort=A","Dates=H","DateFormat=P","Fill=—","Direction=H","UseDPDF=Y")</f>
        <v>23.92</v>
      </c>
      <c r="T16" s="19">
        <f>_xll.BDH("ITCI US Equity","BS_INVENTORIES","FQ1 2023","FQ1 2023","Currency=USD","Period=FQ","BEST_FPERIOD_OVERRIDE=FQ","FILING_STATUS=MR","SCALING_FORMAT=MLN","Sort=A","Dates=H","DateFormat=P","Fill=—","Direction=H","UseDPDF=Y")</f>
        <v>28.341000000000001</v>
      </c>
      <c r="U16" s="19">
        <f>_xll.BDH("ITCI US Equity","BS_INVENTORIES","FQ2 2023","FQ2 2023","Currency=USD","Period=FQ","BEST_FPERIOD_OVERRIDE=FQ","FILING_STATUS=MR","SCALING_FORMAT=MLN","Sort=A","Dates=H","DateFormat=P","Fill=—","Direction=H","UseDPDF=Y")</f>
        <v>41.895000000000003</v>
      </c>
      <c r="V16" s="19">
        <f>_xll.BDH("ITCI US Equity","BS_INVENTORIES","FQ3 2023","FQ3 2023","Currency=USD","Period=FQ","BEST_FPERIOD_OVERRIDE=FQ","FILING_STATUS=MR","SCALING_FORMAT=MLN","Sort=A","Dates=H","DateFormat=P","Fill=—","Direction=H","UseDPDF=Y")</f>
        <v>42.985999999999997</v>
      </c>
      <c r="W16" s="19">
        <f>_xll.BDH("ITCI US Equity","BS_INVENTORIES","FQ4 2023","FQ4 2023","Currency=USD","Period=FQ","BEST_FPERIOD_OVERRIDE=FQ","FILING_STATUS=MR","SCALING_FORMAT=MLN","Sort=A","Dates=H","DateFormat=P","Fill=—","Direction=H","UseDPDF=Y")</f>
        <v>11.647</v>
      </c>
      <c r="X16" s="19">
        <f>_xll.BDH("ITCI US Equity","BS_INVENTORIES","FQ1 2024","FQ1 2024","Currency=USD","Period=FQ","BEST_FPERIOD_OVERRIDE=FQ","FILING_STATUS=MR","SCALING_FORMAT=MLN","Sort=A","Dates=H","DateFormat=P","Fill=—","Direction=H","UseDPDF=Y")</f>
        <v>15.949</v>
      </c>
      <c r="Y16" s="19">
        <f>_xll.BDH("ITCI US Equity","BS_INVENTORIES","FQ2 2024","FQ2 2024","Currency=USD","Period=FQ","BEST_FPERIOD_OVERRIDE=FQ","FILING_STATUS=MR","SCALING_FORMAT=MLN","Sort=A","Dates=H","DateFormat=P","Fill=—","Direction=H","UseDPDF=Y")</f>
        <v>20.082000000000001</v>
      </c>
      <c r="Z16" s="19">
        <f>_xll.BDH("ITCI US Equity","BS_INVENTORIES","FQ3 2024","FQ3 2024","Currency=USD","Period=FQ","BEST_FPERIOD_OVERRIDE=FQ","FILING_STATUS=MR","SCALING_FORMAT=MLN","Sort=A","Dates=H","DateFormat=P","Fill=—","Direction=H","UseDPDF=Y")</f>
        <v>23.539000000000001</v>
      </c>
      <c r="AA16" s="19">
        <f>_xll.BDH("ITCI US Equity","BS_INVENTORIES","FQ4 2024","FQ4 2024","Currency=USD","Period=FQ","BEST_FPERIOD_OVERRIDE=FQ","FILING_STATUS=MR","SCALING_FORMAT=MLN","Sort=A","Dates=H","DateFormat=P","Fill=—","Direction=H","UseDPDF=Y")</f>
        <v>26.283000000000001</v>
      </c>
    </row>
    <row r="17" spans="1:27" x14ac:dyDescent="0.25">
      <c r="A17" s="10" t="s">
        <v>1241</v>
      </c>
      <c r="B17" s="10" t="s">
        <v>556</v>
      </c>
      <c r="C17" s="13">
        <f>_xll.BDH("ITCI US Equity","INVTRY_RAW_MATERIALS","FQ4 2018","FQ4 2018","Currency=USD","Period=FQ","BEST_FPERIOD_OVERRIDE=FQ","FILING_STATUS=MR","SCALING_FORMAT=MLN","Sort=A","Dates=H","DateFormat=P","Fill=—","Direction=H","UseDPDF=Y")</f>
        <v>0</v>
      </c>
      <c r="D17" s="13">
        <f>_xll.BDH("ITCI US Equity","INVTRY_RAW_MATERIALS","FQ1 2019","FQ1 2019","Currency=USD","Period=FQ","BEST_FPERIOD_OVERRIDE=FQ","FILING_STATUS=MR","SCALING_FORMAT=MLN","Sort=A","Dates=H","DateFormat=P","Fill=—","Direction=H","UseDPDF=Y")</f>
        <v>0</v>
      </c>
      <c r="E17" s="13">
        <f>_xll.BDH("ITCI US Equity","INVTRY_RAW_MATERIALS","FQ2 2019","FQ2 2019","Currency=USD","Period=FQ","BEST_FPERIOD_OVERRIDE=FQ","FILING_STATUS=MR","SCALING_FORMAT=MLN","Sort=A","Dates=H","DateFormat=P","Fill=—","Direction=H","UseDPDF=Y")</f>
        <v>0</v>
      </c>
      <c r="F17" s="13">
        <f>_xll.BDH("ITCI US Equity","INVTRY_RAW_MATERIALS","FQ3 2019","FQ3 2019","Currency=USD","Period=FQ","BEST_FPERIOD_OVERRIDE=FQ","FILING_STATUS=MR","SCALING_FORMAT=MLN","Sort=A","Dates=H","DateFormat=P","Fill=—","Direction=H","UseDPDF=Y")</f>
        <v>0</v>
      </c>
      <c r="G17" s="13">
        <f>_xll.BDH("ITCI US Equity","INVTRY_RAW_MATERIALS","FQ4 2019","FQ4 2019","Currency=USD","Period=FQ","BEST_FPERIOD_OVERRIDE=FQ","FILING_STATUS=MR","SCALING_FORMAT=MLN","Sort=A","Dates=H","DateFormat=P","Fill=—","Direction=H","UseDPDF=Y")</f>
        <v>0</v>
      </c>
      <c r="H17" s="13">
        <f>_xll.BDH("ITCI US Equity","INVTRY_RAW_MATERIALS","FQ1 2020","FQ1 2020","Currency=USD","Period=FQ","BEST_FPERIOD_OVERRIDE=FQ","FILING_STATUS=MR","SCALING_FORMAT=MLN","Sort=A","Dates=H","DateFormat=P","Fill=—","Direction=H","UseDPDF=Y")</f>
        <v>0</v>
      </c>
      <c r="I17" s="13" t="str">
        <f>_xll.BDH("ITCI US Equity","INVTRY_RAW_MATERIALS","FQ2 2020","FQ2 2020","Currency=USD","Period=FQ","BEST_FPERIOD_OVERRIDE=FQ","FILING_STATUS=MR","SCALING_FORMAT=MLN","Sort=A","Dates=H","DateFormat=P","Fill=—","Direction=H","UseDPDF=Y")</f>
        <v>—</v>
      </c>
      <c r="J17" s="13" t="str">
        <f>_xll.BDH("ITCI US Equity","INVTRY_RAW_MATERIALS","FQ3 2020","FQ3 2020","Currency=USD","Period=FQ","BEST_FPERIOD_OVERRIDE=FQ","FILING_STATUS=MR","SCALING_FORMAT=MLN","Sort=A","Dates=H","DateFormat=P","Fill=—","Direction=H","UseDPDF=Y")</f>
        <v>—</v>
      </c>
      <c r="K17" s="13">
        <f>_xll.BDH("ITCI US Equity","INVTRY_RAW_MATERIALS","FQ4 2020","FQ4 2020","Currency=USD","Period=FQ","BEST_FPERIOD_OVERRIDE=FQ","FILING_STATUS=MR","SCALING_FORMAT=MLN","Sort=A","Dates=H","DateFormat=P","Fill=—","Direction=H","UseDPDF=Y")</f>
        <v>2.4838</v>
      </c>
      <c r="L17" s="13">
        <f>_xll.BDH("ITCI US Equity","INVTRY_RAW_MATERIALS","FQ1 2021","FQ1 2021","Currency=USD","Period=FQ","BEST_FPERIOD_OVERRIDE=FQ","FILING_STATUS=MR","SCALING_FORMAT=MLN","Sort=A","Dates=H","DateFormat=P","Fill=—","Direction=H","UseDPDF=Y")</f>
        <v>2.95</v>
      </c>
      <c r="M17" s="13">
        <f>_xll.BDH("ITCI US Equity","INVTRY_RAW_MATERIALS","FQ2 2021","FQ2 2021","Currency=USD","Period=FQ","BEST_FPERIOD_OVERRIDE=FQ","FILING_STATUS=MR","SCALING_FORMAT=MLN","Sort=A","Dates=H","DateFormat=P","Fill=—","Direction=H","UseDPDF=Y")</f>
        <v>3.0255999999999998</v>
      </c>
      <c r="N17" s="13">
        <f>_xll.BDH("ITCI US Equity","INVTRY_RAW_MATERIALS","FQ3 2021","FQ3 2021","Currency=USD","Period=FQ","BEST_FPERIOD_OVERRIDE=FQ","FILING_STATUS=MR","SCALING_FORMAT=MLN","Sort=A","Dates=H","DateFormat=P","Fill=—","Direction=H","UseDPDF=Y")</f>
        <v>2.1823000000000001</v>
      </c>
      <c r="O17" s="13">
        <f>_xll.BDH("ITCI US Equity","INVTRY_RAW_MATERIALS","FQ4 2021","FQ4 2021","Currency=USD","Period=FQ","BEST_FPERIOD_OVERRIDE=FQ","FILING_STATUS=MR","SCALING_FORMAT=MLN","Sort=A","Dates=H","DateFormat=P","Fill=—","Direction=H","UseDPDF=Y")</f>
        <v>2.4838</v>
      </c>
      <c r="P17" s="13">
        <f>_xll.BDH("ITCI US Equity","INVTRY_RAW_MATERIALS","FQ1 2022","FQ1 2022","Currency=USD","Period=FQ","BEST_FPERIOD_OVERRIDE=FQ","FILING_STATUS=MR","SCALING_FORMAT=MLN","Sort=A","Dates=H","DateFormat=P","Fill=—","Direction=H","UseDPDF=Y")</f>
        <v>2.4700000000000002</v>
      </c>
      <c r="Q17" s="13">
        <f>_xll.BDH("ITCI US Equity","INVTRY_RAW_MATERIALS","FQ2 2022","FQ2 2022","Currency=USD","Period=FQ","BEST_FPERIOD_OVERRIDE=FQ","FILING_STATUS=MR","SCALING_FORMAT=MLN","Sort=A","Dates=H","DateFormat=P","Fill=—","Direction=H","UseDPDF=Y")</f>
        <v>18.16</v>
      </c>
      <c r="R17" s="13">
        <f>_xll.BDH("ITCI US Equity","INVTRY_RAW_MATERIALS","FQ3 2022","FQ3 2022","Currency=USD","Period=FQ","BEST_FPERIOD_OVERRIDE=FQ","FILING_STATUS=MR","SCALING_FORMAT=MLN","Sort=A","Dates=H","DateFormat=P","Fill=—","Direction=H","UseDPDF=Y")</f>
        <v>17.806999999999999</v>
      </c>
      <c r="S17" s="13">
        <f>_xll.BDH("ITCI US Equity","INVTRY_RAW_MATERIALS","FQ4 2022","FQ4 2022","Currency=USD","Period=FQ","BEST_FPERIOD_OVERRIDE=FQ","FILING_STATUS=MR","SCALING_FORMAT=MLN","Sort=A","Dates=H","DateFormat=P","Fill=—","Direction=H","UseDPDF=Y")</f>
        <v>17.227</v>
      </c>
      <c r="T17" s="13">
        <f>_xll.BDH("ITCI US Equity","INVTRY_RAW_MATERIALS","FQ1 2023","FQ1 2023","Currency=USD","Period=FQ","BEST_FPERIOD_OVERRIDE=FQ","FILING_STATUS=MR","SCALING_FORMAT=MLN","Sort=A","Dates=H","DateFormat=P","Fill=—","Direction=H","UseDPDF=Y")</f>
        <v>21.716000000000001</v>
      </c>
      <c r="U17" s="13">
        <f>_xll.BDH("ITCI US Equity","INVTRY_RAW_MATERIALS","FQ2 2023","FQ2 2023","Currency=USD","Period=FQ","BEST_FPERIOD_OVERRIDE=FQ","FILING_STATUS=MR","SCALING_FORMAT=MLN","Sort=A","Dates=H","DateFormat=P","Fill=—","Direction=H","UseDPDF=Y")</f>
        <v>33.901000000000003</v>
      </c>
      <c r="V17" s="13">
        <f>_xll.BDH("ITCI US Equity","INVTRY_RAW_MATERIALS","FQ3 2023","FQ3 2023","Currency=USD","Period=FQ","BEST_FPERIOD_OVERRIDE=FQ","FILING_STATUS=MR","SCALING_FORMAT=MLN","Sort=A","Dates=H","DateFormat=P","Fill=—","Direction=H","UseDPDF=Y")</f>
        <v>33.173000000000002</v>
      </c>
      <c r="W17" s="13" t="str">
        <f>_xll.BDH("ITCI US Equity","INVTRY_RAW_MATERIALS","FQ4 2023","FQ4 2023","Currency=USD","Period=FQ","BEST_FPERIOD_OVERRIDE=FQ","FILING_STATUS=MR","SCALING_FORMAT=MLN","Sort=A","Dates=H","DateFormat=P","Fill=—","Direction=H","UseDPDF=Y")</f>
        <v>—</v>
      </c>
      <c r="X17" s="13">
        <f>_xll.BDH("ITCI US Equity","INVTRY_RAW_MATERIALS","FQ1 2024","FQ1 2024","Currency=USD","Period=FQ","BEST_FPERIOD_OVERRIDE=FQ","FILING_STATUS=MR","SCALING_FORMAT=MLN","Sort=A","Dates=H","DateFormat=P","Fill=—","Direction=H","UseDPDF=Y")</f>
        <v>34.817999999999998</v>
      </c>
      <c r="Y17" s="13">
        <f>_xll.BDH("ITCI US Equity","INVTRY_RAW_MATERIALS","FQ2 2024","FQ2 2024","Currency=USD","Period=FQ","BEST_FPERIOD_OVERRIDE=FQ","FILING_STATUS=MR","SCALING_FORMAT=MLN","Sort=A","Dates=H","DateFormat=P","Fill=—","Direction=H","UseDPDF=Y")</f>
        <v>32.561999999999998</v>
      </c>
      <c r="Z17" s="13">
        <f>_xll.BDH("ITCI US Equity","INVTRY_RAW_MATERIALS","FQ3 2024","FQ3 2024","Currency=USD","Period=FQ","BEST_FPERIOD_OVERRIDE=FQ","FILING_STATUS=MR","SCALING_FORMAT=MLN","Sort=A","Dates=H","DateFormat=P","Fill=—","Direction=H","UseDPDF=Y")</f>
        <v>30.478999999999999</v>
      </c>
      <c r="AA17" s="13">
        <f>_xll.BDH("ITCI US Equity","INVTRY_RAW_MATERIALS","FQ4 2024","FQ4 2024","Currency=USD","Period=FQ","BEST_FPERIOD_OVERRIDE=FQ","FILING_STATUS=MR","SCALING_FORMAT=MLN","Sort=A","Dates=H","DateFormat=P","Fill=—","Direction=H","UseDPDF=Y")</f>
        <v>38.89</v>
      </c>
    </row>
    <row r="18" spans="1:27" x14ac:dyDescent="0.25">
      <c r="A18" s="10" t="s">
        <v>1242</v>
      </c>
      <c r="B18" s="10" t="s">
        <v>558</v>
      </c>
      <c r="C18" s="13">
        <f>_xll.BDH("ITCI US Equity","INVTRY_IN_PROGRESS","FQ4 2018","FQ4 2018","Currency=USD","Period=FQ","BEST_FPERIOD_OVERRIDE=FQ","FILING_STATUS=MR","SCALING_FORMAT=MLN","Sort=A","Dates=H","DateFormat=P","Fill=—","Direction=H","UseDPDF=Y")</f>
        <v>0</v>
      </c>
      <c r="D18" s="13">
        <f>_xll.BDH("ITCI US Equity","INVTRY_IN_PROGRESS","FQ1 2019","FQ1 2019","Currency=USD","Period=FQ","BEST_FPERIOD_OVERRIDE=FQ","FILING_STATUS=MR","SCALING_FORMAT=MLN","Sort=A","Dates=H","DateFormat=P","Fill=—","Direction=H","UseDPDF=Y")</f>
        <v>0</v>
      </c>
      <c r="E18" s="13">
        <f>_xll.BDH("ITCI US Equity","INVTRY_IN_PROGRESS","FQ2 2019","FQ2 2019","Currency=USD","Period=FQ","BEST_FPERIOD_OVERRIDE=FQ","FILING_STATUS=MR","SCALING_FORMAT=MLN","Sort=A","Dates=H","DateFormat=P","Fill=—","Direction=H","UseDPDF=Y")</f>
        <v>0</v>
      </c>
      <c r="F18" s="13">
        <f>_xll.BDH("ITCI US Equity","INVTRY_IN_PROGRESS","FQ3 2019","FQ3 2019","Currency=USD","Period=FQ","BEST_FPERIOD_OVERRIDE=FQ","FILING_STATUS=MR","SCALING_FORMAT=MLN","Sort=A","Dates=H","DateFormat=P","Fill=—","Direction=H","UseDPDF=Y")</f>
        <v>0</v>
      </c>
      <c r="G18" s="13">
        <f>_xll.BDH("ITCI US Equity","INVTRY_IN_PROGRESS","FQ4 2019","FQ4 2019","Currency=USD","Period=FQ","BEST_FPERIOD_OVERRIDE=FQ","FILING_STATUS=MR","SCALING_FORMAT=MLN","Sort=A","Dates=H","DateFormat=P","Fill=—","Direction=H","UseDPDF=Y")</f>
        <v>0</v>
      </c>
      <c r="H18" s="13">
        <f>_xll.BDH("ITCI US Equity","INVTRY_IN_PROGRESS","FQ1 2020","FQ1 2020","Currency=USD","Period=FQ","BEST_FPERIOD_OVERRIDE=FQ","FILING_STATUS=MR","SCALING_FORMAT=MLN","Sort=A","Dates=H","DateFormat=P","Fill=—","Direction=H","UseDPDF=Y")</f>
        <v>1.25</v>
      </c>
      <c r="I18" s="13" t="str">
        <f>_xll.BDH("ITCI US Equity","INVTRY_IN_PROGRESS","FQ2 2020","FQ2 2020","Currency=USD","Period=FQ","BEST_FPERIOD_OVERRIDE=FQ","FILING_STATUS=MR","SCALING_FORMAT=MLN","Sort=A","Dates=H","DateFormat=P","Fill=—","Direction=H","UseDPDF=Y")</f>
        <v>—</v>
      </c>
      <c r="J18" s="13" t="str">
        <f>_xll.BDH("ITCI US Equity","INVTRY_IN_PROGRESS","FQ3 2020","FQ3 2020","Currency=USD","Period=FQ","BEST_FPERIOD_OVERRIDE=FQ","FILING_STATUS=MR","SCALING_FORMAT=MLN","Sort=A","Dates=H","DateFormat=P","Fill=—","Direction=H","UseDPDF=Y")</f>
        <v>—</v>
      </c>
      <c r="K18" s="13">
        <f>_xll.BDH("ITCI US Equity","INVTRY_IN_PROGRESS","FQ4 2020","FQ4 2020","Currency=USD","Period=FQ","BEST_FPERIOD_OVERRIDE=FQ","FILING_STATUS=MR","SCALING_FORMAT=MLN","Sort=A","Dates=H","DateFormat=P","Fill=—","Direction=H","UseDPDF=Y")</f>
        <v>1.7810999999999999</v>
      </c>
      <c r="L18" s="13">
        <f>_xll.BDH("ITCI US Equity","INVTRY_IN_PROGRESS","FQ1 2021","FQ1 2021","Currency=USD","Period=FQ","BEST_FPERIOD_OVERRIDE=FQ","FILING_STATUS=MR","SCALING_FORMAT=MLN","Sort=A","Dates=H","DateFormat=P","Fill=—","Direction=H","UseDPDF=Y")</f>
        <v>1.1895</v>
      </c>
      <c r="M18" s="13">
        <f>_xll.BDH("ITCI US Equity","INVTRY_IN_PROGRESS","FQ2 2021","FQ2 2021","Currency=USD","Period=FQ","BEST_FPERIOD_OVERRIDE=FQ","FILING_STATUS=MR","SCALING_FORMAT=MLN","Sort=A","Dates=H","DateFormat=P","Fill=—","Direction=H","UseDPDF=Y")</f>
        <v>1.4103000000000001</v>
      </c>
      <c r="N18" s="13">
        <f>_xll.BDH("ITCI US Equity","INVTRY_IN_PROGRESS","FQ3 2021","FQ3 2021","Currency=USD","Period=FQ","BEST_FPERIOD_OVERRIDE=FQ","FILING_STATUS=MR","SCALING_FORMAT=MLN","Sort=A","Dates=H","DateFormat=P","Fill=—","Direction=H","UseDPDF=Y")</f>
        <v>3.444</v>
      </c>
      <c r="O18" s="13">
        <f>_xll.BDH("ITCI US Equity","INVTRY_IN_PROGRESS","FQ4 2021","FQ4 2021","Currency=USD","Period=FQ","BEST_FPERIOD_OVERRIDE=FQ","FILING_STATUS=MR","SCALING_FORMAT=MLN","Sort=A","Dates=H","DateFormat=P","Fill=—","Direction=H","UseDPDF=Y")</f>
        <v>2.4072</v>
      </c>
      <c r="P18" s="13">
        <f>_xll.BDH("ITCI US Equity","INVTRY_IN_PROGRESS","FQ1 2022","FQ1 2022","Currency=USD","Period=FQ","BEST_FPERIOD_OVERRIDE=FQ","FILING_STATUS=MR","SCALING_FORMAT=MLN","Sort=A","Dates=H","DateFormat=P","Fill=—","Direction=H","UseDPDF=Y")</f>
        <v>1.198</v>
      </c>
      <c r="Q18" s="13">
        <f>_xll.BDH("ITCI US Equity","INVTRY_IN_PROGRESS","FQ2 2022","FQ2 2022","Currency=USD","Period=FQ","BEST_FPERIOD_OVERRIDE=FQ","FILING_STATUS=MR","SCALING_FORMAT=MLN","Sort=A","Dates=H","DateFormat=P","Fill=—","Direction=H","UseDPDF=Y")</f>
        <v>1.7410000000000001</v>
      </c>
      <c r="R18" s="13">
        <f>_xll.BDH("ITCI US Equity","INVTRY_IN_PROGRESS","FQ3 2022","FQ3 2022","Currency=USD","Period=FQ","BEST_FPERIOD_OVERRIDE=FQ","FILING_STATUS=MR","SCALING_FORMAT=MLN","Sort=A","Dates=H","DateFormat=P","Fill=—","Direction=H","UseDPDF=Y")</f>
        <v>1.9870000000000001</v>
      </c>
      <c r="S18" s="13">
        <f>_xll.BDH("ITCI US Equity","INVTRY_IN_PROGRESS","FQ4 2022","FQ4 2022","Currency=USD","Period=FQ","BEST_FPERIOD_OVERRIDE=FQ","FILING_STATUS=MR","SCALING_FORMAT=MLN","Sort=A","Dates=H","DateFormat=P","Fill=—","Direction=H","UseDPDF=Y")</f>
        <v>2.5939999999999999</v>
      </c>
      <c r="T18" s="13">
        <f>_xll.BDH("ITCI US Equity","INVTRY_IN_PROGRESS","FQ1 2023","FQ1 2023","Currency=USD","Period=FQ","BEST_FPERIOD_OVERRIDE=FQ","FILING_STATUS=MR","SCALING_FORMAT=MLN","Sort=A","Dates=H","DateFormat=P","Fill=—","Direction=H","UseDPDF=Y")</f>
        <v>3.23</v>
      </c>
      <c r="U18" s="13">
        <f>_xll.BDH("ITCI US Equity","INVTRY_IN_PROGRESS","FQ2 2023","FQ2 2023","Currency=USD","Period=FQ","BEST_FPERIOD_OVERRIDE=FQ","FILING_STATUS=MR","SCALING_FORMAT=MLN","Sort=A","Dates=H","DateFormat=P","Fill=—","Direction=H","UseDPDF=Y")</f>
        <v>4.0510000000000002</v>
      </c>
      <c r="V18" s="13">
        <f>_xll.BDH("ITCI US Equity","INVTRY_IN_PROGRESS","FQ3 2023","FQ3 2023","Currency=USD","Period=FQ","BEST_FPERIOD_OVERRIDE=FQ","FILING_STATUS=MR","SCALING_FORMAT=MLN","Sort=A","Dates=H","DateFormat=P","Fill=—","Direction=H","UseDPDF=Y")</f>
        <v>4.7729999999999997</v>
      </c>
      <c r="W18" s="13" t="str">
        <f>_xll.BDH("ITCI US Equity","INVTRY_IN_PROGRESS","FQ4 2023","FQ4 2023","Currency=USD","Period=FQ","BEST_FPERIOD_OVERRIDE=FQ","FILING_STATUS=MR","SCALING_FORMAT=MLN","Sort=A","Dates=H","DateFormat=P","Fill=—","Direction=H","UseDPDF=Y")</f>
        <v>—</v>
      </c>
      <c r="X18" s="13">
        <f>_xll.BDH("ITCI US Equity","INVTRY_IN_PROGRESS","FQ1 2024","FQ1 2024","Currency=USD","Period=FQ","BEST_FPERIOD_OVERRIDE=FQ","FILING_STATUS=MR","SCALING_FORMAT=MLN","Sort=A","Dates=H","DateFormat=P","Fill=—","Direction=H","UseDPDF=Y")</f>
        <v>8.875</v>
      </c>
      <c r="Y18" s="13">
        <f>_xll.BDH("ITCI US Equity","INVTRY_IN_PROGRESS","FQ2 2024","FQ2 2024","Currency=USD","Period=FQ","BEST_FPERIOD_OVERRIDE=FQ","FILING_STATUS=MR","SCALING_FORMAT=MLN","Sort=A","Dates=H","DateFormat=P","Fill=—","Direction=H","UseDPDF=Y")</f>
        <v>12.151</v>
      </c>
      <c r="Z18" s="13">
        <f>_xll.BDH("ITCI US Equity","INVTRY_IN_PROGRESS","FQ3 2024","FQ3 2024","Currency=USD","Period=FQ","BEST_FPERIOD_OVERRIDE=FQ","FILING_STATUS=MR","SCALING_FORMAT=MLN","Sort=A","Dates=H","DateFormat=P","Fill=—","Direction=H","UseDPDF=Y")</f>
        <v>13.048</v>
      </c>
      <c r="AA18" s="13">
        <f>_xll.BDH("ITCI US Equity","INVTRY_IN_PROGRESS","FQ4 2024","FQ4 2024","Currency=USD","Period=FQ","BEST_FPERIOD_OVERRIDE=FQ","FILING_STATUS=MR","SCALING_FORMAT=MLN","Sort=A","Dates=H","DateFormat=P","Fill=—","Direction=H","UseDPDF=Y")</f>
        <v>14.971</v>
      </c>
    </row>
    <row r="19" spans="1:27" x14ac:dyDescent="0.25">
      <c r="A19" s="10" t="s">
        <v>1243</v>
      </c>
      <c r="B19" s="10" t="s">
        <v>560</v>
      </c>
      <c r="C19" s="13">
        <f>_xll.BDH("ITCI US Equity","INVTRY_FINISHED_GOODS","FQ4 2018","FQ4 2018","Currency=USD","Period=FQ","BEST_FPERIOD_OVERRIDE=FQ","FILING_STATUS=MR","SCALING_FORMAT=MLN","Sort=A","Dates=H","DateFormat=P","Fill=—","Direction=H","UseDPDF=Y")</f>
        <v>0</v>
      </c>
      <c r="D19" s="13">
        <f>_xll.BDH("ITCI US Equity","INVTRY_FINISHED_GOODS","FQ1 2019","FQ1 2019","Currency=USD","Period=FQ","BEST_FPERIOD_OVERRIDE=FQ","FILING_STATUS=MR","SCALING_FORMAT=MLN","Sort=A","Dates=H","DateFormat=P","Fill=—","Direction=H","UseDPDF=Y")</f>
        <v>0</v>
      </c>
      <c r="E19" s="13">
        <f>_xll.BDH("ITCI US Equity","INVTRY_FINISHED_GOODS","FQ2 2019","FQ2 2019","Currency=USD","Period=FQ","BEST_FPERIOD_OVERRIDE=FQ","FILING_STATUS=MR","SCALING_FORMAT=MLN","Sort=A","Dates=H","DateFormat=P","Fill=—","Direction=H","UseDPDF=Y")</f>
        <v>0</v>
      </c>
      <c r="F19" s="13">
        <f>_xll.BDH("ITCI US Equity","INVTRY_FINISHED_GOODS","FQ3 2019","FQ3 2019","Currency=USD","Period=FQ","BEST_FPERIOD_OVERRIDE=FQ","FILING_STATUS=MR","SCALING_FORMAT=MLN","Sort=A","Dates=H","DateFormat=P","Fill=—","Direction=H","UseDPDF=Y")</f>
        <v>0</v>
      </c>
      <c r="G19" s="13">
        <f>_xll.BDH("ITCI US Equity","INVTRY_FINISHED_GOODS","FQ4 2019","FQ4 2019","Currency=USD","Period=FQ","BEST_FPERIOD_OVERRIDE=FQ","FILING_STATUS=MR","SCALING_FORMAT=MLN","Sort=A","Dates=H","DateFormat=P","Fill=—","Direction=H","UseDPDF=Y")</f>
        <v>0</v>
      </c>
      <c r="H19" s="13">
        <f>_xll.BDH("ITCI US Equity","INVTRY_FINISHED_GOODS","FQ1 2020","FQ1 2020","Currency=USD","Period=FQ","BEST_FPERIOD_OVERRIDE=FQ","FILING_STATUS=MR","SCALING_FORMAT=MLN","Sort=A","Dates=H","DateFormat=P","Fill=—","Direction=H","UseDPDF=Y")</f>
        <v>0.1411</v>
      </c>
      <c r="I19" s="13" t="str">
        <f>_xll.BDH("ITCI US Equity","INVTRY_FINISHED_GOODS","FQ2 2020","FQ2 2020","Currency=USD","Period=FQ","BEST_FPERIOD_OVERRIDE=FQ","FILING_STATUS=MR","SCALING_FORMAT=MLN","Sort=A","Dates=H","DateFormat=P","Fill=—","Direction=H","UseDPDF=Y")</f>
        <v>—</v>
      </c>
      <c r="J19" s="13" t="str">
        <f>_xll.BDH("ITCI US Equity","INVTRY_FINISHED_GOODS","FQ3 2020","FQ3 2020","Currency=USD","Period=FQ","BEST_FPERIOD_OVERRIDE=FQ","FILING_STATUS=MR","SCALING_FORMAT=MLN","Sort=A","Dates=H","DateFormat=P","Fill=—","Direction=H","UseDPDF=Y")</f>
        <v>—</v>
      </c>
      <c r="K19" s="13">
        <f>_xll.BDH("ITCI US Equity","INVTRY_FINISHED_GOODS","FQ4 2020","FQ4 2020","Currency=USD","Period=FQ","BEST_FPERIOD_OVERRIDE=FQ","FILING_STATUS=MR","SCALING_FORMAT=MLN","Sort=A","Dates=H","DateFormat=P","Fill=—","Direction=H","UseDPDF=Y")</f>
        <v>2.7915000000000001</v>
      </c>
      <c r="L19" s="13">
        <f>_xll.BDH("ITCI US Equity","INVTRY_FINISHED_GOODS","FQ1 2021","FQ1 2021","Currency=USD","Period=FQ","BEST_FPERIOD_OVERRIDE=FQ","FILING_STATUS=MR","SCALING_FORMAT=MLN","Sort=A","Dates=H","DateFormat=P","Fill=—","Direction=H","UseDPDF=Y")</f>
        <v>3.4399000000000002</v>
      </c>
      <c r="M19" s="13">
        <f>_xll.BDH("ITCI US Equity","INVTRY_FINISHED_GOODS","FQ2 2021","FQ2 2021","Currency=USD","Period=FQ","BEST_FPERIOD_OVERRIDE=FQ","FILING_STATUS=MR","SCALING_FORMAT=MLN","Sort=A","Dates=H","DateFormat=P","Fill=—","Direction=H","UseDPDF=Y")</f>
        <v>3.3330000000000002</v>
      </c>
      <c r="N19" s="13">
        <f>_xll.BDH("ITCI US Equity","INVTRY_FINISHED_GOODS","FQ3 2021","FQ3 2021","Currency=USD","Period=FQ","BEST_FPERIOD_OVERRIDE=FQ","FILING_STATUS=MR","SCALING_FORMAT=MLN","Sort=A","Dates=H","DateFormat=P","Fill=—","Direction=H","UseDPDF=Y")</f>
        <v>2.5407000000000002</v>
      </c>
      <c r="O19" s="13">
        <f>_xll.BDH("ITCI US Equity","INVTRY_FINISHED_GOODS","FQ4 2021","FQ4 2021","Currency=USD","Period=FQ","BEST_FPERIOD_OVERRIDE=FQ","FILING_STATUS=MR","SCALING_FORMAT=MLN","Sort=A","Dates=H","DateFormat=P","Fill=—","Direction=H","UseDPDF=Y")</f>
        <v>3.0571999999999999</v>
      </c>
      <c r="P19" s="13">
        <f>_xll.BDH("ITCI US Equity","INVTRY_FINISHED_GOODS","FQ1 2022","FQ1 2022","Currency=USD","Period=FQ","BEST_FPERIOD_OVERRIDE=FQ","FILING_STATUS=MR","SCALING_FORMAT=MLN","Sort=A","Dates=H","DateFormat=P","Fill=—","Direction=H","UseDPDF=Y")</f>
        <v>4.2249999999999996</v>
      </c>
      <c r="Q19" s="13">
        <f>_xll.BDH("ITCI US Equity","INVTRY_FINISHED_GOODS","FQ2 2022","FQ2 2022","Currency=USD","Period=FQ","BEST_FPERIOD_OVERRIDE=FQ","FILING_STATUS=MR","SCALING_FORMAT=MLN","Sort=A","Dates=H","DateFormat=P","Fill=—","Direction=H","UseDPDF=Y")</f>
        <v>5.1210000000000004</v>
      </c>
      <c r="R19" s="13">
        <f>_xll.BDH("ITCI US Equity","INVTRY_FINISHED_GOODS","FQ3 2022","FQ3 2022","Currency=USD","Period=FQ","BEST_FPERIOD_OVERRIDE=FQ","FILING_STATUS=MR","SCALING_FORMAT=MLN","Sort=A","Dates=H","DateFormat=P","Fill=—","Direction=H","UseDPDF=Y")</f>
        <v>3.8029999999999999</v>
      </c>
      <c r="S19" s="13">
        <f>_xll.BDH("ITCI US Equity","INVTRY_FINISHED_GOODS","FQ4 2022","FQ4 2022","Currency=USD","Period=FQ","BEST_FPERIOD_OVERRIDE=FQ","FILING_STATUS=MR","SCALING_FORMAT=MLN","Sort=A","Dates=H","DateFormat=P","Fill=—","Direction=H","UseDPDF=Y")</f>
        <v>4.0990000000000002</v>
      </c>
      <c r="T19" s="13">
        <f>_xll.BDH("ITCI US Equity","INVTRY_FINISHED_GOODS","FQ1 2023","FQ1 2023","Currency=USD","Period=FQ","BEST_FPERIOD_OVERRIDE=FQ","FILING_STATUS=MR","SCALING_FORMAT=MLN","Sort=A","Dates=H","DateFormat=P","Fill=—","Direction=H","UseDPDF=Y")</f>
        <v>3.395</v>
      </c>
      <c r="U19" s="13">
        <f>_xll.BDH("ITCI US Equity","INVTRY_FINISHED_GOODS","FQ2 2023","FQ2 2023","Currency=USD","Period=FQ","BEST_FPERIOD_OVERRIDE=FQ","FILING_STATUS=MR","SCALING_FORMAT=MLN","Sort=A","Dates=H","DateFormat=P","Fill=—","Direction=H","UseDPDF=Y")</f>
        <v>3.9430000000000001</v>
      </c>
      <c r="V19" s="13">
        <f>_xll.BDH("ITCI US Equity","INVTRY_FINISHED_GOODS","FQ3 2023","FQ3 2023","Currency=USD","Period=FQ","BEST_FPERIOD_OVERRIDE=FQ","FILING_STATUS=MR","SCALING_FORMAT=MLN","Sort=A","Dates=H","DateFormat=P","Fill=—","Direction=H","UseDPDF=Y")</f>
        <v>5.04</v>
      </c>
      <c r="W19" s="13" t="str">
        <f>_xll.BDH("ITCI US Equity","INVTRY_FINISHED_GOODS","FQ4 2023","FQ4 2023","Currency=USD","Period=FQ","BEST_FPERIOD_OVERRIDE=FQ","FILING_STATUS=MR","SCALING_FORMAT=MLN","Sort=A","Dates=H","DateFormat=P","Fill=—","Direction=H","UseDPDF=Y")</f>
        <v>—</v>
      </c>
      <c r="X19" s="13">
        <f>_xll.BDH("ITCI US Equity","INVTRY_FINISHED_GOODS","FQ1 2024","FQ1 2024","Currency=USD","Period=FQ","BEST_FPERIOD_OVERRIDE=FQ","FILING_STATUS=MR","SCALING_FORMAT=MLN","Sort=A","Dates=H","DateFormat=P","Fill=—","Direction=H","UseDPDF=Y")</f>
        <v>7.0739999999999998</v>
      </c>
      <c r="Y19" s="13">
        <f>_xll.BDH("ITCI US Equity","INVTRY_FINISHED_GOODS","FQ2 2024","FQ2 2024","Currency=USD","Period=FQ","BEST_FPERIOD_OVERRIDE=FQ","FILING_STATUS=MR","SCALING_FORMAT=MLN","Sort=A","Dates=H","DateFormat=P","Fill=—","Direction=H","UseDPDF=Y")</f>
        <v>7.931</v>
      </c>
      <c r="Z19" s="13">
        <f>_xll.BDH("ITCI US Equity","INVTRY_FINISHED_GOODS","FQ3 2024","FQ3 2024","Currency=USD","Period=FQ","BEST_FPERIOD_OVERRIDE=FQ","FILING_STATUS=MR","SCALING_FORMAT=MLN","Sort=A","Dates=H","DateFormat=P","Fill=—","Direction=H","UseDPDF=Y")</f>
        <v>10.491</v>
      </c>
      <c r="AA19" s="13">
        <f>_xll.BDH("ITCI US Equity","INVTRY_FINISHED_GOODS","FQ4 2024","FQ4 2024","Currency=USD","Period=FQ","BEST_FPERIOD_OVERRIDE=FQ","FILING_STATUS=MR","SCALING_FORMAT=MLN","Sort=A","Dates=H","DateFormat=P","Fill=—","Direction=H","UseDPDF=Y")</f>
        <v>11.311999999999999</v>
      </c>
    </row>
    <row r="20" spans="1:27" x14ac:dyDescent="0.25">
      <c r="A20" s="10" t="s">
        <v>1244</v>
      </c>
      <c r="B20" s="10" t="s">
        <v>562</v>
      </c>
      <c r="C20" s="13">
        <f>_xll.BDH("ITCI US Equity","BS_OTHER_INV","FQ4 2018","FQ4 2018","Currency=USD","Period=FQ","BEST_FPERIOD_OVERRIDE=FQ","FILING_STATUS=MR","SCALING_FORMAT=MLN","Sort=A","Dates=H","DateFormat=P","Fill=—","Direction=H","UseDPDF=Y")</f>
        <v>0</v>
      </c>
      <c r="D20" s="13">
        <f>_xll.BDH("ITCI US Equity","BS_OTHER_INV","FQ1 2019","FQ1 2019","Currency=USD","Period=FQ","BEST_FPERIOD_OVERRIDE=FQ","FILING_STATUS=MR","SCALING_FORMAT=MLN","Sort=A","Dates=H","DateFormat=P","Fill=—","Direction=H","UseDPDF=Y")</f>
        <v>0</v>
      </c>
      <c r="E20" s="13">
        <f>_xll.BDH("ITCI US Equity","BS_OTHER_INV","FQ2 2019","FQ2 2019","Currency=USD","Period=FQ","BEST_FPERIOD_OVERRIDE=FQ","FILING_STATUS=MR","SCALING_FORMAT=MLN","Sort=A","Dates=H","DateFormat=P","Fill=—","Direction=H","UseDPDF=Y")</f>
        <v>0</v>
      </c>
      <c r="F20" s="13">
        <f>_xll.BDH("ITCI US Equity","BS_OTHER_INV","FQ3 2019","FQ3 2019","Currency=USD","Period=FQ","BEST_FPERIOD_OVERRIDE=FQ","FILING_STATUS=MR","SCALING_FORMAT=MLN","Sort=A","Dates=H","DateFormat=P","Fill=—","Direction=H","UseDPDF=Y")</f>
        <v>0</v>
      </c>
      <c r="G20" s="13">
        <f>_xll.BDH("ITCI US Equity","BS_OTHER_INV","FQ4 2019","FQ4 2019","Currency=USD","Period=FQ","BEST_FPERIOD_OVERRIDE=FQ","FILING_STATUS=MR","SCALING_FORMAT=MLN","Sort=A","Dates=H","DateFormat=P","Fill=—","Direction=H","UseDPDF=Y")</f>
        <v>0</v>
      </c>
      <c r="H20" s="13">
        <f>_xll.BDH("ITCI US Equity","BS_OTHER_INV","FQ1 2020","FQ1 2020","Currency=USD","Period=FQ","BEST_FPERIOD_OVERRIDE=FQ","FILING_STATUS=MR","SCALING_FORMAT=MLN","Sort=A","Dates=H","DateFormat=P","Fill=—","Direction=H","UseDPDF=Y")</f>
        <v>0</v>
      </c>
      <c r="I20" s="13" t="str">
        <f>_xll.BDH("ITCI US Equity","BS_OTHER_INV","FQ2 2020","FQ2 2020","Currency=USD","Period=FQ","BEST_FPERIOD_OVERRIDE=FQ","FILING_STATUS=MR","SCALING_FORMAT=MLN","Sort=A","Dates=H","DateFormat=P","Fill=—","Direction=H","UseDPDF=Y")</f>
        <v>—</v>
      </c>
      <c r="J20" s="13" t="str">
        <f>_xll.BDH("ITCI US Equity","BS_OTHER_INV","FQ3 2020","FQ3 2020","Currency=USD","Period=FQ","BEST_FPERIOD_OVERRIDE=FQ","FILING_STATUS=MR","SCALING_FORMAT=MLN","Sort=A","Dates=H","DateFormat=P","Fill=—","Direction=H","UseDPDF=Y")</f>
        <v>—</v>
      </c>
      <c r="K20" s="13">
        <f>_xll.BDH("ITCI US Equity","BS_OTHER_INV","FQ4 2020","FQ4 2020","Currency=USD","Period=FQ","BEST_FPERIOD_OVERRIDE=FQ","FILING_STATUS=MR","SCALING_FORMAT=MLN","Sort=A","Dates=H","DateFormat=P","Fill=—","Direction=H","UseDPDF=Y")</f>
        <v>0</v>
      </c>
      <c r="L20" s="13">
        <f>_xll.BDH("ITCI US Equity","BS_OTHER_INV","FQ1 2021","FQ1 2021","Currency=USD","Period=FQ","BEST_FPERIOD_OVERRIDE=FQ","FILING_STATUS=MR","SCALING_FORMAT=MLN","Sort=A","Dates=H","DateFormat=P","Fill=—","Direction=H","UseDPDF=Y")</f>
        <v>0</v>
      </c>
      <c r="M20" s="13">
        <f>_xll.BDH("ITCI US Equity","BS_OTHER_INV","FQ2 2021","FQ2 2021","Currency=USD","Period=FQ","BEST_FPERIOD_OVERRIDE=FQ","FILING_STATUS=MR","SCALING_FORMAT=MLN","Sort=A","Dates=H","DateFormat=P","Fill=—","Direction=H","UseDPDF=Y")</f>
        <v>0</v>
      </c>
      <c r="N20" s="13">
        <f>_xll.BDH("ITCI US Equity","BS_OTHER_INV","FQ3 2021","FQ3 2021","Currency=USD","Period=FQ","BEST_FPERIOD_OVERRIDE=FQ","FILING_STATUS=MR","SCALING_FORMAT=MLN","Sort=A","Dates=H","DateFormat=P","Fill=—","Direction=H","UseDPDF=Y")</f>
        <v>0</v>
      </c>
      <c r="O20" s="13">
        <f>_xll.BDH("ITCI US Equity","BS_OTHER_INV","FQ4 2021","FQ4 2021","Currency=USD","Period=FQ","BEST_FPERIOD_OVERRIDE=FQ","FILING_STATUS=MR","SCALING_FORMAT=MLN","Sort=A","Dates=H","DateFormat=P","Fill=—","Direction=H","UseDPDF=Y")</f>
        <v>0</v>
      </c>
      <c r="P20" s="13">
        <f>_xll.BDH("ITCI US Equity","BS_OTHER_INV","FQ1 2022","FQ1 2022","Currency=USD","Period=FQ","BEST_FPERIOD_OVERRIDE=FQ","FILING_STATUS=MR","SCALING_FORMAT=MLN","Sort=A","Dates=H","DateFormat=P","Fill=—","Direction=H","UseDPDF=Y")</f>
        <v>0</v>
      </c>
      <c r="Q20" s="13">
        <f>_xll.BDH("ITCI US Equity","BS_OTHER_INV","FQ2 2022","FQ2 2022","Currency=USD","Period=FQ","BEST_FPERIOD_OVERRIDE=FQ","FILING_STATUS=MR","SCALING_FORMAT=MLN","Sort=A","Dates=H","DateFormat=P","Fill=—","Direction=H","UseDPDF=Y")</f>
        <v>0</v>
      </c>
      <c r="R20" s="13">
        <f>_xll.BDH("ITCI US Equity","BS_OTHER_INV","FQ3 2022","FQ3 2022","Currency=USD","Period=FQ","BEST_FPERIOD_OVERRIDE=FQ","FILING_STATUS=MR","SCALING_FORMAT=MLN","Sort=A","Dates=H","DateFormat=P","Fill=—","Direction=H","UseDPDF=Y")</f>
        <v>0</v>
      </c>
      <c r="S20" s="13">
        <f>_xll.BDH("ITCI US Equity","BS_OTHER_INV","FQ4 2022","FQ4 2022","Currency=USD","Period=FQ","BEST_FPERIOD_OVERRIDE=FQ","FILING_STATUS=MR","SCALING_FORMAT=MLN","Sort=A","Dates=H","DateFormat=P","Fill=—","Direction=H","UseDPDF=Y")</f>
        <v>0</v>
      </c>
      <c r="T20" s="13">
        <f>_xll.BDH("ITCI US Equity","BS_OTHER_INV","FQ1 2023","FQ1 2023","Currency=USD","Period=FQ","BEST_FPERIOD_OVERRIDE=FQ","FILING_STATUS=MR","SCALING_FORMAT=MLN","Sort=A","Dates=H","DateFormat=P","Fill=—","Direction=H","UseDPDF=Y")</f>
        <v>0</v>
      </c>
      <c r="U20" s="13">
        <f>_xll.BDH("ITCI US Equity","BS_OTHER_INV","FQ2 2023","FQ2 2023","Currency=USD","Period=FQ","BEST_FPERIOD_OVERRIDE=FQ","FILING_STATUS=MR","SCALING_FORMAT=MLN","Sort=A","Dates=H","DateFormat=P","Fill=—","Direction=H","UseDPDF=Y")</f>
        <v>0</v>
      </c>
      <c r="V20" s="13">
        <f>_xll.BDH("ITCI US Equity","BS_OTHER_INV","FQ3 2023","FQ3 2023","Currency=USD","Period=FQ","BEST_FPERIOD_OVERRIDE=FQ","FILING_STATUS=MR","SCALING_FORMAT=MLN","Sort=A","Dates=H","DateFormat=P","Fill=—","Direction=H","UseDPDF=Y")</f>
        <v>0</v>
      </c>
      <c r="W20" s="13">
        <f>_xll.BDH("ITCI US Equity","BS_OTHER_INV","FQ4 2023","FQ4 2023","Currency=USD","Period=FQ","BEST_FPERIOD_OVERRIDE=FQ","FILING_STATUS=MR","SCALING_FORMAT=MLN","Sort=A","Dates=H","DateFormat=P","Fill=—","Direction=H","UseDPDF=Y")</f>
        <v>0</v>
      </c>
      <c r="X20" s="13">
        <f>_xll.BDH("ITCI US Equity","BS_OTHER_INV","FQ1 2024","FQ1 2024","Currency=USD","Period=FQ","BEST_FPERIOD_OVERRIDE=FQ","FILING_STATUS=MR","SCALING_FORMAT=MLN","Sort=A","Dates=H","DateFormat=P","Fill=—","Direction=H","UseDPDF=Y")</f>
        <v>-34.817999999999998</v>
      </c>
      <c r="Y20" s="13">
        <f>_xll.BDH("ITCI US Equity","BS_OTHER_INV","FQ2 2024","FQ2 2024","Currency=USD","Period=FQ","BEST_FPERIOD_OVERRIDE=FQ","FILING_STATUS=MR","SCALING_FORMAT=MLN","Sort=A","Dates=H","DateFormat=P","Fill=—","Direction=H","UseDPDF=Y")</f>
        <v>-32.561999999999998</v>
      </c>
      <c r="Z20" s="13">
        <f>_xll.BDH("ITCI US Equity","BS_OTHER_INV","FQ3 2024","FQ3 2024","Currency=USD","Period=FQ","BEST_FPERIOD_OVERRIDE=FQ","FILING_STATUS=MR","SCALING_FORMAT=MLN","Sort=A","Dates=H","DateFormat=P","Fill=—","Direction=H","UseDPDF=Y")</f>
        <v>-30.478999999999999</v>
      </c>
      <c r="AA20" s="13">
        <f>_xll.BDH("ITCI US Equity","BS_OTHER_INV","FQ4 2024","FQ4 2024","Currency=USD","Period=FQ","BEST_FPERIOD_OVERRIDE=FQ","FILING_STATUS=MR","SCALING_FORMAT=MLN","Sort=A","Dates=H","DateFormat=P","Fill=—","Direction=H","UseDPDF=Y")</f>
        <v>-38.89</v>
      </c>
    </row>
    <row r="21" spans="1:27" x14ac:dyDescent="0.25">
      <c r="A21" s="7" t="s">
        <v>90</v>
      </c>
      <c r="B21" s="7"/>
      <c r="C21" s="7" t="s">
        <v>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41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1245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6" t="s">
        <v>1246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1247</v>
      </c>
      <c r="B7" s="10" t="s">
        <v>1248</v>
      </c>
      <c r="C7" s="13">
        <f>_xll.BDH("ITCI US Equity","TRAIL_12M_CASH_FROM_OPER","FQ4 2018","FQ4 2018","Currency=USD","Period=FQ","BEST_FPERIOD_OVERRIDE=FQ","FILING_STATUS=MR","SCALING_FORMAT=MLN","Sort=A","Dates=H","DateFormat=P","Fill=—","Direction=H","UseDPDF=Y")</f>
        <v>-118.1691</v>
      </c>
      <c r="D7" s="13">
        <f>_xll.BDH("ITCI US Equity","TRAIL_12M_CASH_FROM_OPER","FQ1 2019","FQ1 2019","Currency=USD","Period=FQ","BEST_FPERIOD_OVERRIDE=FQ","FILING_STATUS=MR","SCALING_FORMAT=MLN","Sort=A","Dates=H","DateFormat=P","Fill=—","Direction=H","UseDPDF=Y")</f>
        <v>-126.81440000000001</v>
      </c>
      <c r="E7" s="13">
        <f>_xll.BDH("ITCI US Equity","TRAIL_12M_CASH_FROM_OPER","FQ2 2019","FQ2 2019","Currency=USD","Period=FQ","BEST_FPERIOD_OVERRIDE=FQ","FILING_STATUS=MR","SCALING_FORMAT=MLN","Sort=A","Dates=H","DateFormat=P","Fill=—","Direction=H","UseDPDF=Y")</f>
        <v>-120.5091</v>
      </c>
      <c r="F7" s="13">
        <f>_xll.BDH("ITCI US Equity","TRAIL_12M_CASH_FROM_OPER","FQ3 2019","FQ3 2019","Currency=USD","Period=FQ","BEST_FPERIOD_OVERRIDE=FQ","FILING_STATUS=MR","SCALING_FORMAT=MLN","Sort=A","Dates=H","DateFormat=P","Fill=—","Direction=H","UseDPDF=Y")</f>
        <v>-122.0889</v>
      </c>
      <c r="G7" s="13">
        <f>_xll.BDH("ITCI US Equity","TRAIL_12M_CASH_FROM_OPER","FQ4 2019","FQ4 2019","Currency=USD","Period=FQ","BEST_FPERIOD_OVERRIDE=FQ","FILING_STATUS=MR","SCALING_FORMAT=MLN","Sort=A","Dates=H","DateFormat=P","Fill=—","Direction=H","UseDPDF=Y")</f>
        <v>-127.9832</v>
      </c>
      <c r="H7" s="13">
        <f>_xll.BDH("ITCI US Equity","TRAIL_12M_CASH_FROM_OPER","FQ1 2020","FQ1 2020","Currency=USD","Period=FQ","BEST_FPERIOD_OVERRIDE=FQ","FILING_STATUS=MR","SCALING_FORMAT=MLN","Sort=A","Dates=H","DateFormat=P","Fill=—","Direction=H","UseDPDF=Y")</f>
        <v>-143.58009999999999</v>
      </c>
      <c r="I7" s="13">
        <f>_xll.BDH("ITCI US Equity","TRAIL_12M_CASH_FROM_OPER","FQ2 2020","FQ2 2020","Currency=USD","Period=FQ","BEST_FPERIOD_OVERRIDE=FQ","FILING_STATUS=MR","SCALING_FORMAT=MLN","Sort=A","Dates=H","DateFormat=P","Fill=—","Direction=H","UseDPDF=Y")</f>
        <v>-163.2962</v>
      </c>
      <c r="J7" s="13">
        <f>_xll.BDH("ITCI US Equity","TRAIL_12M_CASH_FROM_OPER","FQ3 2020","FQ3 2020","Currency=USD","Period=FQ","BEST_FPERIOD_OVERRIDE=FQ","FILING_STATUS=MR","SCALING_FORMAT=MLN","Sort=A","Dates=H","DateFormat=P","Fill=—","Direction=H","UseDPDF=Y")</f>
        <v>-196.886</v>
      </c>
      <c r="K7" s="13">
        <f>_xll.BDH("ITCI US Equity","TRAIL_12M_CASH_FROM_OPER","FQ4 2020","FQ4 2020","Currency=USD","Period=FQ","BEST_FPERIOD_OVERRIDE=FQ","FILING_STATUS=MR","SCALING_FORMAT=MLN","Sort=A","Dates=H","DateFormat=P","Fill=—","Direction=H","UseDPDF=Y")</f>
        <v>-230.0728</v>
      </c>
      <c r="L7" s="13">
        <f>_xll.BDH("ITCI US Equity","TRAIL_12M_CASH_FROM_OPER","FQ1 2021","FQ1 2021","Currency=USD","Period=FQ","BEST_FPERIOD_OVERRIDE=FQ","FILING_STATUS=MR","SCALING_FORMAT=MLN","Sort=A","Dates=H","DateFormat=P","Fill=—","Direction=H","UseDPDF=Y")</f>
        <v>-226.61359999999999</v>
      </c>
      <c r="M7" s="13">
        <f>_xll.BDH("ITCI US Equity","TRAIL_12M_CASH_FROM_OPER","FQ2 2021","FQ2 2021","Currency=USD","Period=FQ","BEST_FPERIOD_OVERRIDE=FQ","FILING_STATUS=MR","SCALING_FORMAT=MLN","Sort=A","Dates=H","DateFormat=P","Fill=—","Direction=H","UseDPDF=Y")</f>
        <v>-238.91399999999999</v>
      </c>
      <c r="N7" s="13">
        <f>_xll.BDH("ITCI US Equity","TRAIL_12M_CASH_FROM_OPER","FQ3 2021","FQ3 2021","Currency=USD","Period=FQ","BEST_FPERIOD_OVERRIDE=FQ","FILING_STATUS=MR","SCALING_FORMAT=MLN","Sort=A","Dates=H","DateFormat=P","Fill=—","Direction=H","UseDPDF=Y")</f>
        <v>-254.60169999999999</v>
      </c>
      <c r="O7" s="13">
        <f>_xll.BDH("ITCI US Equity","TRAIL_12M_CASH_FROM_OPER","FQ4 2021","FQ4 2021","Currency=USD","Period=FQ","BEST_FPERIOD_OVERRIDE=FQ","FILING_STATUS=MR","SCALING_FORMAT=MLN","Sort=A","Dates=H","DateFormat=P","Fill=—","Direction=H","UseDPDF=Y")</f>
        <v>-259.54349999999999</v>
      </c>
      <c r="P7" s="13">
        <f>_xll.BDH("ITCI US Equity","TRAIL_12M_CASH_FROM_OPER","FQ1 2022","FQ1 2022","Currency=USD","Period=FQ","BEST_FPERIOD_OVERRIDE=FQ","FILING_STATUS=MR","SCALING_FORMAT=MLN","Sort=A","Dates=H","DateFormat=P","Fill=—","Direction=H","UseDPDF=Y")</f>
        <v>-294.62549999999999</v>
      </c>
      <c r="Q7" s="13">
        <f>_xll.BDH("ITCI US Equity","TRAIL_12M_CASH_FROM_OPER","FQ2 2022","FQ2 2022","Currency=USD","Period=FQ","BEST_FPERIOD_OVERRIDE=FQ","FILING_STATUS=MR","SCALING_FORMAT=MLN","Sort=A","Dates=H","DateFormat=P","Fill=—","Direction=H","UseDPDF=Y")</f>
        <v>-330.0933</v>
      </c>
      <c r="R7" s="13">
        <f>_xll.BDH("ITCI US Equity","TRAIL_12M_CASH_FROM_OPER","FQ3 2022","FQ3 2022","Currency=USD","Period=FQ","BEST_FPERIOD_OVERRIDE=FQ","FILING_STATUS=MR","SCALING_FORMAT=MLN","Sort=A","Dates=H","DateFormat=P","Fill=—","Direction=H","UseDPDF=Y")</f>
        <v>-304.17750000000001</v>
      </c>
      <c r="S7" s="13">
        <f>_xll.BDH("ITCI US Equity","TRAIL_12M_CASH_FROM_OPER","FQ4 2022","FQ4 2022","Currency=USD","Period=FQ","BEST_FPERIOD_OVERRIDE=FQ","FILING_STATUS=MR","SCALING_FORMAT=MLN","Sort=A","Dates=H","DateFormat=P","Fill=—","Direction=H","UseDPDF=Y")</f>
        <v>-270.18599999999998</v>
      </c>
      <c r="T7" s="13">
        <f>_xll.BDH("ITCI US Equity","TRAIL_12M_CASH_FROM_OPER","FQ1 2023","FQ1 2023","Currency=USD","Period=FQ","BEST_FPERIOD_OVERRIDE=FQ","FILING_STATUS=MR","SCALING_FORMAT=MLN","Sort=A","Dates=H","DateFormat=P","Fill=—","Direction=H","UseDPDF=Y")</f>
        <v>-247.40299999999999</v>
      </c>
      <c r="U7" s="13">
        <f>_xll.BDH("ITCI US Equity","TRAIL_12M_CASH_FROM_OPER","FQ2 2023","FQ2 2023","Currency=USD","Period=FQ","BEST_FPERIOD_OVERRIDE=FQ","FILING_STATUS=MR","SCALING_FORMAT=MLN","Sort=A","Dates=H","DateFormat=P","Fill=—","Direction=H","UseDPDF=Y")</f>
        <v>-189.41200000000001</v>
      </c>
      <c r="V7" s="13">
        <f>_xll.BDH("ITCI US Equity","TRAIL_12M_CASH_FROM_OPER","FQ3 2023","FQ3 2023","Currency=USD","Period=FQ","BEST_FPERIOD_OVERRIDE=FQ","FILING_STATUS=MR","SCALING_FORMAT=MLN","Sort=A","Dates=H","DateFormat=P","Fill=—","Direction=H","UseDPDF=Y")</f>
        <v>-161.33099999999999</v>
      </c>
      <c r="W7" s="13">
        <f>_xll.BDH("ITCI US Equity","TRAIL_12M_CASH_FROM_OPER","FQ4 2023","FQ4 2023","Currency=USD","Period=FQ","BEST_FPERIOD_OVERRIDE=FQ","FILING_STATUS=MR","SCALING_FORMAT=MLN","Sort=A","Dates=H","DateFormat=P","Fill=—","Direction=H","UseDPDF=Y")</f>
        <v>-124.199</v>
      </c>
      <c r="X7" s="13">
        <f>_xll.BDH("ITCI US Equity","TRAIL_12M_CASH_FROM_OPER","FQ1 2024","FQ1 2024","Currency=USD","Period=FQ","BEST_FPERIOD_OVERRIDE=FQ","FILING_STATUS=MR","SCALING_FORMAT=MLN","Sort=A","Dates=H","DateFormat=P","Fill=—","Direction=H","UseDPDF=Y")</f>
        <v>-98.248999999999995</v>
      </c>
      <c r="Y7" s="13">
        <f>_xll.BDH("ITCI US Equity","TRAIL_12M_CASH_FROM_OPER","FQ2 2024","FQ2 2024","Currency=USD","Period=FQ","BEST_FPERIOD_OVERRIDE=FQ","FILING_STATUS=MR","SCALING_FORMAT=MLN","Sort=A","Dates=H","DateFormat=P","Fill=—","Direction=H","UseDPDF=Y")</f>
        <v>-60.905000000000001</v>
      </c>
      <c r="Z7" s="13">
        <f>_xll.BDH("ITCI US Equity","TRAIL_12M_CASH_FROM_OPER","FQ3 2024","FQ3 2024","Currency=USD","Period=FQ","BEST_FPERIOD_OVERRIDE=FQ","FILING_STATUS=MR","SCALING_FORMAT=MLN","Sort=A","Dates=H","DateFormat=P","Fill=—","Direction=H","UseDPDF=Y")</f>
        <v>-62.16</v>
      </c>
      <c r="AA7" s="13">
        <f>_xll.BDH("ITCI US Equity","TRAIL_12M_CASH_FROM_OPER","FQ4 2024","FQ4 2024","Currency=USD","Period=FQ","BEST_FPERIOD_OVERRIDE=FQ","FILING_STATUS=MR","SCALING_FORMAT=MLN","Sort=A","Dates=H","DateFormat=P","Fill=—","Direction=H","UseDPDF=Y")</f>
        <v>-73.177000000000007</v>
      </c>
    </row>
    <row r="8" spans="1:27" x14ac:dyDescent="0.25">
      <c r="A8" s="10" t="s">
        <v>1249</v>
      </c>
      <c r="B8" s="10" t="s">
        <v>1250</v>
      </c>
      <c r="C8" s="13">
        <f>_xll.BDH("ITCI US Equity","TRAIL_12M_CAP_EXPEND","FQ4 2018","FQ4 2018","Currency=USD","Period=FQ","BEST_FPERIOD_OVERRIDE=FQ","FILING_STATUS=MR","SCALING_FORMAT=MLN","Sort=A","Dates=H","DateFormat=P","Fill=—","Direction=H","UseDPDF=Y")</f>
        <v>-0.39129999999999998</v>
      </c>
      <c r="D8" s="13">
        <f>_xll.BDH("ITCI US Equity","TRAIL_12M_CAP_EXPEND","FQ1 2019","FQ1 2019","Currency=USD","Period=FQ","BEST_FPERIOD_OVERRIDE=FQ","FILING_STATUS=MR","SCALING_FORMAT=MLN","Sort=A","Dates=H","DateFormat=P","Fill=—","Direction=H","UseDPDF=Y")</f>
        <v>-0.16339999999999999</v>
      </c>
      <c r="E8" s="13">
        <f>_xll.BDH("ITCI US Equity","TRAIL_12M_CAP_EXPEND","FQ2 2019","FQ2 2019","Currency=USD","Period=FQ","BEST_FPERIOD_OVERRIDE=FQ","FILING_STATUS=MR","SCALING_FORMAT=MLN","Sort=A","Dates=H","DateFormat=P","Fill=—","Direction=H","UseDPDF=Y")</f>
        <v>-1.2043999999999999</v>
      </c>
      <c r="F8" s="13">
        <f>_xll.BDH("ITCI US Equity","TRAIL_12M_CAP_EXPEND","FQ3 2019","FQ3 2019","Currency=USD","Period=FQ","BEST_FPERIOD_OVERRIDE=FQ","FILING_STATUS=MR","SCALING_FORMAT=MLN","Sort=A","Dates=H","DateFormat=P","Fill=—","Direction=H","UseDPDF=Y")</f>
        <v>-1.4094</v>
      </c>
      <c r="G8" s="13" t="str">
        <f>_xll.BDH("ITCI US Equity","TRAIL_12M_CAP_EXPEND","FQ4 2019","FQ4 2019","Currency=USD","Period=FQ","BEST_FPERIOD_OVERRIDE=FQ","FILING_STATUS=MR","SCALING_FORMAT=MLN","Sort=A","Dates=H","DateFormat=P","Fill=—","Direction=H","UseDPDF=Y")</f>
        <v>—</v>
      </c>
      <c r="H8" s="13" t="str">
        <f>_xll.BDH("ITCI US Equity","TRAIL_12M_CAP_EXPEND","FQ1 2020","FQ1 2020","Currency=USD","Period=FQ","BEST_FPERIOD_OVERRIDE=FQ","FILING_STATUS=MR","SCALING_FORMAT=MLN","Sort=A","Dates=H","DateFormat=P","Fill=—","Direction=H","UseDPDF=Y")</f>
        <v>—</v>
      </c>
      <c r="I8" s="13" t="str">
        <f>_xll.BDH("ITCI US Equity","TRAIL_12M_CAP_EXPEND","FQ2 2020","FQ2 2020","Currency=USD","Period=FQ","BEST_FPERIOD_OVERRIDE=FQ","FILING_STATUS=MR","SCALING_FORMAT=MLN","Sort=A","Dates=H","DateFormat=P","Fill=—","Direction=H","UseDPDF=Y")</f>
        <v>—</v>
      </c>
      <c r="J8" s="13" t="str">
        <f>_xll.BDH("ITCI US Equity","TRAIL_12M_CAP_EXPEND","FQ3 2020","FQ3 2020","Currency=USD","Period=FQ","BEST_FPERIOD_OVERRIDE=FQ","FILING_STATUS=MR","SCALING_FORMAT=MLN","Sort=A","Dates=H","DateFormat=P","Fill=—","Direction=H","UseDPDF=Y")</f>
        <v>—</v>
      </c>
      <c r="K8" s="13">
        <f>_xll.BDH("ITCI US Equity","TRAIL_12M_CAP_EXPEND","FQ4 2020","FQ4 2020","Currency=USD","Period=FQ","BEST_FPERIOD_OVERRIDE=FQ","FILING_STATUS=MR","SCALING_FORMAT=MLN","Sort=A","Dates=H","DateFormat=P","Fill=—","Direction=H","UseDPDF=Y")</f>
        <v>-0.26669999999999999</v>
      </c>
      <c r="L8" s="13">
        <f>_xll.BDH("ITCI US Equity","TRAIL_12M_CAP_EXPEND","FQ1 2021","FQ1 2021","Currency=USD","Period=FQ","BEST_FPERIOD_OVERRIDE=FQ","FILING_STATUS=MR","SCALING_FORMAT=MLN","Sort=A","Dates=H","DateFormat=P","Fill=—","Direction=H","UseDPDF=Y")</f>
        <v>-0.2447</v>
      </c>
      <c r="M8" s="13">
        <f>_xll.BDH("ITCI US Equity","TRAIL_12M_CAP_EXPEND","FQ2 2021","FQ2 2021","Currency=USD","Period=FQ","BEST_FPERIOD_OVERRIDE=FQ","FILING_STATUS=MR","SCALING_FORMAT=MLN","Sort=A","Dates=H","DateFormat=P","Fill=—","Direction=H","UseDPDF=Y")</f>
        <v>-0.25990000000000002</v>
      </c>
      <c r="N8" s="13">
        <f>_xll.BDH("ITCI US Equity","TRAIL_12M_CAP_EXPEND","FQ3 2021","FQ3 2021","Currency=USD","Period=FQ","BEST_FPERIOD_OVERRIDE=FQ","FILING_STATUS=MR","SCALING_FORMAT=MLN","Sort=A","Dates=H","DateFormat=P","Fill=—","Direction=H","UseDPDF=Y")</f>
        <v>-0.39929999999999999</v>
      </c>
      <c r="O8" s="13">
        <f>_xll.BDH("ITCI US Equity","TRAIL_12M_CAP_EXPEND","FQ4 2021","FQ4 2021","Currency=USD","Period=FQ","BEST_FPERIOD_OVERRIDE=FQ","FILING_STATUS=MR","SCALING_FORMAT=MLN","Sort=A","Dates=H","DateFormat=P","Fill=—","Direction=H","UseDPDF=Y")</f>
        <v>-0.32569999999999999</v>
      </c>
      <c r="P8" s="13">
        <f>_xll.BDH("ITCI US Equity","TRAIL_12M_CAP_EXPEND","FQ1 2022","FQ1 2022","Currency=USD","Period=FQ","BEST_FPERIOD_OVERRIDE=FQ","FILING_STATUS=MR","SCALING_FORMAT=MLN","Sort=A","Dates=H","DateFormat=P","Fill=—","Direction=H","UseDPDF=Y")</f>
        <v>-0.89170000000000005</v>
      </c>
      <c r="Q8" s="13">
        <f>_xll.BDH("ITCI US Equity","TRAIL_12M_CAP_EXPEND","FQ2 2022","FQ2 2022","Currency=USD","Period=FQ","BEST_FPERIOD_OVERRIDE=FQ","FILING_STATUS=MR","SCALING_FORMAT=MLN","Sort=A","Dates=H","DateFormat=P","Fill=—","Direction=H","UseDPDF=Y")</f>
        <v>-0.99950000000000006</v>
      </c>
      <c r="R8" s="13">
        <f>_xll.BDH("ITCI US Equity","TRAIL_12M_CAP_EXPEND","FQ3 2022","FQ3 2022","Currency=USD","Period=FQ","BEST_FPERIOD_OVERRIDE=FQ","FILING_STATUS=MR","SCALING_FORMAT=MLN","Sort=A","Dates=H","DateFormat=P","Fill=—","Direction=H","UseDPDF=Y")</f>
        <v>-0.80720000000000003</v>
      </c>
      <c r="S8" s="13">
        <f>_xll.BDH("ITCI US Equity","TRAIL_12M_CAP_EXPEND","FQ4 2022","FQ4 2022","Currency=USD","Period=FQ","BEST_FPERIOD_OVERRIDE=FQ","FILING_STATUS=MR","SCALING_FORMAT=MLN","Sort=A","Dates=H","DateFormat=P","Fill=—","Direction=H","UseDPDF=Y")</f>
        <v>-0.80600000000000005</v>
      </c>
      <c r="T8" s="13">
        <f>_xll.BDH("ITCI US Equity","TRAIL_12M_CAP_EXPEND","FQ1 2023","FQ1 2023","Currency=USD","Period=FQ","BEST_FPERIOD_OVERRIDE=FQ","FILING_STATUS=MR","SCALING_FORMAT=MLN","Sort=A","Dates=H","DateFormat=P","Fill=—","Direction=H","UseDPDF=Y")</f>
        <v>-0.24</v>
      </c>
      <c r="U8" s="13">
        <f>_xll.BDH("ITCI US Equity","TRAIL_12M_CAP_EXPEND","FQ2 2023","FQ2 2023","Currency=USD","Period=FQ","BEST_FPERIOD_OVERRIDE=FQ","FILING_STATUS=MR","SCALING_FORMAT=MLN","Sort=A","Dates=H","DateFormat=P","Fill=—","Direction=H","UseDPDF=Y")</f>
        <v>-0.11700000000000001</v>
      </c>
      <c r="V8" s="13">
        <f>_xll.BDH("ITCI US Equity","TRAIL_12M_CAP_EXPEND","FQ3 2023","FQ3 2023","Currency=USD","Period=FQ","BEST_FPERIOD_OVERRIDE=FQ","FILING_STATUS=MR","SCALING_FORMAT=MLN","Sort=A","Dates=H","DateFormat=P","Fill=—","Direction=H","UseDPDF=Y")</f>
        <v>-0.26800000000000002</v>
      </c>
      <c r="W8" s="13">
        <f>_xll.BDH("ITCI US Equity","TRAIL_12M_CAP_EXPEND","FQ4 2023","FQ4 2023","Currency=USD","Period=FQ","BEST_FPERIOD_OVERRIDE=FQ","FILING_STATUS=MR","SCALING_FORMAT=MLN","Sort=A","Dates=H","DateFormat=P","Fill=—","Direction=H","UseDPDF=Y")</f>
        <v>-0.26900000000000002</v>
      </c>
      <c r="X8" s="13">
        <f>_xll.BDH("ITCI US Equity","TRAIL_12M_CAP_EXPEND","FQ1 2024","FQ1 2024","Currency=USD","Period=FQ","BEST_FPERIOD_OVERRIDE=FQ","FILING_STATUS=MR","SCALING_FORMAT=MLN","Sort=A","Dates=H","DateFormat=P","Fill=—","Direction=H","UseDPDF=Y")</f>
        <v>-0.26900000000000002</v>
      </c>
      <c r="Y8" s="13">
        <f>_xll.BDH("ITCI US Equity","TRAIL_12M_CAP_EXPEND","FQ2 2024","FQ2 2024","Currency=USD","Period=FQ","BEST_FPERIOD_OVERRIDE=FQ","FILING_STATUS=MR","SCALING_FORMAT=MLN","Sort=A","Dates=H","DateFormat=P","Fill=—","Direction=H","UseDPDF=Y")</f>
        <v>-0.32200000000000001</v>
      </c>
      <c r="Z8" s="13">
        <f>_xll.BDH("ITCI US Equity","TRAIL_12M_CAP_EXPEND","FQ3 2024","FQ3 2024","Currency=USD","Period=FQ","BEST_FPERIOD_OVERRIDE=FQ","FILING_STATUS=MR","SCALING_FORMAT=MLN","Sort=A","Dates=H","DateFormat=P","Fill=—","Direction=H","UseDPDF=Y")</f>
        <v>-0.75</v>
      </c>
      <c r="AA8" s="13" t="str">
        <f>_xll.BDH("ITCI US Equity","TRAIL_12M_CAP_EXPEND","FQ4 2024","FQ4 2024","Currency=USD","Period=FQ","BEST_FPERIOD_OVERRIDE=FQ","FILING_STATUS=MR","SCALING_FORMAT=MLN","Sort=A","Dates=H","DateFormat=P","Fill=—","Direction=H","UseDPDF=Y")</f>
        <v>—</v>
      </c>
    </row>
    <row r="9" spans="1:27" x14ac:dyDescent="0.25">
      <c r="A9" s="6" t="s">
        <v>88</v>
      </c>
      <c r="B9" s="6" t="s">
        <v>1251</v>
      </c>
      <c r="C9" s="19">
        <f>_xll.BDH("ITCI US Equity","TRAIL_12M_FREE_CASH_FLOW","FQ4 2018","FQ4 2018","Currency=USD","Period=FQ","BEST_FPERIOD_OVERRIDE=FQ","FILING_STATUS=MR","SCALING_FORMAT=MLN","Sort=A","Dates=H","DateFormat=P","Fill=—","Direction=H","UseDPDF=Y")</f>
        <v>-118.5604</v>
      </c>
      <c r="D9" s="19">
        <f>_xll.BDH("ITCI US Equity","TRAIL_12M_FREE_CASH_FLOW","FQ1 2019","FQ1 2019","Currency=USD","Period=FQ","BEST_FPERIOD_OVERRIDE=FQ","FILING_STATUS=MR","SCALING_FORMAT=MLN","Sort=A","Dates=H","DateFormat=P","Fill=—","Direction=H","UseDPDF=Y")</f>
        <v>-126.9778</v>
      </c>
      <c r="E9" s="19">
        <f>_xll.BDH("ITCI US Equity","TRAIL_12M_FREE_CASH_FLOW","FQ2 2019","FQ2 2019","Currency=USD","Period=FQ","BEST_FPERIOD_OVERRIDE=FQ","FILING_STATUS=MR","SCALING_FORMAT=MLN","Sort=A","Dates=H","DateFormat=P","Fill=—","Direction=H","UseDPDF=Y")</f>
        <v>-121.7135</v>
      </c>
      <c r="F9" s="19">
        <f>_xll.BDH("ITCI US Equity","TRAIL_12M_FREE_CASH_FLOW","FQ3 2019","FQ3 2019","Currency=USD","Period=FQ","BEST_FPERIOD_OVERRIDE=FQ","FILING_STATUS=MR","SCALING_FORMAT=MLN","Sort=A","Dates=H","DateFormat=P","Fill=—","Direction=H","UseDPDF=Y")</f>
        <v>-123.4983</v>
      </c>
      <c r="G9" s="19" t="str">
        <f>_xll.BDH("ITCI US Equity","TRAIL_12M_FREE_CASH_FLOW","FQ4 2019","FQ4 2019","Currency=USD","Period=FQ","BEST_FPERIOD_OVERRIDE=FQ","FILING_STATUS=MR","SCALING_FORMAT=MLN","Sort=A","Dates=H","DateFormat=P","Fill=—","Direction=H","UseDPDF=Y")</f>
        <v>—</v>
      </c>
      <c r="H9" s="19" t="str">
        <f>_xll.BDH("ITCI US Equity","TRAIL_12M_FREE_CASH_FLOW","FQ1 2020","FQ1 2020","Currency=USD","Period=FQ","BEST_FPERIOD_OVERRIDE=FQ","FILING_STATUS=MR","SCALING_FORMAT=MLN","Sort=A","Dates=H","DateFormat=P","Fill=—","Direction=H","UseDPDF=Y")</f>
        <v>—</v>
      </c>
      <c r="I9" s="19" t="str">
        <f>_xll.BDH("ITCI US Equity","TRAIL_12M_FREE_CASH_FLOW","FQ2 2020","FQ2 2020","Currency=USD","Period=FQ","BEST_FPERIOD_OVERRIDE=FQ","FILING_STATUS=MR","SCALING_FORMAT=MLN","Sort=A","Dates=H","DateFormat=P","Fill=—","Direction=H","UseDPDF=Y")</f>
        <v>—</v>
      </c>
      <c r="J9" s="19" t="str">
        <f>_xll.BDH("ITCI US Equity","TRAIL_12M_FREE_CASH_FLOW","FQ3 2020","FQ3 2020","Currency=USD","Period=FQ","BEST_FPERIOD_OVERRIDE=FQ","FILING_STATUS=MR","SCALING_FORMAT=MLN","Sort=A","Dates=H","DateFormat=P","Fill=—","Direction=H","UseDPDF=Y")</f>
        <v>—</v>
      </c>
      <c r="K9" s="19">
        <f>_xll.BDH("ITCI US Equity","TRAIL_12M_FREE_CASH_FLOW","FQ4 2020","FQ4 2020","Currency=USD","Period=FQ","BEST_FPERIOD_OVERRIDE=FQ","FILING_STATUS=MR","SCALING_FORMAT=MLN","Sort=A","Dates=H","DateFormat=P","Fill=—","Direction=H","UseDPDF=Y")</f>
        <v>-230.33959999999999</v>
      </c>
      <c r="L9" s="19">
        <f>_xll.BDH("ITCI US Equity","TRAIL_12M_FREE_CASH_FLOW","FQ1 2021","FQ1 2021","Currency=USD","Period=FQ","BEST_FPERIOD_OVERRIDE=FQ","FILING_STATUS=MR","SCALING_FORMAT=MLN","Sort=A","Dates=H","DateFormat=P","Fill=—","Direction=H","UseDPDF=Y")</f>
        <v>-226.85830000000001</v>
      </c>
      <c r="M9" s="19">
        <f>_xll.BDH("ITCI US Equity","TRAIL_12M_FREE_CASH_FLOW","FQ2 2021","FQ2 2021","Currency=USD","Period=FQ","BEST_FPERIOD_OVERRIDE=FQ","FILING_STATUS=MR","SCALING_FORMAT=MLN","Sort=A","Dates=H","DateFormat=P","Fill=—","Direction=H","UseDPDF=Y")</f>
        <v>-239.1739</v>
      </c>
      <c r="N9" s="19">
        <f>_xll.BDH("ITCI US Equity","TRAIL_12M_FREE_CASH_FLOW","FQ3 2021","FQ3 2021","Currency=USD","Period=FQ","BEST_FPERIOD_OVERRIDE=FQ","FILING_STATUS=MR","SCALING_FORMAT=MLN","Sort=A","Dates=H","DateFormat=P","Fill=—","Direction=H","UseDPDF=Y")</f>
        <v>-255.0009</v>
      </c>
      <c r="O9" s="19">
        <f>_xll.BDH("ITCI US Equity","TRAIL_12M_FREE_CASH_FLOW","FQ4 2021","FQ4 2021","Currency=USD","Period=FQ","BEST_FPERIOD_OVERRIDE=FQ","FILING_STATUS=MR","SCALING_FORMAT=MLN","Sort=A","Dates=H","DateFormat=P","Fill=—","Direction=H","UseDPDF=Y")</f>
        <v>-259.86919999999998</v>
      </c>
      <c r="P9" s="19">
        <f>_xll.BDH("ITCI US Equity","TRAIL_12M_FREE_CASH_FLOW","FQ1 2022","FQ1 2022","Currency=USD","Period=FQ","BEST_FPERIOD_OVERRIDE=FQ","FILING_STATUS=MR","SCALING_FORMAT=MLN","Sort=A","Dates=H","DateFormat=P","Fill=—","Direction=H","UseDPDF=Y")</f>
        <v>-295.51729999999998</v>
      </c>
      <c r="Q9" s="19">
        <f>_xll.BDH("ITCI US Equity","TRAIL_12M_FREE_CASH_FLOW","FQ2 2022","FQ2 2022","Currency=USD","Period=FQ","BEST_FPERIOD_OVERRIDE=FQ","FILING_STATUS=MR","SCALING_FORMAT=MLN","Sort=A","Dates=H","DateFormat=P","Fill=—","Direction=H","UseDPDF=Y")</f>
        <v>-331.09280000000001</v>
      </c>
      <c r="R9" s="19">
        <f>_xll.BDH("ITCI US Equity","TRAIL_12M_FREE_CASH_FLOW","FQ3 2022","FQ3 2022","Currency=USD","Period=FQ","BEST_FPERIOD_OVERRIDE=FQ","FILING_STATUS=MR","SCALING_FORMAT=MLN","Sort=A","Dates=H","DateFormat=P","Fill=—","Direction=H","UseDPDF=Y")</f>
        <v>-304.98480000000001</v>
      </c>
      <c r="S9" s="19">
        <f>_xll.BDH("ITCI US Equity","TRAIL_12M_FREE_CASH_FLOW","FQ4 2022","FQ4 2022","Currency=USD","Period=FQ","BEST_FPERIOD_OVERRIDE=FQ","FILING_STATUS=MR","SCALING_FORMAT=MLN","Sort=A","Dates=H","DateFormat=P","Fill=—","Direction=H","UseDPDF=Y")</f>
        <v>-270.99200000000002</v>
      </c>
      <c r="T9" s="19">
        <f>_xll.BDH("ITCI US Equity","TRAIL_12M_FREE_CASH_FLOW","FQ1 2023","FQ1 2023","Currency=USD","Period=FQ","BEST_FPERIOD_OVERRIDE=FQ","FILING_STATUS=MR","SCALING_FORMAT=MLN","Sort=A","Dates=H","DateFormat=P","Fill=—","Direction=H","UseDPDF=Y")</f>
        <v>-247.643</v>
      </c>
      <c r="U9" s="19">
        <f>_xll.BDH("ITCI US Equity","TRAIL_12M_FREE_CASH_FLOW","FQ2 2023","FQ2 2023","Currency=USD","Period=FQ","BEST_FPERIOD_OVERRIDE=FQ","FILING_STATUS=MR","SCALING_FORMAT=MLN","Sort=A","Dates=H","DateFormat=P","Fill=—","Direction=H","UseDPDF=Y")</f>
        <v>-189.529</v>
      </c>
      <c r="V9" s="19">
        <f>_xll.BDH("ITCI US Equity","TRAIL_12M_FREE_CASH_FLOW","FQ3 2023","FQ3 2023","Currency=USD","Period=FQ","BEST_FPERIOD_OVERRIDE=FQ","FILING_STATUS=MR","SCALING_FORMAT=MLN","Sort=A","Dates=H","DateFormat=P","Fill=—","Direction=H","UseDPDF=Y")</f>
        <v>-161.59899999999999</v>
      </c>
      <c r="W9" s="19">
        <f>_xll.BDH("ITCI US Equity","TRAIL_12M_FREE_CASH_FLOW","FQ4 2023","FQ4 2023","Currency=USD","Period=FQ","BEST_FPERIOD_OVERRIDE=FQ","FILING_STATUS=MR","SCALING_FORMAT=MLN","Sort=A","Dates=H","DateFormat=P","Fill=—","Direction=H","UseDPDF=Y")</f>
        <v>-124.468</v>
      </c>
      <c r="X9" s="19">
        <f>_xll.BDH("ITCI US Equity","TRAIL_12M_FREE_CASH_FLOW","FQ1 2024","FQ1 2024","Currency=USD","Period=FQ","BEST_FPERIOD_OVERRIDE=FQ","FILING_STATUS=MR","SCALING_FORMAT=MLN","Sort=A","Dates=H","DateFormat=P","Fill=—","Direction=H","UseDPDF=Y")</f>
        <v>-98.518000000000001</v>
      </c>
      <c r="Y9" s="19">
        <f>_xll.BDH("ITCI US Equity","TRAIL_12M_FREE_CASH_FLOW","FQ2 2024","FQ2 2024","Currency=USD","Period=FQ","BEST_FPERIOD_OVERRIDE=FQ","FILING_STATUS=MR","SCALING_FORMAT=MLN","Sort=A","Dates=H","DateFormat=P","Fill=—","Direction=H","UseDPDF=Y")</f>
        <v>-61.226999999999997</v>
      </c>
      <c r="Z9" s="19">
        <f>_xll.BDH("ITCI US Equity","TRAIL_12M_FREE_CASH_FLOW","FQ3 2024","FQ3 2024","Currency=USD","Period=FQ","BEST_FPERIOD_OVERRIDE=FQ","FILING_STATUS=MR","SCALING_FORMAT=MLN","Sort=A","Dates=H","DateFormat=P","Fill=—","Direction=H","UseDPDF=Y")</f>
        <v>-62.91</v>
      </c>
      <c r="AA9" s="19" t="str">
        <f>_xll.BDH("ITCI US Equity","TRAIL_12M_FREE_CASH_FLOW","FQ4 2024","FQ4 2024","Currency=USD","Period=FQ","BEST_FPERIOD_OVERRIDE=FQ","FILING_STATUS=MR","SCALING_FORMAT=MLN","Sort=A","Dates=H","DateFormat=P","Fill=—","Direction=H","UseDPDF=Y")</f>
        <v>—</v>
      </c>
    </row>
    <row r="10" spans="1:27" x14ac:dyDescent="0.25">
      <c r="A10" s="11" t="s">
        <v>59</v>
      </c>
      <c r="B10" s="11" t="s">
        <v>60</v>
      </c>
      <c r="C10" s="25">
        <f>_xll.BDH("ITCI US Equity","HISTORICAL_MARKET_CAP","FQ4 2018","FQ4 2018","Currency=USD","Period=FQ","BEST_FPERIOD_OVERRIDE=FQ","FILING_STATUS=MR","SCALING_FORMAT=MLN","Sort=A","Dates=H","DateFormat=P","Fill=—","Direction=H","UseDPDF=Y")</f>
        <v>625.25739999999996</v>
      </c>
      <c r="D10" s="25">
        <f>_xll.BDH("ITCI US Equity","HISTORICAL_MARKET_CAP","FQ1 2019","FQ1 2019","Currency=USD","Period=FQ","BEST_FPERIOD_OVERRIDE=FQ","FILING_STATUS=MR","SCALING_FORMAT=MLN","Sort=A","Dates=H","DateFormat=P","Fill=—","Direction=H","UseDPDF=Y")</f>
        <v>671.49710000000005</v>
      </c>
      <c r="E10" s="25">
        <f>_xll.BDH("ITCI US Equity","HISTORICAL_MARKET_CAP","FQ2 2019","FQ2 2019","Currency=USD","Period=FQ","BEST_FPERIOD_OVERRIDE=FQ","FILING_STATUS=MR","SCALING_FORMAT=MLN","Sort=A","Dates=H","DateFormat=P","Fill=—","Direction=H","UseDPDF=Y")</f>
        <v>716.32399999999996</v>
      </c>
      <c r="F10" s="25">
        <f>_xll.BDH("ITCI US Equity","HISTORICAL_MARKET_CAP","FQ3 2019","FQ3 2019","Currency=USD","Period=FQ","BEST_FPERIOD_OVERRIDE=FQ","FILING_STATUS=MR","SCALING_FORMAT=MLN","Sort=A","Dates=H","DateFormat=P","Fill=—","Direction=H","UseDPDF=Y")</f>
        <v>412.69940000000003</v>
      </c>
      <c r="G10" s="25">
        <f>_xll.BDH("ITCI US Equity","HISTORICAL_MARKET_CAP","FQ4 2019","FQ4 2019","Currency=USD","Period=FQ","BEST_FPERIOD_OVERRIDE=FQ","FILING_STATUS=MR","SCALING_FORMAT=MLN","Sort=A","Dates=H","DateFormat=P","Fill=—","Direction=H","UseDPDF=Y")</f>
        <v>1904.4621999999999</v>
      </c>
      <c r="H10" s="25">
        <f>_xll.BDH("ITCI US Equity","HISTORICAL_MARKET_CAP","FQ1 2020","FQ1 2020","Currency=USD","Period=FQ","BEST_FPERIOD_OVERRIDE=FQ","FILING_STATUS=MR","SCALING_FORMAT=MLN","Sort=A","Dates=H","DateFormat=P","Fill=—","Direction=H","UseDPDF=Y")</f>
        <v>1017.5057</v>
      </c>
      <c r="I10" s="25">
        <f>_xll.BDH("ITCI US Equity","HISTORICAL_MARKET_CAP","FQ2 2020","FQ2 2020","Currency=USD","Period=FQ","BEST_FPERIOD_OVERRIDE=FQ","FILING_STATUS=MR","SCALING_FORMAT=MLN","Sort=A","Dates=H","DateFormat=P","Fill=—","Direction=H","UseDPDF=Y")</f>
        <v>1714.1845000000001</v>
      </c>
      <c r="J10" s="25">
        <f>_xll.BDH("ITCI US Equity","HISTORICAL_MARKET_CAP","FQ3 2020","FQ3 2020","Currency=USD","Period=FQ","BEST_FPERIOD_OVERRIDE=FQ","FILING_STATUS=MR","SCALING_FORMAT=MLN","Sort=A","Dates=H","DateFormat=P","Fill=—","Direction=H","UseDPDF=Y")</f>
        <v>2056.4641999999999</v>
      </c>
      <c r="K10" s="25">
        <f>_xll.BDH("ITCI US Equity","HISTORICAL_MARKET_CAP","FQ4 2020","FQ4 2020","Currency=USD","Period=FQ","BEST_FPERIOD_OVERRIDE=FQ","FILING_STATUS=MR","SCALING_FORMAT=MLN","Sort=A","Dates=H","DateFormat=P","Fill=—","Direction=H","UseDPDF=Y")</f>
        <v>2558.7262000000001</v>
      </c>
      <c r="L10" s="25">
        <f>_xll.BDH("ITCI US Equity","HISTORICAL_MARKET_CAP","FQ1 2021","FQ1 2021","Currency=USD","Period=FQ","BEST_FPERIOD_OVERRIDE=FQ","FILING_STATUS=MR","SCALING_FORMAT=MLN","Sort=A","Dates=H","DateFormat=P","Fill=—","Direction=H","UseDPDF=Y")</f>
        <v>2752.8715000000002</v>
      </c>
      <c r="M10" s="25">
        <f>_xll.BDH("ITCI US Equity","HISTORICAL_MARKET_CAP","FQ2 2021","FQ2 2021","Currency=USD","Period=FQ","BEST_FPERIOD_OVERRIDE=FQ","FILING_STATUS=MR","SCALING_FORMAT=MLN","Sort=A","Dates=H","DateFormat=P","Fill=—","Direction=H","UseDPDF=Y")</f>
        <v>3319.1509000000001</v>
      </c>
      <c r="N10" s="25">
        <f>_xll.BDH("ITCI US Equity","HISTORICAL_MARKET_CAP","FQ3 2021","FQ3 2021","Currency=USD","Period=FQ","BEST_FPERIOD_OVERRIDE=FQ","FILING_STATUS=MR","SCALING_FORMAT=MLN","Sort=A","Dates=H","DateFormat=P","Fill=—","Direction=H","UseDPDF=Y")</f>
        <v>3033.7496999999998</v>
      </c>
      <c r="O10" s="25">
        <f>_xll.BDH("ITCI US Equity","HISTORICAL_MARKET_CAP","FQ4 2021","FQ4 2021","Currency=USD","Period=FQ","BEST_FPERIOD_OVERRIDE=FQ","FILING_STATUS=MR","SCALING_FORMAT=MLN","Sort=A","Dates=H","DateFormat=P","Fill=—","Direction=H","UseDPDF=Y")</f>
        <v>4285.9637000000002</v>
      </c>
      <c r="P10" s="25">
        <f>_xll.BDH("ITCI US Equity","HISTORICAL_MARKET_CAP","FQ1 2022","FQ1 2022","Currency=USD","Period=FQ","BEST_FPERIOD_OVERRIDE=FQ","FILING_STATUS=MR","SCALING_FORMAT=MLN","Sort=A","Dates=H","DateFormat=P","Fill=—","Direction=H","UseDPDF=Y")</f>
        <v>5753.1098000000002</v>
      </c>
      <c r="Q10" s="25">
        <f>_xll.BDH("ITCI US Equity","HISTORICAL_MARKET_CAP","FQ2 2022","FQ2 2022","Currency=USD","Period=FQ","BEST_FPERIOD_OVERRIDE=FQ","FILING_STATUS=MR","SCALING_FORMAT=MLN","Sort=A","Dates=H","DateFormat=P","Fill=—","Direction=H","UseDPDF=Y")</f>
        <v>5386.4817000000003</v>
      </c>
      <c r="R10" s="25">
        <f>_xll.BDH("ITCI US Equity","HISTORICAL_MARKET_CAP","FQ3 2022","FQ3 2022","Currency=USD","Period=FQ","BEST_FPERIOD_OVERRIDE=FQ","FILING_STATUS=MR","SCALING_FORMAT=MLN","Sort=A","Dates=H","DateFormat=P","Fill=—","Direction=H","UseDPDF=Y")</f>
        <v>4406.4683000000005</v>
      </c>
      <c r="S10" s="25">
        <f>_xll.BDH("ITCI US Equity","HISTORICAL_MARKET_CAP","FQ4 2022","FQ4 2022","Currency=USD","Period=FQ","BEST_FPERIOD_OVERRIDE=FQ","FILING_STATUS=MR","SCALING_FORMAT=MLN","Sort=A","Dates=H","DateFormat=P","Fill=—","Direction=H","UseDPDF=Y")</f>
        <v>5018.3927000000003</v>
      </c>
      <c r="T10" s="25">
        <f>_xll.BDH("ITCI US Equity","HISTORICAL_MARKET_CAP","FQ1 2023","FQ1 2023","Currency=USD","Period=FQ","BEST_FPERIOD_OVERRIDE=FQ","FILING_STATUS=MR","SCALING_FORMAT=MLN","Sort=A","Dates=H","DateFormat=P","Fill=—","Direction=H","UseDPDF=Y")</f>
        <v>5181.0735999999997</v>
      </c>
      <c r="U10" s="25">
        <f>_xll.BDH("ITCI US Equity","HISTORICAL_MARKET_CAP","FQ2 2023","FQ2 2023","Currency=USD","Period=FQ","BEST_FPERIOD_OVERRIDE=FQ","FILING_STATUS=MR","SCALING_FORMAT=MLN","Sort=A","Dates=H","DateFormat=P","Fill=—","Direction=H","UseDPDF=Y")</f>
        <v>6084.0001000000002</v>
      </c>
      <c r="V10" s="25">
        <f>_xll.BDH("ITCI US Equity","HISTORICAL_MARKET_CAP","FQ3 2023","FQ3 2023","Currency=USD","Period=FQ","BEST_FPERIOD_OVERRIDE=FQ","FILING_STATUS=MR","SCALING_FORMAT=MLN","Sort=A","Dates=H","DateFormat=P","Fill=—","Direction=H","UseDPDF=Y")</f>
        <v>5012.3923999999997</v>
      </c>
      <c r="W10" s="25">
        <f>_xll.BDH("ITCI US Equity","HISTORICAL_MARKET_CAP","FQ4 2023","FQ4 2023","Currency=USD","Period=FQ","BEST_FPERIOD_OVERRIDE=FQ","FILING_STATUS=MR","SCALING_FORMAT=MLN","Sort=A","Dates=H","DateFormat=P","Fill=—","Direction=H","UseDPDF=Y")</f>
        <v>6902.7221</v>
      </c>
      <c r="X10" s="25">
        <f>_xll.BDH("ITCI US Equity","HISTORICAL_MARKET_CAP","FQ1 2024","FQ1 2024","Currency=USD","Period=FQ","BEST_FPERIOD_OVERRIDE=FQ","FILING_STATUS=MR","SCALING_FORMAT=MLN","Sort=A","Dates=H","DateFormat=P","Fill=—","Direction=H","UseDPDF=Y")</f>
        <v>6745.4650000000001</v>
      </c>
      <c r="Y10" s="25">
        <f>_xll.BDH("ITCI US Equity","HISTORICAL_MARKET_CAP","FQ2 2024","FQ2 2024","Currency=USD","Period=FQ","BEST_FPERIOD_OVERRIDE=FQ","FILING_STATUS=MR","SCALING_FORMAT=MLN","Sort=A","Dates=H","DateFormat=P","Fill=—","Direction=H","UseDPDF=Y")</f>
        <v>7234.2494999999999</v>
      </c>
      <c r="Z10" s="25">
        <f>_xll.BDH("ITCI US Equity","HISTORICAL_MARKET_CAP","FQ3 2024","FQ3 2024","Currency=USD","Period=FQ","BEST_FPERIOD_OVERRIDE=FQ","FILING_STATUS=MR","SCALING_FORMAT=MLN","Sort=A","Dates=H","DateFormat=P","Fill=—","Direction=H","UseDPDF=Y")</f>
        <v>7755.9312</v>
      </c>
      <c r="AA10" s="25">
        <f>_xll.BDH("ITCI US Equity","HISTORICAL_MARKET_CAP","FQ4 2024","FQ4 2024","Currency=USD","Period=FQ","BEST_FPERIOD_OVERRIDE=FQ","FILING_STATUS=MR","SCALING_FORMAT=MLN","Sort=A","Dates=H","DateFormat=P","Fill=—","Direction=H","UseDPDF=Y")</f>
        <v>8873.1656000000003</v>
      </c>
    </row>
    <row r="11" spans="1:27" x14ac:dyDescent="0.25">
      <c r="A11" s="6" t="s">
        <v>1252</v>
      </c>
      <c r="B11" s="6" t="s">
        <v>1253</v>
      </c>
      <c r="C11" s="20">
        <f>_xll.BDH("ITCI US Equity","FREE_CASH_FLOW_YIELD","FQ4 2018","FQ4 2018","Currency=USD","Period=FQ","BEST_FPERIOD_OVERRIDE=FQ","FILING_STATUS=MR","Sort=A","Dates=H","DateFormat=P","Fill=—","Direction=H","UseDPDF=Y")</f>
        <v>-19.026800000000001</v>
      </c>
      <c r="D11" s="20">
        <f>_xll.BDH("ITCI US Equity","FREE_CASH_FLOW_YIELD","FQ1 2019","FQ1 2019","Currency=USD","Period=FQ","BEST_FPERIOD_OVERRIDE=FQ","FILING_STATUS=MR","Sort=A","Dates=H","DateFormat=P","Fill=—","Direction=H","UseDPDF=Y")</f>
        <v>-19.014199999999999</v>
      </c>
      <c r="E11" s="20">
        <f>_xll.BDH("ITCI US Equity","FREE_CASH_FLOW_YIELD","FQ2 2019","FQ2 2019","Currency=USD","Period=FQ","BEST_FPERIOD_OVERRIDE=FQ","FILING_STATUS=MR","Sort=A","Dates=H","DateFormat=P","Fill=—","Direction=H","UseDPDF=Y")</f>
        <v>-17.068200000000001</v>
      </c>
      <c r="F11" s="20">
        <f>_xll.BDH("ITCI US Equity","FREE_CASH_FLOW_YIELD","FQ3 2019","FQ3 2019","Currency=USD","Period=FQ","BEST_FPERIOD_OVERRIDE=FQ","FILING_STATUS=MR","Sort=A","Dates=H","DateFormat=P","Fill=—","Direction=H","UseDPDF=Y")</f>
        <v>-30.027899999999999</v>
      </c>
      <c r="G11" s="20" t="str">
        <f>_xll.BDH("ITCI US Equity","FREE_CASH_FLOW_YIELD","FQ4 2019","FQ4 2019","Currency=USD","Period=FQ","BEST_FPERIOD_OVERRIDE=FQ","FILING_STATUS=MR","Sort=A","Dates=H","DateFormat=P","Fill=—","Direction=H","UseDPDF=Y")</f>
        <v>—</v>
      </c>
      <c r="H11" s="20" t="str">
        <f>_xll.BDH("ITCI US Equity","FREE_CASH_FLOW_YIELD","FQ1 2020","FQ1 2020","Currency=USD","Period=FQ","BEST_FPERIOD_OVERRIDE=FQ","FILING_STATUS=MR","Sort=A","Dates=H","DateFormat=P","Fill=—","Direction=H","UseDPDF=Y")</f>
        <v>—</v>
      </c>
      <c r="I11" s="20" t="str">
        <f>_xll.BDH("ITCI US Equity","FREE_CASH_FLOW_YIELD","FQ2 2020","FQ2 2020","Currency=USD","Period=FQ","BEST_FPERIOD_OVERRIDE=FQ","FILING_STATUS=MR","Sort=A","Dates=H","DateFormat=P","Fill=—","Direction=H","UseDPDF=Y")</f>
        <v>—</v>
      </c>
      <c r="J11" s="20" t="str">
        <f>_xll.BDH("ITCI US Equity","FREE_CASH_FLOW_YIELD","FQ3 2020","FQ3 2020","Currency=USD","Period=FQ","BEST_FPERIOD_OVERRIDE=FQ","FILING_STATUS=MR","Sort=A","Dates=H","DateFormat=P","Fill=—","Direction=H","UseDPDF=Y")</f>
        <v>—</v>
      </c>
      <c r="K11" s="20">
        <f>_xll.BDH("ITCI US Equity","FREE_CASH_FLOW_YIELD","FQ4 2020","FQ4 2020","Currency=USD","Period=FQ","BEST_FPERIOD_OVERRIDE=FQ","FILING_STATUS=MR","Sort=A","Dates=H","DateFormat=P","Fill=—","Direction=H","UseDPDF=Y")</f>
        <v>-10.260199999999999</v>
      </c>
      <c r="L11" s="20">
        <f>_xll.BDH("ITCI US Equity","FREE_CASH_FLOW_YIELD","FQ1 2021","FQ1 2021","Currency=USD","Period=FQ","BEST_FPERIOD_OVERRIDE=FQ","FILING_STATUS=MR","Sort=A","Dates=H","DateFormat=P","Fill=—","Direction=H","UseDPDF=Y")</f>
        <v>-9.0353999999999992</v>
      </c>
      <c r="M11" s="20">
        <f>_xll.BDH("ITCI US Equity","FREE_CASH_FLOW_YIELD","FQ2 2021","FQ2 2021","Currency=USD","Period=FQ","BEST_FPERIOD_OVERRIDE=FQ","FILING_STATUS=MR","Sort=A","Dates=H","DateFormat=P","Fill=—","Direction=H","UseDPDF=Y")</f>
        <v>-7.5656999999999996</v>
      </c>
      <c r="N11" s="20">
        <f>_xll.BDH("ITCI US Equity","FREE_CASH_FLOW_YIELD","FQ3 2021","FQ3 2021","Currency=USD","Period=FQ","BEST_FPERIOD_OVERRIDE=FQ","FILING_STATUS=MR","Sort=A","Dates=H","DateFormat=P","Fill=—","Direction=H","UseDPDF=Y")</f>
        <v>-8.4484999999999992</v>
      </c>
      <c r="O11" s="20">
        <f>_xll.BDH("ITCI US Equity","FREE_CASH_FLOW_YIELD","FQ4 2021","FQ4 2021","Currency=USD","Period=FQ","BEST_FPERIOD_OVERRIDE=FQ","FILING_STATUS=MR","Sort=A","Dates=H","DateFormat=P","Fill=—","Direction=H","UseDPDF=Y")</f>
        <v>-6.1082000000000001</v>
      </c>
      <c r="P11" s="20">
        <f>_xll.BDH("ITCI US Equity","FREE_CASH_FLOW_YIELD","FQ1 2022","FQ1 2022","Currency=USD","Period=FQ","BEST_FPERIOD_OVERRIDE=FQ","FILING_STATUS=MR","Sort=A","Dates=H","DateFormat=P","Fill=—","Direction=H","UseDPDF=Y")</f>
        <v>-5.7324000000000002</v>
      </c>
      <c r="Q11" s="20">
        <f>_xll.BDH("ITCI US Equity","FREE_CASH_FLOW_YIELD","FQ2 2022","FQ2 2022","Currency=USD","Period=FQ","BEST_FPERIOD_OVERRIDE=FQ","FILING_STATUS=MR","Sort=A","Dates=H","DateFormat=P","Fill=—","Direction=H","UseDPDF=Y")</f>
        <v>-6.6289999999999996</v>
      </c>
      <c r="R11" s="20">
        <f>_xll.BDH("ITCI US Equity","FREE_CASH_FLOW_YIELD","FQ3 2022","FQ3 2022","Currency=USD","Period=FQ","BEST_FPERIOD_OVERRIDE=FQ","FILING_STATUS=MR","Sort=A","Dates=H","DateFormat=P","Fill=—","Direction=H","UseDPDF=Y")</f>
        <v>-7.2457000000000003</v>
      </c>
      <c r="S11" s="20">
        <f>_xll.BDH("ITCI US Equity","FREE_CASH_FLOW_YIELD","FQ4 2022","FQ4 2022","Currency=USD","Period=FQ","BEST_FPERIOD_OVERRIDE=FQ","FILING_STATUS=MR","Sort=A","Dates=H","DateFormat=P","Fill=—","Direction=H","UseDPDF=Y")</f>
        <v>-5.4550000000000001</v>
      </c>
      <c r="T11" s="20">
        <f>_xll.BDH("ITCI US Equity","FREE_CASH_FLOW_YIELD","FQ1 2023","FQ1 2023","Currency=USD","Period=FQ","BEST_FPERIOD_OVERRIDE=FQ","FILING_STATUS=MR","Sort=A","Dates=H","DateFormat=P","Fill=—","Direction=H","UseDPDF=Y")</f>
        <v>-4.8335999999999997</v>
      </c>
      <c r="U11" s="20">
        <f>_xll.BDH("ITCI US Equity","FREE_CASH_FLOW_YIELD","FQ2 2023","FQ2 2023","Currency=USD","Period=FQ","BEST_FPERIOD_OVERRIDE=FQ","FILING_STATUS=MR","Sort=A","Dates=H","DateFormat=P","Fill=—","Direction=H","UseDPDF=Y")</f>
        <v>-3.1495000000000002</v>
      </c>
      <c r="V11" s="20">
        <f>_xll.BDH("ITCI US Equity","FREE_CASH_FLOW_YIELD","FQ3 2023","FQ3 2023","Currency=USD","Period=FQ","BEST_FPERIOD_OVERRIDE=FQ","FILING_STATUS=MR","Sort=A","Dates=H","DateFormat=P","Fill=—","Direction=H","UseDPDF=Y")</f>
        <v>-3.2524999999999999</v>
      </c>
      <c r="W11" s="20">
        <f>_xll.BDH("ITCI US Equity","FREE_CASH_FLOW_YIELD","FQ4 2023","FQ4 2023","Currency=USD","Period=FQ","BEST_FPERIOD_OVERRIDE=FQ","FILING_STATUS=MR","Sort=A","Dates=H","DateFormat=P","Fill=—","Direction=H","UseDPDF=Y")</f>
        <v>-1.8179000000000001</v>
      </c>
      <c r="X11" s="20">
        <f>_xll.BDH("ITCI US Equity","FREE_CASH_FLOW_YIELD","FQ1 2024","FQ1 2024","Currency=USD","Period=FQ","BEST_FPERIOD_OVERRIDE=FQ","FILING_STATUS=MR","Sort=A","Dates=H","DateFormat=P","Fill=—","Direction=H","UseDPDF=Y")</f>
        <v>-1.478</v>
      </c>
      <c r="Y11" s="20">
        <f>_xll.BDH("ITCI US Equity","FREE_CASH_FLOW_YIELD","FQ2 2024","FQ2 2024","Currency=USD","Period=FQ","BEST_FPERIOD_OVERRIDE=FQ","FILING_STATUS=MR","Sort=A","Dates=H","DateFormat=P","Fill=—","Direction=H","UseDPDF=Y")</f>
        <v>-0.9264</v>
      </c>
      <c r="Z11" s="20">
        <f>_xll.BDH("ITCI US Equity","FREE_CASH_FLOW_YIELD","FQ3 2024","FQ3 2024","Currency=USD","Period=FQ","BEST_FPERIOD_OVERRIDE=FQ","FILING_STATUS=MR","Sort=A","Dates=H","DateFormat=P","Fill=—","Direction=H","UseDPDF=Y")</f>
        <v>-0.85589999999999999</v>
      </c>
      <c r="AA11" s="20" t="str">
        <f>_xll.BDH("ITCI US Equity","FREE_CASH_FLOW_YIELD","FQ4 2024","FQ4 2024","Currency=USD","Period=FQ","BEST_FPERIOD_OVERRIDE=FQ","FILING_STATUS=MR","Sort=A","Dates=H","DateFormat=P","Fill=—","Direction=H","UseDPDF=Y")</f>
        <v>—</v>
      </c>
    </row>
    <row r="12" spans="1:27" x14ac:dyDescent="0.25">
      <c r="A12" s="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x14ac:dyDescent="0.25">
      <c r="A13" s="10" t="s">
        <v>1254</v>
      </c>
      <c r="B13" s="10" t="s">
        <v>1255</v>
      </c>
      <c r="C13" s="13">
        <f>_xll.BDH("ITCI US Equity","T12M_DVDS_PAID","FQ4 2018","FQ4 2018","Currency=USD","Period=FQ","BEST_FPERIOD_OVERRIDE=FQ","FILING_STATUS=MR","SCALING_FORMAT=MLN","Sort=A","Dates=H","DateFormat=P","Fill=—","Direction=H","UseDPDF=Y")</f>
        <v>0</v>
      </c>
      <c r="D13" s="13">
        <f>_xll.BDH("ITCI US Equity","T12M_DVDS_PAID","FQ1 2019","FQ1 2019","Currency=USD","Period=FQ","BEST_FPERIOD_OVERRIDE=FQ","FILING_STATUS=MR","SCALING_FORMAT=MLN","Sort=A","Dates=H","DateFormat=P","Fill=—","Direction=H","UseDPDF=Y")</f>
        <v>0</v>
      </c>
      <c r="E13" s="13">
        <f>_xll.BDH("ITCI US Equity","T12M_DVDS_PAID","FQ2 2019","FQ2 2019","Currency=USD","Period=FQ","BEST_FPERIOD_OVERRIDE=FQ","FILING_STATUS=MR","SCALING_FORMAT=MLN","Sort=A","Dates=H","DateFormat=P","Fill=—","Direction=H","UseDPDF=Y")</f>
        <v>0</v>
      </c>
      <c r="F13" s="13">
        <f>_xll.BDH("ITCI US Equity","T12M_DVDS_PAID","FQ3 2019","FQ3 2019","Currency=USD","Period=FQ","BEST_FPERIOD_OVERRIDE=FQ","FILING_STATUS=MR","SCALING_FORMAT=MLN","Sort=A","Dates=H","DateFormat=P","Fill=—","Direction=H","UseDPDF=Y")</f>
        <v>0</v>
      </c>
      <c r="G13" s="13">
        <f>_xll.BDH("ITCI US Equity","T12M_DVDS_PAID","FQ4 2019","FQ4 2019","Currency=USD","Period=FQ","BEST_FPERIOD_OVERRIDE=FQ","FILING_STATUS=MR","SCALING_FORMAT=MLN","Sort=A","Dates=H","DateFormat=P","Fill=—","Direction=H","UseDPDF=Y")</f>
        <v>0</v>
      </c>
      <c r="H13" s="13">
        <f>_xll.BDH("ITCI US Equity","T12M_DVDS_PAID","FQ1 2020","FQ1 2020","Currency=USD","Period=FQ","BEST_FPERIOD_OVERRIDE=FQ","FILING_STATUS=MR","SCALING_FORMAT=MLN","Sort=A","Dates=H","DateFormat=P","Fill=—","Direction=H","UseDPDF=Y")</f>
        <v>0</v>
      </c>
      <c r="I13" s="13">
        <f>_xll.BDH("ITCI US Equity","T12M_DVDS_PAID","FQ2 2020","FQ2 2020","Currency=USD","Period=FQ","BEST_FPERIOD_OVERRIDE=FQ","FILING_STATUS=MR","SCALING_FORMAT=MLN","Sort=A","Dates=H","DateFormat=P","Fill=—","Direction=H","UseDPDF=Y")</f>
        <v>0</v>
      </c>
      <c r="J13" s="13">
        <f>_xll.BDH("ITCI US Equity","T12M_DVDS_PAID","FQ3 2020","FQ3 2020","Currency=USD","Period=FQ","BEST_FPERIOD_OVERRIDE=FQ","FILING_STATUS=MR","SCALING_FORMAT=MLN","Sort=A","Dates=H","DateFormat=P","Fill=—","Direction=H","UseDPDF=Y")</f>
        <v>0</v>
      </c>
      <c r="K13" s="13">
        <f>_xll.BDH("ITCI US Equity","T12M_DVDS_PAID","FQ4 2020","FQ4 2020","Currency=USD","Period=FQ","BEST_FPERIOD_OVERRIDE=FQ","FILING_STATUS=MR","SCALING_FORMAT=MLN","Sort=A","Dates=H","DateFormat=P","Fill=—","Direction=H","UseDPDF=Y")</f>
        <v>0</v>
      </c>
      <c r="L13" s="13">
        <f>_xll.BDH("ITCI US Equity","T12M_DVDS_PAID","FQ1 2021","FQ1 2021","Currency=USD","Period=FQ","BEST_FPERIOD_OVERRIDE=FQ","FILING_STATUS=MR","SCALING_FORMAT=MLN","Sort=A","Dates=H","DateFormat=P","Fill=—","Direction=H","UseDPDF=Y")</f>
        <v>0</v>
      </c>
      <c r="M13" s="13">
        <f>_xll.BDH("ITCI US Equity","T12M_DVDS_PAID","FQ2 2021","FQ2 2021","Currency=USD","Period=FQ","BEST_FPERIOD_OVERRIDE=FQ","FILING_STATUS=MR","SCALING_FORMAT=MLN","Sort=A","Dates=H","DateFormat=P","Fill=—","Direction=H","UseDPDF=Y")</f>
        <v>0</v>
      </c>
      <c r="N13" s="13">
        <f>_xll.BDH("ITCI US Equity","T12M_DVDS_PAID","FQ3 2021","FQ3 2021","Currency=USD","Period=FQ","BEST_FPERIOD_OVERRIDE=FQ","FILING_STATUS=MR","SCALING_FORMAT=MLN","Sort=A","Dates=H","DateFormat=P","Fill=—","Direction=H","UseDPDF=Y")</f>
        <v>0</v>
      </c>
      <c r="O13" s="13">
        <f>_xll.BDH("ITCI US Equity","T12M_DVDS_PAID","FQ4 2021","FQ4 2021","Currency=USD","Period=FQ","BEST_FPERIOD_OVERRIDE=FQ","FILING_STATUS=MR","SCALING_FORMAT=MLN","Sort=A","Dates=H","DateFormat=P","Fill=—","Direction=H","UseDPDF=Y")</f>
        <v>0</v>
      </c>
      <c r="P13" s="13">
        <f>_xll.BDH("ITCI US Equity","T12M_DVDS_PAID","FQ1 2022","FQ1 2022","Currency=USD","Period=FQ","BEST_FPERIOD_OVERRIDE=FQ","FILING_STATUS=MR","SCALING_FORMAT=MLN","Sort=A","Dates=H","DateFormat=P","Fill=—","Direction=H","UseDPDF=Y")</f>
        <v>0</v>
      </c>
      <c r="Q13" s="13">
        <f>_xll.BDH("ITCI US Equity","T12M_DVDS_PAID","FQ2 2022","FQ2 2022","Currency=USD","Period=FQ","BEST_FPERIOD_OVERRIDE=FQ","FILING_STATUS=MR","SCALING_FORMAT=MLN","Sort=A","Dates=H","DateFormat=P","Fill=—","Direction=H","UseDPDF=Y")</f>
        <v>0</v>
      </c>
      <c r="R13" s="13">
        <f>_xll.BDH("ITCI US Equity","T12M_DVDS_PAID","FQ3 2022","FQ3 2022","Currency=USD","Period=FQ","BEST_FPERIOD_OVERRIDE=FQ","FILING_STATUS=MR","SCALING_FORMAT=MLN","Sort=A","Dates=H","DateFormat=P","Fill=—","Direction=H","UseDPDF=Y")</f>
        <v>0</v>
      </c>
      <c r="S13" s="13">
        <f>_xll.BDH("ITCI US Equity","T12M_DVDS_PAID","FQ4 2022","FQ4 2022","Currency=USD","Period=FQ","BEST_FPERIOD_OVERRIDE=FQ","FILING_STATUS=MR","SCALING_FORMAT=MLN","Sort=A","Dates=H","DateFormat=P","Fill=—","Direction=H","UseDPDF=Y")</f>
        <v>0</v>
      </c>
      <c r="T13" s="13">
        <f>_xll.BDH("ITCI US Equity","T12M_DVDS_PAID","FQ1 2023","FQ1 2023","Currency=USD","Period=FQ","BEST_FPERIOD_OVERRIDE=FQ","FILING_STATUS=MR","SCALING_FORMAT=MLN","Sort=A","Dates=H","DateFormat=P","Fill=—","Direction=H","UseDPDF=Y")</f>
        <v>0</v>
      </c>
      <c r="U13" s="13">
        <f>_xll.BDH("ITCI US Equity","T12M_DVDS_PAID","FQ2 2023","FQ2 2023","Currency=USD","Period=FQ","BEST_FPERIOD_OVERRIDE=FQ","FILING_STATUS=MR","SCALING_FORMAT=MLN","Sort=A","Dates=H","DateFormat=P","Fill=—","Direction=H","UseDPDF=Y")</f>
        <v>0</v>
      </c>
      <c r="V13" s="13">
        <f>_xll.BDH("ITCI US Equity","T12M_DVDS_PAID","FQ3 2023","FQ3 2023","Currency=USD","Period=FQ","BEST_FPERIOD_OVERRIDE=FQ","FILING_STATUS=MR","SCALING_FORMAT=MLN","Sort=A","Dates=H","DateFormat=P","Fill=—","Direction=H","UseDPDF=Y")</f>
        <v>0</v>
      </c>
      <c r="W13" s="13">
        <f>_xll.BDH("ITCI US Equity","T12M_DVDS_PAID","FQ4 2023","FQ4 2023","Currency=USD","Period=FQ","BEST_FPERIOD_OVERRIDE=FQ","FILING_STATUS=MR","SCALING_FORMAT=MLN","Sort=A","Dates=H","DateFormat=P","Fill=—","Direction=H","UseDPDF=Y")</f>
        <v>0</v>
      </c>
      <c r="X13" s="13">
        <f>_xll.BDH("ITCI US Equity","T12M_DVDS_PAID","FQ1 2024","FQ1 2024","Currency=USD","Period=FQ","BEST_FPERIOD_OVERRIDE=FQ","FILING_STATUS=MR","SCALING_FORMAT=MLN","Sort=A","Dates=H","DateFormat=P","Fill=—","Direction=H","UseDPDF=Y")</f>
        <v>0</v>
      </c>
      <c r="Y13" s="13">
        <f>_xll.BDH("ITCI US Equity","T12M_DVDS_PAID","FQ2 2024","FQ2 2024","Currency=USD","Period=FQ","BEST_FPERIOD_OVERRIDE=FQ","FILING_STATUS=MR","SCALING_FORMAT=MLN","Sort=A","Dates=H","DateFormat=P","Fill=—","Direction=H","UseDPDF=Y")</f>
        <v>0</v>
      </c>
      <c r="Z13" s="13">
        <f>_xll.BDH("ITCI US Equity","T12M_DVDS_PAID","FQ3 2024","FQ3 2024","Currency=USD","Period=FQ","BEST_FPERIOD_OVERRIDE=FQ","FILING_STATUS=MR","SCALING_FORMAT=MLN","Sort=A","Dates=H","DateFormat=P","Fill=—","Direction=H","UseDPDF=Y")</f>
        <v>0</v>
      </c>
      <c r="AA13" s="13">
        <f>_xll.BDH("ITCI US Equity","T12M_DVDS_PAID","FQ4 2024","FQ4 2024","Currency=USD","Period=FQ","BEST_FPERIOD_OVERRIDE=FQ","FILING_STATUS=MR","SCALING_FORMAT=MLN","Sort=A","Dates=H","DateFormat=P","Fill=—","Direction=H","UseDPDF=Y")</f>
        <v>0</v>
      </c>
    </row>
    <row r="14" spans="1:27" x14ac:dyDescent="0.25">
      <c r="A14" s="10" t="s">
        <v>1256</v>
      </c>
      <c r="B14" s="10" t="s">
        <v>1257</v>
      </c>
      <c r="C14" s="13">
        <f>_xll.BDH("ITCI US Equity","T12M_NET_CAPITAL_STOCK","FQ4 2018","FQ4 2018","Currency=USD","Period=FQ","BEST_FPERIOD_OVERRIDE=FQ","FILING_STATUS=MR","SCALING_FORMAT=MLN","Sort=A","Dates=H","DateFormat=P","Fill=—","Direction=H","UseDPDF=Y")</f>
        <v>0.67420000000000002</v>
      </c>
      <c r="D14" s="13">
        <f>_xll.BDH("ITCI US Equity","T12M_NET_CAPITAL_STOCK","FQ1 2019","FQ1 2019","Currency=USD","Period=FQ","BEST_FPERIOD_OVERRIDE=FQ","FILING_STATUS=MR","SCALING_FORMAT=MLN","Sort=A","Dates=H","DateFormat=P","Fill=—","Direction=H","UseDPDF=Y")</f>
        <v>0.36759999999999998</v>
      </c>
      <c r="E14" s="13">
        <f>_xll.BDH("ITCI US Equity","T12M_NET_CAPITAL_STOCK","FQ2 2019","FQ2 2019","Currency=USD","Period=FQ","BEST_FPERIOD_OVERRIDE=FQ","FILING_STATUS=MR","SCALING_FORMAT=MLN","Sort=A","Dates=H","DateFormat=P","Fill=—","Direction=H","UseDPDF=Y")</f>
        <v>0.62070000000000003</v>
      </c>
      <c r="F14" s="13">
        <f>_xll.BDH("ITCI US Equity","T12M_NET_CAPITAL_STOCK","FQ3 2019","FQ3 2019","Currency=USD","Period=FQ","BEST_FPERIOD_OVERRIDE=FQ","FILING_STATUS=MR","SCALING_FORMAT=MLN","Sort=A","Dates=H","DateFormat=P","Fill=—","Direction=H","UseDPDF=Y")</f>
        <v>0.61770000000000003</v>
      </c>
      <c r="G14" s="13">
        <f>_xll.BDH("ITCI US Equity","T12M_NET_CAPITAL_STOCK","FQ4 2019","FQ4 2019","Currency=USD","Period=FQ","BEST_FPERIOD_OVERRIDE=FQ","FILING_STATUS=MR","SCALING_FORMAT=MLN","Sort=A","Dates=H","DateFormat=P","Fill=—","Direction=H","UseDPDF=Y")</f>
        <v>3.2355999999999998</v>
      </c>
      <c r="H14" s="13">
        <f>_xll.BDH("ITCI US Equity","T12M_NET_CAPITAL_STOCK","FQ1 2020","FQ1 2020","Currency=USD","Period=FQ","BEST_FPERIOD_OVERRIDE=FQ","FILING_STATUS=MR","SCALING_FORMAT=MLN","Sort=A","Dates=H","DateFormat=P","Fill=—","Direction=H","UseDPDF=Y")</f>
        <v>280.77170000000001</v>
      </c>
      <c r="I14" s="13">
        <f>_xll.BDH("ITCI US Equity","T12M_NET_CAPITAL_STOCK","FQ2 2020","FQ2 2020","Currency=USD","Period=FQ","BEST_FPERIOD_OVERRIDE=FQ","FILING_STATUS=MR","SCALING_FORMAT=MLN","Sort=A","Dates=H","DateFormat=P","Fill=—","Direction=H","UseDPDF=Y")</f>
        <v>284.9923</v>
      </c>
      <c r="J14" s="13">
        <f>_xll.BDH("ITCI US Equity","T12M_NET_CAPITAL_STOCK","FQ3 2020","FQ3 2020","Currency=USD","Period=FQ","BEST_FPERIOD_OVERRIDE=FQ","FILING_STATUS=MR","SCALING_FORMAT=MLN","Sort=A","Dates=H","DateFormat=P","Fill=—","Direction=H","UseDPDF=Y")</f>
        <v>663.33439999999996</v>
      </c>
      <c r="K14" s="13">
        <f>_xll.BDH("ITCI US Equity","T12M_NET_CAPITAL_STOCK","FQ4 2020","FQ4 2020","Currency=USD","Period=FQ","BEST_FPERIOD_OVERRIDE=FQ","FILING_STATUS=MR","SCALING_FORMAT=MLN","Sort=A","Dates=H","DateFormat=P","Fill=—","Direction=H","UseDPDF=Y")</f>
        <v>664.17690000000005</v>
      </c>
      <c r="L14" s="13">
        <f>_xll.BDH("ITCI US Equity","T12M_NET_CAPITAL_STOCK","FQ1 2021","FQ1 2021","Currency=USD","Period=FQ","BEST_FPERIOD_OVERRIDE=FQ","FILING_STATUS=MR","SCALING_FORMAT=MLN","Sort=A","Dates=H","DateFormat=P","Fill=—","Direction=H","UseDPDF=Y")</f>
        <v>388.0412</v>
      </c>
      <c r="M14" s="13">
        <f>_xll.BDH("ITCI US Equity","T12M_NET_CAPITAL_STOCK","FQ2 2021","FQ2 2021","Currency=USD","Period=FQ","BEST_FPERIOD_OVERRIDE=FQ","FILING_STATUS=MR","SCALING_FORMAT=MLN","Sort=A","Dates=H","DateFormat=P","Fill=—","Direction=H","UseDPDF=Y")</f>
        <v>385.1431</v>
      </c>
      <c r="N14" s="13">
        <f>_xll.BDH("ITCI US Equity","T12M_NET_CAPITAL_STOCK","FQ3 2021","FQ3 2021","Currency=USD","Period=FQ","BEST_FPERIOD_OVERRIDE=FQ","FILING_STATUS=MR","SCALING_FORMAT=MLN","Sort=A","Dates=H","DateFormat=P","Fill=—","Direction=H","UseDPDF=Y")</f>
        <v>7.24</v>
      </c>
      <c r="O14" s="13">
        <f>_xll.BDH("ITCI US Equity","T12M_NET_CAPITAL_STOCK","FQ4 2021","FQ4 2021","Currency=USD","Period=FQ","BEST_FPERIOD_OVERRIDE=FQ","FILING_STATUS=MR","SCALING_FORMAT=MLN","Sort=A","Dates=H","DateFormat=P","Fill=—","Direction=H","UseDPDF=Y")</f>
        <v>11.5189</v>
      </c>
      <c r="P14" s="13">
        <f>_xll.BDH("ITCI US Equity","T12M_NET_CAPITAL_STOCK","FQ1 2022","FQ1 2022","Currency=USD","Period=FQ","BEST_FPERIOD_OVERRIDE=FQ","FILING_STATUS=MR","SCALING_FORMAT=MLN","Sort=A","Dates=H","DateFormat=P","Fill=—","Direction=H","UseDPDF=Y")</f>
        <v>451.90129999999999</v>
      </c>
      <c r="Q14" s="13">
        <f>_xll.BDH("ITCI US Equity","T12M_NET_CAPITAL_STOCK","FQ2 2022","FQ2 2022","Currency=USD","Period=FQ","BEST_FPERIOD_OVERRIDE=FQ","FILING_STATUS=MR","SCALING_FORMAT=MLN","Sort=A","Dates=H","DateFormat=P","Fill=—","Direction=H","UseDPDF=Y")</f>
        <v>455.8236</v>
      </c>
      <c r="R14" s="13">
        <f>_xll.BDH("ITCI US Equity","T12M_NET_CAPITAL_STOCK","FQ3 2022","FQ3 2022","Currency=USD","Period=FQ","BEST_FPERIOD_OVERRIDE=FQ","FILING_STATUS=MR","SCALING_FORMAT=MLN","Sort=A","Dates=H","DateFormat=P","Fill=—","Direction=H","UseDPDF=Y")</f>
        <v>460.88630000000001</v>
      </c>
      <c r="S14" s="13">
        <f>_xll.BDH("ITCI US Equity","T12M_NET_CAPITAL_STOCK","FQ4 2022","FQ4 2022","Currency=USD","Period=FQ","BEST_FPERIOD_OVERRIDE=FQ","FILING_STATUS=MR","SCALING_FORMAT=MLN","Sort=A","Dates=H","DateFormat=P","Fill=—","Direction=H","UseDPDF=Y")</f>
        <v>455.15899999999999</v>
      </c>
      <c r="T14" s="13">
        <f>_xll.BDH("ITCI US Equity","T12M_NET_CAPITAL_STOCK","FQ1 2023","FQ1 2023","Currency=USD","Period=FQ","BEST_FPERIOD_OVERRIDE=FQ","FILING_STATUS=MR","SCALING_FORMAT=MLN","Sort=A","Dates=H","DateFormat=P","Fill=—","Direction=H","UseDPDF=Y")</f>
        <v>16.984999999999999</v>
      </c>
      <c r="U14" s="13">
        <f>_xll.BDH("ITCI US Equity","T12M_NET_CAPITAL_STOCK","FQ2 2023","FQ2 2023","Currency=USD","Period=FQ","BEST_FPERIOD_OVERRIDE=FQ","FILING_STATUS=MR","SCALING_FORMAT=MLN","Sort=A","Dates=H","DateFormat=P","Fill=—","Direction=H","UseDPDF=Y")</f>
        <v>20.065999999999999</v>
      </c>
      <c r="V14" s="13">
        <f>_xll.BDH("ITCI US Equity","T12M_NET_CAPITAL_STOCK","FQ3 2023","FQ3 2023","Currency=USD","Period=FQ","BEST_FPERIOD_OVERRIDE=FQ","FILING_STATUS=MR","SCALING_FORMAT=MLN","Sort=A","Dates=H","DateFormat=P","Fill=—","Direction=H","UseDPDF=Y")</f>
        <v>16.992999999999999</v>
      </c>
      <c r="W14" s="13">
        <f>_xll.BDH("ITCI US Equity","T12M_NET_CAPITAL_STOCK","FQ4 2023","FQ4 2023","Currency=USD","Period=FQ","BEST_FPERIOD_OVERRIDE=FQ","FILING_STATUS=MR","SCALING_FORMAT=MLN","Sort=A","Dates=H","DateFormat=P","Fill=—","Direction=H","UseDPDF=Y")</f>
        <v>17.809999999999999</v>
      </c>
      <c r="X14" s="13">
        <f>_xll.BDH("ITCI US Equity","T12M_NET_CAPITAL_STOCK","FQ1 2024","FQ1 2024","Currency=USD","Period=FQ","BEST_FPERIOD_OVERRIDE=FQ","FILING_STATUS=MR","SCALING_FORMAT=MLN","Sort=A","Dates=H","DateFormat=P","Fill=—","Direction=H","UseDPDF=Y")</f>
        <v>24.158999999999999</v>
      </c>
      <c r="Y14" s="13">
        <f>_xll.BDH("ITCI US Equity","T12M_NET_CAPITAL_STOCK","FQ2 2024","FQ2 2024","Currency=USD","Period=FQ","BEST_FPERIOD_OVERRIDE=FQ","FILING_STATUS=MR","SCALING_FORMAT=MLN","Sort=A","Dates=H","DateFormat=P","Fill=—","Direction=H","UseDPDF=Y")</f>
        <v>560.75300000000004</v>
      </c>
      <c r="Z14" s="13">
        <f>_xll.BDH("ITCI US Equity","T12M_NET_CAPITAL_STOCK","FQ3 2024","FQ3 2024","Currency=USD","Period=FQ","BEST_FPERIOD_OVERRIDE=FQ","FILING_STATUS=MR","SCALING_FORMAT=MLN","Sort=A","Dates=H","DateFormat=P","Fill=—","Direction=H","UseDPDF=Y")</f>
        <v>564.90599999999995</v>
      </c>
      <c r="AA14" s="13">
        <f>_xll.BDH("ITCI US Equity","T12M_NET_CAPITAL_STOCK","FQ4 2024","FQ4 2024","Currency=USD","Period=FQ","BEST_FPERIOD_OVERRIDE=FQ","FILING_STATUS=MR","SCALING_FORMAT=MLN","Sort=A","Dates=H","DateFormat=P","Fill=—","Direction=H","UseDPDF=Y")</f>
        <v>567.50800000000004</v>
      </c>
    </row>
    <row r="15" spans="1:27" x14ac:dyDescent="0.25">
      <c r="A15" s="10" t="s">
        <v>1258</v>
      </c>
      <c r="B15" s="10" t="s">
        <v>1259</v>
      </c>
      <c r="C15" s="13">
        <f>_xll.BDH("ITCI US Equity","T12M_CHG_ST_BORROWINGS","FQ4 2018","FQ4 2018","Currency=USD","Period=FQ","BEST_FPERIOD_OVERRIDE=FQ","FILING_STATUS=MR","SCALING_FORMAT=MLN","Sort=A","Dates=H","DateFormat=P","Fill=—","Direction=H","UseDPDF=Y")</f>
        <v>0</v>
      </c>
      <c r="D15" s="13">
        <f>_xll.BDH("ITCI US Equity","T12M_CHG_ST_BORROWINGS","FQ1 2019","FQ1 2019","Currency=USD","Period=FQ","BEST_FPERIOD_OVERRIDE=FQ","FILING_STATUS=MR","SCALING_FORMAT=MLN","Sort=A","Dates=H","DateFormat=P","Fill=—","Direction=H","UseDPDF=Y")</f>
        <v>0</v>
      </c>
      <c r="E15" s="13">
        <f>_xll.BDH("ITCI US Equity","T12M_CHG_ST_BORROWINGS","FQ2 2019","FQ2 2019","Currency=USD","Period=FQ","BEST_FPERIOD_OVERRIDE=FQ","FILING_STATUS=MR","SCALING_FORMAT=MLN","Sort=A","Dates=H","DateFormat=P","Fill=—","Direction=H","UseDPDF=Y")</f>
        <v>0</v>
      </c>
      <c r="F15" s="13">
        <f>_xll.BDH("ITCI US Equity","T12M_CHG_ST_BORROWINGS","FQ3 2019","FQ3 2019","Currency=USD","Period=FQ","BEST_FPERIOD_OVERRIDE=FQ","FILING_STATUS=MR","SCALING_FORMAT=MLN","Sort=A","Dates=H","DateFormat=P","Fill=—","Direction=H","UseDPDF=Y")</f>
        <v>0</v>
      </c>
      <c r="G15" s="13">
        <f>_xll.BDH("ITCI US Equity","T12M_CHG_ST_BORROWINGS","FQ4 2019","FQ4 2019","Currency=USD","Period=FQ","BEST_FPERIOD_OVERRIDE=FQ","FILING_STATUS=MR","SCALING_FORMAT=MLN","Sort=A","Dates=H","DateFormat=P","Fill=—","Direction=H","UseDPDF=Y")</f>
        <v>0</v>
      </c>
      <c r="H15" s="13">
        <f>_xll.BDH("ITCI US Equity","T12M_CHG_ST_BORROWINGS","FQ1 2020","FQ1 2020","Currency=USD","Period=FQ","BEST_FPERIOD_OVERRIDE=FQ","FILING_STATUS=MR","SCALING_FORMAT=MLN","Sort=A","Dates=H","DateFormat=P","Fill=—","Direction=H","UseDPDF=Y")</f>
        <v>0</v>
      </c>
      <c r="I15" s="13">
        <f>_xll.BDH("ITCI US Equity","T12M_CHG_ST_BORROWINGS","FQ2 2020","FQ2 2020","Currency=USD","Period=FQ","BEST_FPERIOD_OVERRIDE=FQ","FILING_STATUS=MR","SCALING_FORMAT=MLN","Sort=A","Dates=H","DateFormat=P","Fill=—","Direction=H","UseDPDF=Y")</f>
        <v>0</v>
      </c>
      <c r="J15" s="13">
        <f>_xll.BDH("ITCI US Equity","T12M_CHG_ST_BORROWINGS","FQ3 2020","FQ3 2020","Currency=USD","Period=FQ","BEST_FPERIOD_OVERRIDE=FQ","FILING_STATUS=MR","SCALING_FORMAT=MLN","Sort=A","Dates=H","DateFormat=P","Fill=—","Direction=H","UseDPDF=Y")</f>
        <v>0</v>
      </c>
      <c r="K15" s="13">
        <f>_xll.BDH("ITCI US Equity","T12M_CHG_ST_BORROWINGS","FQ4 2020","FQ4 2020","Currency=USD","Period=FQ","BEST_FPERIOD_OVERRIDE=FQ","FILING_STATUS=MR","SCALING_FORMAT=MLN","Sort=A","Dates=H","DateFormat=P","Fill=—","Direction=H","UseDPDF=Y")</f>
        <v>0</v>
      </c>
      <c r="L15" s="13">
        <f>_xll.BDH("ITCI US Equity","T12M_CHG_ST_BORROWINGS","FQ1 2021","FQ1 2021","Currency=USD","Period=FQ","BEST_FPERIOD_OVERRIDE=FQ","FILING_STATUS=MR","SCALING_FORMAT=MLN","Sort=A","Dates=H","DateFormat=P","Fill=—","Direction=H","UseDPDF=Y")</f>
        <v>0</v>
      </c>
      <c r="M15" s="13">
        <f>_xll.BDH("ITCI US Equity","T12M_CHG_ST_BORROWINGS","FQ2 2021","FQ2 2021","Currency=USD","Period=FQ","BEST_FPERIOD_OVERRIDE=FQ","FILING_STATUS=MR","SCALING_FORMAT=MLN","Sort=A","Dates=H","DateFormat=P","Fill=—","Direction=H","UseDPDF=Y")</f>
        <v>0</v>
      </c>
      <c r="N15" s="13">
        <f>_xll.BDH("ITCI US Equity","T12M_CHG_ST_BORROWINGS","FQ3 2021","FQ3 2021","Currency=USD","Period=FQ","BEST_FPERIOD_OVERRIDE=FQ","FILING_STATUS=MR","SCALING_FORMAT=MLN","Sort=A","Dates=H","DateFormat=P","Fill=—","Direction=H","UseDPDF=Y")</f>
        <v>0</v>
      </c>
      <c r="O15" s="13">
        <f>_xll.BDH("ITCI US Equity","T12M_CHG_ST_BORROWINGS","FQ4 2021","FQ4 2021","Currency=USD","Period=FQ","BEST_FPERIOD_OVERRIDE=FQ","FILING_STATUS=MR","SCALING_FORMAT=MLN","Sort=A","Dates=H","DateFormat=P","Fill=—","Direction=H","UseDPDF=Y")</f>
        <v>0</v>
      </c>
      <c r="P15" s="13">
        <f>_xll.BDH("ITCI US Equity","T12M_CHG_ST_BORROWINGS","FQ1 2022","FQ1 2022","Currency=USD","Period=FQ","BEST_FPERIOD_OVERRIDE=FQ","FILING_STATUS=MR","SCALING_FORMAT=MLN","Sort=A","Dates=H","DateFormat=P","Fill=—","Direction=H","UseDPDF=Y")</f>
        <v>0</v>
      </c>
      <c r="Q15" s="13">
        <f>_xll.BDH("ITCI US Equity","T12M_CHG_ST_BORROWINGS","FQ2 2022","FQ2 2022","Currency=USD","Period=FQ","BEST_FPERIOD_OVERRIDE=FQ","FILING_STATUS=MR","SCALING_FORMAT=MLN","Sort=A","Dates=H","DateFormat=P","Fill=—","Direction=H","UseDPDF=Y")</f>
        <v>0</v>
      </c>
      <c r="R15" s="13">
        <f>_xll.BDH("ITCI US Equity","T12M_CHG_ST_BORROWINGS","FQ3 2022","FQ3 2022","Currency=USD","Period=FQ","BEST_FPERIOD_OVERRIDE=FQ","FILING_STATUS=MR","SCALING_FORMAT=MLN","Sort=A","Dates=H","DateFormat=P","Fill=—","Direction=H","UseDPDF=Y")</f>
        <v>0</v>
      </c>
      <c r="S15" s="13">
        <f>_xll.BDH("ITCI US Equity","T12M_CHG_ST_BORROWINGS","FQ4 2022","FQ4 2022","Currency=USD","Period=FQ","BEST_FPERIOD_OVERRIDE=FQ","FILING_STATUS=MR","SCALING_FORMAT=MLN","Sort=A","Dates=H","DateFormat=P","Fill=—","Direction=H","UseDPDF=Y")</f>
        <v>0</v>
      </c>
      <c r="T15" s="13">
        <f>_xll.BDH("ITCI US Equity","T12M_CHG_ST_BORROWINGS","FQ1 2023","FQ1 2023","Currency=USD","Period=FQ","BEST_FPERIOD_OVERRIDE=FQ","FILING_STATUS=MR","SCALING_FORMAT=MLN","Sort=A","Dates=H","DateFormat=P","Fill=—","Direction=H","UseDPDF=Y")</f>
        <v>0</v>
      </c>
      <c r="U15" s="13">
        <f>_xll.BDH("ITCI US Equity","T12M_CHG_ST_BORROWINGS","FQ2 2023","FQ2 2023","Currency=USD","Period=FQ","BEST_FPERIOD_OVERRIDE=FQ","FILING_STATUS=MR","SCALING_FORMAT=MLN","Sort=A","Dates=H","DateFormat=P","Fill=—","Direction=H","UseDPDF=Y")</f>
        <v>0</v>
      </c>
      <c r="V15" s="13">
        <f>_xll.BDH("ITCI US Equity","T12M_CHG_ST_BORROWINGS","FQ3 2023","FQ3 2023","Currency=USD","Period=FQ","BEST_FPERIOD_OVERRIDE=FQ","FILING_STATUS=MR","SCALING_FORMAT=MLN","Sort=A","Dates=H","DateFormat=P","Fill=—","Direction=H","UseDPDF=Y")</f>
        <v>0</v>
      </c>
      <c r="W15" s="13">
        <f>_xll.BDH("ITCI US Equity","T12M_CHG_ST_BORROWINGS","FQ4 2023","FQ4 2023","Currency=USD","Period=FQ","BEST_FPERIOD_OVERRIDE=FQ","FILING_STATUS=MR","SCALING_FORMAT=MLN","Sort=A","Dates=H","DateFormat=P","Fill=—","Direction=H","UseDPDF=Y")</f>
        <v>0</v>
      </c>
      <c r="X15" s="13">
        <f>_xll.BDH("ITCI US Equity","T12M_CHG_ST_BORROWINGS","FQ1 2024","FQ1 2024","Currency=USD","Period=FQ","BEST_FPERIOD_OVERRIDE=FQ","FILING_STATUS=MR","SCALING_FORMAT=MLN","Sort=A","Dates=H","DateFormat=P","Fill=—","Direction=H","UseDPDF=Y")</f>
        <v>0</v>
      </c>
      <c r="Y15" s="13">
        <f>_xll.BDH("ITCI US Equity","T12M_CHG_ST_BORROWINGS","FQ2 2024","FQ2 2024","Currency=USD","Period=FQ","BEST_FPERIOD_OVERRIDE=FQ","FILING_STATUS=MR","SCALING_FORMAT=MLN","Sort=A","Dates=H","DateFormat=P","Fill=—","Direction=H","UseDPDF=Y")</f>
        <v>0</v>
      </c>
      <c r="Z15" s="13">
        <f>_xll.BDH("ITCI US Equity","T12M_CHG_ST_BORROWINGS","FQ3 2024","FQ3 2024","Currency=USD","Period=FQ","BEST_FPERIOD_OVERRIDE=FQ","FILING_STATUS=MR","SCALING_FORMAT=MLN","Sort=A","Dates=H","DateFormat=P","Fill=—","Direction=H","UseDPDF=Y")</f>
        <v>0</v>
      </c>
      <c r="AA15" s="13">
        <f>_xll.BDH("ITCI US Equity","T12M_CHG_ST_BORROWINGS","FQ4 2024","FQ4 2024","Currency=USD","Period=FQ","BEST_FPERIOD_OVERRIDE=FQ","FILING_STATUS=MR","SCALING_FORMAT=MLN","Sort=A","Dates=H","DateFormat=P","Fill=—","Direction=H","UseDPDF=Y")</f>
        <v>0</v>
      </c>
    </row>
    <row r="16" spans="1:27" x14ac:dyDescent="0.25">
      <c r="A16" s="10" t="s">
        <v>1260</v>
      </c>
      <c r="B16" s="10" t="s">
        <v>1261</v>
      </c>
      <c r="C16" s="13">
        <f>_xll.BDH("ITCI US Equity","T12M_CHG_LT_DEBT","FQ4 2018","FQ4 2018","Currency=USD","Period=FQ","BEST_FPERIOD_OVERRIDE=FQ","FILING_STATUS=MR","SCALING_FORMAT=MLN","Sort=A","Dates=H","DateFormat=P","Fill=—","Direction=H","UseDPDF=Y")</f>
        <v>0</v>
      </c>
      <c r="D16" s="13">
        <f>_xll.BDH("ITCI US Equity","T12M_CHG_LT_DEBT","FQ1 2019","FQ1 2019","Currency=USD","Period=FQ","BEST_FPERIOD_OVERRIDE=FQ","FILING_STATUS=MR","SCALING_FORMAT=MLN","Sort=A","Dates=H","DateFormat=P","Fill=—","Direction=H","UseDPDF=Y")</f>
        <v>0</v>
      </c>
      <c r="E16" s="13">
        <f>_xll.BDH("ITCI US Equity","T12M_CHG_LT_DEBT","FQ2 2019","FQ2 2019","Currency=USD","Period=FQ","BEST_FPERIOD_OVERRIDE=FQ","FILING_STATUS=MR","SCALING_FORMAT=MLN","Sort=A","Dates=H","DateFormat=P","Fill=—","Direction=H","UseDPDF=Y")</f>
        <v>0</v>
      </c>
      <c r="F16" s="13">
        <f>_xll.BDH("ITCI US Equity","T12M_CHG_LT_DEBT","FQ3 2019","FQ3 2019","Currency=USD","Period=FQ","BEST_FPERIOD_OVERRIDE=FQ","FILING_STATUS=MR","SCALING_FORMAT=MLN","Sort=A","Dates=H","DateFormat=P","Fill=—","Direction=H","UseDPDF=Y")</f>
        <v>0</v>
      </c>
      <c r="G16" s="13">
        <f>_xll.BDH("ITCI US Equity","T12M_CHG_LT_DEBT","FQ4 2019","FQ4 2019","Currency=USD","Period=FQ","BEST_FPERIOD_OVERRIDE=FQ","FILING_STATUS=MR","SCALING_FORMAT=MLN","Sort=A","Dates=H","DateFormat=P","Fill=—","Direction=H","UseDPDF=Y")</f>
        <v>0</v>
      </c>
      <c r="H16" s="13">
        <f>_xll.BDH("ITCI US Equity","T12M_CHG_LT_DEBT","FQ1 2020","FQ1 2020","Currency=USD","Period=FQ","BEST_FPERIOD_OVERRIDE=FQ","FILING_STATUS=MR","SCALING_FORMAT=MLN","Sort=A","Dates=H","DateFormat=P","Fill=—","Direction=H","UseDPDF=Y")</f>
        <v>0</v>
      </c>
      <c r="I16" s="13">
        <f>_xll.BDH("ITCI US Equity","T12M_CHG_LT_DEBT","FQ2 2020","FQ2 2020","Currency=USD","Period=FQ","BEST_FPERIOD_OVERRIDE=FQ","FILING_STATUS=MR","SCALING_FORMAT=MLN","Sort=A","Dates=H","DateFormat=P","Fill=—","Direction=H","UseDPDF=Y")</f>
        <v>0</v>
      </c>
      <c r="J16" s="13">
        <f>_xll.BDH("ITCI US Equity","T12M_CHG_LT_DEBT","FQ3 2020","FQ3 2020","Currency=USD","Period=FQ","BEST_FPERIOD_OVERRIDE=FQ","FILING_STATUS=MR","SCALING_FORMAT=MLN","Sort=A","Dates=H","DateFormat=P","Fill=—","Direction=H","UseDPDF=Y")</f>
        <v>0</v>
      </c>
      <c r="K16" s="13">
        <f>_xll.BDH("ITCI US Equity","T12M_CHG_LT_DEBT","FQ4 2020","FQ4 2020","Currency=USD","Period=FQ","BEST_FPERIOD_OVERRIDE=FQ","FILING_STATUS=MR","SCALING_FORMAT=MLN","Sort=A","Dates=H","DateFormat=P","Fill=—","Direction=H","UseDPDF=Y")</f>
        <v>0</v>
      </c>
      <c r="L16" s="13">
        <f>_xll.BDH("ITCI US Equity","T12M_CHG_LT_DEBT","FQ1 2021","FQ1 2021","Currency=USD","Period=FQ","BEST_FPERIOD_OVERRIDE=FQ","FILING_STATUS=MR","SCALING_FORMAT=MLN","Sort=A","Dates=H","DateFormat=P","Fill=—","Direction=H","UseDPDF=Y")</f>
        <v>0</v>
      </c>
      <c r="M16" s="13">
        <f>_xll.BDH("ITCI US Equity","T12M_CHG_LT_DEBT","FQ2 2021","FQ2 2021","Currency=USD","Period=FQ","BEST_FPERIOD_OVERRIDE=FQ","FILING_STATUS=MR","SCALING_FORMAT=MLN","Sort=A","Dates=H","DateFormat=P","Fill=—","Direction=H","UseDPDF=Y")</f>
        <v>0</v>
      </c>
      <c r="N16" s="13">
        <f>_xll.BDH("ITCI US Equity","T12M_CHG_LT_DEBT","FQ3 2021","FQ3 2021","Currency=USD","Period=FQ","BEST_FPERIOD_OVERRIDE=FQ","FILING_STATUS=MR","SCALING_FORMAT=MLN","Sort=A","Dates=H","DateFormat=P","Fill=—","Direction=H","UseDPDF=Y")</f>
        <v>0</v>
      </c>
      <c r="O16" s="13">
        <f>_xll.BDH("ITCI US Equity","T12M_CHG_LT_DEBT","FQ4 2021","FQ4 2021","Currency=USD","Period=FQ","BEST_FPERIOD_OVERRIDE=FQ","FILING_STATUS=MR","SCALING_FORMAT=MLN","Sort=A","Dates=H","DateFormat=P","Fill=—","Direction=H","UseDPDF=Y")</f>
        <v>0</v>
      </c>
      <c r="P16" s="13">
        <f>_xll.BDH("ITCI US Equity","T12M_CHG_LT_DEBT","FQ1 2022","FQ1 2022","Currency=USD","Period=FQ","BEST_FPERIOD_OVERRIDE=FQ","FILING_STATUS=MR","SCALING_FORMAT=MLN","Sort=A","Dates=H","DateFormat=P","Fill=—","Direction=H","UseDPDF=Y")</f>
        <v>0</v>
      </c>
      <c r="Q16" s="13">
        <f>_xll.BDH("ITCI US Equity","T12M_CHG_LT_DEBT","FQ2 2022","FQ2 2022","Currency=USD","Period=FQ","BEST_FPERIOD_OVERRIDE=FQ","FILING_STATUS=MR","SCALING_FORMAT=MLN","Sort=A","Dates=H","DateFormat=P","Fill=—","Direction=H","UseDPDF=Y")</f>
        <v>0</v>
      </c>
      <c r="R16" s="13">
        <f>_xll.BDH("ITCI US Equity","T12M_CHG_LT_DEBT","FQ3 2022","FQ3 2022","Currency=USD","Period=FQ","BEST_FPERIOD_OVERRIDE=FQ","FILING_STATUS=MR","SCALING_FORMAT=MLN","Sort=A","Dates=H","DateFormat=P","Fill=—","Direction=H","UseDPDF=Y")</f>
        <v>0</v>
      </c>
      <c r="S16" s="13">
        <f>_xll.BDH("ITCI US Equity","T12M_CHG_LT_DEBT","FQ4 2022","FQ4 2022","Currency=USD","Period=FQ","BEST_FPERIOD_OVERRIDE=FQ","FILING_STATUS=MR","SCALING_FORMAT=MLN","Sort=A","Dates=H","DateFormat=P","Fill=—","Direction=H","UseDPDF=Y")</f>
        <v>0</v>
      </c>
      <c r="T16" s="13">
        <f>_xll.BDH("ITCI US Equity","T12M_CHG_LT_DEBT","FQ1 2023","FQ1 2023","Currency=USD","Period=FQ","BEST_FPERIOD_OVERRIDE=FQ","FILING_STATUS=MR","SCALING_FORMAT=MLN","Sort=A","Dates=H","DateFormat=P","Fill=—","Direction=H","UseDPDF=Y")</f>
        <v>0</v>
      </c>
      <c r="U16" s="13">
        <f>_xll.BDH("ITCI US Equity","T12M_CHG_LT_DEBT","FQ2 2023","FQ2 2023","Currency=USD","Period=FQ","BEST_FPERIOD_OVERRIDE=FQ","FILING_STATUS=MR","SCALING_FORMAT=MLN","Sort=A","Dates=H","DateFormat=P","Fill=—","Direction=H","UseDPDF=Y")</f>
        <v>0</v>
      </c>
      <c r="V16" s="13">
        <f>_xll.BDH("ITCI US Equity","T12M_CHG_LT_DEBT","FQ3 2023","FQ3 2023","Currency=USD","Period=FQ","BEST_FPERIOD_OVERRIDE=FQ","FILING_STATUS=MR","SCALING_FORMAT=MLN","Sort=A","Dates=H","DateFormat=P","Fill=—","Direction=H","UseDPDF=Y")</f>
        <v>0</v>
      </c>
      <c r="W16" s="13">
        <f>_xll.BDH("ITCI US Equity","T12M_CHG_LT_DEBT","FQ4 2023","FQ4 2023","Currency=USD","Period=FQ","BEST_FPERIOD_OVERRIDE=FQ","FILING_STATUS=MR","SCALING_FORMAT=MLN","Sort=A","Dates=H","DateFormat=P","Fill=—","Direction=H","UseDPDF=Y")</f>
        <v>0</v>
      </c>
      <c r="X16" s="13">
        <f>_xll.BDH("ITCI US Equity","T12M_CHG_LT_DEBT","FQ1 2024","FQ1 2024","Currency=USD","Period=FQ","BEST_FPERIOD_OVERRIDE=FQ","FILING_STATUS=MR","SCALING_FORMAT=MLN","Sort=A","Dates=H","DateFormat=P","Fill=—","Direction=H","UseDPDF=Y")</f>
        <v>0</v>
      </c>
      <c r="Y16" s="13">
        <f>_xll.BDH("ITCI US Equity","T12M_CHG_LT_DEBT","FQ2 2024","FQ2 2024","Currency=USD","Period=FQ","BEST_FPERIOD_OVERRIDE=FQ","FILING_STATUS=MR","SCALING_FORMAT=MLN","Sort=A","Dates=H","DateFormat=P","Fill=—","Direction=H","UseDPDF=Y")</f>
        <v>0</v>
      </c>
      <c r="Z16" s="13">
        <f>_xll.BDH("ITCI US Equity","T12M_CHG_LT_DEBT","FQ3 2024","FQ3 2024","Currency=USD","Period=FQ","BEST_FPERIOD_OVERRIDE=FQ","FILING_STATUS=MR","SCALING_FORMAT=MLN","Sort=A","Dates=H","DateFormat=P","Fill=—","Direction=H","UseDPDF=Y")</f>
        <v>0</v>
      </c>
      <c r="AA16" s="13">
        <f>_xll.BDH("ITCI US Equity","T12M_CHG_LT_DEBT","FQ4 2024","FQ4 2024","Currency=USD","Period=FQ","BEST_FPERIOD_OVERRIDE=FQ","FILING_STATUS=MR","SCALING_FORMAT=MLN","Sort=A","Dates=H","DateFormat=P","Fill=—","Direction=H","UseDPDF=Y")</f>
        <v>0</v>
      </c>
    </row>
    <row r="17" spans="1:27" x14ac:dyDescent="0.25">
      <c r="A17" s="10" t="s">
        <v>1062</v>
      </c>
      <c r="B17" s="10" t="s">
        <v>1262</v>
      </c>
      <c r="C17" s="13">
        <f>_xll.BDH("ITCI US Equity","T12_OTHER_CFF","FQ4 2018","FQ4 2018","Currency=USD","Period=FQ","BEST_FPERIOD_OVERRIDE=FQ","FILING_STATUS=MR","SCALING_FORMAT=MLN","Sort=A","Dates=H","DateFormat=P","Fill=—","Direction=H","UseDPDF=Y")</f>
        <v>1.0999999999999999E-2</v>
      </c>
      <c r="D17" s="13">
        <f>_xll.BDH("ITCI US Equity","T12_OTHER_CFF","FQ1 2019","FQ1 2019","Currency=USD","Period=FQ","BEST_FPERIOD_OVERRIDE=FQ","FILING_STATUS=MR","SCALING_FORMAT=MLN","Sort=A","Dates=H","DateFormat=P","Fill=—","Direction=H","UseDPDF=Y")</f>
        <v>1.0999999999999999E-2</v>
      </c>
      <c r="E17" s="13">
        <f>_xll.BDH("ITCI US Equity","T12_OTHER_CFF","FQ2 2019","FQ2 2019","Currency=USD","Period=FQ","BEST_FPERIOD_OVERRIDE=FQ","FILING_STATUS=MR","SCALING_FORMAT=MLN","Sort=A","Dates=H","DateFormat=P","Fill=—","Direction=H","UseDPDF=Y")</f>
        <v>1.0999999999999999E-2</v>
      </c>
      <c r="F17" s="13">
        <f>_xll.BDH("ITCI US Equity","T12_OTHER_CFF","FQ3 2019","FQ3 2019","Currency=USD","Period=FQ","BEST_FPERIOD_OVERRIDE=FQ","FILING_STATUS=MR","SCALING_FORMAT=MLN","Sort=A","Dates=H","DateFormat=P","Fill=—","Direction=H","UseDPDF=Y")</f>
        <v>1.0999999999999999E-2</v>
      </c>
      <c r="G17" s="13">
        <f>_xll.BDH("ITCI US Equity","T12_OTHER_CFF","FQ4 2019","FQ4 2019","Currency=USD","Period=FQ","BEST_FPERIOD_OVERRIDE=FQ","FILING_STATUS=MR","SCALING_FORMAT=MLN","Sort=A","Dates=H","DateFormat=P","Fill=—","Direction=H","UseDPDF=Y")</f>
        <v>0</v>
      </c>
      <c r="H17" s="13">
        <f>_xll.BDH("ITCI US Equity","T12_OTHER_CFF","FQ1 2020","FQ1 2020","Currency=USD","Period=FQ","BEST_FPERIOD_OVERRIDE=FQ","FILING_STATUS=MR","SCALING_FORMAT=MLN","Sort=A","Dates=H","DateFormat=P","Fill=—","Direction=H","UseDPDF=Y")</f>
        <v>0</v>
      </c>
      <c r="I17" s="13">
        <f>_xll.BDH("ITCI US Equity","T12_OTHER_CFF","FQ2 2020","FQ2 2020","Currency=USD","Period=FQ","BEST_FPERIOD_OVERRIDE=FQ","FILING_STATUS=MR","SCALING_FORMAT=MLN","Sort=A","Dates=H","DateFormat=P","Fill=—","Direction=H","UseDPDF=Y")</f>
        <v>0</v>
      </c>
      <c r="J17" s="13">
        <f>_xll.BDH("ITCI US Equity","T12_OTHER_CFF","FQ3 2020","FQ3 2020","Currency=USD","Period=FQ","BEST_FPERIOD_OVERRIDE=FQ","FILING_STATUS=MR","SCALING_FORMAT=MLN","Sort=A","Dates=H","DateFormat=P","Fill=—","Direction=H","UseDPDF=Y")</f>
        <v>0</v>
      </c>
      <c r="K17" s="13">
        <f>_xll.BDH("ITCI US Equity","T12_OTHER_CFF","FQ4 2020","FQ4 2020","Currency=USD","Period=FQ","BEST_FPERIOD_OVERRIDE=FQ","FILING_STATUS=MR","SCALING_FORMAT=MLN","Sort=A","Dates=H","DateFormat=P","Fill=—","Direction=H","UseDPDF=Y")</f>
        <v>0</v>
      </c>
      <c r="L17" s="13">
        <f>_xll.BDH("ITCI US Equity","T12_OTHER_CFF","FQ1 2021","FQ1 2021","Currency=USD","Period=FQ","BEST_FPERIOD_OVERRIDE=FQ","FILING_STATUS=MR","SCALING_FORMAT=MLN","Sort=A","Dates=H","DateFormat=P","Fill=—","Direction=H","UseDPDF=Y")</f>
        <v>0</v>
      </c>
      <c r="M17" s="13">
        <f>_xll.BDH("ITCI US Equity","T12_OTHER_CFF","FQ2 2021","FQ2 2021","Currency=USD","Period=FQ","BEST_FPERIOD_OVERRIDE=FQ","FILING_STATUS=MR","SCALING_FORMAT=MLN","Sort=A","Dates=H","DateFormat=P","Fill=—","Direction=H","UseDPDF=Y")</f>
        <v>0</v>
      </c>
      <c r="N17" s="13">
        <f>_xll.BDH("ITCI US Equity","T12_OTHER_CFF","FQ3 2021","FQ3 2021","Currency=USD","Period=FQ","BEST_FPERIOD_OVERRIDE=FQ","FILING_STATUS=MR","SCALING_FORMAT=MLN","Sort=A","Dates=H","DateFormat=P","Fill=—","Direction=H","UseDPDF=Y")</f>
        <v>0</v>
      </c>
      <c r="O17" s="13">
        <f>_xll.BDH("ITCI US Equity","T12_OTHER_CFF","FQ4 2021","FQ4 2021","Currency=USD","Period=FQ","BEST_FPERIOD_OVERRIDE=FQ","FILING_STATUS=MR","SCALING_FORMAT=MLN","Sort=A","Dates=H","DateFormat=P","Fill=—","Direction=H","UseDPDF=Y")</f>
        <v>0</v>
      </c>
      <c r="P17" s="13">
        <f>_xll.BDH("ITCI US Equity","T12_OTHER_CFF","FQ1 2022","FQ1 2022","Currency=USD","Period=FQ","BEST_FPERIOD_OVERRIDE=FQ","FILING_STATUS=MR","SCALING_FORMAT=MLN","Sort=A","Dates=H","DateFormat=P","Fill=—","Direction=H","UseDPDF=Y")</f>
        <v>0</v>
      </c>
      <c r="Q17" s="13">
        <f>_xll.BDH("ITCI US Equity","T12_OTHER_CFF","FQ2 2022","FQ2 2022","Currency=USD","Period=FQ","BEST_FPERIOD_OVERRIDE=FQ","FILING_STATUS=MR","SCALING_FORMAT=MLN","Sort=A","Dates=H","DateFormat=P","Fill=—","Direction=H","UseDPDF=Y")</f>
        <v>0</v>
      </c>
      <c r="R17" s="13">
        <f>_xll.BDH("ITCI US Equity","T12_OTHER_CFF","FQ3 2022","FQ3 2022","Currency=USD","Period=FQ","BEST_FPERIOD_OVERRIDE=FQ","FILING_STATUS=MR","SCALING_FORMAT=MLN","Sort=A","Dates=H","DateFormat=P","Fill=—","Direction=H","UseDPDF=Y")</f>
        <v>0</v>
      </c>
      <c r="S17" s="13">
        <f>_xll.BDH("ITCI US Equity","T12_OTHER_CFF","FQ4 2022","FQ4 2022","Currency=USD","Period=FQ","BEST_FPERIOD_OVERRIDE=FQ","FILING_STATUS=MR","SCALING_FORMAT=MLN","Sort=A","Dates=H","DateFormat=P","Fill=—","Direction=H","UseDPDF=Y")</f>
        <v>0</v>
      </c>
      <c r="T17" s="13">
        <f>_xll.BDH("ITCI US Equity","T12_OTHER_CFF","FQ1 2023","FQ1 2023","Currency=USD","Period=FQ","BEST_FPERIOD_OVERRIDE=FQ","FILING_STATUS=MR","SCALING_FORMAT=MLN","Sort=A","Dates=H","DateFormat=P","Fill=—","Direction=H","UseDPDF=Y")</f>
        <v>0</v>
      </c>
      <c r="U17" s="13">
        <f>_xll.BDH("ITCI US Equity","T12_OTHER_CFF","FQ2 2023","FQ2 2023","Currency=USD","Period=FQ","BEST_FPERIOD_OVERRIDE=FQ","FILING_STATUS=MR","SCALING_FORMAT=MLN","Sort=A","Dates=H","DateFormat=P","Fill=—","Direction=H","UseDPDF=Y")</f>
        <v>0</v>
      </c>
      <c r="V17" s="13">
        <f>_xll.BDH("ITCI US Equity","T12_OTHER_CFF","FQ3 2023","FQ3 2023","Currency=USD","Period=FQ","BEST_FPERIOD_OVERRIDE=FQ","FILING_STATUS=MR","SCALING_FORMAT=MLN","Sort=A","Dates=H","DateFormat=P","Fill=—","Direction=H","UseDPDF=Y")</f>
        <v>0</v>
      </c>
      <c r="W17" s="13">
        <f>_xll.BDH("ITCI US Equity","T12_OTHER_CFF","FQ4 2023","FQ4 2023","Currency=USD","Period=FQ","BEST_FPERIOD_OVERRIDE=FQ","FILING_STATUS=MR","SCALING_FORMAT=MLN","Sort=A","Dates=H","DateFormat=P","Fill=—","Direction=H","UseDPDF=Y")</f>
        <v>0</v>
      </c>
      <c r="X17" s="13">
        <f>_xll.BDH("ITCI US Equity","T12_OTHER_CFF","FQ1 2024","FQ1 2024","Currency=USD","Period=FQ","BEST_FPERIOD_OVERRIDE=FQ","FILING_STATUS=MR","SCALING_FORMAT=MLN","Sort=A","Dates=H","DateFormat=P","Fill=—","Direction=H","UseDPDF=Y")</f>
        <v>0</v>
      </c>
      <c r="Y17" s="13">
        <f>_xll.BDH("ITCI US Equity","T12_OTHER_CFF","FQ2 2024","FQ2 2024","Currency=USD","Period=FQ","BEST_FPERIOD_OVERRIDE=FQ","FILING_STATUS=MR","SCALING_FORMAT=MLN","Sort=A","Dates=H","DateFormat=P","Fill=—","Direction=H","UseDPDF=Y")</f>
        <v>0</v>
      </c>
      <c r="Z17" s="13">
        <f>_xll.BDH("ITCI US Equity","T12_OTHER_CFF","FQ3 2024","FQ3 2024","Currency=USD","Period=FQ","BEST_FPERIOD_OVERRIDE=FQ","FILING_STATUS=MR","SCALING_FORMAT=MLN","Sort=A","Dates=H","DateFormat=P","Fill=—","Direction=H","UseDPDF=Y")</f>
        <v>0</v>
      </c>
      <c r="AA17" s="13">
        <f>_xll.BDH("ITCI US Equity","T12_OTHER_CFF","FQ4 2024","FQ4 2024","Currency=USD","Period=FQ","BEST_FPERIOD_OVERRIDE=FQ","FILING_STATUS=MR","SCALING_FORMAT=MLN","Sort=A","Dates=H","DateFormat=P","Fill=—","Direction=H","UseDPDF=Y")</f>
        <v>0</v>
      </c>
    </row>
    <row r="18" spans="1:27" x14ac:dyDescent="0.25">
      <c r="A18" s="6" t="s">
        <v>1263</v>
      </c>
      <c r="B18" s="6" t="s">
        <v>1264</v>
      </c>
      <c r="C18" s="19">
        <f>_xll.BDH("ITCI US Equity","T12_CFF","FQ4 2018","FQ4 2018","Currency=USD","Period=FQ","BEST_FPERIOD_OVERRIDE=FQ","FILING_STATUS=MR","SCALING_FORMAT=MLN","Sort=A","Dates=H","DateFormat=P","Fill=—","Direction=H","UseDPDF=Y")</f>
        <v>0.68520000000000003</v>
      </c>
      <c r="D18" s="19">
        <f>_xll.BDH("ITCI US Equity","T12_CFF","FQ1 2019","FQ1 2019","Currency=USD","Period=FQ","BEST_FPERIOD_OVERRIDE=FQ","FILING_STATUS=MR","SCALING_FORMAT=MLN","Sort=A","Dates=H","DateFormat=P","Fill=—","Direction=H","UseDPDF=Y")</f>
        <v>0.37859999999999999</v>
      </c>
      <c r="E18" s="19">
        <f>_xll.BDH("ITCI US Equity","T12_CFF","FQ2 2019","FQ2 2019","Currency=USD","Period=FQ","BEST_FPERIOD_OVERRIDE=FQ","FILING_STATUS=MR","SCALING_FORMAT=MLN","Sort=A","Dates=H","DateFormat=P","Fill=—","Direction=H","UseDPDF=Y")</f>
        <v>0.63170000000000004</v>
      </c>
      <c r="F18" s="19">
        <f>_xll.BDH("ITCI US Equity","T12_CFF","FQ3 2019","FQ3 2019","Currency=USD","Period=FQ","BEST_FPERIOD_OVERRIDE=FQ","FILING_STATUS=MR","SCALING_FORMAT=MLN","Sort=A","Dates=H","DateFormat=P","Fill=—","Direction=H","UseDPDF=Y")</f>
        <v>0.62870000000000004</v>
      </c>
      <c r="G18" s="19">
        <f>_xll.BDH("ITCI US Equity","T12_CFF","FQ4 2019","FQ4 2019","Currency=USD","Period=FQ","BEST_FPERIOD_OVERRIDE=FQ","FILING_STATUS=MR","SCALING_FORMAT=MLN","Sort=A","Dates=H","DateFormat=P","Fill=—","Direction=H","UseDPDF=Y")</f>
        <v>3.2355999999999998</v>
      </c>
      <c r="H18" s="19">
        <f>_xll.BDH("ITCI US Equity","T12_CFF","FQ1 2020","FQ1 2020","Currency=USD","Period=FQ","BEST_FPERIOD_OVERRIDE=FQ","FILING_STATUS=MR","SCALING_FORMAT=MLN","Sort=A","Dates=H","DateFormat=P","Fill=—","Direction=H","UseDPDF=Y")</f>
        <v>280.77170000000001</v>
      </c>
      <c r="I18" s="19">
        <f>_xll.BDH("ITCI US Equity","T12_CFF","FQ2 2020","FQ2 2020","Currency=USD","Period=FQ","BEST_FPERIOD_OVERRIDE=FQ","FILING_STATUS=MR","SCALING_FORMAT=MLN","Sort=A","Dates=H","DateFormat=P","Fill=—","Direction=H","UseDPDF=Y")</f>
        <v>284.9923</v>
      </c>
      <c r="J18" s="19">
        <f>_xll.BDH("ITCI US Equity","T12_CFF","FQ3 2020","FQ3 2020","Currency=USD","Period=FQ","BEST_FPERIOD_OVERRIDE=FQ","FILING_STATUS=MR","SCALING_FORMAT=MLN","Sort=A","Dates=H","DateFormat=P","Fill=—","Direction=H","UseDPDF=Y")</f>
        <v>663.33439999999996</v>
      </c>
      <c r="K18" s="19">
        <f>_xll.BDH("ITCI US Equity","T12_CFF","FQ4 2020","FQ4 2020","Currency=USD","Period=FQ","BEST_FPERIOD_OVERRIDE=FQ","FILING_STATUS=MR","SCALING_FORMAT=MLN","Sort=A","Dates=H","DateFormat=P","Fill=—","Direction=H","UseDPDF=Y")</f>
        <v>664.17690000000005</v>
      </c>
      <c r="L18" s="19">
        <f>_xll.BDH("ITCI US Equity","T12_CFF","FQ1 2021","FQ1 2021","Currency=USD","Period=FQ","BEST_FPERIOD_OVERRIDE=FQ","FILING_STATUS=MR","SCALING_FORMAT=MLN","Sort=A","Dates=H","DateFormat=P","Fill=—","Direction=H","UseDPDF=Y")</f>
        <v>388.0412</v>
      </c>
      <c r="M18" s="19">
        <f>_xll.BDH("ITCI US Equity","T12_CFF","FQ2 2021","FQ2 2021","Currency=USD","Period=FQ","BEST_FPERIOD_OVERRIDE=FQ","FILING_STATUS=MR","SCALING_FORMAT=MLN","Sort=A","Dates=H","DateFormat=P","Fill=—","Direction=H","UseDPDF=Y")</f>
        <v>385.1431</v>
      </c>
      <c r="N18" s="19">
        <f>_xll.BDH("ITCI US Equity","T12_CFF","FQ3 2021","FQ3 2021","Currency=USD","Period=FQ","BEST_FPERIOD_OVERRIDE=FQ","FILING_STATUS=MR","SCALING_FORMAT=MLN","Sort=A","Dates=H","DateFormat=P","Fill=—","Direction=H","UseDPDF=Y")</f>
        <v>7.24</v>
      </c>
      <c r="O18" s="19">
        <f>_xll.BDH("ITCI US Equity","T12_CFF","FQ4 2021","FQ4 2021","Currency=USD","Period=FQ","BEST_FPERIOD_OVERRIDE=FQ","FILING_STATUS=MR","SCALING_FORMAT=MLN","Sort=A","Dates=H","DateFormat=P","Fill=—","Direction=H","UseDPDF=Y")</f>
        <v>11.5189</v>
      </c>
      <c r="P18" s="19">
        <f>_xll.BDH("ITCI US Equity","T12_CFF","FQ1 2022","FQ1 2022","Currency=USD","Period=FQ","BEST_FPERIOD_OVERRIDE=FQ","FILING_STATUS=MR","SCALING_FORMAT=MLN","Sort=A","Dates=H","DateFormat=P","Fill=—","Direction=H","UseDPDF=Y")</f>
        <v>451.90129999999999</v>
      </c>
      <c r="Q18" s="19">
        <f>_xll.BDH("ITCI US Equity","T12_CFF","FQ2 2022","FQ2 2022","Currency=USD","Period=FQ","BEST_FPERIOD_OVERRIDE=FQ","FILING_STATUS=MR","SCALING_FORMAT=MLN","Sort=A","Dates=H","DateFormat=P","Fill=—","Direction=H","UseDPDF=Y")</f>
        <v>455.8236</v>
      </c>
      <c r="R18" s="19">
        <f>_xll.BDH("ITCI US Equity","T12_CFF","FQ3 2022","FQ3 2022","Currency=USD","Period=FQ","BEST_FPERIOD_OVERRIDE=FQ","FILING_STATUS=MR","SCALING_FORMAT=MLN","Sort=A","Dates=H","DateFormat=P","Fill=—","Direction=H","UseDPDF=Y")</f>
        <v>460.88630000000001</v>
      </c>
      <c r="S18" s="19">
        <f>_xll.BDH("ITCI US Equity","T12_CFF","FQ4 2022","FQ4 2022","Currency=USD","Period=FQ","BEST_FPERIOD_OVERRIDE=FQ","FILING_STATUS=MR","SCALING_FORMAT=MLN","Sort=A","Dates=H","DateFormat=P","Fill=—","Direction=H","UseDPDF=Y")</f>
        <v>455.15899999999999</v>
      </c>
      <c r="T18" s="19">
        <f>_xll.BDH("ITCI US Equity","T12_CFF","FQ1 2023","FQ1 2023","Currency=USD","Period=FQ","BEST_FPERIOD_OVERRIDE=FQ","FILING_STATUS=MR","SCALING_FORMAT=MLN","Sort=A","Dates=H","DateFormat=P","Fill=—","Direction=H","UseDPDF=Y")</f>
        <v>16.984999999999999</v>
      </c>
      <c r="U18" s="19">
        <f>_xll.BDH("ITCI US Equity","T12_CFF","FQ2 2023","FQ2 2023","Currency=USD","Period=FQ","BEST_FPERIOD_OVERRIDE=FQ","FILING_STATUS=MR","SCALING_FORMAT=MLN","Sort=A","Dates=H","DateFormat=P","Fill=—","Direction=H","UseDPDF=Y")</f>
        <v>20.065999999999999</v>
      </c>
      <c r="V18" s="19">
        <f>_xll.BDH("ITCI US Equity","T12_CFF","FQ3 2023","FQ3 2023","Currency=USD","Period=FQ","BEST_FPERIOD_OVERRIDE=FQ","FILING_STATUS=MR","SCALING_FORMAT=MLN","Sort=A","Dates=H","DateFormat=P","Fill=—","Direction=H","UseDPDF=Y")</f>
        <v>16.992999999999999</v>
      </c>
      <c r="W18" s="19">
        <f>_xll.BDH("ITCI US Equity","T12_CFF","FQ4 2023","FQ4 2023","Currency=USD","Period=FQ","BEST_FPERIOD_OVERRIDE=FQ","FILING_STATUS=MR","SCALING_FORMAT=MLN","Sort=A","Dates=H","DateFormat=P","Fill=—","Direction=H","UseDPDF=Y")</f>
        <v>17.809999999999999</v>
      </c>
      <c r="X18" s="19">
        <f>_xll.BDH("ITCI US Equity","T12_CFF","FQ1 2024","FQ1 2024","Currency=USD","Period=FQ","BEST_FPERIOD_OVERRIDE=FQ","FILING_STATUS=MR","SCALING_FORMAT=MLN","Sort=A","Dates=H","DateFormat=P","Fill=—","Direction=H","UseDPDF=Y")</f>
        <v>24.158999999999999</v>
      </c>
      <c r="Y18" s="19">
        <f>_xll.BDH("ITCI US Equity","T12_CFF","FQ2 2024","FQ2 2024","Currency=USD","Period=FQ","BEST_FPERIOD_OVERRIDE=FQ","FILING_STATUS=MR","SCALING_FORMAT=MLN","Sort=A","Dates=H","DateFormat=P","Fill=—","Direction=H","UseDPDF=Y")</f>
        <v>560.75300000000004</v>
      </c>
      <c r="Z18" s="19">
        <f>_xll.BDH("ITCI US Equity","T12_CFF","FQ3 2024","FQ3 2024","Currency=USD","Period=FQ","BEST_FPERIOD_OVERRIDE=FQ","FILING_STATUS=MR","SCALING_FORMAT=MLN","Sort=A","Dates=H","DateFormat=P","Fill=—","Direction=H","UseDPDF=Y")</f>
        <v>564.90599999999995</v>
      </c>
      <c r="AA18" s="19">
        <f>_xll.BDH("ITCI US Equity","T12_CFF","FQ4 2024","FQ4 2024","Currency=USD","Period=FQ","BEST_FPERIOD_OVERRIDE=FQ","FILING_STATUS=MR","SCALING_FORMAT=MLN","Sort=A","Dates=H","DateFormat=P","Fill=—","Direction=H","UseDPDF=Y")</f>
        <v>567.50800000000004</v>
      </c>
    </row>
    <row r="19" spans="1:27" x14ac:dyDescent="0.25">
      <c r="A19" s="11" t="s">
        <v>59</v>
      </c>
      <c r="B19" s="11" t="s">
        <v>60</v>
      </c>
      <c r="C19" s="25">
        <f>_xll.BDH("ITCI US Equity","HISTORICAL_MARKET_CAP","FQ4 2018","FQ4 2018","Currency=USD","Period=FQ","BEST_FPERIOD_OVERRIDE=FQ","FILING_STATUS=MR","SCALING_FORMAT=MLN","Sort=A","Dates=H","DateFormat=P","Fill=—","Direction=H","UseDPDF=Y")</f>
        <v>625.25739999999996</v>
      </c>
      <c r="D19" s="25">
        <f>_xll.BDH("ITCI US Equity","HISTORICAL_MARKET_CAP","FQ1 2019","FQ1 2019","Currency=USD","Period=FQ","BEST_FPERIOD_OVERRIDE=FQ","FILING_STATUS=MR","SCALING_FORMAT=MLN","Sort=A","Dates=H","DateFormat=P","Fill=—","Direction=H","UseDPDF=Y")</f>
        <v>671.49710000000005</v>
      </c>
      <c r="E19" s="25">
        <f>_xll.BDH("ITCI US Equity","HISTORICAL_MARKET_CAP","FQ2 2019","FQ2 2019","Currency=USD","Period=FQ","BEST_FPERIOD_OVERRIDE=FQ","FILING_STATUS=MR","SCALING_FORMAT=MLN","Sort=A","Dates=H","DateFormat=P","Fill=—","Direction=H","UseDPDF=Y")</f>
        <v>716.32399999999996</v>
      </c>
      <c r="F19" s="25">
        <f>_xll.BDH("ITCI US Equity","HISTORICAL_MARKET_CAP","FQ3 2019","FQ3 2019","Currency=USD","Period=FQ","BEST_FPERIOD_OVERRIDE=FQ","FILING_STATUS=MR","SCALING_FORMAT=MLN","Sort=A","Dates=H","DateFormat=P","Fill=—","Direction=H","UseDPDF=Y")</f>
        <v>412.69940000000003</v>
      </c>
      <c r="G19" s="25">
        <f>_xll.BDH("ITCI US Equity","HISTORICAL_MARKET_CAP","FQ4 2019","FQ4 2019","Currency=USD","Period=FQ","BEST_FPERIOD_OVERRIDE=FQ","FILING_STATUS=MR","SCALING_FORMAT=MLN","Sort=A","Dates=H","DateFormat=P","Fill=—","Direction=H","UseDPDF=Y")</f>
        <v>1904.4621999999999</v>
      </c>
      <c r="H19" s="25">
        <f>_xll.BDH("ITCI US Equity","HISTORICAL_MARKET_CAP","FQ1 2020","FQ1 2020","Currency=USD","Period=FQ","BEST_FPERIOD_OVERRIDE=FQ","FILING_STATUS=MR","SCALING_FORMAT=MLN","Sort=A","Dates=H","DateFormat=P","Fill=—","Direction=H","UseDPDF=Y")</f>
        <v>1017.5057</v>
      </c>
      <c r="I19" s="25">
        <f>_xll.BDH("ITCI US Equity","HISTORICAL_MARKET_CAP","FQ2 2020","FQ2 2020","Currency=USD","Period=FQ","BEST_FPERIOD_OVERRIDE=FQ","FILING_STATUS=MR","SCALING_FORMAT=MLN","Sort=A","Dates=H","DateFormat=P","Fill=—","Direction=H","UseDPDF=Y")</f>
        <v>1714.1845000000001</v>
      </c>
      <c r="J19" s="25">
        <f>_xll.BDH("ITCI US Equity","HISTORICAL_MARKET_CAP","FQ3 2020","FQ3 2020","Currency=USD","Period=FQ","BEST_FPERIOD_OVERRIDE=FQ","FILING_STATUS=MR","SCALING_FORMAT=MLN","Sort=A","Dates=H","DateFormat=P","Fill=—","Direction=H","UseDPDF=Y")</f>
        <v>2056.4641999999999</v>
      </c>
      <c r="K19" s="25">
        <f>_xll.BDH("ITCI US Equity","HISTORICAL_MARKET_CAP","FQ4 2020","FQ4 2020","Currency=USD","Period=FQ","BEST_FPERIOD_OVERRIDE=FQ","FILING_STATUS=MR","SCALING_FORMAT=MLN","Sort=A","Dates=H","DateFormat=P","Fill=—","Direction=H","UseDPDF=Y")</f>
        <v>2558.7262000000001</v>
      </c>
      <c r="L19" s="25">
        <f>_xll.BDH("ITCI US Equity","HISTORICAL_MARKET_CAP","FQ1 2021","FQ1 2021","Currency=USD","Period=FQ","BEST_FPERIOD_OVERRIDE=FQ","FILING_STATUS=MR","SCALING_FORMAT=MLN","Sort=A","Dates=H","DateFormat=P","Fill=—","Direction=H","UseDPDF=Y")</f>
        <v>2752.8715000000002</v>
      </c>
      <c r="M19" s="25">
        <f>_xll.BDH("ITCI US Equity","HISTORICAL_MARKET_CAP","FQ2 2021","FQ2 2021","Currency=USD","Period=FQ","BEST_FPERIOD_OVERRIDE=FQ","FILING_STATUS=MR","SCALING_FORMAT=MLN","Sort=A","Dates=H","DateFormat=P","Fill=—","Direction=H","UseDPDF=Y")</f>
        <v>3319.1509000000001</v>
      </c>
      <c r="N19" s="25">
        <f>_xll.BDH("ITCI US Equity","HISTORICAL_MARKET_CAP","FQ3 2021","FQ3 2021","Currency=USD","Period=FQ","BEST_FPERIOD_OVERRIDE=FQ","FILING_STATUS=MR","SCALING_FORMAT=MLN","Sort=A","Dates=H","DateFormat=P","Fill=—","Direction=H","UseDPDF=Y")</f>
        <v>3033.7496999999998</v>
      </c>
      <c r="O19" s="25">
        <f>_xll.BDH("ITCI US Equity","HISTORICAL_MARKET_CAP","FQ4 2021","FQ4 2021","Currency=USD","Period=FQ","BEST_FPERIOD_OVERRIDE=FQ","FILING_STATUS=MR","SCALING_FORMAT=MLN","Sort=A","Dates=H","DateFormat=P","Fill=—","Direction=H","UseDPDF=Y")</f>
        <v>4285.9637000000002</v>
      </c>
      <c r="P19" s="25">
        <f>_xll.BDH("ITCI US Equity","HISTORICAL_MARKET_CAP","FQ1 2022","FQ1 2022","Currency=USD","Period=FQ","BEST_FPERIOD_OVERRIDE=FQ","FILING_STATUS=MR","SCALING_FORMAT=MLN","Sort=A","Dates=H","DateFormat=P","Fill=—","Direction=H","UseDPDF=Y")</f>
        <v>5753.1098000000002</v>
      </c>
      <c r="Q19" s="25">
        <f>_xll.BDH("ITCI US Equity","HISTORICAL_MARKET_CAP","FQ2 2022","FQ2 2022","Currency=USD","Period=FQ","BEST_FPERIOD_OVERRIDE=FQ","FILING_STATUS=MR","SCALING_FORMAT=MLN","Sort=A","Dates=H","DateFormat=P","Fill=—","Direction=H","UseDPDF=Y")</f>
        <v>5386.4817000000003</v>
      </c>
      <c r="R19" s="25">
        <f>_xll.BDH("ITCI US Equity","HISTORICAL_MARKET_CAP","FQ3 2022","FQ3 2022","Currency=USD","Period=FQ","BEST_FPERIOD_OVERRIDE=FQ","FILING_STATUS=MR","SCALING_FORMAT=MLN","Sort=A","Dates=H","DateFormat=P","Fill=—","Direction=H","UseDPDF=Y")</f>
        <v>4406.4683000000005</v>
      </c>
      <c r="S19" s="25">
        <f>_xll.BDH("ITCI US Equity","HISTORICAL_MARKET_CAP","FQ4 2022","FQ4 2022","Currency=USD","Period=FQ","BEST_FPERIOD_OVERRIDE=FQ","FILING_STATUS=MR","SCALING_FORMAT=MLN","Sort=A","Dates=H","DateFormat=P","Fill=—","Direction=H","UseDPDF=Y")</f>
        <v>5018.3927000000003</v>
      </c>
      <c r="T19" s="25">
        <f>_xll.BDH("ITCI US Equity","HISTORICAL_MARKET_CAP","FQ1 2023","FQ1 2023","Currency=USD","Period=FQ","BEST_FPERIOD_OVERRIDE=FQ","FILING_STATUS=MR","SCALING_FORMAT=MLN","Sort=A","Dates=H","DateFormat=P","Fill=—","Direction=H","UseDPDF=Y")</f>
        <v>5181.0735999999997</v>
      </c>
      <c r="U19" s="25">
        <f>_xll.BDH("ITCI US Equity","HISTORICAL_MARKET_CAP","FQ2 2023","FQ2 2023","Currency=USD","Period=FQ","BEST_FPERIOD_OVERRIDE=FQ","FILING_STATUS=MR","SCALING_FORMAT=MLN","Sort=A","Dates=H","DateFormat=P","Fill=—","Direction=H","UseDPDF=Y")</f>
        <v>6084.0001000000002</v>
      </c>
      <c r="V19" s="25">
        <f>_xll.BDH("ITCI US Equity","HISTORICAL_MARKET_CAP","FQ3 2023","FQ3 2023","Currency=USD","Period=FQ","BEST_FPERIOD_OVERRIDE=FQ","FILING_STATUS=MR","SCALING_FORMAT=MLN","Sort=A","Dates=H","DateFormat=P","Fill=—","Direction=H","UseDPDF=Y")</f>
        <v>5012.3923999999997</v>
      </c>
      <c r="W19" s="25">
        <f>_xll.BDH("ITCI US Equity","HISTORICAL_MARKET_CAP","FQ4 2023","FQ4 2023","Currency=USD","Period=FQ","BEST_FPERIOD_OVERRIDE=FQ","FILING_STATUS=MR","SCALING_FORMAT=MLN","Sort=A","Dates=H","DateFormat=P","Fill=—","Direction=H","UseDPDF=Y")</f>
        <v>6902.7221</v>
      </c>
      <c r="X19" s="25">
        <f>_xll.BDH("ITCI US Equity","HISTORICAL_MARKET_CAP","FQ1 2024","FQ1 2024","Currency=USD","Period=FQ","BEST_FPERIOD_OVERRIDE=FQ","FILING_STATUS=MR","SCALING_FORMAT=MLN","Sort=A","Dates=H","DateFormat=P","Fill=—","Direction=H","UseDPDF=Y")</f>
        <v>6745.4650000000001</v>
      </c>
      <c r="Y19" s="25">
        <f>_xll.BDH("ITCI US Equity","HISTORICAL_MARKET_CAP","FQ2 2024","FQ2 2024","Currency=USD","Period=FQ","BEST_FPERIOD_OVERRIDE=FQ","FILING_STATUS=MR","SCALING_FORMAT=MLN","Sort=A","Dates=H","DateFormat=P","Fill=—","Direction=H","UseDPDF=Y")</f>
        <v>7234.2494999999999</v>
      </c>
      <c r="Z19" s="25">
        <f>_xll.BDH("ITCI US Equity","HISTORICAL_MARKET_CAP","FQ3 2024","FQ3 2024","Currency=USD","Period=FQ","BEST_FPERIOD_OVERRIDE=FQ","FILING_STATUS=MR","SCALING_FORMAT=MLN","Sort=A","Dates=H","DateFormat=P","Fill=—","Direction=H","UseDPDF=Y")</f>
        <v>7755.9312</v>
      </c>
      <c r="AA19" s="25">
        <f>_xll.BDH("ITCI US Equity","HISTORICAL_MARKET_CAP","FQ4 2024","FQ4 2024","Currency=USD","Period=FQ","BEST_FPERIOD_OVERRIDE=FQ","FILING_STATUS=MR","SCALING_FORMAT=MLN","Sort=A","Dates=H","DateFormat=P","Fill=—","Direction=H","UseDPDF=Y")</f>
        <v>8873.1656000000003</v>
      </c>
    </row>
    <row r="20" spans="1:27" x14ac:dyDescent="0.25">
      <c r="A20" s="6" t="s">
        <v>1265</v>
      </c>
      <c r="B20" s="6" t="s">
        <v>1266</v>
      </c>
      <c r="C20" s="20">
        <f>_xll.BDH("ITCI US Equity","SHAREHOLDER_YIELD_CFF","FQ4 2018","FQ4 2018","Currency=USD","Period=FQ","BEST_FPERIOD_OVERRIDE=FQ","FILING_STATUS=MR","Sort=A","Dates=H","DateFormat=P","Fill=—","Direction=H","UseDPDF=Y")</f>
        <v>-0.1096</v>
      </c>
      <c r="D20" s="20">
        <f>_xll.BDH("ITCI US Equity","SHAREHOLDER_YIELD_CFF","FQ1 2019","FQ1 2019","Currency=USD","Period=FQ","BEST_FPERIOD_OVERRIDE=FQ","FILING_STATUS=MR","Sort=A","Dates=H","DateFormat=P","Fill=—","Direction=H","UseDPDF=Y")</f>
        <v>-5.6399999999999999E-2</v>
      </c>
      <c r="E20" s="20">
        <f>_xll.BDH("ITCI US Equity","SHAREHOLDER_YIELD_CFF","FQ2 2019","FQ2 2019","Currency=USD","Period=FQ","BEST_FPERIOD_OVERRIDE=FQ","FILING_STATUS=MR","Sort=A","Dates=H","DateFormat=P","Fill=—","Direction=H","UseDPDF=Y")</f>
        <v>-8.8200000000000001E-2</v>
      </c>
      <c r="F20" s="20">
        <f>_xll.BDH("ITCI US Equity","SHAREHOLDER_YIELD_CFF","FQ3 2019","FQ3 2019","Currency=USD","Period=FQ","BEST_FPERIOD_OVERRIDE=FQ","FILING_STATUS=MR","Sort=A","Dates=H","DateFormat=P","Fill=—","Direction=H","UseDPDF=Y")</f>
        <v>-0.15229999999999999</v>
      </c>
      <c r="G20" s="20">
        <f>_xll.BDH("ITCI US Equity","SHAREHOLDER_YIELD_CFF","FQ4 2019","FQ4 2019","Currency=USD","Period=FQ","BEST_FPERIOD_OVERRIDE=FQ","FILING_STATUS=MR","Sort=A","Dates=H","DateFormat=P","Fill=—","Direction=H","UseDPDF=Y")</f>
        <v>-0.1699</v>
      </c>
      <c r="H20" s="20">
        <f>_xll.BDH("ITCI US Equity","SHAREHOLDER_YIELD_CFF","FQ1 2020","FQ1 2020","Currency=USD","Period=FQ","BEST_FPERIOD_OVERRIDE=FQ","FILING_STATUS=MR","Sort=A","Dates=H","DateFormat=P","Fill=—","Direction=H","UseDPDF=Y")</f>
        <v>-27.594100000000001</v>
      </c>
      <c r="I20" s="20">
        <f>_xll.BDH("ITCI US Equity","SHAREHOLDER_YIELD_CFF","FQ2 2020","FQ2 2020","Currency=USD","Period=FQ","BEST_FPERIOD_OVERRIDE=FQ","FILING_STATUS=MR","Sort=A","Dates=H","DateFormat=P","Fill=—","Direction=H","UseDPDF=Y")</f>
        <v>-16.625499999999999</v>
      </c>
      <c r="J20" s="20">
        <f>_xll.BDH("ITCI US Equity","SHAREHOLDER_YIELD_CFF","FQ3 2020","FQ3 2020","Currency=USD","Period=FQ","BEST_FPERIOD_OVERRIDE=FQ","FILING_STATUS=MR","Sort=A","Dates=H","DateFormat=P","Fill=—","Direction=H","UseDPDF=Y")</f>
        <v>-32.256100000000004</v>
      </c>
      <c r="K20" s="20">
        <f>_xll.BDH("ITCI US Equity","SHAREHOLDER_YIELD_CFF","FQ4 2020","FQ4 2020","Currency=USD","Period=FQ","BEST_FPERIOD_OVERRIDE=FQ","FILING_STATUS=MR","Sort=A","Dates=H","DateFormat=P","Fill=—","Direction=H","UseDPDF=Y")</f>
        <v>-25.9573</v>
      </c>
      <c r="L20" s="20">
        <f>_xll.BDH("ITCI US Equity","SHAREHOLDER_YIELD_CFF","FQ1 2021","FQ1 2021","Currency=USD","Period=FQ","BEST_FPERIOD_OVERRIDE=FQ","FILING_STATUS=MR","Sort=A","Dates=H","DateFormat=P","Fill=—","Direction=H","UseDPDF=Y")</f>
        <v>-14.0959</v>
      </c>
      <c r="M20" s="20">
        <f>_xll.BDH("ITCI US Equity","SHAREHOLDER_YIELD_CFF","FQ2 2021","FQ2 2021","Currency=USD","Period=FQ","BEST_FPERIOD_OVERRIDE=FQ","FILING_STATUS=MR","Sort=A","Dates=H","DateFormat=P","Fill=—","Direction=H","UseDPDF=Y")</f>
        <v>-11.6037</v>
      </c>
      <c r="N20" s="20">
        <f>_xll.BDH("ITCI US Equity","SHAREHOLDER_YIELD_CFF","FQ3 2021","FQ3 2021","Currency=USD","Period=FQ","BEST_FPERIOD_OVERRIDE=FQ","FILING_STATUS=MR","Sort=A","Dates=H","DateFormat=P","Fill=—","Direction=H","UseDPDF=Y")</f>
        <v>-0.23860000000000001</v>
      </c>
      <c r="O20" s="20">
        <f>_xll.BDH("ITCI US Equity","SHAREHOLDER_YIELD_CFF","FQ4 2021","FQ4 2021","Currency=USD","Period=FQ","BEST_FPERIOD_OVERRIDE=FQ","FILING_STATUS=MR","Sort=A","Dates=H","DateFormat=P","Fill=—","Direction=H","UseDPDF=Y")</f>
        <v>-0.26879999999999998</v>
      </c>
      <c r="P20" s="20">
        <f>_xll.BDH("ITCI US Equity","SHAREHOLDER_YIELD_CFF","FQ1 2022","FQ1 2022","Currency=USD","Period=FQ","BEST_FPERIOD_OVERRIDE=FQ","FILING_STATUS=MR","Sort=A","Dates=H","DateFormat=P","Fill=—","Direction=H","UseDPDF=Y")</f>
        <v>-7.8548999999999998</v>
      </c>
      <c r="Q20" s="20">
        <f>_xll.BDH("ITCI US Equity","SHAREHOLDER_YIELD_CFF","FQ2 2022","FQ2 2022","Currency=USD","Period=FQ","BEST_FPERIOD_OVERRIDE=FQ","FILING_STATUS=MR","Sort=A","Dates=H","DateFormat=P","Fill=—","Direction=H","UseDPDF=Y")</f>
        <v>-8.4624000000000006</v>
      </c>
      <c r="R20" s="20">
        <f>_xll.BDH("ITCI US Equity","SHAREHOLDER_YIELD_CFF","FQ3 2022","FQ3 2022","Currency=USD","Period=FQ","BEST_FPERIOD_OVERRIDE=FQ","FILING_STATUS=MR","Sort=A","Dates=H","DateFormat=P","Fill=—","Direction=H","UseDPDF=Y")</f>
        <v>-10.459300000000001</v>
      </c>
      <c r="S20" s="20">
        <f>_xll.BDH("ITCI US Equity","SHAREHOLDER_YIELD_CFF","FQ4 2022","FQ4 2022","Currency=USD","Period=FQ","BEST_FPERIOD_OVERRIDE=FQ","FILING_STATUS=MR","Sort=A","Dates=H","DateFormat=P","Fill=—","Direction=H","UseDPDF=Y")</f>
        <v>-9.0698000000000008</v>
      </c>
      <c r="T20" s="20">
        <f>_xll.BDH("ITCI US Equity","SHAREHOLDER_YIELD_CFF","FQ1 2023","FQ1 2023","Currency=USD","Period=FQ","BEST_FPERIOD_OVERRIDE=FQ","FILING_STATUS=MR","Sort=A","Dates=H","DateFormat=P","Fill=—","Direction=H","UseDPDF=Y")</f>
        <v>-0.32779999999999998</v>
      </c>
      <c r="U20" s="20">
        <f>_xll.BDH("ITCI US Equity","SHAREHOLDER_YIELD_CFF","FQ2 2023","FQ2 2023","Currency=USD","Period=FQ","BEST_FPERIOD_OVERRIDE=FQ","FILING_STATUS=MR","Sort=A","Dates=H","DateFormat=P","Fill=—","Direction=H","UseDPDF=Y")</f>
        <v>-0.32979999999999998</v>
      </c>
      <c r="V20" s="20">
        <f>_xll.BDH("ITCI US Equity","SHAREHOLDER_YIELD_CFF","FQ3 2023","FQ3 2023","Currency=USD","Period=FQ","BEST_FPERIOD_OVERRIDE=FQ","FILING_STATUS=MR","Sort=A","Dates=H","DateFormat=P","Fill=—","Direction=H","UseDPDF=Y")</f>
        <v>-0.33900000000000002</v>
      </c>
      <c r="W20" s="20">
        <f>_xll.BDH("ITCI US Equity","SHAREHOLDER_YIELD_CFF","FQ4 2023","FQ4 2023","Currency=USD","Period=FQ","BEST_FPERIOD_OVERRIDE=FQ","FILING_STATUS=MR","Sort=A","Dates=H","DateFormat=P","Fill=—","Direction=H","UseDPDF=Y")</f>
        <v>-0.25800000000000001</v>
      </c>
      <c r="X20" s="20">
        <f>_xll.BDH("ITCI US Equity","SHAREHOLDER_YIELD_CFF","FQ1 2024","FQ1 2024","Currency=USD","Period=FQ","BEST_FPERIOD_OVERRIDE=FQ","FILING_STATUS=MR","Sort=A","Dates=H","DateFormat=P","Fill=—","Direction=H","UseDPDF=Y")</f>
        <v>-0.35820000000000002</v>
      </c>
      <c r="Y20" s="20">
        <f>_xll.BDH("ITCI US Equity","SHAREHOLDER_YIELD_CFF","FQ2 2024","FQ2 2024","Currency=USD","Period=FQ","BEST_FPERIOD_OVERRIDE=FQ","FILING_STATUS=MR","Sort=A","Dates=H","DateFormat=P","Fill=—","Direction=H","UseDPDF=Y")</f>
        <v>-7.7514000000000003</v>
      </c>
      <c r="Z20" s="20">
        <f>_xll.BDH("ITCI US Equity","SHAREHOLDER_YIELD_CFF","FQ3 2024","FQ3 2024","Currency=USD","Period=FQ","BEST_FPERIOD_OVERRIDE=FQ","FILING_STATUS=MR","Sort=A","Dates=H","DateFormat=P","Fill=—","Direction=H","UseDPDF=Y")</f>
        <v>-7.2835000000000001</v>
      </c>
      <c r="AA20" s="20">
        <f>_xll.BDH("ITCI US Equity","SHAREHOLDER_YIELD_CFF","FQ4 2024","FQ4 2024","Currency=USD","Period=FQ","BEST_FPERIOD_OVERRIDE=FQ","FILING_STATUS=MR","Sort=A","Dates=H","DateFormat=P","Fill=—","Direction=H","UseDPDF=Y")</f>
        <v>-6.3958000000000004</v>
      </c>
    </row>
    <row r="21" spans="1:27" x14ac:dyDescent="0.25">
      <c r="A21" s="6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x14ac:dyDescent="0.25">
      <c r="A22" s="10" t="s">
        <v>1267</v>
      </c>
      <c r="B22" s="10" t="s">
        <v>1255</v>
      </c>
      <c r="C22" s="13">
        <f>_xll.BDH("ITCI US Equity","T12M_DVDS_PAID","FQ4 2018","FQ4 2018","Currency=USD","Period=FQ","BEST_FPERIOD_OVERRIDE=FQ","FILING_STATUS=MR","SCALING_FORMAT=MLN","Sort=A","Dates=H","DateFormat=P","Fill=—","Direction=H","UseDPDF=Y")</f>
        <v>0</v>
      </c>
      <c r="D22" s="13">
        <f>_xll.BDH("ITCI US Equity","T12M_DVDS_PAID","FQ1 2019","FQ1 2019","Currency=USD","Period=FQ","BEST_FPERIOD_OVERRIDE=FQ","FILING_STATUS=MR","SCALING_FORMAT=MLN","Sort=A","Dates=H","DateFormat=P","Fill=—","Direction=H","UseDPDF=Y")</f>
        <v>0</v>
      </c>
      <c r="E22" s="13">
        <f>_xll.BDH("ITCI US Equity","T12M_DVDS_PAID","FQ2 2019","FQ2 2019","Currency=USD","Period=FQ","BEST_FPERIOD_OVERRIDE=FQ","FILING_STATUS=MR","SCALING_FORMAT=MLN","Sort=A","Dates=H","DateFormat=P","Fill=—","Direction=H","UseDPDF=Y")</f>
        <v>0</v>
      </c>
      <c r="F22" s="13">
        <f>_xll.BDH("ITCI US Equity","T12M_DVDS_PAID","FQ3 2019","FQ3 2019","Currency=USD","Period=FQ","BEST_FPERIOD_OVERRIDE=FQ","FILING_STATUS=MR","SCALING_FORMAT=MLN","Sort=A","Dates=H","DateFormat=P","Fill=—","Direction=H","UseDPDF=Y")</f>
        <v>0</v>
      </c>
      <c r="G22" s="13">
        <f>_xll.BDH("ITCI US Equity","T12M_DVDS_PAID","FQ4 2019","FQ4 2019","Currency=USD","Period=FQ","BEST_FPERIOD_OVERRIDE=FQ","FILING_STATUS=MR","SCALING_FORMAT=MLN","Sort=A","Dates=H","DateFormat=P","Fill=—","Direction=H","UseDPDF=Y")</f>
        <v>0</v>
      </c>
      <c r="H22" s="13">
        <f>_xll.BDH("ITCI US Equity","T12M_DVDS_PAID","FQ1 2020","FQ1 2020","Currency=USD","Period=FQ","BEST_FPERIOD_OVERRIDE=FQ","FILING_STATUS=MR","SCALING_FORMAT=MLN","Sort=A","Dates=H","DateFormat=P","Fill=—","Direction=H","UseDPDF=Y")</f>
        <v>0</v>
      </c>
      <c r="I22" s="13">
        <f>_xll.BDH("ITCI US Equity","T12M_DVDS_PAID","FQ2 2020","FQ2 2020","Currency=USD","Period=FQ","BEST_FPERIOD_OVERRIDE=FQ","FILING_STATUS=MR","SCALING_FORMAT=MLN","Sort=A","Dates=H","DateFormat=P","Fill=—","Direction=H","UseDPDF=Y")</f>
        <v>0</v>
      </c>
      <c r="J22" s="13">
        <f>_xll.BDH("ITCI US Equity","T12M_DVDS_PAID","FQ3 2020","FQ3 2020","Currency=USD","Period=FQ","BEST_FPERIOD_OVERRIDE=FQ","FILING_STATUS=MR","SCALING_FORMAT=MLN","Sort=A","Dates=H","DateFormat=P","Fill=—","Direction=H","UseDPDF=Y")</f>
        <v>0</v>
      </c>
      <c r="K22" s="13">
        <f>_xll.BDH("ITCI US Equity","T12M_DVDS_PAID","FQ4 2020","FQ4 2020","Currency=USD","Period=FQ","BEST_FPERIOD_OVERRIDE=FQ","FILING_STATUS=MR","SCALING_FORMAT=MLN","Sort=A","Dates=H","DateFormat=P","Fill=—","Direction=H","UseDPDF=Y")</f>
        <v>0</v>
      </c>
      <c r="L22" s="13">
        <f>_xll.BDH("ITCI US Equity","T12M_DVDS_PAID","FQ1 2021","FQ1 2021","Currency=USD","Period=FQ","BEST_FPERIOD_OVERRIDE=FQ","FILING_STATUS=MR","SCALING_FORMAT=MLN","Sort=A","Dates=H","DateFormat=P","Fill=—","Direction=H","UseDPDF=Y")</f>
        <v>0</v>
      </c>
      <c r="M22" s="13">
        <f>_xll.BDH("ITCI US Equity","T12M_DVDS_PAID","FQ2 2021","FQ2 2021","Currency=USD","Period=FQ","BEST_FPERIOD_OVERRIDE=FQ","FILING_STATUS=MR","SCALING_FORMAT=MLN","Sort=A","Dates=H","DateFormat=P","Fill=—","Direction=H","UseDPDF=Y")</f>
        <v>0</v>
      </c>
      <c r="N22" s="13">
        <f>_xll.BDH("ITCI US Equity","T12M_DVDS_PAID","FQ3 2021","FQ3 2021","Currency=USD","Period=FQ","BEST_FPERIOD_OVERRIDE=FQ","FILING_STATUS=MR","SCALING_FORMAT=MLN","Sort=A","Dates=H","DateFormat=P","Fill=—","Direction=H","UseDPDF=Y")</f>
        <v>0</v>
      </c>
      <c r="O22" s="13">
        <f>_xll.BDH("ITCI US Equity","T12M_DVDS_PAID","FQ4 2021","FQ4 2021","Currency=USD","Period=FQ","BEST_FPERIOD_OVERRIDE=FQ","FILING_STATUS=MR","SCALING_FORMAT=MLN","Sort=A","Dates=H","DateFormat=P","Fill=—","Direction=H","UseDPDF=Y")</f>
        <v>0</v>
      </c>
      <c r="P22" s="13">
        <f>_xll.BDH("ITCI US Equity","T12M_DVDS_PAID","FQ1 2022","FQ1 2022","Currency=USD","Period=FQ","BEST_FPERIOD_OVERRIDE=FQ","FILING_STATUS=MR","SCALING_FORMAT=MLN","Sort=A","Dates=H","DateFormat=P","Fill=—","Direction=H","UseDPDF=Y")</f>
        <v>0</v>
      </c>
      <c r="Q22" s="13">
        <f>_xll.BDH("ITCI US Equity","T12M_DVDS_PAID","FQ2 2022","FQ2 2022","Currency=USD","Period=FQ","BEST_FPERIOD_OVERRIDE=FQ","FILING_STATUS=MR","SCALING_FORMAT=MLN","Sort=A","Dates=H","DateFormat=P","Fill=—","Direction=H","UseDPDF=Y")</f>
        <v>0</v>
      </c>
      <c r="R22" s="13">
        <f>_xll.BDH("ITCI US Equity","T12M_DVDS_PAID","FQ3 2022","FQ3 2022","Currency=USD","Period=FQ","BEST_FPERIOD_OVERRIDE=FQ","FILING_STATUS=MR","SCALING_FORMAT=MLN","Sort=A","Dates=H","DateFormat=P","Fill=—","Direction=H","UseDPDF=Y")</f>
        <v>0</v>
      </c>
      <c r="S22" s="13">
        <f>_xll.BDH("ITCI US Equity","T12M_DVDS_PAID","FQ4 2022","FQ4 2022","Currency=USD","Period=FQ","BEST_FPERIOD_OVERRIDE=FQ","FILING_STATUS=MR","SCALING_FORMAT=MLN","Sort=A","Dates=H","DateFormat=P","Fill=—","Direction=H","UseDPDF=Y")</f>
        <v>0</v>
      </c>
      <c r="T22" s="13">
        <f>_xll.BDH("ITCI US Equity","T12M_DVDS_PAID","FQ1 2023","FQ1 2023","Currency=USD","Period=FQ","BEST_FPERIOD_OVERRIDE=FQ","FILING_STATUS=MR","SCALING_FORMAT=MLN","Sort=A","Dates=H","DateFormat=P","Fill=—","Direction=H","UseDPDF=Y")</f>
        <v>0</v>
      </c>
      <c r="U22" s="13">
        <f>_xll.BDH("ITCI US Equity","T12M_DVDS_PAID","FQ2 2023","FQ2 2023","Currency=USD","Period=FQ","BEST_FPERIOD_OVERRIDE=FQ","FILING_STATUS=MR","SCALING_FORMAT=MLN","Sort=A","Dates=H","DateFormat=P","Fill=—","Direction=H","UseDPDF=Y")</f>
        <v>0</v>
      </c>
      <c r="V22" s="13">
        <f>_xll.BDH("ITCI US Equity","T12M_DVDS_PAID","FQ3 2023","FQ3 2023","Currency=USD","Period=FQ","BEST_FPERIOD_OVERRIDE=FQ","FILING_STATUS=MR","SCALING_FORMAT=MLN","Sort=A","Dates=H","DateFormat=P","Fill=—","Direction=H","UseDPDF=Y")</f>
        <v>0</v>
      </c>
      <c r="W22" s="13">
        <f>_xll.BDH("ITCI US Equity","T12M_DVDS_PAID","FQ4 2023","FQ4 2023","Currency=USD","Period=FQ","BEST_FPERIOD_OVERRIDE=FQ","FILING_STATUS=MR","SCALING_FORMAT=MLN","Sort=A","Dates=H","DateFormat=P","Fill=—","Direction=H","UseDPDF=Y")</f>
        <v>0</v>
      </c>
      <c r="X22" s="13">
        <f>_xll.BDH("ITCI US Equity","T12M_DVDS_PAID","FQ1 2024","FQ1 2024","Currency=USD","Period=FQ","BEST_FPERIOD_OVERRIDE=FQ","FILING_STATUS=MR","SCALING_FORMAT=MLN","Sort=A","Dates=H","DateFormat=P","Fill=—","Direction=H","UseDPDF=Y")</f>
        <v>0</v>
      </c>
      <c r="Y22" s="13">
        <f>_xll.BDH("ITCI US Equity","T12M_DVDS_PAID","FQ2 2024","FQ2 2024","Currency=USD","Period=FQ","BEST_FPERIOD_OVERRIDE=FQ","FILING_STATUS=MR","SCALING_FORMAT=MLN","Sort=A","Dates=H","DateFormat=P","Fill=—","Direction=H","UseDPDF=Y")</f>
        <v>0</v>
      </c>
      <c r="Z22" s="13">
        <f>_xll.BDH("ITCI US Equity","T12M_DVDS_PAID","FQ3 2024","FQ3 2024","Currency=USD","Period=FQ","BEST_FPERIOD_OVERRIDE=FQ","FILING_STATUS=MR","SCALING_FORMAT=MLN","Sort=A","Dates=H","DateFormat=P","Fill=—","Direction=H","UseDPDF=Y")</f>
        <v>0</v>
      </c>
      <c r="AA22" s="13">
        <f>_xll.BDH("ITCI US Equity","T12M_DVDS_PAID","FQ4 2024","FQ4 2024","Currency=USD","Period=FQ","BEST_FPERIOD_OVERRIDE=FQ","FILING_STATUS=MR","SCALING_FORMAT=MLN","Sort=A","Dates=H","DateFormat=P","Fill=—","Direction=H","UseDPDF=Y")</f>
        <v>0</v>
      </c>
    </row>
    <row r="23" spans="1:27" x14ac:dyDescent="0.25">
      <c r="A23" s="10" t="s">
        <v>1268</v>
      </c>
      <c r="B23" s="10" t="s">
        <v>1257</v>
      </c>
      <c r="C23" s="13">
        <f>_xll.BDH("ITCI US Equity","T12M_NET_CAPITAL_STOCK","FQ4 2018","FQ4 2018","Currency=USD","Period=FQ","BEST_FPERIOD_OVERRIDE=FQ","FILING_STATUS=MR","SCALING_FORMAT=MLN","Sort=A","Dates=H","DateFormat=P","Fill=—","Direction=H","UseDPDF=Y")</f>
        <v>0.67420000000000002</v>
      </c>
      <c r="D23" s="13">
        <f>_xll.BDH("ITCI US Equity","T12M_NET_CAPITAL_STOCK","FQ1 2019","FQ1 2019","Currency=USD","Period=FQ","BEST_FPERIOD_OVERRIDE=FQ","FILING_STATUS=MR","SCALING_FORMAT=MLN","Sort=A","Dates=H","DateFormat=P","Fill=—","Direction=H","UseDPDF=Y")</f>
        <v>0.36759999999999998</v>
      </c>
      <c r="E23" s="13">
        <f>_xll.BDH("ITCI US Equity","T12M_NET_CAPITAL_STOCK","FQ2 2019","FQ2 2019","Currency=USD","Period=FQ","BEST_FPERIOD_OVERRIDE=FQ","FILING_STATUS=MR","SCALING_FORMAT=MLN","Sort=A","Dates=H","DateFormat=P","Fill=—","Direction=H","UseDPDF=Y")</f>
        <v>0.62070000000000003</v>
      </c>
      <c r="F23" s="13">
        <f>_xll.BDH("ITCI US Equity","T12M_NET_CAPITAL_STOCK","FQ3 2019","FQ3 2019","Currency=USD","Period=FQ","BEST_FPERIOD_OVERRIDE=FQ","FILING_STATUS=MR","SCALING_FORMAT=MLN","Sort=A","Dates=H","DateFormat=P","Fill=—","Direction=H","UseDPDF=Y")</f>
        <v>0.61770000000000003</v>
      </c>
      <c r="G23" s="13">
        <f>_xll.BDH("ITCI US Equity","T12M_NET_CAPITAL_STOCK","FQ4 2019","FQ4 2019","Currency=USD","Period=FQ","BEST_FPERIOD_OVERRIDE=FQ","FILING_STATUS=MR","SCALING_FORMAT=MLN","Sort=A","Dates=H","DateFormat=P","Fill=—","Direction=H","UseDPDF=Y")</f>
        <v>3.2355999999999998</v>
      </c>
      <c r="H23" s="13">
        <f>_xll.BDH("ITCI US Equity","T12M_NET_CAPITAL_STOCK","FQ1 2020","FQ1 2020","Currency=USD","Period=FQ","BEST_FPERIOD_OVERRIDE=FQ","FILING_STATUS=MR","SCALING_FORMAT=MLN","Sort=A","Dates=H","DateFormat=P","Fill=—","Direction=H","UseDPDF=Y")</f>
        <v>280.77170000000001</v>
      </c>
      <c r="I23" s="13">
        <f>_xll.BDH("ITCI US Equity","T12M_NET_CAPITAL_STOCK","FQ2 2020","FQ2 2020","Currency=USD","Period=FQ","BEST_FPERIOD_OVERRIDE=FQ","FILING_STATUS=MR","SCALING_FORMAT=MLN","Sort=A","Dates=H","DateFormat=P","Fill=—","Direction=H","UseDPDF=Y")</f>
        <v>284.9923</v>
      </c>
      <c r="J23" s="13">
        <f>_xll.BDH("ITCI US Equity","T12M_NET_CAPITAL_STOCK","FQ3 2020","FQ3 2020","Currency=USD","Period=FQ","BEST_FPERIOD_OVERRIDE=FQ","FILING_STATUS=MR","SCALING_FORMAT=MLN","Sort=A","Dates=H","DateFormat=P","Fill=—","Direction=H","UseDPDF=Y")</f>
        <v>663.33439999999996</v>
      </c>
      <c r="K23" s="13">
        <f>_xll.BDH("ITCI US Equity","T12M_NET_CAPITAL_STOCK","FQ4 2020","FQ4 2020","Currency=USD","Period=FQ","BEST_FPERIOD_OVERRIDE=FQ","FILING_STATUS=MR","SCALING_FORMAT=MLN","Sort=A","Dates=H","DateFormat=P","Fill=—","Direction=H","UseDPDF=Y")</f>
        <v>664.17690000000005</v>
      </c>
      <c r="L23" s="13">
        <f>_xll.BDH("ITCI US Equity","T12M_NET_CAPITAL_STOCK","FQ1 2021","FQ1 2021","Currency=USD","Period=FQ","BEST_FPERIOD_OVERRIDE=FQ","FILING_STATUS=MR","SCALING_FORMAT=MLN","Sort=A","Dates=H","DateFormat=P","Fill=—","Direction=H","UseDPDF=Y")</f>
        <v>388.0412</v>
      </c>
      <c r="M23" s="13">
        <f>_xll.BDH("ITCI US Equity","T12M_NET_CAPITAL_STOCK","FQ2 2021","FQ2 2021","Currency=USD","Period=FQ","BEST_FPERIOD_OVERRIDE=FQ","FILING_STATUS=MR","SCALING_FORMAT=MLN","Sort=A","Dates=H","DateFormat=P","Fill=—","Direction=H","UseDPDF=Y")</f>
        <v>385.1431</v>
      </c>
      <c r="N23" s="13">
        <f>_xll.BDH("ITCI US Equity","T12M_NET_CAPITAL_STOCK","FQ3 2021","FQ3 2021","Currency=USD","Period=FQ","BEST_FPERIOD_OVERRIDE=FQ","FILING_STATUS=MR","SCALING_FORMAT=MLN","Sort=A","Dates=H","DateFormat=P","Fill=—","Direction=H","UseDPDF=Y")</f>
        <v>7.24</v>
      </c>
      <c r="O23" s="13">
        <f>_xll.BDH("ITCI US Equity","T12M_NET_CAPITAL_STOCK","FQ4 2021","FQ4 2021","Currency=USD","Period=FQ","BEST_FPERIOD_OVERRIDE=FQ","FILING_STATUS=MR","SCALING_FORMAT=MLN","Sort=A","Dates=H","DateFormat=P","Fill=—","Direction=H","UseDPDF=Y")</f>
        <v>11.5189</v>
      </c>
      <c r="P23" s="13">
        <f>_xll.BDH("ITCI US Equity","T12M_NET_CAPITAL_STOCK","FQ1 2022","FQ1 2022","Currency=USD","Period=FQ","BEST_FPERIOD_OVERRIDE=FQ","FILING_STATUS=MR","SCALING_FORMAT=MLN","Sort=A","Dates=H","DateFormat=P","Fill=—","Direction=H","UseDPDF=Y")</f>
        <v>451.90129999999999</v>
      </c>
      <c r="Q23" s="13">
        <f>_xll.BDH("ITCI US Equity","T12M_NET_CAPITAL_STOCK","FQ2 2022","FQ2 2022","Currency=USD","Period=FQ","BEST_FPERIOD_OVERRIDE=FQ","FILING_STATUS=MR","SCALING_FORMAT=MLN","Sort=A","Dates=H","DateFormat=P","Fill=—","Direction=H","UseDPDF=Y")</f>
        <v>455.8236</v>
      </c>
      <c r="R23" s="13">
        <f>_xll.BDH("ITCI US Equity","T12M_NET_CAPITAL_STOCK","FQ3 2022","FQ3 2022","Currency=USD","Period=FQ","BEST_FPERIOD_OVERRIDE=FQ","FILING_STATUS=MR","SCALING_FORMAT=MLN","Sort=A","Dates=H","DateFormat=P","Fill=—","Direction=H","UseDPDF=Y")</f>
        <v>460.88630000000001</v>
      </c>
      <c r="S23" s="13">
        <f>_xll.BDH("ITCI US Equity","T12M_NET_CAPITAL_STOCK","FQ4 2022","FQ4 2022","Currency=USD","Period=FQ","BEST_FPERIOD_OVERRIDE=FQ","FILING_STATUS=MR","SCALING_FORMAT=MLN","Sort=A","Dates=H","DateFormat=P","Fill=—","Direction=H","UseDPDF=Y")</f>
        <v>455.15899999999999</v>
      </c>
      <c r="T23" s="13">
        <f>_xll.BDH("ITCI US Equity","T12M_NET_CAPITAL_STOCK","FQ1 2023","FQ1 2023","Currency=USD","Period=FQ","BEST_FPERIOD_OVERRIDE=FQ","FILING_STATUS=MR","SCALING_FORMAT=MLN","Sort=A","Dates=H","DateFormat=P","Fill=—","Direction=H","UseDPDF=Y")</f>
        <v>16.984999999999999</v>
      </c>
      <c r="U23" s="13">
        <f>_xll.BDH("ITCI US Equity","T12M_NET_CAPITAL_STOCK","FQ2 2023","FQ2 2023","Currency=USD","Period=FQ","BEST_FPERIOD_OVERRIDE=FQ","FILING_STATUS=MR","SCALING_FORMAT=MLN","Sort=A","Dates=H","DateFormat=P","Fill=—","Direction=H","UseDPDF=Y")</f>
        <v>20.065999999999999</v>
      </c>
      <c r="V23" s="13">
        <f>_xll.BDH("ITCI US Equity","T12M_NET_CAPITAL_STOCK","FQ3 2023","FQ3 2023","Currency=USD","Period=FQ","BEST_FPERIOD_OVERRIDE=FQ","FILING_STATUS=MR","SCALING_FORMAT=MLN","Sort=A","Dates=H","DateFormat=P","Fill=—","Direction=H","UseDPDF=Y")</f>
        <v>16.992999999999999</v>
      </c>
      <c r="W23" s="13">
        <f>_xll.BDH("ITCI US Equity","T12M_NET_CAPITAL_STOCK","FQ4 2023","FQ4 2023","Currency=USD","Period=FQ","BEST_FPERIOD_OVERRIDE=FQ","FILING_STATUS=MR","SCALING_FORMAT=MLN","Sort=A","Dates=H","DateFormat=P","Fill=—","Direction=H","UseDPDF=Y")</f>
        <v>17.809999999999999</v>
      </c>
      <c r="X23" s="13">
        <f>_xll.BDH("ITCI US Equity","T12M_NET_CAPITAL_STOCK","FQ1 2024","FQ1 2024","Currency=USD","Period=FQ","BEST_FPERIOD_OVERRIDE=FQ","FILING_STATUS=MR","SCALING_FORMAT=MLN","Sort=A","Dates=H","DateFormat=P","Fill=—","Direction=H","UseDPDF=Y")</f>
        <v>24.158999999999999</v>
      </c>
      <c r="Y23" s="13">
        <f>_xll.BDH("ITCI US Equity","T12M_NET_CAPITAL_STOCK","FQ2 2024","FQ2 2024","Currency=USD","Period=FQ","BEST_FPERIOD_OVERRIDE=FQ","FILING_STATUS=MR","SCALING_FORMAT=MLN","Sort=A","Dates=H","DateFormat=P","Fill=—","Direction=H","UseDPDF=Y")</f>
        <v>560.75300000000004</v>
      </c>
      <c r="Z23" s="13">
        <f>_xll.BDH("ITCI US Equity","T12M_NET_CAPITAL_STOCK","FQ3 2024","FQ3 2024","Currency=USD","Period=FQ","BEST_FPERIOD_OVERRIDE=FQ","FILING_STATUS=MR","SCALING_FORMAT=MLN","Sort=A","Dates=H","DateFormat=P","Fill=—","Direction=H","UseDPDF=Y")</f>
        <v>564.90599999999995</v>
      </c>
      <c r="AA23" s="13">
        <f>_xll.BDH("ITCI US Equity","T12M_NET_CAPITAL_STOCK","FQ4 2024","FQ4 2024","Currency=USD","Period=FQ","BEST_FPERIOD_OVERRIDE=FQ","FILING_STATUS=MR","SCALING_FORMAT=MLN","Sort=A","Dates=H","DateFormat=P","Fill=—","Direction=H","UseDPDF=Y")</f>
        <v>567.50800000000004</v>
      </c>
    </row>
    <row r="24" spans="1:27" x14ac:dyDescent="0.25">
      <c r="A24" s="6" t="s">
        <v>1269</v>
      </c>
      <c r="B24" s="6" t="s">
        <v>1270</v>
      </c>
      <c r="C24" s="19">
        <f>_xll.BDH("ITCI US Equity","RETURNED_CAPITAL_EX_DEBT","FQ4 2018","FQ4 2018","Currency=USD","Period=FQ","BEST_FPERIOD_OVERRIDE=FQ","FILING_STATUS=MR","SCALING_FORMAT=MLN","Sort=A","Dates=H","DateFormat=P","Fill=—","Direction=H","UseDPDF=Y")</f>
        <v>-0.67420000000000002</v>
      </c>
      <c r="D24" s="19">
        <f>_xll.BDH("ITCI US Equity","RETURNED_CAPITAL_EX_DEBT","FQ1 2019","FQ1 2019","Currency=USD","Period=FQ","BEST_FPERIOD_OVERRIDE=FQ","FILING_STATUS=MR","SCALING_FORMAT=MLN","Sort=A","Dates=H","DateFormat=P","Fill=—","Direction=H","UseDPDF=Y")</f>
        <v>-0.36759999999999998</v>
      </c>
      <c r="E24" s="19">
        <f>_xll.BDH("ITCI US Equity","RETURNED_CAPITAL_EX_DEBT","FQ2 2019","FQ2 2019","Currency=USD","Period=FQ","BEST_FPERIOD_OVERRIDE=FQ","FILING_STATUS=MR","SCALING_FORMAT=MLN","Sort=A","Dates=H","DateFormat=P","Fill=—","Direction=H","UseDPDF=Y")</f>
        <v>-0.62070000000000003</v>
      </c>
      <c r="F24" s="19">
        <f>_xll.BDH("ITCI US Equity","RETURNED_CAPITAL_EX_DEBT","FQ3 2019","FQ3 2019","Currency=USD","Period=FQ","BEST_FPERIOD_OVERRIDE=FQ","FILING_STATUS=MR","SCALING_FORMAT=MLN","Sort=A","Dates=H","DateFormat=P","Fill=—","Direction=H","UseDPDF=Y")</f>
        <v>-0.61770000000000003</v>
      </c>
      <c r="G24" s="19">
        <f>_xll.BDH("ITCI US Equity","RETURNED_CAPITAL_EX_DEBT","FQ4 2019","FQ4 2019","Currency=USD","Period=FQ","BEST_FPERIOD_OVERRIDE=FQ","FILING_STATUS=MR","SCALING_FORMAT=MLN","Sort=A","Dates=H","DateFormat=P","Fill=—","Direction=H","UseDPDF=Y")</f>
        <v>-3.2355999999999998</v>
      </c>
      <c r="H24" s="19">
        <f>_xll.BDH("ITCI US Equity","RETURNED_CAPITAL_EX_DEBT","FQ1 2020","FQ1 2020","Currency=USD","Period=FQ","BEST_FPERIOD_OVERRIDE=FQ","FILING_STATUS=MR","SCALING_FORMAT=MLN","Sort=A","Dates=H","DateFormat=P","Fill=—","Direction=H","UseDPDF=Y")</f>
        <v>-280.77170000000001</v>
      </c>
      <c r="I24" s="19">
        <f>_xll.BDH("ITCI US Equity","RETURNED_CAPITAL_EX_DEBT","FQ2 2020","FQ2 2020","Currency=USD","Period=FQ","BEST_FPERIOD_OVERRIDE=FQ","FILING_STATUS=MR","SCALING_FORMAT=MLN","Sort=A","Dates=H","DateFormat=P","Fill=—","Direction=H","UseDPDF=Y")</f>
        <v>-284.9923</v>
      </c>
      <c r="J24" s="19">
        <f>_xll.BDH("ITCI US Equity","RETURNED_CAPITAL_EX_DEBT","FQ3 2020","FQ3 2020","Currency=USD","Period=FQ","BEST_FPERIOD_OVERRIDE=FQ","FILING_STATUS=MR","SCALING_FORMAT=MLN","Sort=A","Dates=H","DateFormat=P","Fill=—","Direction=H","UseDPDF=Y")</f>
        <v>-663.33439999999996</v>
      </c>
      <c r="K24" s="19">
        <f>_xll.BDH("ITCI US Equity","RETURNED_CAPITAL_EX_DEBT","FQ4 2020","FQ4 2020","Currency=USD","Period=FQ","BEST_FPERIOD_OVERRIDE=FQ","FILING_STATUS=MR","SCALING_FORMAT=MLN","Sort=A","Dates=H","DateFormat=P","Fill=—","Direction=H","UseDPDF=Y")</f>
        <v>-664.17690000000005</v>
      </c>
      <c r="L24" s="19">
        <f>_xll.BDH("ITCI US Equity","RETURNED_CAPITAL_EX_DEBT","FQ1 2021","FQ1 2021","Currency=USD","Period=FQ","BEST_FPERIOD_OVERRIDE=FQ","FILING_STATUS=MR","SCALING_FORMAT=MLN","Sort=A","Dates=H","DateFormat=P","Fill=—","Direction=H","UseDPDF=Y")</f>
        <v>-388.0412</v>
      </c>
      <c r="M24" s="19">
        <f>_xll.BDH("ITCI US Equity","RETURNED_CAPITAL_EX_DEBT","FQ2 2021","FQ2 2021","Currency=USD","Period=FQ","BEST_FPERIOD_OVERRIDE=FQ","FILING_STATUS=MR","SCALING_FORMAT=MLN","Sort=A","Dates=H","DateFormat=P","Fill=—","Direction=H","UseDPDF=Y")</f>
        <v>-385.1431</v>
      </c>
      <c r="N24" s="19">
        <f>_xll.BDH("ITCI US Equity","RETURNED_CAPITAL_EX_DEBT","FQ3 2021","FQ3 2021","Currency=USD","Period=FQ","BEST_FPERIOD_OVERRIDE=FQ","FILING_STATUS=MR","SCALING_FORMAT=MLN","Sort=A","Dates=H","DateFormat=P","Fill=—","Direction=H","UseDPDF=Y")</f>
        <v>-7.24</v>
      </c>
      <c r="O24" s="19">
        <f>_xll.BDH("ITCI US Equity","RETURNED_CAPITAL_EX_DEBT","FQ4 2021","FQ4 2021","Currency=USD","Period=FQ","BEST_FPERIOD_OVERRIDE=FQ","FILING_STATUS=MR","SCALING_FORMAT=MLN","Sort=A","Dates=H","DateFormat=P","Fill=—","Direction=H","UseDPDF=Y")</f>
        <v>-11.5189</v>
      </c>
      <c r="P24" s="19">
        <f>_xll.BDH("ITCI US Equity","RETURNED_CAPITAL_EX_DEBT","FQ1 2022","FQ1 2022","Currency=USD","Period=FQ","BEST_FPERIOD_OVERRIDE=FQ","FILING_STATUS=MR","SCALING_FORMAT=MLN","Sort=A","Dates=H","DateFormat=P","Fill=—","Direction=H","UseDPDF=Y")</f>
        <v>-451.90129999999999</v>
      </c>
      <c r="Q24" s="19">
        <f>_xll.BDH("ITCI US Equity","RETURNED_CAPITAL_EX_DEBT","FQ2 2022","FQ2 2022","Currency=USD","Period=FQ","BEST_FPERIOD_OVERRIDE=FQ","FILING_STATUS=MR","SCALING_FORMAT=MLN","Sort=A","Dates=H","DateFormat=P","Fill=—","Direction=H","UseDPDF=Y")</f>
        <v>-455.8236</v>
      </c>
      <c r="R24" s="19">
        <f>_xll.BDH("ITCI US Equity","RETURNED_CAPITAL_EX_DEBT","FQ3 2022","FQ3 2022","Currency=USD","Period=FQ","BEST_FPERIOD_OVERRIDE=FQ","FILING_STATUS=MR","SCALING_FORMAT=MLN","Sort=A","Dates=H","DateFormat=P","Fill=—","Direction=H","UseDPDF=Y")</f>
        <v>-460.88630000000001</v>
      </c>
      <c r="S24" s="19">
        <f>_xll.BDH("ITCI US Equity","RETURNED_CAPITAL_EX_DEBT","FQ4 2022","FQ4 2022","Currency=USD","Period=FQ","BEST_FPERIOD_OVERRIDE=FQ","FILING_STATUS=MR","SCALING_FORMAT=MLN","Sort=A","Dates=H","DateFormat=P","Fill=—","Direction=H","UseDPDF=Y")</f>
        <v>-455.15899999999999</v>
      </c>
      <c r="T24" s="19">
        <f>_xll.BDH("ITCI US Equity","RETURNED_CAPITAL_EX_DEBT","FQ1 2023","FQ1 2023","Currency=USD","Period=FQ","BEST_FPERIOD_OVERRIDE=FQ","FILING_STATUS=MR","SCALING_FORMAT=MLN","Sort=A","Dates=H","DateFormat=P","Fill=—","Direction=H","UseDPDF=Y")</f>
        <v>-16.984999999999999</v>
      </c>
      <c r="U24" s="19">
        <f>_xll.BDH("ITCI US Equity","RETURNED_CAPITAL_EX_DEBT","FQ2 2023","FQ2 2023","Currency=USD","Period=FQ","BEST_FPERIOD_OVERRIDE=FQ","FILING_STATUS=MR","SCALING_FORMAT=MLN","Sort=A","Dates=H","DateFormat=P","Fill=—","Direction=H","UseDPDF=Y")</f>
        <v>-20.065999999999999</v>
      </c>
      <c r="V24" s="19">
        <f>_xll.BDH("ITCI US Equity","RETURNED_CAPITAL_EX_DEBT","FQ3 2023","FQ3 2023","Currency=USD","Period=FQ","BEST_FPERIOD_OVERRIDE=FQ","FILING_STATUS=MR","SCALING_FORMAT=MLN","Sort=A","Dates=H","DateFormat=P","Fill=—","Direction=H","UseDPDF=Y")</f>
        <v>-16.992999999999999</v>
      </c>
      <c r="W24" s="19">
        <f>_xll.BDH("ITCI US Equity","RETURNED_CAPITAL_EX_DEBT","FQ4 2023","FQ4 2023","Currency=USD","Period=FQ","BEST_FPERIOD_OVERRIDE=FQ","FILING_STATUS=MR","SCALING_FORMAT=MLN","Sort=A","Dates=H","DateFormat=P","Fill=—","Direction=H","UseDPDF=Y")</f>
        <v>-17.809999999999999</v>
      </c>
      <c r="X24" s="19">
        <f>_xll.BDH("ITCI US Equity","RETURNED_CAPITAL_EX_DEBT","FQ1 2024","FQ1 2024","Currency=USD","Period=FQ","BEST_FPERIOD_OVERRIDE=FQ","FILING_STATUS=MR","SCALING_FORMAT=MLN","Sort=A","Dates=H","DateFormat=P","Fill=—","Direction=H","UseDPDF=Y")</f>
        <v>-24.158999999999999</v>
      </c>
      <c r="Y24" s="19">
        <f>_xll.BDH("ITCI US Equity","RETURNED_CAPITAL_EX_DEBT","FQ2 2024","FQ2 2024","Currency=USD","Period=FQ","BEST_FPERIOD_OVERRIDE=FQ","FILING_STATUS=MR","SCALING_FORMAT=MLN","Sort=A","Dates=H","DateFormat=P","Fill=—","Direction=H","UseDPDF=Y")</f>
        <v>-560.75300000000004</v>
      </c>
      <c r="Z24" s="19">
        <f>_xll.BDH("ITCI US Equity","RETURNED_CAPITAL_EX_DEBT","FQ3 2024","FQ3 2024","Currency=USD","Period=FQ","BEST_FPERIOD_OVERRIDE=FQ","FILING_STATUS=MR","SCALING_FORMAT=MLN","Sort=A","Dates=H","DateFormat=P","Fill=—","Direction=H","UseDPDF=Y")</f>
        <v>-564.90599999999995</v>
      </c>
      <c r="AA24" s="19">
        <f>_xll.BDH("ITCI US Equity","RETURNED_CAPITAL_EX_DEBT","FQ4 2024","FQ4 2024","Currency=USD","Period=FQ","BEST_FPERIOD_OVERRIDE=FQ","FILING_STATUS=MR","SCALING_FORMAT=MLN","Sort=A","Dates=H","DateFormat=P","Fill=—","Direction=H","UseDPDF=Y")</f>
        <v>-567.50800000000004</v>
      </c>
    </row>
    <row r="25" spans="1:27" x14ac:dyDescent="0.25">
      <c r="A25" s="11" t="s">
        <v>59</v>
      </c>
      <c r="B25" s="11" t="s">
        <v>60</v>
      </c>
      <c r="C25" s="25">
        <f>_xll.BDH("ITCI US Equity","HISTORICAL_MARKET_CAP","FQ4 2018","FQ4 2018","Currency=USD","Period=FQ","BEST_FPERIOD_OVERRIDE=FQ","FILING_STATUS=MR","SCALING_FORMAT=MLN","Sort=A","Dates=H","DateFormat=P","Fill=—","Direction=H","UseDPDF=Y")</f>
        <v>625.25739999999996</v>
      </c>
      <c r="D25" s="25">
        <f>_xll.BDH("ITCI US Equity","HISTORICAL_MARKET_CAP","FQ1 2019","FQ1 2019","Currency=USD","Period=FQ","BEST_FPERIOD_OVERRIDE=FQ","FILING_STATUS=MR","SCALING_FORMAT=MLN","Sort=A","Dates=H","DateFormat=P","Fill=—","Direction=H","UseDPDF=Y")</f>
        <v>671.49710000000005</v>
      </c>
      <c r="E25" s="25">
        <f>_xll.BDH("ITCI US Equity","HISTORICAL_MARKET_CAP","FQ2 2019","FQ2 2019","Currency=USD","Period=FQ","BEST_FPERIOD_OVERRIDE=FQ","FILING_STATUS=MR","SCALING_FORMAT=MLN","Sort=A","Dates=H","DateFormat=P","Fill=—","Direction=H","UseDPDF=Y")</f>
        <v>716.32399999999996</v>
      </c>
      <c r="F25" s="25">
        <f>_xll.BDH("ITCI US Equity","HISTORICAL_MARKET_CAP","FQ3 2019","FQ3 2019","Currency=USD","Period=FQ","BEST_FPERIOD_OVERRIDE=FQ","FILING_STATUS=MR","SCALING_FORMAT=MLN","Sort=A","Dates=H","DateFormat=P","Fill=—","Direction=H","UseDPDF=Y")</f>
        <v>412.69940000000003</v>
      </c>
      <c r="G25" s="25">
        <f>_xll.BDH("ITCI US Equity","HISTORICAL_MARKET_CAP","FQ4 2019","FQ4 2019","Currency=USD","Period=FQ","BEST_FPERIOD_OVERRIDE=FQ","FILING_STATUS=MR","SCALING_FORMAT=MLN","Sort=A","Dates=H","DateFormat=P","Fill=—","Direction=H","UseDPDF=Y")</f>
        <v>1904.4621999999999</v>
      </c>
      <c r="H25" s="25">
        <f>_xll.BDH("ITCI US Equity","HISTORICAL_MARKET_CAP","FQ1 2020","FQ1 2020","Currency=USD","Period=FQ","BEST_FPERIOD_OVERRIDE=FQ","FILING_STATUS=MR","SCALING_FORMAT=MLN","Sort=A","Dates=H","DateFormat=P","Fill=—","Direction=H","UseDPDF=Y")</f>
        <v>1017.5057</v>
      </c>
      <c r="I25" s="25">
        <f>_xll.BDH("ITCI US Equity","HISTORICAL_MARKET_CAP","FQ2 2020","FQ2 2020","Currency=USD","Period=FQ","BEST_FPERIOD_OVERRIDE=FQ","FILING_STATUS=MR","SCALING_FORMAT=MLN","Sort=A","Dates=H","DateFormat=P","Fill=—","Direction=H","UseDPDF=Y")</f>
        <v>1714.1845000000001</v>
      </c>
      <c r="J25" s="25">
        <f>_xll.BDH("ITCI US Equity","HISTORICAL_MARKET_CAP","FQ3 2020","FQ3 2020","Currency=USD","Period=FQ","BEST_FPERIOD_OVERRIDE=FQ","FILING_STATUS=MR","SCALING_FORMAT=MLN","Sort=A","Dates=H","DateFormat=P","Fill=—","Direction=H","UseDPDF=Y")</f>
        <v>2056.4641999999999</v>
      </c>
      <c r="K25" s="25">
        <f>_xll.BDH("ITCI US Equity","HISTORICAL_MARKET_CAP","FQ4 2020","FQ4 2020","Currency=USD","Period=FQ","BEST_FPERIOD_OVERRIDE=FQ","FILING_STATUS=MR","SCALING_FORMAT=MLN","Sort=A","Dates=H","DateFormat=P","Fill=—","Direction=H","UseDPDF=Y")</f>
        <v>2558.7262000000001</v>
      </c>
      <c r="L25" s="25">
        <f>_xll.BDH("ITCI US Equity","HISTORICAL_MARKET_CAP","FQ1 2021","FQ1 2021","Currency=USD","Period=FQ","BEST_FPERIOD_OVERRIDE=FQ","FILING_STATUS=MR","SCALING_FORMAT=MLN","Sort=A","Dates=H","DateFormat=P","Fill=—","Direction=H","UseDPDF=Y")</f>
        <v>2752.8715000000002</v>
      </c>
      <c r="M25" s="25">
        <f>_xll.BDH("ITCI US Equity","HISTORICAL_MARKET_CAP","FQ2 2021","FQ2 2021","Currency=USD","Period=FQ","BEST_FPERIOD_OVERRIDE=FQ","FILING_STATUS=MR","SCALING_FORMAT=MLN","Sort=A","Dates=H","DateFormat=P","Fill=—","Direction=H","UseDPDF=Y")</f>
        <v>3319.1509000000001</v>
      </c>
      <c r="N25" s="25">
        <f>_xll.BDH("ITCI US Equity","HISTORICAL_MARKET_CAP","FQ3 2021","FQ3 2021","Currency=USD","Period=FQ","BEST_FPERIOD_OVERRIDE=FQ","FILING_STATUS=MR","SCALING_FORMAT=MLN","Sort=A","Dates=H","DateFormat=P","Fill=—","Direction=H","UseDPDF=Y")</f>
        <v>3033.7496999999998</v>
      </c>
      <c r="O25" s="25">
        <f>_xll.BDH("ITCI US Equity","HISTORICAL_MARKET_CAP","FQ4 2021","FQ4 2021","Currency=USD","Period=FQ","BEST_FPERIOD_OVERRIDE=FQ","FILING_STATUS=MR","SCALING_FORMAT=MLN","Sort=A","Dates=H","DateFormat=P","Fill=—","Direction=H","UseDPDF=Y")</f>
        <v>4285.9637000000002</v>
      </c>
      <c r="P25" s="25">
        <f>_xll.BDH("ITCI US Equity","HISTORICAL_MARKET_CAP","FQ1 2022","FQ1 2022","Currency=USD","Period=FQ","BEST_FPERIOD_OVERRIDE=FQ","FILING_STATUS=MR","SCALING_FORMAT=MLN","Sort=A","Dates=H","DateFormat=P","Fill=—","Direction=H","UseDPDF=Y")</f>
        <v>5753.1098000000002</v>
      </c>
      <c r="Q25" s="25">
        <f>_xll.BDH("ITCI US Equity","HISTORICAL_MARKET_CAP","FQ2 2022","FQ2 2022","Currency=USD","Period=FQ","BEST_FPERIOD_OVERRIDE=FQ","FILING_STATUS=MR","SCALING_FORMAT=MLN","Sort=A","Dates=H","DateFormat=P","Fill=—","Direction=H","UseDPDF=Y")</f>
        <v>5386.4817000000003</v>
      </c>
      <c r="R25" s="25">
        <f>_xll.BDH("ITCI US Equity","HISTORICAL_MARKET_CAP","FQ3 2022","FQ3 2022","Currency=USD","Period=FQ","BEST_FPERIOD_OVERRIDE=FQ","FILING_STATUS=MR","SCALING_FORMAT=MLN","Sort=A","Dates=H","DateFormat=P","Fill=—","Direction=H","UseDPDF=Y")</f>
        <v>4406.4683000000005</v>
      </c>
      <c r="S25" s="25">
        <f>_xll.BDH("ITCI US Equity","HISTORICAL_MARKET_CAP","FQ4 2022","FQ4 2022","Currency=USD","Period=FQ","BEST_FPERIOD_OVERRIDE=FQ","FILING_STATUS=MR","SCALING_FORMAT=MLN","Sort=A","Dates=H","DateFormat=P","Fill=—","Direction=H","UseDPDF=Y")</f>
        <v>5018.3927000000003</v>
      </c>
      <c r="T25" s="25">
        <f>_xll.BDH("ITCI US Equity","HISTORICAL_MARKET_CAP","FQ1 2023","FQ1 2023","Currency=USD","Period=FQ","BEST_FPERIOD_OVERRIDE=FQ","FILING_STATUS=MR","SCALING_FORMAT=MLN","Sort=A","Dates=H","DateFormat=P","Fill=—","Direction=H","UseDPDF=Y")</f>
        <v>5181.0735999999997</v>
      </c>
      <c r="U25" s="25">
        <f>_xll.BDH("ITCI US Equity","HISTORICAL_MARKET_CAP","FQ2 2023","FQ2 2023","Currency=USD","Period=FQ","BEST_FPERIOD_OVERRIDE=FQ","FILING_STATUS=MR","SCALING_FORMAT=MLN","Sort=A","Dates=H","DateFormat=P","Fill=—","Direction=H","UseDPDF=Y")</f>
        <v>6084.0001000000002</v>
      </c>
      <c r="V25" s="25">
        <f>_xll.BDH("ITCI US Equity","HISTORICAL_MARKET_CAP","FQ3 2023","FQ3 2023","Currency=USD","Period=FQ","BEST_FPERIOD_OVERRIDE=FQ","FILING_STATUS=MR","SCALING_FORMAT=MLN","Sort=A","Dates=H","DateFormat=P","Fill=—","Direction=H","UseDPDF=Y")</f>
        <v>5012.3923999999997</v>
      </c>
      <c r="W25" s="25">
        <f>_xll.BDH("ITCI US Equity","HISTORICAL_MARKET_CAP","FQ4 2023","FQ4 2023","Currency=USD","Period=FQ","BEST_FPERIOD_OVERRIDE=FQ","FILING_STATUS=MR","SCALING_FORMAT=MLN","Sort=A","Dates=H","DateFormat=P","Fill=—","Direction=H","UseDPDF=Y")</f>
        <v>6902.7221</v>
      </c>
      <c r="X25" s="25">
        <f>_xll.BDH("ITCI US Equity","HISTORICAL_MARKET_CAP","FQ1 2024","FQ1 2024","Currency=USD","Period=FQ","BEST_FPERIOD_OVERRIDE=FQ","FILING_STATUS=MR","SCALING_FORMAT=MLN","Sort=A","Dates=H","DateFormat=P","Fill=—","Direction=H","UseDPDF=Y")</f>
        <v>6745.4650000000001</v>
      </c>
      <c r="Y25" s="25">
        <f>_xll.BDH("ITCI US Equity","HISTORICAL_MARKET_CAP","FQ2 2024","FQ2 2024","Currency=USD","Period=FQ","BEST_FPERIOD_OVERRIDE=FQ","FILING_STATUS=MR","SCALING_FORMAT=MLN","Sort=A","Dates=H","DateFormat=P","Fill=—","Direction=H","UseDPDF=Y")</f>
        <v>7234.2494999999999</v>
      </c>
      <c r="Z25" s="25">
        <f>_xll.BDH("ITCI US Equity","HISTORICAL_MARKET_CAP","FQ3 2024","FQ3 2024","Currency=USD","Period=FQ","BEST_FPERIOD_OVERRIDE=FQ","FILING_STATUS=MR","SCALING_FORMAT=MLN","Sort=A","Dates=H","DateFormat=P","Fill=—","Direction=H","UseDPDF=Y")</f>
        <v>7755.9312</v>
      </c>
      <c r="AA25" s="25">
        <f>_xll.BDH("ITCI US Equity","HISTORICAL_MARKET_CAP","FQ4 2024","FQ4 2024","Currency=USD","Period=FQ","BEST_FPERIOD_OVERRIDE=FQ","FILING_STATUS=MR","SCALING_FORMAT=MLN","Sort=A","Dates=H","DateFormat=P","Fill=—","Direction=H","UseDPDF=Y")</f>
        <v>8873.1656000000003</v>
      </c>
    </row>
    <row r="26" spans="1:27" x14ac:dyDescent="0.25">
      <c r="A26" s="6" t="s">
        <v>1271</v>
      </c>
      <c r="B26" s="6" t="s">
        <v>1272</v>
      </c>
      <c r="C26" s="20">
        <f>_xll.BDH("ITCI US Equity","SHAREHOLDER_YIELD_EX_DEBT","FQ4 2018","FQ4 2018","Currency=USD","Period=FQ","BEST_FPERIOD_OVERRIDE=FQ","FILING_STATUS=MR","Sort=A","Dates=H","DateFormat=P","Fill=—","Direction=H","UseDPDF=Y")</f>
        <v>-0.10780000000000001</v>
      </c>
      <c r="D26" s="20">
        <f>_xll.BDH("ITCI US Equity","SHAREHOLDER_YIELD_EX_DEBT","FQ1 2019","FQ1 2019","Currency=USD","Period=FQ","BEST_FPERIOD_OVERRIDE=FQ","FILING_STATUS=MR","Sort=A","Dates=H","DateFormat=P","Fill=—","Direction=H","UseDPDF=Y")</f>
        <v>-5.4800000000000001E-2</v>
      </c>
      <c r="E26" s="20">
        <f>_xll.BDH("ITCI US Equity","SHAREHOLDER_YIELD_EX_DEBT","FQ2 2019","FQ2 2019","Currency=USD","Period=FQ","BEST_FPERIOD_OVERRIDE=FQ","FILING_STATUS=MR","Sort=A","Dates=H","DateFormat=P","Fill=—","Direction=H","UseDPDF=Y")</f>
        <v>-8.6699999999999999E-2</v>
      </c>
      <c r="F26" s="20">
        <f>_xll.BDH("ITCI US Equity","SHAREHOLDER_YIELD_EX_DEBT","FQ3 2019","FQ3 2019","Currency=USD","Period=FQ","BEST_FPERIOD_OVERRIDE=FQ","FILING_STATUS=MR","Sort=A","Dates=H","DateFormat=P","Fill=—","Direction=H","UseDPDF=Y")</f>
        <v>-0.1497</v>
      </c>
      <c r="G26" s="20">
        <f>_xll.BDH("ITCI US Equity","SHAREHOLDER_YIELD_EX_DEBT","FQ4 2019","FQ4 2019","Currency=USD","Period=FQ","BEST_FPERIOD_OVERRIDE=FQ","FILING_STATUS=MR","Sort=A","Dates=H","DateFormat=P","Fill=—","Direction=H","UseDPDF=Y")</f>
        <v>-0.1699</v>
      </c>
      <c r="H26" s="20">
        <f>_xll.BDH("ITCI US Equity","SHAREHOLDER_YIELD_EX_DEBT","FQ1 2020","FQ1 2020","Currency=USD","Period=FQ","BEST_FPERIOD_OVERRIDE=FQ","FILING_STATUS=MR","Sort=A","Dates=H","DateFormat=P","Fill=—","Direction=H","UseDPDF=Y")</f>
        <v>-27.594100000000001</v>
      </c>
      <c r="I26" s="20">
        <f>_xll.BDH("ITCI US Equity","SHAREHOLDER_YIELD_EX_DEBT","FQ2 2020","FQ2 2020","Currency=USD","Period=FQ","BEST_FPERIOD_OVERRIDE=FQ","FILING_STATUS=MR","Sort=A","Dates=H","DateFormat=P","Fill=—","Direction=H","UseDPDF=Y")</f>
        <v>-16.625499999999999</v>
      </c>
      <c r="J26" s="20">
        <f>_xll.BDH("ITCI US Equity","SHAREHOLDER_YIELD_EX_DEBT","FQ3 2020","FQ3 2020","Currency=USD","Period=FQ","BEST_FPERIOD_OVERRIDE=FQ","FILING_STATUS=MR","Sort=A","Dates=H","DateFormat=P","Fill=—","Direction=H","UseDPDF=Y")</f>
        <v>-32.256100000000004</v>
      </c>
      <c r="K26" s="20">
        <f>_xll.BDH("ITCI US Equity","SHAREHOLDER_YIELD_EX_DEBT","FQ4 2020","FQ4 2020","Currency=USD","Period=FQ","BEST_FPERIOD_OVERRIDE=FQ","FILING_STATUS=MR","Sort=A","Dates=H","DateFormat=P","Fill=—","Direction=H","UseDPDF=Y")</f>
        <v>-25.9573</v>
      </c>
      <c r="L26" s="20">
        <f>_xll.BDH("ITCI US Equity","SHAREHOLDER_YIELD_EX_DEBT","FQ1 2021","FQ1 2021","Currency=USD","Period=FQ","BEST_FPERIOD_OVERRIDE=FQ","FILING_STATUS=MR","Sort=A","Dates=H","DateFormat=P","Fill=—","Direction=H","UseDPDF=Y")</f>
        <v>-14.0959</v>
      </c>
      <c r="M26" s="20">
        <f>_xll.BDH("ITCI US Equity","SHAREHOLDER_YIELD_EX_DEBT","FQ2 2021","FQ2 2021","Currency=USD","Period=FQ","BEST_FPERIOD_OVERRIDE=FQ","FILING_STATUS=MR","Sort=A","Dates=H","DateFormat=P","Fill=—","Direction=H","UseDPDF=Y")</f>
        <v>-11.6037</v>
      </c>
      <c r="N26" s="20">
        <f>_xll.BDH("ITCI US Equity","SHAREHOLDER_YIELD_EX_DEBT","FQ3 2021","FQ3 2021","Currency=USD","Period=FQ","BEST_FPERIOD_OVERRIDE=FQ","FILING_STATUS=MR","Sort=A","Dates=H","DateFormat=P","Fill=—","Direction=H","UseDPDF=Y")</f>
        <v>-0.23860000000000001</v>
      </c>
      <c r="O26" s="20">
        <f>_xll.BDH("ITCI US Equity","SHAREHOLDER_YIELD_EX_DEBT","FQ4 2021","FQ4 2021","Currency=USD","Period=FQ","BEST_FPERIOD_OVERRIDE=FQ","FILING_STATUS=MR","Sort=A","Dates=H","DateFormat=P","Fill=—","Direction=H","UseDPDF=Y")</f>
        <v>-0.26879999999999998</v>
      </c>
      <c r="P26" s="20">
        <f>_xll.BDH("ITCI US Equity","SHAREHOLDER_YIELD_EX_DEBT","FQ1 2022","FQ1 2022","Currency=USD","Period=FQ","BEST_FPERIOD_OVERRIDE=FQ","FILING_STATUS=MR","Sort=A","Dates=H","DateFormat=P","Fill=—","Direction=H","UseDPDF=Y")</f>
        <v>-7.8548999999999998</v>
      </c>
      <c r="Q26" s="20">
        <f>_xll.BDH("ITCI US Equity","SHAREHOLDER_YIELD_EX_DEBT","FQ2 2022","FQ2 2022","Currency=USD","Period=FQ","BEST_FPERIOD_OVERRIDE=FQ","FILING_STATUS=MR","Sort=A","Dates=H","DateFormat=P","Fill=—","Direction=H","UseDPDF=Y")</f>
        <v>-8.4624000000000006</v>
      </c>
      <c r="R26" s="20">
        <f>_xll.BDH("ITCI US Equity","SHAREHOLDER_YIELD_EX_DEBT","FQ3 2022","FQ3 2022","Currency=USD","Period=FQ","BEST_FPERIOD_OVERRIDE=FQ","FILING_STATUS=MR","Sort=A","Dates=H","DateFormat=P","Fill=—","Direction=H","UseDPDF=Y")</f>
        <v>-10.459300000000001</v>
      </c>
      <c r="S26" s="20">
        <f>_xll.BDH("ITCI US Equity","SHAREHOLDER_YIELD_EX_DEBT","FQ4 2022","FQ4 2022","Currency=USD","Period=FQ","BEST_FPERIOD_OVERRIDE=FQ","FILING_STATUS=MR","Sort=A","Dates=H","DateFormat=P","Fill=—","Direction=H","UseDPDF=Y")</f>
        <v>-9.0698000000000008</v>
      </c>
      <c r="T26" s="20">
        <f>_xll.BDH("ITCI US Equity","SHAREHOLDER_YIELD_EX_DEBT","FQ1 2023","FQ1 2023","Currency=USD","Period=FQ","BEST_FPERIOD_OVERRIDE=FQ","FILING_STATUS=MR","Sort=A","Dates=H","DateFormat=P","Fill=—","Direction=H","UseDPDF=Y")</f>
        <v>-0.32779999999999998</v>
      </c>
      <c r="U26" s="20">
        <f>_xll.BDH("ITCI US Equity","SHAREHOLDER_YIELD_EX_DEBT","FQ2 2023","FQ2 2023","Currency=USD","Period=FQ","BEST_FPERIOD_OVERRIDE=FQ","FILING_STATUS=MR","Sort=A","Dates=H","DateFormat=P","Fill=—","Direction=H","UseDPDF=Y")</f>
        <v>-0.32979999999999998</v>
      </c>
      <c r="V26" s="20">
        <f>_xll.BDH("ITCI US Equity","SHAREHOLDER_YIELD_EX_DEBT","FQ3 2023","FQ3 2023","Currency=USD","Period=FQ","BEST_FPERIOD_OVERRIDE=FQ","FILING_STATUS=MR","Sort=A","Dates=H","DateFormat=P","Fill=—","Direction=H","UseDPDF=Y")</f>
        <v>-0.33900000000000002</v>
      </c>
      <c r="W26" s="20">
        <f>_xll.BDH("ITCI US Equity","SHAREHOLDER_YIELD_EX_DEBT","FQ4 2023","FQ4 2023","Currency=USD","Period=FQ","BEST_FPERIOD_OVERRIDE=FQ","FILING_STATUS=MR","Sort=A","Dates=H","DateFormat=P","Fill=—","Direction=H","UseDPDF=Y")</f>
        <v>-0.25800000000000001</v>
      </c>
      <c r="X26" s="20">
        <f>_xll.BDH("ITCI US Equity","SHAREHOLDER_YIELD_EX_DEBT","FQ1 2024","FQ1 2024","Currency=USD","Period=FQ","BEST_FPERIOD_OVERRIDE=FQ","FILING_STATUS=MR","Sort=A","Dates=H","DateFormat=P","Fill=—","Direction=H","UseDPDF=Y")</f>
        <v>-0.35820000000000002</v>
      </c>
      <c r="Y26" s="20">
        <f>_xll.BDH("ITCI US Equity","SHAREHOLDER_YIELD_EX_DEBT","FQ2 2024","FQ2 2024","Currency=USD","Period=FQ","BEST_FPERIOD_OVERRIDE=FQ","FILING_STATUS=MR","Sort=A","Dates=H","DateFormat=P","Fill=—","Direction=H","UseDPDF=Y")</f>
        <v>-7.7514000000000003</v>
      </c>
      <c r="Z26" s="20">
        <f>_xll.BDH("ITCI US Equity","SHAREHOLDER_YIELD_EX_DEBT","FQ3 2024","FQ3 2024","Currency=USD","Period=FQ","BEST_FPERIOD_OVERRIDE=FQ","FILING_STATUS=MR","Sort=A","Dates=H","DateFormat=P","Fill=—","Direction=H","UseDPDF=Y")</f>
        <v>-7.2835000000000001</v>
      </c>
      <c r="AA26" s="20">
        <f>_xll.BDH("ITCI US Equity","SHAREHOLDER_YIELD_EX_DEBT","FQ4 2024","FQ4 2024","Currency=USD","Period=FQ","BEST_FPERIOD_OVERRIDE=FQ","FILING_STATUS=MR","Sort=A","Dates=H","DateFormat=P","Fill=—","Direction=H","UseDPDF=Y")</f>
        <v>-6.3958000000000004</v>
      </c>
    </row>
    <row r="27" spans="1:27" x14ac:dyDescent="0.25">
      <c r="A27" s="6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x14ac:dyDescent="0.25">
      <c r="A28" s="6" t="s">
        <v>1273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x14ac:dyDescent="0.25">
      <c r="A29" s="10" t="s">
        <v>1247</v>
      </c>
      <c r="B29" s="10" t="s">
        <v>1248</v>
      </c>
      <c r="C29" s="13">
        <f>_xll.BDH("ITCI US Equity","TRAIL_12M_CASH_FROM_OPER","FQ4 2018","FQ4 2018","Currency=USD","Period=FQ","BEST_FPERIOD_OVERRIDE=FQ","FILING_STATUS=MR","SCALING_FORMAT=MLN","Sort=A","Dates=H","DateFormat=P","Fill=—","Direction=H","UseDPDF=Y")</f>
        <v>-118.1691</v>
      </c>
      <c r="D29" s="13">
        <f>_xll.BDH("ITCI US Equity","TRAIL_12M_CASH_FROM_OPER","FQ1 2019","FQ1 2019","Currency=USD","Period=FQ","BEST_FPERIOD_OVERRIDE=FQ","FILING_STATUS=MR","SCALING_FORMAT=MLN","Sort=A","Dates=H","DateFormat=P","Fill=—","Direction=H","UseDPDF=Y")</f>
        <v>-126.81440000000001</v>
      </c>
      <c r="E29" s="13">
        <f>_xll.BDH("ITCI US Equity","TRAIL_12M_CASH_FROM_OPER","FQ2 2019","FQ2 2019","Currency=USD","Period=FQ","BEST_FPERIOD_OVERRIDE=FQ","FILING_STATUS=MR","SCALING_FORMAT=MLN","Sort=A","Dates=H","DateFormat=P","Fill=—","Direction=H","UseDPDF=Y")</f>
        <v>-120.5091</v>
      </c>
      <c r="F29" s="13">
        <f>_xll.BDH("ITCI US Equity","TRAIL_12M_CASH_FROM_OPER","FQ3 2019","FQ3 2019","Currency=USD","Period=FQ","BEST_FPERIOD_OVERRIDE=FQ","FILING_STATUS=MR","SCALING_FORMAT=MLN","Sort=A","Dates=H","DateFormat=P","Fill=—","Direction=H","UseDPDF=Y")</f>
        <v>-122.0889</v>
      </c>
      <c r="G29" s="13">
        <f>_xll.BDH("ITCI US Equity","TRAIL_12M_CASH_FROM_OPER","FQ4 2019","FQ4 2019","Currency=USD","Period=FQ","BEST_FPERIOD_OVERRIDE=FQ","FILING_STATUS=MR","SCALING_FORMAT=MLN","Sort=A","Dates=H","DateFormat=P","Fill=—","Direction=H","UseDPDF=Y")</f>
        <v>-127.9832</v>
      </c>
      <c r="H29" s="13">
        <f>_xll.BDH("ITCI US Equity","TRAIL_12M_CASH_FROM_OPER","FQ1 2020","FQ1 2020","Currency=USD","Period=FQ","BEST_FPERIOD_OVERRIDE=FQ","FILING_STATUS=MR","SCALING_FORMAT=MLN","Sort=A","Dates=H","DateFormat=P","Fill=—","Direction=H","UseDPDF=Y")</f>
        <v>-143.58009999999999</v>
      </c>
      <c r="I29" s="13">
        <f>_xll.BDH("ITCI US Equity","TRAIL_12M_CASH_FROM_OPER","FQ2 2020","FQ2 2020","Currency=USD","Period=FQ","BEST_FPERIOD_OVERRIDE=FQ","FILING_STATUS=MR","SCALING_FORMAT=MLN","Sort=A","Dates=H","DateFormat=P","Fill=—","Direction=H","UseDPDF=Y")</f>
        <v>-163.2962</v>
      </c>
      <c r="J29" s="13">
        <f>_xll.BDH("ITCI US Equity","TRAIL_12M_CASH_FROM_OPER","FQ3 2020","FQ3 2020","Currency=USD","Period=FQ","BEST_FPERIOD_OVERRIDE=FQ","FILING_STATUS=MR","SCALING_FORMAT=MLN","Sort=A","Dates=H","DateFormat=P","Fill=—","Direction=H","UseDPDF=Y")</f>
        <v>-196.886</v>
      </c>
      <c r="K29" s="13">
        <f>_xll.BDH("ITCI US Equity","TRAIL_12M_CASH_FROM_OPER","FQ4 2020","FQ4 2020","Currency=USD","Period=FQ","BEST_FPERIOD_OVERRIDE=FQ","FILING_STATUS=MR","SCALING_FORMAT=MLN","Sort=A","Dates=H","DateFormat=P","Fill=—","Direction=H","UseDPDF=Y")</f>
        <v>-230.0728</v>
      </c>
      <c r="L29" s="13">
        <f>_xll.BDH("ITCI US Equity","TRAIL_12M_CASH_FROM_OPER","FQ1 2021","FQ1 2021","Currency=USD","Period=FQ","BEST_FPERIOD_OVERRIDE=FQ","FILING_STATUS=MR","SCALING_FORMAT=MLN","Sort=A","Dates=H","DateFormat=P","Fill=—","Direction=H","UseDPDF=Y")</f>
        <v>-226.61359999999999</v>
      </c>
      <c r="M29" s="13">
        <f>_xll.BDH("ITCI US Equity","TRAIL_12M_CASH_FROM_OPER","FQ2 2021","FQ2 2021","Currency=USD","Period=FQ","BEST_FPERIOD_OVERRIDE=FQ","FILING_STATUS=MR","SCALING_FORMAT=MLN","Sort=A","Dates=H","DateFormat=P","Fill=—","Direction=H","UseDPDF=Y")</f>
        <v>-238.91399999999999</v>
      </c>
      <c r="N29" s="13">
        <f>_xll.BDH("ITCI US Equity","TRAIL_12M_CASH_FROM_OPER","FQ3 2021","FQ3 2021","Currency=USD","Period=FQ","BEST_FPERIOD_OVERRIDE=FQ","FILING_STATUS=MR","SCALING_FORMAT=MLN","Sort=A","Dates=H","DateFormat=P","Fill=—","Direction=H","UseDPDF=Y")</f>
        <v>-254.60169999999999</v>
      </c>
      <c r="O29" s="13">
        <f>_xll.BDH("ITCI US Equity","TRAIL_12M_CASH_FROM_OPER","FQ4 2021","FQ4 2021","Currency=USD","Period=FQ","BEST_FPERIOD_OVERRIDE=FQ","FILING_STATUS=MR","SCALING_FORMAT=MLN","Sort=A","Dates=H","DateFormat=P","Fill=—","Direction=H","UseDPDF=Y")</f>
        <v>-259.54349999999999</v>
      </c>
      <c r="P29" s="13">
        <f>_xll.BDH("ITCI US Equity","TRAIL_12M_CASH_FROM_OPER","FQ1 2022","FQ1 2022","Currency=USD","Period=FQ","BEST_FPERIOD_OVERRIDE=FQ","FILING_STATUS=MR","SCALING_FORMAT=MLN","Sort=A","Dates=H","DateFormat=P","Fill=—","Direction=H","UseDPDF=Y")</f>
        <v>-294.62549999999999</v>
      </c>
      <c r="Q29" s="13">
        <f>_xll.BDH("ITCI US Equity","TRAIL_12M_CASH_FROM_OPER","FQ2 2022","FQ2 2022","Currency=USD","Period=FQ","BEST_FPERIOD_OVERRIDE=FQ","FILING_STATUS=MR","SCALING_FORMAT=MLN","Sort=A","Dates=H","DateFormat=P","Fill=—","Direction=H","UseDPDF=Y")</f>
        <v>-330.0933</v>
      </c>
      <c r="R29" s="13">
        <f>_xll.BDH("ITCI US Equity","TRAIL_12M_CASH_FROM_OPER","FQ3 2022","FQ3 2022","Currency=USD","Period=FQ","BEST_FPERIOD_OVERRIDE=FQ","FILING_STATUS=MR","SCALING_FORMAT=MLN","Sort=A","Dates=H","DateFormat=P","Fill=—","Direction=H","UseDPDF=Y")</f>
        <v>-304.17750000000001</v>
      </c>
      <c r="S29" s="13">
        <f>_xll.BDH("ITCI US Equity","TRAIL_12M_CASH_FROM_OPER","FQ4 2022","FQ4 2022","Currency=USD","Period=FQ","BEST_FPERIOD_OVERRIDE=FQ","FILING_STATUS=MR","SCALING_FORMAT=MLN","Sort=A","Dates=H","DateFormat=P","Fill=—","Direction=H","UseDPDF=Y")</f>
        <v>-270.18599999999998</v>
      </c>
      <c r="T29" s="13">
        <f>_xll.BDH("ITCI US Equity","TRAIL_12M_CASH_FROM_OPER","FQ1 2023","FQ1 2023","Currency=USD","Period=FQ","BEST_FPERIOD_OVERRIDE=FQ","FILING_STATUS=MR","SCALING_FORMAT=MLN","Sort=A","Dates=H","DateFormat=P","Fill=—","Direction=H","UseDPDF=Y")</f>
        <v>-247.40299999999999</v>
      </c>
      <c r="U29" s="13">
        <f>_xll.BDH("ITCI US Equity","TRAIL_12M_CASH_FROM_OPER","FQ2 2023","FQ2 2023","Currency=USD","Period=FQ","BEST_FPERIOD_OVERRIDE=FQ","FILING_STATUS=MR","SCALING_FORMAT=MLN","Sort=A","Dates=H","DateFormat=P","Fill=—","Direction=H","UseDPDF=Y")</f>
        <v>-189.41200000000001</v>
      </c>
      <c r="V29" s="13">
        <f>_xll.BDH("ITCI US Equity","TRAIL_12M_CASH_FROM_OPER","FQ3 2023","FQ3 2023","Currency=USD","Period=FQ","BEST_FPERIOD_OVERRIDE=FQ","FILING_STATUS=MR","SCALING_FORMAT=MLN","Sort=A","Dates=H","DateFormat=P","Fill=—","Direction=H","UseDPDF=Y")</f>
        <v>-161.33099999999999</v>
      </c>
      <c r="W29" s="13">
        <f>_xll.BDH("ITCI US Equity","TRAIL_12M_CASH_FROM_OPER","FQ4 2023","FQ4 2023","Currency=USD","Period=FQ","BEST_FPERIOD_OVERRIDE=FQ","FILING_STATUS=MR","SCALING_FORMAT=MLN","Sort=A","Dates=H","DateFormat=P","Fill=—","Direction=H","UseDPDF=Y")</f>
        <v>-124.199</v>
      </c>
      <c r="X29" s="13">
        <f>_xll.BDH("ITCI US Equity","TRAIL_12M_CASH_FROM_OPER","FQ1 2024","FQ1 2024","Currency=USD","Period=FQ","BEST_FPERIOD_OVERRIDE=FQ","FILING_STATUS=MR","SCALING_FORMAT=MLN","Sort=A","Dates=H","DateFormat=P","Fill=—","Direction=H","UseDPDF=Y")</f>
        <v>-98.248999999999995</v>
      </c>
      <c r="Y29" s="13">
        <f>_xll.BDH("ITCI US Equity","TRAIL_12M_CASH_FROM_OPER","FQ2 2024","FQ2 2024","Currency=USD","Period=FQ","BEST_FPERIOD_OVERRIDE=FQ","FILING_STATUS=MR","SCALING_FORMAT=MLN","Sort=A","Dates=H","DateFormat=P","Fill=—","Direction=H","UseDPDF=Y")</f>
        <v>-60.905000000000001</v>
      </c>
      <c r="Z29" s="13">
        <f>_xll.BDH("ITCI US Equity","TRAIL_12M_CASH_FROM_OPER","FQ3 2024","FQ3 2024","Currency=USD","Period=FQ","BEST_FPERIOD_OVERRIDE=FQ","FILING_STATUS=MR","SCALING_FORMAT=MLN","Sort=A","Dates=H","DateFormat=P","Fill=—","Direction=H","UseDPDF=Y")</f>
        <v>-62.16</v>
      </c>
      <c r="AA29" s="13">
        <f>_xll.BDH("ITCI US Equity","TRAIL_12M_CASH_FROM_OPER","FQ4 2024","FQ4 2024","Currency=USD","Period=FQ","BEST_FPERIOD_OVERRIDE=FQ","FILING_STATUS=MR","SCALING_FORMAT=MLN","Sort=A","Dates=H","DateFormat=P","Fill=—","Direction=H","UseDPDF=Y")</f>
        <v>-73.177000000000007</v>
      </c>
    </row>
    <row r="30" spans="1:27" x14ac:dyDescent="0.25">
      <c r="A30" s="10" t="s">
        <v>1249</v>
      </c>
      <c r="B30" s="10" t="s">
        <v>1250</v>
      </c>
      <c r="C30" s="13">
        <f>_xll.BDH("ITCI US Equity","TRAIL_12M_CAP_EXPEND","FQ4 2018","FQ4 2018","Currency=USD","Period=FQ","BEST_FPERIOD_OVERRIDE=FQ","FILING_STATUS=MR","SCALING_FORMAT=MLN","Sort=A","Dates=H","DateFormat=P","Fill=—","Direction=H","UseDPDF=Y")</f>
        <v>-0.39129999999999998</v>
      </c>
      <c r="D30" s="13">
        <f>_xll.BDH("ITCI US Equity","TRAIL_12M_CAP_EXPEND","FQ1 2019","FQ1 2019","Currency=USD","Period=FQ","BEST_FPERIOD_OVERRIDE=FQ","FILING_STATUS=MR","SCALING_FORMAT=MLN","Sort=A","Dates=H","DateFormat=P","Fill=—","Direction=H","UseDPDF=Y")</f>
        <v>-0.16339999999999999</v>
      </c>
      <c r="E30" s="13">
        <f>_xll.BDH("ITCI US Equity","TRAIL_12M_CAP_EXPEND","FQ2 2019","FQ2 2019","Currency=USD","Period=FQ","BEST_FPERIOD_OVERRIDE=FQ","FILING_STATUS=MR","SCALING_FORMAT=MLN","Sort=A","Dates=H","DateFormat=P","Fill=—","Direction=H","UseDPDF=Y")</f>
        <v>-1.2043999999999999</v>
      </c>
      <c r="F30" s="13">
        <f>_xll.BDH("ITCI US Equity","TRAIL_12M_CAP_EXPEND","FQ3 2019","FQ3 2019","Currency=USD","Period=FQ","BEST_FPERIOD_OVERRIDE=FQ","FILING_STATUS=MR","SCALING_FORMAT=MLN","Sort=A","Dates=H","DateFormat=P","Fill=—","Direction=H","UseDPDF=Y")</f>
        <v>-1.4094</v>
      </c>
      <c r="G30" s="13" t="str">
        <f>_xll.BDH("ITCI US Equity","TRAIL_12M_CAP_EXPEND","FQ4 2019","FQ4 2019","Currency=USD","Period=FQ","BEST_FPERIOD_OVERRIDE=FQ","FILING_STATUS=MR","SCALING_FORMAT=MLN","Sort=A","Dates=H","DateFormat=P","Fill=—","Direction=H","UseDPDF=Y")</f>
        <v>—</v>
      </c>
      <c r="H30" s="13" t="str">
        <f>_xll.BDH("ITCI US Equity","TRAIL_12M_CAP_EXPEND","FQ1 2020","FQ1 2020","Currency=USD","Period=FQ","BEST_FPERIOD_OVERRIDE=FQ","FILING_STATUS=MR","SCALING_FORMAT=MLN","Sort=A","Dates=H","DateFormat=P","Fill=—","Direction=H","UseDPDF=Y")</f>
        <v>—</v>
      </c>
      <c r="I30" s="13" t="str">
        <f>_xll.BDH("ITCI US Equity","TRAIL_12M_CAP_EXPEND","FQ2 2020","FQ2 2020","Currency=USD","Period=FQ","BEST_FPERIOD_OVERRIDE=FQ","FILING_STATUS=MR","SCALING_FORMAT=MLN","Sort=A","Dates=H","DateFormat=P","Fill=—","Direction=H","UseDPDF=Y")</f>
        <v>—</v>
      </c>
      <c r="J30" s="13" t="str">
        <f>_xll.BDH("ITCI US Equity","TRAIL_12M_CAP_EXPEND","FQ3 2020","FQ3 2020","Currency=USD","Period=FQ","BEST_FPERIOD_OVERRIDE=FQ","FILING_STATUS=MR","SCALING_FORMAT=MLN","Sort=A","Dates=H","DateFormat=P","Fill=—","Direction=H","UseDPDF=Y")</f>
        <v>—</v>
      </c>
      <c r="K30" s="13">
        <f>_xll.BDH("ITCI US Equity","TRAIL_12M_CAP_EXPEND","FQ4 2020","FQ4 2020","Currency=USD","Period=FQ","BEST_FPERIOD_OVERRIDE=FQ","FILING_STATUS=MR","SCALING_FORMAT=MLN","Sort=A","Dates=H","DateFormat=P","Fill=—","Direction=H","UseDPDF=Y")</f>
        <v>-0.26669999999999999</v>
      </c>
      <c r="L30" s="13">
        <f>_xll.BDH("ITCI US Equity","TRAIL_12M_CAP_EXPEND","FQ1 2021","FQ1 2021","Currency=USD","Period=FQ","BEST_FPERIOD_OVERRIDE=FQ","FILING_STATUS=MR","SCALING_FORMAT=MLN","Sort=A","Dates=H","DateFormat=P","Fill=—","Direction=H","UseDPDF=Y")</f>
        <v>-0.2447</v>
      </c>
      <c r="M30" s="13">
        <f>_xll.BDH("ITCI US Equity","TRAIL_12M_CAP_EXPEND","FQ2 2021","FQ2 2021","Currency=USD","Period=FQ","BEST_FPERIOD_OVERRIDE=FQ","FILING_STATUS=MR","SCALING_FORMAT=MLN","Sort=A","Dates=H","DateFormat=P","Fill=—","Direction=H","UseDPDF=Y")</f>
        <v>-0.25990000000000002</v>
      </c>
      <c r="N30" s="13">
        <f>_xll.BDH("ITCI US Equity","TRAIL_12M_CAP_EXPEND","FQ3 2021","FQ3 2021","Currency=USD","Period=FQ","BEST_FPERIOD_OVERRIDE=FQ","FILING_STATUS=MR","SCALING_FORMAT=MLN","Sort=A","Dates=H","DateFormat=P","Fill=—","Direction=H","UseDPDF=Y")</f>
        <v>-0.39929999999999999</v>
      </c>
      <c r="O30" s="13">
        <f>_xll.BDH("ITCI US Equity","TRAIL_12M_CAP_EXPEND","FQ4 2021","FQ4 2021","Currency=USD","Period=FQ","BEST_FPERIOD_OVERRIDE=FQ","FILING_STATUS=MR","SCALING_FORMAT=MLN","Sort=A","Dates=H","DateFormat=P","Fill=—","Direction=H","UseDPDF=Y")</f>
        <v>-0.32569999999999999</v>
      </c>
      <c r="P30" s="13">
        <f>_xll.BDH("ITCI US Equity","TRAIL_12M_CAP_EXPEND","FQ1 2022","FQ1 2022","Currency=USD","Period=FQ","BEST_FPERIOD_OVERRIDE=FQ","FILING_STATUS=MR","SCALING_FORMAT=MLN","Sort=A","Dates=H","DateFormat=P","Fill=—","Direction=H","UseDPDF=Y")</f>
        <v>-0.89170000000000005</v>
      </c>
      <c r="Q30" s="13">
        <f>_xll.BDH("ITCI US Equity","TRAIL_12M_CAP_EXPEND","FQ2 2022","FQ2 2022","Currency=USD","Period=FQ","BEST_FPERIOD_OVERRIDE=FQ","FILING_STATUS=MR","SCALING_FORMAT=MLN","Sort=A","Dates=H","DateFormat=P","Fill=—","Direction=H","UseDPDF=Y")</f>
        <v>-0.99950000000000006</v>
      </c>
      <c r="R30" s="13">
        <f>_xll.BDH("ITCI US Equity","TRAIL_12M_CAP_EXPEND","FQ3 2022","FQ3 2022","Currency=USD","Period=FQ","BEST_FPERIOD_OVERRIDE=FQ","FILING_STATUS=MR","SCALING_FORMAT=MLN","Sort=A","Dates=H","DateFormat=P","Fill=—","Direction=H","UseDPDF=Y")</f>
        <v>-0.80720000000000003</v>
      </c>
      <c r="S30" s="13">
        <f>_xll.BDH("ITCI US Equity","TRAIL_12M_CAP_EXPEND","FQ4 2022","FQ4 2022","Currency=USD","Period=FQ","BEST_FPERIOD_OVERRIDE=FQ","FILING_STATUS=MR","SCALING_FORMAT=MLN","Sort=A","Dates=H","DateFormat=P","Fill=—","Direction=H","UseDPDF=Y")</f>
        <v>-0.80600000000000005</v>
      </c>
      <c r="T30" s="13">
        <f>_xll.BDH("ITCI US Equity","TRAIL_12M_CAP_EXPEND","FQ1 2023","FQ1 2023","Currency=USD","Period=FQ","BEST_FPERIOD_OVERRIDE=FQ","FILING_STATUS=MR","SCALING_FORMAT=MLN","Sort=A","Dates=H","DateFormat=P","Fill=—","Direction=H","UseDPDF=Y")</f>
        <v>-0.24</v>
      </c>
      <c r="U30" s="13">
        <f>_xll.BDH("ITCI US Equity","TRAIL_12M_CAP_EXPEND","FQ2 2023","FQ2 2023","Currency=USD","Period=FQ","BEST_FPERIOD_OVERRIDE=FQ","FILING_STATUS=MR","SCALING_FORMAT=MLN","Sort=A","Dates=H","DateFormat=P","Fill=—","Direction=H","UseDPDF=Y")</f>
        <v>-0.11700000000000001</v>
      </c>
      <c r="V30" s="13">
        <f>_xll.BDH("ITCI US Equity","TRAIL_12M_CAP_EXPEND","FQ3 2023","FQ3 2023","Currency=USD","Period=FQ","BEST_FPERIOD_OVERRIDE=FQ","FILING_STATUS=MR","SCALING_FORMAT=MLN","Sort=A","Dates=H","DateFormat=P","Fill=—","Direction=H","UseDPDF=Y")</f>
        <v>-0.26800000000000002</v>
      </c>
      <c r="W30" s="13">
        <f>_xll.BDH("ITCI US Equity","TRAIL_12M_CAP_EXPEND","FQ4 2023","FQ4 2023","Currency=USD","Period=FQ","BEST_FPERIOD_OVERRIDE=FQ","FILING_STATUS=MR","SCALING_FORMAT=MLN","Sort=A","Dates=H","DateFormat=P","Fill=—","Direction=H","UseDPDF=Y")</f>
        <v>-0.26900000000000002</v>
      </c>
      <c r="X30" s="13">
        <f>_xll.BDH("ITCI US Equity","TRAIL_12M_CAP_EXPEND","FQ1 2024","FQ1 2024","Currency=USD","Period=FQ","BEST_FPERIOD_OVERRIDE=FQ","FILING_STATUS=MR","SCALING_FORMAT=MLN","Sort=A","Dates=H","DateFormat=P","Fill=—","Direction=H","UseDPDF=Y")</f>
        <v>-0.26900000000000002</v>
      </c>
      <c r="Y30" s="13">
        <f>_xll.BDH("ITCI US Equity","TRAIL_12M_CAP_EXPEND","FQ2 2024","FQ2 2024","Currency=USD","Period=FQ","BEST_FPERIOD_OVERRIDE=FQ","FILING_STATUS=MR","SCALING_FORMAT=MLN","Sort=A","Dates=H","DateFormat=P","Fill=—","Direction=H","UseDPDF=Y")</f>
        <v>-0.32200000000000001</v>
      </c>
      <c r="Z30" s="13">
        <f>_xll.BDH("ITCI US Equity","TRAIL_12M_CAP_EXPEND","FQ3 2024","FQ3 2024","Currency=USD","Period=FQ","BEST_FPERIOD_OVERRIDE=FQ","FILING_STATUS=MR","SCALING_FORMAT=MLN","Sort=A","Dates=H","DateFormat=P","Fill=—","Direction=H","UseDPDF=Y")</f>
        <v>-0.75</v>
      </c>
      <c r="AA30" s="13" t="str">
        <f>_xll.BDH("ITCI US Equity","TRAIL_12M_CAP_EXPEND","FQ4 2024","FQ4 2024","Currency=USD","Period=FQ","BEST_FPERIOD_OVERRIDE=FQ","FILING_STATUS=MR","SCALING_FORMAT=MLN","Sort=A","Dates=H","DateFormat=P","Fill=—","Direction=H","UseDPDF=Y")</f>
        <v>—</v>
      </c>
    </row>
    <row r="31" spans="1:27" x14ac:dyDescent="0.25">
      <c r="A31" s="11" t="s">
        <v>1274</v>
      </c>
      <c r="B31" s="11" t="s">
        <v>68</v>
      </c>
      <c r="C31" s="25">
        <f>_xll.BDH("ITCI US Equity","ENTERPRISE_VALUE","FQ4 2018","FQ4 2018","Currency=USD","Period=FQ","BEST_FPERIOD_OVERRIDE=FQ","FILING_STATUS=MR","SCALING_FORMAT=MLN","Sort=A","Dates=H","DateFormat=P","Fill=—","Direction=H","UseDPDF=Y")</f>
        <v>277.7269</v>
      </c>
      <c r="D31" s="25">
        <f>_xll.BDH("ITCI US Equity","ENTERPRISE_VALUE","FQ1 2019","FQ1 2019","Currency=USD","Period=FQ","BEST_FPERIOD_OVERRIDE=FQ","FILING_STATUS=MR","SCALING_FORMAT=MLN","Sort=A","Dates=H","DateFormat=P","Fill=—","Direction=H","UseDPDF=Y")</f>
        <v>382.40679999999998</v>
      </c>
      <c r="E31" s="25">
        <f>_xll.BDH("ITCI US Equity","ENTERPRISE_VALUE","FQ2 2019","FQ2 2019","Currency=USD","Period=FQ","BEST_FPERIOD_OVERRIDE=FQ","FILING_STATUS=MR","SCALING_FORMAT=MLN","Sort=A","Dates=H","DateFormat=P","Fill=—","Direction=H","UseDPDF=Y")</f>
        <v>453.85449999999997</v>
      </c>
      <c r="F31" s="25">
        <f>_xll.BDH("ITCI US Equity","ENTERPRISE_VALUE","FQ3 2019","FQ3 2019","Currency=USD","Period=FQ","BEST_FPERIOD_OVERRIDE=FQ","FILING_STATUS=MR","SCALING_FORMAT=MLN","Sort=A","Dates=H","DateFormat=P","Fill=—","Direction=H","UseDPDF=Y")</f>
        <v>179.82239999999999</v>
      </c>
      <c r="G31" s="25">
        <f>_xll.BDH("ITCI US Equity","ENTERPRISE_VALUE","FQ4 2019","FQ4 2019","Currency=USD","Period=FQ","BEST_FPERIOD_OVERRIDE=FQ","FILING_STATUS=MR","SCALING_FORMAT=MLN","Sort=A","Dates=H","DateFormat=P","Fill=—","Direction=H","UseDPDF=Y")</f>
        <v>1703.5947000000001</v>
      </c>
      <c r="H31" s="25">
        <f>_xll.BDH("ITCI US Equity","ENTERPRISE_VALUE","FQ1 2020","FQ1 2020","Currency=USD","Period=FQ","BEST_FPERIOD_OVERRIDE=FQ","FILING_STATUS=MR","SCALING_FORMAT=MLN","Sort=A","Dates=H","DateFormat=P","Fill=—","Direction=H","UseDPDF=Y")</f>
        <v>591.48099999999999</v>
      </c>
      <c r="I31" s="25">
        <f>_xll.BDH("ITCI US Equity","ENTERPRISE_VALUE","FQ2 2020","FQ2 2020","Currency=USD","Period=FQ","BEST_FPERIOD_OVERRIDE=FQ","FILING_STATUS=MR","SCALING_FORMAT=MLN","Sort=A","Dates=H","DateFormat=P","Fill=—","Direction=H","UseDPDF=Y")</f>
        <v>1331.5577000000001</v>
      </c>
      <c r="J31" s="25">
        <f>_xll.BDH("ITCI US Equity","ENTERPRISE_VALUE","FQ3 2020","FQ3 2020","Currency=USD","Period=FQ","BEST_FPERIOD_OVERRIDE=FQ","FILING_STATUS=MR","SCALING_FORMAT=MLN","Sort=A","Dates=H","DateFormat=P","Fill=—","Direction=H","UseDPDF=Y")</f>
        <v>1363.6534999999999</v>
      </c>
      <c r="K31" s="25">
        <f>_xll.BDH("ITCI US Equity","ENTERPRISE_VALUE","FQ4 2020","FQ4 2020","Currency=USD","Period=FQ","BEST_FPERIOD_OVERRIDE=FQ","FILING_STATUS=MR","SCALING_FORMAT=MLN","Sort=A","Dates=H","DateFormat=P","Fill=—","Direction=H","UseDPDF=Y")</f>
        <v>1930.4203</v>
      </c>
      <c r="L31" s="25">
        <f>_xll.BDH("ITCI US Equity","ENTERPRISE_VALUE","FQ1 2021","FQ1 2021","Currency=USD","Period=FQ","BEST_FPERIOD_OVERRIDE=FQ","FILING_STATUS=MR","SCALING_FORMAT=MLN","Sort=A","Dates=H","DateFormat=P","Fill=—","Direction=H","UseDPDF=Y")</f>
        <v>2169.1172000000001</v>
      </c>
      <c r="M31" s="25">
        <f>_xll.BDH("ITCI US Equity","ENTERPRISE_VALUE","FQ2 2021","FQ2 2021","Currency=USD","Period=FQ","BEST_FPERIOD_OVERRIDE=FQ","FILING_STATUS=MR","SCALING_FORMAT=MLN","Sort=A","Dates=H","DateFormat=P","Fill=—","Direction=H","UseDPDF=Y")</f>
        <v>2791.6774</v>
      </c>
      <c r="N31" s="25">
        <f>_xll.BDH("ITCI US Equity","ENTERPRISE_VALUE","FQ3 2021","FQ3 2021","Currency=USD","Period=FQ","BEST_FPERIOD_OVERRIDE=FQ","FILING_STATUS=MR","SCALING_FORMAT=MLN","Sort=A","Dates=H","DateFormat=P","Fill=—","Direction=H","UseDPDF=Y")</f>
        <v>2582.8717000000001</v>
      </c>
      <c r="O31" s="25">
        <f>_xll.BDH("ITCI US Equity","ENTERPRISE_VALUE","FQ4 2021","FQ4 2021","Currency=USD","Period=FQ","BEST_FPERIOD_OVERRIDE=FQ","FILING_STATUS=MR","SCALING_FORMAT=MLN","Sort=A","Dates=H","DateFormat=P","Fill=—","Direction=H","UseDPDF=Y")</f>
        <v>3899.0371</v>
      </c>
      <c r="P31" s="25">
        <f>_xll.BDH("ITCI US Equity","ENTERPRISE_VALUE","FQ1 2022","FQ1 2022","Currency=USD","Period=FQ","BEST_FPERIOD_OVERRIDE=FQ","FILING_STATUS=MR","SCALING_FORMAT=MLN","Sort=A","Dates=H","DateFormat=P","Fill=—","Direction=H","UseDPDF=Y")</f>
        <v>5005.6538</v>
      </c>
      <c r="Q31" s="25">
        <f>_xll.BDH("ITCI US Equity","ENTERPRISE_VALUE","FQ2 2022","FQ2 2022","Currency=USD","Period=FQ","BEST_FPERIOD_OVERRIDE=FQ","FILING_STATUS=MR","SCALING_FORMAT=MLN","Sort=A","Dates=H","DateFormat=P","Fill=—","Direction=H","UseDPDF=Y")</f>
        <v>4735.4706999999999</v>
      </c>
      <c r="R31" s="25">
        <f>_xll.BDH("ITCI US Equity","ENTERPRISE_VALUE","FQ3 2022","FQ3 2022","Currency=USD","Period=FQ","BEST_FPERIOD_OVERRIDE=FQ","FILING_STATUS=MR","SCALING_FORMAT=MLN","Sort=A","Dates=H","DateFormat=P","Fill=—","Direction=H","UseDPDF=Y")</f>
        <v>3804.1392999999998</v>
      </c>
      <c r="S31" s="25">
        <f>_xll.BDH("ITCI US Equity","ENTERPRISE_VALUE","FQ4 2022","FQ4 2022","Currency=USD","Period=FQ","BEST_FPERIOD_OVERRIDE=FQ","FILING_STATUS=MR","SCALING_FORMAT=MLN","Sort=A","Dates=H","DateFormat=P","Fill=—","Direction=H","UseDPDF=Y")</f>
        <v>4446.5286999999998</v>
      </c>
      <c r="T31" s="25">
        <f>_xll.BDH("ITCI US Equity","ENTERPRISE_VALUE","FQ1 2023","FQ1 2023","Currency=USD","Period=FQ","BEST_FPERIOD_OVERRIDE=FQ","FILING_STATUS=MR","SCALING_FORMAT=MLN","Sort=A","Dates=H","DateFormat=P","Fill=—","Direction=H","UseDPDF=Y")</f>
        <v>4660.8576000000003</v>
      </c>
      <c r="U31" s="25">
        <f>_xll.BDH("ITCI US Equity","ENTERPRISE_VALUE","FQ2 2023","FQ2 2023","Currency=USD","Period=FQ","BEST_FPERIOD_OVERRIDE=FQ","FILING_STATUS=MR","SCALING_FORMAT=MLN","Sort=A","Dates=H","DateFormat=P","Fill=—","Direction=H","UseDPDF=Y")</f>
        <v>5589.1360999999997</v>
      </c>
      <c r="V31" s="25">
        <f>_xll.BDH("ITCI US Equity","ENTERPRISE_VALUE","FQ3 2023","FQ3 2023","Currency=USD","Period=FQ","BEST_FPERIOD_OVERRIDE=FQ","FILING_STATUS=MR","SCALING_FORMAT=MLN","Sort=A","Dates=H","DateFormat=P","Fill=—","Direction=H","UseDPDF=Y")</f>
        <v>4536.8464000000004</v>
      </c>
      <c r="W31" s="25">
        <f>_xll.BDH("ITCI US Equity","ENTERPRISE_VALUE","FQ4 2023","FQ4 2023","Currency=USD","Period=FQ","BEST_FPERIOD_OVERRIDE=FQ","FILING_STATUS=MR","SCALING_FORMAT=MLN","Sort=A","Dates=H","DateFormat=P","Fill=—","Direction=H","UseDPDF=Y")</f>
        <v>6421.7191000000003</v>
      </c>
      <c r="X31" s="25">
        <f>_xll.BDH("ITCI US Equity","ENTERPRISE_VALUE","FQ1 2024","FQ1 2024","Currency=USD","Period=FQ","BEST_FPERIOD_OVERRIDE=FQ","FILING_STATUS=MR","SCALING_FORMAT=MLN","Sort=A","Dates=H","DateFormat=P","Fill=—","Direction=H","UseDPDF=Y")</f>
        <v>6286.2179999999998</v>
      </c>
      <c r="Y31" s="25">
        <f>_xll.BDH("ITCI US Equity","ENTERPRISE_VALUE","FQ2 2024","FQ2 2024","Currency=USD","Period=FQ","BEST_FPERIOD_OVERRIDE=FQ","FILING_STATUS=MR","SCALING_FORMAT=MLN","Sort=A","Dates=H","DateFormat=P","Fill=—","Direction=H","UseDPDF=Y")</f>
        <v>6229.6305000000002</v>
      </c>
      <c r="Z31" s="25">
        <f>_xll.BDH("ITCI US Equity","ENTERPRISE_VALUE","FQ3 2024","FQ3 2024","Currency=USD","Period=FQ","BEST_FPERIOD_OVERRIDE=FQ","FILING_STATUS=MR","SCALING_FORMAT=MLN","Sort=A","Dates=H","DateFormat=P","Fill=—","Direction=H","UseDPDF=Y")</f>
        <v>6767.0781999999999</v>
      </c>
      <c r="AA31" s="25">
        <f>_xll.BDH("ITCI US Equity","ENTERPRISE_VALUE","FQ4 2024","FQ4 2024","Currency=USD","Period=FQ","BEST_FPERIOD_OVERRIDE=FQ","FILING_STATUS=MR","SCALING_FORMAT=MLN","Sort=A","Dates=H","DateFormat=P","Fill=—","Direction=H","UseDPDF=Y")</f>
        <v>7889.0806000000002</v>
      </c>
    </row>
    <row r="32" spans="1:27" x14ac:dyDescent="0.25">
      <c r="A32" s="6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 x14ac:dyDescent="0.25">
      <c r="A33" s="10" t="s">
        <v>1267</v>
      </c>
      <c r="B33" s="10" t="s">
        <v>1255</v>
      </c>
      <c r="C33" s="13">
        <f>_xll.BDH("ITCI US Equity","T12M_DVDS_PAID","FQ4 2018","FQ4 2018","Currency=USD","Period=FQ","BEST_FPERIOD_OVERRIDE=FQ","FILING_STATUS=MR","SCALING_FORMAT=MLN","Sort=A","Dates=H","DateFormat=P","Fill=—","Direction=H","UseDPDF=Y")</f>
        <v>0</v>
      </c>
      <c r="D33" s="13">
        <f>_xll.BDH("ITCI US Equity","T12M_DVDS_PAID","FQ1 2019","FQ1 2019","Currency=USD","Period=FQ","BEST_FPERIOD_OVERRIDE=FQ","FILING_STATUS=MR","SCALING_FORMAT=MLN","Sort=A","Dates=H","DateFormat=P","Fill=—","Direction=H","UseDPDF=Y")</f>
        <v>0</v>
      </c>
      <c r="E33" s="13">
        <f>_xll.BDH("ITCI US Equity","T12M_DVDS_PAID","FQ2 2019","FQ2 2019","Currency=USD","Period=FQ","BEST_FPERIOD_OVERRIDE=FQ","FILING_STATUS=MR","SCALING_FORMAT=MLN","Sort=A","Dates=H","DateFormat=P","Fill=—","Direction=H","UseDPDF=Y")</f>
        <v>0</v>
      </c>
      <c r="F33" s="13">
        <f>_xll.BDH("ITCI US Equity","T12M_DVDS_PAID","FQ3 2019","FQ3 2019","Currency=USD","Period=FQ","BEST_FPERIOD_OVERRIDE=FQ","FILING_STATUS=MR","SCALING_FORMAT=MLN","Sort=A","Dates=H","DateFormat=P","Fill=—","Direction=H","UseDPDF=Y")</f>
        <v>0</v>
      </c>
      <c r="G33" s="13">
        <f>_xll.BDH("ITCI US Equity","T12M_DVDS_PAID","FQ4 2019","FQ4 2019","Currency=USD","Period=FQ","BEST_FPERIOD_OVERRIDE=FQ","FILING_STATUS=MR","SCALING_FORMAT=MLN","Sort=A","Dates=H","DateFormat=P","Fill=—","Direction=H","UseDPDF=Y")</f>
        <v>0</v>
      </c>
      <c r="H33" s="13">
        <f>_xll.BDH("ITCI US Equity","T12M_DVDS_PAID","FQ1 2020","FQ1 2020","Currency=USD","Period=FQ","BEST_FPERIOD_OVERRIDE=FQ","FILING_STATUS=MR","SCALING_FORMAT=MLN","Sort=A","Dates=H","DateFormat=P","Fill=—","Direction=H","UseDPDF=Y")</f>
        <v>0</v>
      </c>
      <c r="I33" s="13">
        <f>_xll.BDH("ITCI US Equity","T12M_DVDS_PAID","FQ2 2020","FQ2 2020","Currency=USD","Period=FQ","BEST_FPERIOD_OVERRIDE=FQ","FILING_STATUS=MR","SCALING_FORMAT=MLN","Sort=A","Dates=H","DateFormat=P","Fill=—","Direction=H","UseDPDF=Y")</f>
        <v>0</v>
      </c>
      <c r="J33" s="13">
        <f>_xll.BDH("ITCI US Equity","T12M_DVDS_PAID","FQ3 2020","FQ3 2020","Currency=USD","Period=FQ","BEST_FPERIOD_OVERRIDE=FQ","FILING_STATUS=MR","SCALING_FORMAT=MLN","Sort=A","Dates=H","DateFormat=P","Fill=—","Direction=H","UseDPDF=Y")</f>
        <v>0</v>
      </c>
      <c r="K33" s="13">
        <f>_xll.BDH("ITCI US Equity","T12M_DVDS_PAID","FQ4 2020","FQ4 2020","Currency=USD","Period=FQ","BEST_FPERIOD_OVERRIDE=FQ","FILING_STATUS=MR","SCALING_FORMAT=MLN","Sort=A","Dates=H","DateFormat=P","Fill=—","Direction=H","UseDPDF=Y")</f>
        <v>0</v>
      </c>
      <c r="L33" s="13">
        <f>_xll.BDH("ITCI US Equity","T12M_DVDS_PAID","FQ1 2021","FQ1 2021","Currency=USD","Period=FQ","BEST_FPERIOD_OVERRIDE=FQ","FILING_STATUS=MR","SCALING_FORMAT=MLN","Sort=A","Dates=H","DateFormat=P","Fill=—","Direction=H","UseDPDF=Y")</f>
        <v>0</v>
      </c>
      <c r="M33" s="13">
        <f>_xll.BDH("ITCI US Equity","T12M_DVDS_PAID","FQ2 2021","FQ2 2021","Currency=USD","Period=FQ","BEST_FPERIOD_OVERRIDE=FQ","FILING_STATUS=MR","SCALING_FORMAT=MLN","Sort=A","Dates=H","DateFormat=P","Fill=—","Direction=H","UseDPDF=Y")</f>
        <v>0</v>
      </c>
      <c r="N33" s="13">
        <f>_xll.BDH("ITCI US Equity","T12M_DVDS_PAID","FQ3 2021","FQ3 2021","Currency=USD","Period=FQ","BEST_FPERIOD_OVERRIDE=FQ","FILING_STATUS=MR","SCALING_FORMAT=MLN","Sort=A","Dates=H","DateFormat=P","Fill=—","Direction=H","UseDPDF=Y")</f>
        <v>0</v>
      </c>
      <c r="O33" s="13">
        <f>_xll.BDH("ITCI US Equity","T12M_DVDS_PAID","FQ4 2021","FQ4 2021","Currency=USD","Period=FQ","BEST_FPERIOD_OVERRIDE=FQ","FILING_STATUS=MR","SCALING_FORMAT=MLN","Sort=A","Dates=H","DateFormat=P","Fill=—","Direction=H","UseDPDF=Y")</f>
        <v>0</v>
      </c>
      <c r="P33" s="13">
        <f>_xll.BDH("ITCI US Equity","T12M_DVDS_PAID","FQ1 2022","FQ1 2022","Currency=USD","Period=FQ","BEST_FPERIOD_OVERRIDE=FQ","FILING_STATUS=MR","SCALING_FORMAT=MLN","Sort=A","Dates=H","DateFormat=P","Fill=—","Direction=H","UseDPDF=Y")</f>
        <v>0</v>
      </c>
      <c r="Q33" s="13">
        <f>_xll.BDH("ITCI US Equity","T12M_DVDS_PAID","FQ2 2022","FQ2 2022","Currency=USD","Period=FQ","BEST_FPERIOD_OVERRIDE=FQ","FILING_STATUS=MR","SCALING_FORMAT=MLN","Sort=A","Dates=H","DateFormat=P","Fill=—","Direction=H","UseDPDF=Y")</f>
        <v>0</v>
      </c>
      <c r="R33" s="13">
        <f>_xll.BDH("ITCI US Equity","T12M_DVDS_PAID","FQ3 2022","FQ3 2022","Currency=USD","Period=FQ","BEST_FPERIOD_OVERRIDE=FQ","FILING_STATUS=MR","SCALING_FORMAT=MLN","Sort=A","Dates=H","DateFormat=P","Fill=—","Direction=H","UseDPDF=Y")</f>
        <v>0</v>
      </c>
      <c r="S33" s="13">
        <f>_xll.BDH("ITCI US Equity","T12M_DVDS_PAID","FQ4 2022","FQ4 2022","Currency=USD","Period=FQ","BEST_FPERIOD_OVERRIDE=FQ","FILING_STATUS=MR","SCALING_FORMAT=MLN","Sort=A","Dates=H","DateFormat=P","Fill=—","Direction=H","UseDPDF=Y")</f>
        <v>0</v>
      </c>
      <c r="T33" s="13">
        <f>_xll.BDH("ITCI US Equity","T12M_DVDS_PAID","FQ1 2023","FQ1 2023","Currency=USD","Period=FQ","BEST_FPERIOD_OVERRIDE=FQ","FILING_STATUS=MR","SCALING_FORMAT=MLN","Sort=A","Dates=H","DateFormat=P","Fill=—","Direction=H","UseDPDF=Y")</f>
        <v>0</v>
      </c>
      <c r="U33" s="13">
        <f>_xll.BDH("ITCI US Equity","T12M_DVDS_PAID","FQ2 2023","FQ2 2023","Currency=USD","Period=FQ","BEST_FPERIOD_OVERRIDE=FQ","FILING_STATUS=MR","SCALING_FORMAT=MLN","Sort=A","Dates=H","DateFormat=P","Fill=—","Direction=H","UseDPDF=Y")</f>
        <v>0</v>
      </c>
      <c r="V33" s="13">
        <f>_xll.BDH("ITCI US Equity","T12M_DVDS_PAID","FQ3 2023","FQ3 2023","Currency=USD","Period=FQ","BEST_FPERIOD_OVERRIDE=FQ","FILING_STATUS=MR","SCALING_FORMAT=MLN","Sort=A","Dates=H","DateFormat=P","Fill=—","Direction=H","UseDPDF=Y")</f>
        <v>0</v>
      </c>
      <c r="W33" s="13">
        <f>_xll.BDH("ITCI US Equity","T12M_DVDS_PAID","FQ4 2023","FQ4 2023","Currency=USD","Period=FQ","BEST_FPERIOD_OVERRIDE=FQ","FILING_STATUS=MR","SCALING_FORMAT=MLN","Sort=A","Dates=H","DateFormat=P","Fill=—","Direction=H","UseDPDF=Y")</f>
        <v>0</v>
      </c>
      <c r="X33" s="13">
        <f>_xll.BDH("ITCI US Equity","T12M_DVDS_PAID","FQ1 2024","FQ1 2024","Currency=USD","Period=FQ","BEST_FPERIOD_OVERRIDE=FQ","FILING_STATUS=MR","SCALING_FORMAT=MLN","Sort=A","Dates=H","DateFormat=P","Fill=—","Direction=H","UseDPDF=Y")</f>
        <v>0</v>
      </c>
      <c r="Y33" s="13">
        <f>_xll.BDH("ITCI US Equity","T12M_DVDS_PAID","FQ2 2024","FQ2 2024","Currency=USD","Period=FQ","BEST_FPERIOD_OVERRIDE=FQ","FILING_STATUS=MR","SCALING_FORMAT=MLN","Sort=A","Dates=H","DateFormat=P","Fill=—","Direction=H","UseDPDF=Y")</f>
        <v>0</v>
      </c>
      <c r="Z33" s="13">
        <f>_xll.BDH("ITCI US Equity","T12M_DVDS_PAID","FQ3 2024","FQ3 2024","Currency=USD","Period=FQ","BEST_FPERIOD_OVERRIDE=FQ","FILING_STATUS=MR","SCALING_FORMAT=MLN","Sort=A","Dates=H","DateFormat=P","Fill=—","Direction=H","UseDPDF=Y")</f>
        <v>0</v>
      </c>
      <c r="AA33" s="13">
        <f>_xll.BDH("ITCI US Equity","T12M_DVDS_PAID","FQ4 2024","FQ4 2024","Currency=USD","Period=FQ","BEST_FPERIOD_OVERRIDE=FQ","FILING_STATUS=MR","SCALING_FORMAT=MLN","Sort=A","Dates=H","DateFormat=P","Fill=—","Direction=H","UseDPDF=Y")</f>
        <v>0</v>
      </c>
    </row>
    <row r="34" spans="1:27" x14ac:dyDescent="0.25">
      <c r="A34" s="10" t="s">
        <v>1268</v>
      </c>
      <c r="B34" s="10" t="s">
        <v>1257</v>
      </c>
      <c r="C34" s="13">
        <f>_xll.BDH("ITCI US Equity","T12M_NET_CAPITAL_STOCK","FQ4 2018","FQ4 2018","Currency=USD","Period=FQ","BEST_FPERIOD_OVERRIDE=FQ","FILING_STATUS=MR","SCALING_FORMAT=MLN","Sort=A","Dates=H","DateFormat=P","Fill=—","Direction=H","UseDPDF=Y")</f>
        <v>0.67420000000000002</v>
      </c>
      <c r="D34" s="13">
        <f>_xll.BDH("ITCI US Equity","T12M_NET_CAPITAL_STOCK","FQ1 2019","FQ1 2019","Currency=USD","Period=FQ","BEST_FPERIOD_OVERRIDE=FQ","FILING_STATUS=MR","SCALING_FORMAT=MLN","Sort=A","Dates=H","DateFormat=P","Fill=—","Direction=H","UseDPDF=Y")</f>
        <v>0.36759999999999998</v>
      </c>
      <c r="E34" s="13">
        <f>_xll.BDH("ITCI US Equity","T12M_NET_CAPITAL_STOCK","FQ2 2019","FQ2 2019","Currency=USD","Period=FQ","BEST_FPERIOD_OVERRIDE=FQ","FILING_STATUS=MR","SCALING_FORMAT=MLN","Sort=A","Dates=H","DateFormat=P","Fill=—","Direction=H","UseDPDF=Y")</f>
        <v>0.62070000000000003</v>
      </c>
      <c r="F34" s="13">
        <f>_xll.BDH("ITCI US Equity","T12M_NET_CAPITAL_STOCK","FQ3 2019","FQ3 2019","Currency=USD","Period=FQ","BEST_FPERIOD_OVERRIDE=FQ","FILING_STATUS=MR","SCALING_FORMAT=MLN","Sort=A","Dates=H","DateFormat=P","Fill=—","Direction=H","UseDPDF=Y")</f>
        <v>0.61770000000000003</v>
      </c>
      <c r="G34" s="13">
        <f>_xll.BDH("ITCI US Equity","T12M_NET_CAPITAL_STOCK","FQ4 2019","FQ4 2019","Currency=USD","Period=FQ","BEST_FPERIOD_OVERRIDE=FQ","FILING_STATUS=MR","SCALING_FORMAT=MLN","Sort=A","Dates=H","DateFormat=P","Fill=—","Direction=H","UseDPDF=Y")</f>
        <v>3.2355999999999998</v>
      </c>
      <c r="H34" s="13">
        <f>_xll.BDH("ITCI US Equity","T12M_NET_CAPITAL_STOCK","FQ1 2020","FQ1 2020","Currency=USD","Period=FQ","BEST_FPERIOD_OVERRIDE=FQ","FILING_STATUS=MR","SCALING_FORMAT=MLN","Sort=A","Dates=H","DateFormat=P","Fill=—","Direction=H","UseDPDF=Y")</f>
        <v>280.77170000000001</v>
      </c>
      <c r="I34" s="13">
        <f>_xll.BDH("ITCI US Equity","T12M_NET_CAPITAL_STOCK","FQ2 2020","FQ2 2020","Currency=USD","Period=FQ","BEST_FPERIOD_OVERRIDE=FQ","FILING_STATUS=MR","SCALING_FORMAT=MLN","Sort=A","Dates=H","DateFormat=P","Fill=—","Direction=H","UseDPDF=Y")</f>
        <v>284.9923</v>
      </c>
      <c r="J34" s="13">
        <f>_xll.BDH("ITCI US Equity","T12M_NET_CAPITAL_STOCK","FQ3 2020","FQ3 2020","Currency=USD","Period=FQ","BEST_FPERIOD_OVERRIDE=FQ","FILING_STATUS=MR","SCALING_FORMAT=MLN","Sort=A","Dates=H","DateFormat=P","Fill=—","Direction=H","UseDPDF=Y")</f>
        <v>663.33439999999996</v>
      </c>
      <c r="K34" s="13">
        <f>_xll.BDH("ITCI US Equity","T12M_NET_CAPITAL_STOCK","FQ4 2020","FQ4 2020","Currency=USD","Period=FQ","BEST_FPERIOD_OVERRIDE=FQ","FILING_STATUS=MR","SCALING_FORMAT=MLN","Sort=A","Dates=H","DateFormat=P","Fill=—","Direction=H","UseDPDF=Y")</f>
        <v>664.17690000000005</v>
      </c>
      <c r="L34" s="13">
        <f>_xll.BDH("ITCI US Equity","T12M_NET_CAPITAL_STOCK","FQ1 2021","FQ1 2021","Currency=USD","Period=FQ","BEST_FPERIOD_OVERRIDE=FQ","FILING_STATUS=MR","SCALING_FORMAT=MLN","Sort=A","Dates=H","DateFormat=P","Fill=—","Direction=H","UseDPDF=Y")</f>
        <v>388.0412</v>
      </c>
      <c r="M34" s="13">
        <f>_xll.BDH("ITCI US Equity","T12M_NET_CAPITAL_STOCK","FQ2 2021","FQ2 2021","Currency=USD","Period=FQ","BEST_FPERIOD_OVERRIDE=FQ","FILING_STATUS=MR","SCALING_FORMAT=MLN","Sort=A","Dates=H","DateFormat=P","Fill=—","Direction=H","UseDPDF=Y")</f>
        <v>385.1431</v>
      </c>
      <c r="N34" s="13">
        <f>_xll.BDH("ITCI US Equity","T12M_NET_CAPITAL_STOCK","FQ3 2021","FQ3 2021","Currency=USD","Period=FQ","BEST_FPERIOD_OVERRIDE=FQ","FILING_STATUS=MR","SCALING_FORMAT=MLN","Sort=A","Dates=H","DateFormat=P","Fill=—","Direction=H","UseDPDF=Y")</f>
        <v>7.24</v>
      </c>
      <c r="O34" s="13">
        <f>_xll.BDH("ITCI US Equity","T12M_NET_CAPITAL_STOCK","FQ4 2021","FQ4 2021","Currency=USD","Period=FQ","BEST_FPERIOD_OVERRIDE=FQ","FILING_STATUS=MR","SCALING_FORMAT=MLN","Sort=A","Dates=H","DateFormat=P","Fill=—","Direction=H","UseDPDF=Y")</f>
        <v>11.5189</v>
      </c>
      <c r="P34" s="13">
        <f>_xll.BDH("ITCI US Equity","T12M_NET_CAPITAL_STOCK","FQ1 2022","FQ1 2022","Currency=USD","Period=FQ","BEST_FPERIOD_OVERRIDE=FQ","FILING_STATUS=MR","SCALING_FORMAT=MLN","Sort=A","Dates=H","DateFormat=P","Fill=—","Direction=H","UseDPDF=Y")</f>
        <v>451.90129999999999</v>
      </c>
      <c r="Q34" s="13">
        <f>_xll.BDH("ITCI US Equity","T12M_NET_CAPITAL_STOCK","FQ2 2022","FQ2 2022","Currency=USD","Period=FQ","BEST_FPERIOD_OVERRIDE=FQ","FILING_STATUS=MR","SCALING_FORMAT=MLN","Sort=A","Dates=H","DateFormat=P","Fill=—","Direction=H","UseDPDF=Y")</f>
        <v>455.8236</v>
      </c>
      <c r="R34" s="13">
        <f>_xll.BDH("ITCI US Equity","T12M_NET_CAPITAL_STOCK","FQ3 2022","FQ3 2022","Currency=USD","Period=FQ","BEST_FPERIOD_OVERRIDE=FQ","FILING_STATUS=MR","SCALING_FORMAT=MLN","Sort=A","Dates=H","DateFormat=P","Fill=—","Direction=H","UseDPDF=Y")</f>
        <v>460.88630000000001</v>
      </c>
      <c r="S34" s="13">
        <f>_xll.BDH("ITCI US Equity","T12M_NET_CAPITAL_STOCK","FQ4 2022","FQ4 2022","Currency=USD","Period=FQ","BEST_FPERIOD_OVERRIDE=FQ","FILING_STATUS=MR","SCALING_FORMAT=MLN","Sort=A","Dates=H","DateFormat=P","Fill=—","Direction=H","UseDPDF=Y")</f>
        <v>455.15899999999999</v>
      </c>
      <c r="T34" s="13">
        <f>_xll.BDH("ITCI US Equity","T12M_NET_CAPITAL_STOCK","FQ1 2023","FQ1 2023","Currency=USD","Period=FQ","BEST_FPERIOD_OVERRIDE=FQ","FILING_STATUS=MR","SCALING_FORMAT=MLN","Sort=A","Dates=H","DateFormat=P","Fill=—","Direction=H","UseDPDF=Y")</f>
        <v>16.984999999999999</v>
      </c>
      <c r="U34" s="13">
        <f>_xll.BDH("ITCI US Equity","T12M_NET_CAPITAL_STOCK","FQ2 2023","FQ2 2023","Currency=USD","Period=FQ","BEST_FPERIOD_OVERRIDE=FQ","FILING_STATUS=MR","SCALING_FORMAT=MLN","Sort=A","Dates=H","DateFormat=P","Fill=—","Direction=H","UseDPDF=Y")</f>
        <v>20.065999999999999</v>
      </c>
      <c r="V34" s="13">
        <f>_xll.BDH("ITCI US Equity","T12M_NET_CAPITAL_STOCK","FQ3 2023","FQ3 2023","Currency=USD","Period=FQ","BEST_FPERIOD_OVERRIDE=FQ","FILING_STATUS=MR","SCALING_FORMAT=MLN","Sort=A","Dates=H","DateFormat=P","Fill=—","Direction=H","UseDPDF=Y")</f>
        <v>16.992999999999999</v>
      </c>
      <c r="W34" s="13">
        <f>_xll.BDH("ITCI US Equity","T12M_NET_CAPITAL_STOCK","FQ4 2023","FQ4 2023","Currency=USD","Period=FQ","BEST_FPERIOD_OVERRIDE=FQ","FILING_STATUS=MR","SCALING_FORMAT=MLN","Sort=A","Dates=H","DateFormat=P","Fill=—","Direction=H","UseDPDF=Y")</f>
        <v>17.809999999999999</v>
      </c>
      <c r="X34" s="13">
        <f>_xll.BDH("ITCI US Equity","T12M_NET_CAPITAL_STOCK","FQ1 2024","FQ1 2024","Currency=USD","Period=FQ","BEST_FPERIOD_OVERRIDE=FQ","FILING_STATUS=MR","SCALING_FORMAT=MLN","Sort=A","Dates=H","DateFormat=P","Fill=—","Direction=H","UseDPDF=Y")</f>
        <v>24.158999999999999</v>
      </c>
      <c r="Y34" s="13">
        <f>_xll.BDH("ITCI US Equity","T12M_NET_CAPITAL_STOCK","FQ2 2024","FQ2 2024","Currency=USD","Period=FQ","BEST_FPERIOD_OVERRIDE=FQ","FILING_STATUS=MR","SCALING_FORMAT=MLN","Sort=A","Dates=H","DateFormat=P","Fill=—","Direction=H","UseDPDF=Y")</f>
        <v>560.75300000000004</v>
      </c>
      <c r="Z34" s="13">
        <f>_xll.BDH("ITCI US Equity","T12M_NET_CAPITAL_STOCK","FQ3 2024","FQ3 2024","Currency=USD","Period=FQ","BEST_FPERIOD_OVERRIDE=FQ","FILING_STATUS=MR","SCALING_FORMAT=MLN","Sort=A","Dates=H","DateFormat=P","Fill=—","Direction=H","UseDPDF=Y")</f>
        <v>564.90599999999995</v>
      </c>
      <c r="AA34" s="13">
        <f>_xll.BDH("ITCI US Equity","T12M_NET_CAPITAL_STOCK","FQ4 2024","FQ4 2024","Currency=USD","Period=FQ","BEST_FPERIOD_OVERRIDE=FQ","FILING_STATUS=MR","SCALING_FORMAT=MLN","Sort=A","Dates=H","DateFormat=P","Fill=—","Direction=H","UseDPDF=Y")</f>
        <v>567.50800000000004</v>
      </c>
    </row>
    <row r="35" spans="1:27" x14ac:dyDescent="0.25">
      <c r="A35" s="10" t="s">
        <v>1275</v>
      </c>
      <c r="B35" s="10" t="s">
        <v>1259</v>
      </c>
      <c r="C35" s="13">
        <f>_xll.BDH("ITCI US Equity","T12M_CHG_ST_BORROWINGS","FQ4 2018","FQ4 2018","Currency=USD","Period=FQ","BEST_FPERIOD_OVERRIDE=FQ","FILING_STATUS=MR","SCALING_FORMAT=MLN","Sort=A","Dates=H","DateFormat=P","Fill=—","Direction=H","UseDPDF=Y")</f>
        <v>0</v>
      </c>
      <c r="D35" s="13">
        <f>_xll.BDH("ITCI US Equity","T12M_CHG_ST_BORROWINGS","FQ1 2019","FQ1 2019","Currency=USD","Period=FQ","BEST_FPERIOD_OVERRIDE=FQ","FILING_STATUS=MR","SCALING_FORMAT=MLN","Sort=A","Dates=H","DateFormat=P","Fill=—","Direction=H","UseDPDF=Y")</f>
        <v>0</v>
      </c>
      <c r="E35" s="13">
        <f>_xll.BDH("ITCI US Equity","T12M_CHG_ST_BORROWINGS","FQ2 2019","FQ2 2019","Currency=USD","Period=FQ","BEST_FPERIOD_OVERRIDE=FQ","FILING_STATUS=MR","SCALING_FORMAT=MLN","Sort=A","Dates=H","DateFormat=P","Fill=—","Direction=H","UseDPDF=Y")</f>
        <v>0</v>
      </c>
      <c r="F35" s="13">
        <f>_xll.BDH("ITCI US Equity","T12M_CHG_ST_BORROWINGS","FQ3 2019","FQ3 2019","Currency=USD","Period=FQ","BEST_FPERIOD_OVERRIDE=FQ","FILING_STATUS=MR","SCALING_FORMAT=MLN","Sort=A","Dates=H","DateFormat=P","Fill=—","Direction=H","UseDPDF=Y")</f>
        <v>0</v>
      </c>
      <c r="G35" s="13">
        <f>_xll.BDH("ITCI US Equity","T12M_CHG_ST_BORROWINGS","FQ4 2019","FQ4 2019","Currency=USD","Period=FQ","BEST_FPERIOD_OVERRIDE=FQ","FILING_STATUS=MR","SCALING_FORMAT=MLN","Sort=A","Dates=H","DateFormat=P","Fill=—","Direction=H","UseDPDF=Y")</f>
        <v>0</v>
      </c>
      <c r="H35" s="13">
        <f>_xll.BDH("ITCI US Equity","T12M_CHG_ST_BORROWINGS","FQ1 2020","FQ1 2020","Currency=USD","Period=FQ","BEST_FPERIOD_OVERRIDE=FQ","FILING_STATUS=MR","SCALING_FORMAT=MLN","Sort=A","Dates=H","DateFormat=P","Fill=—","Direction=H","UseDPDF=Y")</f>
        <v>0</v>
      </c>
      <c r="I35" s="13">
        <f>_xll.BDH("ITCI US Equity","T12M_CHG_ST_BORROWINGS","FQ2 2020","FQ2 2020","Currency=USD","Period=FQ","BEST_FPERIOD_OVERRIDE=FQ","FILING_STATUS=MR","SCALING_FORMAT=MLN","Sort=A","Dates=H","DateFormat=P","Fill=—","Direction=H","UseDPDF=Y")</f>
        <v>0</v>
      </c>
      <c r="J35" s="13">
        <f>_xll.BDH("ITCI US Equity","T12M_CHG_ST_BORROWINGS","FQ3 2020","FQ3 2020","Currency=USD","Period=FQ","BEST_FPERIOD_OVERRIDE=FQ","FILING_STATUS=MR","SCALING_FORMAT=MLN","Sort=A","Dates=H","DateFormat=P","Fill=—","Direction=H","UseDPDF=Y")</f>
        <v>0</v>
      </c>
      <c r="K35" s="13">
        <f>_xll.BDH("ITCI US Equity","T12M_CHG_ST_BORROWINGS","FQ4 2020","FQ4 2020","Currency=USD","Period=FQ","BEST_FPERIOD_OVERRIDE=FQ","FILING_STATUS=MR","SCALING_FORMAT=MLN","Sort=A","Dates=H","DateFormat=P","Fill=—","Direction=H","UseDPDF=Y")</f>
        <v>0</v>
      </c>
      <c r="L35" s="13">
        <f>_xll.BDH("ITCI US Equity","T12M_CHG_ST_BORROWINGS","FQ1 2021","FQ1 2021","Currency=USD","Period=FQ","BEST_FPERIOD_OVERRIDE=FQ","FILING_STATUS=MR","SCALING_FORMAT=MLN","Sort=A","Dates=H","DateFormat=P","Fill=—","Direction=H","UseDPDF=Y")</f>
        <v>0</v>
      </c>
      <c r="M35" s="13">
        <f>_xll.BDH("ITCI US Equity","T12M_CHG_ST_BORROWINGS","FQ2 2021","FQ2 2021","Currency=USD","Period=FQ","BEST_FPERIOD_OVERRIDE=FQ","FILING_STATUS=MR","SCALING_FORMAT=MLN","Sort=A","Dates=H","DateFormat=P","Fill=—","Direction=H","UseDPDF=Y")</f>
        <v>0</v>
      </c>
      <c r="N35" s="13">
        <f>_xll.BDH("ITCI US Equity","T12M_CHG_ST_BORROWINGS","FQ3 2021","FQ3 2021","Currency=USD","Period=FQ","BEST_FPERIOD_OVERRIDE=FQ","FILING_STATUS=MR","SCALING_FORMAT=MLN","Sort=A","Dates=H","DateFormat=P","Fill=—","Direction=H","UseDPDF=Y")</f>
        <v>0</v>
      </c>
      <c r="O35" s="13">
        <f>_xll.BDH("ITCI US Equity","T12M_CHG_ST_BORROWINGS","FQ4 2021","FQ4 2021","Currency=USD","Period=FQ","BEST_FPERIOD_OVERRIDE=FQ","FILING_STATUS=MR","SCALING_FORMAT=MLN","Sort=A","Dates=H","DateFormat=P","Fill=—","Direction=H","UseDPDF=Y")</f>
        <v>0</v>
      </c>
      <c r="P35" s="13">
        <f>_xll.BDH("ITCI US Equity","T12M_CHG_ST_BORROWINGS","FQ1 2022","FQ1 2022","Currency=USD","Period=FQ","BEST_FPERIOD_OVERRIDE=FQ","FILING_STATUS=MR","SCALING_FORMAT=MLN","Sort=A","Dates=H","DateFormat=P","Fill=—","Direction=H","UseDPDF=Y")</f>
        <v>0</v>
      </c>
      <c r="Q35" s="13">
        <f>_xll.BDH("ITCI US Equity","T12M_CHG_ST_BORROWINGS","FQ2 2022","FQ2 2022","Currency=USD","Period=FQ","BEST_FPERIOD_OVERRIDE=FQ","FILING_STATUS=MR","SCALING_FORMAT=MLN","Sort=A","Dates=H","DateFormat=P","Fill=—","Direction=H","UseDPDF=Y")</f>
        <v>0</v>
      </c>
      <c r="R35" s="13">
        <f>_xll.BDH("ITCI US Equity","T12M_CHG_ST_BORROWINGS","FQ3 2022","FQ3 2022","Currency=USD","Period=FQ","BEST_FPERIOD_OVERRIDE=FQ","FILING_STATUS=MR","SCALING_FORMAT=MLN","Sort=A","Dates=H","DateFormat=P","Fill=—","Direction=H","UseDPDF=Y")</f>
        <v>0</v>
      </c>
      <c r="S35" s="13">
        <f>_xll.BDH("ITCI US Equity","T12M_CHG_ST_BORROWINGS","FQ4 2022","FQ4 2022","Currency=USD","Period=FQ","BEST_FPERIOD_OVERRIDE=FQ","FILING_STATUS=MR","SCALING_FORMAT=MLN","Sort=A","Dates=H","DateFormat=P","Fill=—","Direction=H","UseDPDF=Y")</f>
        <v>0</v>
      </c>
      <c r="T35" s="13">
        <f>_xll.BDH("ITCI US Equity","T12M_CHG_ST_BORROWINGS","FQ1 2023","FQ1 2023","Currency=USD","Period=FQ","BEST_FPERIOD_OVERRIDE=FQ","FILING_STATUS=MR","SCALING_FORMAT=MLN","Sort=A","Dates=H","DateFormat=P","Fill=—","Direction=H","UseDPDF=Y")</f>
        <v>0</v>
      </c>
      <c r="U35" s="13">
        <f>_xll.BDH("ITCI US Equity","T12M_CHG_ST_BORROWINGS","FQ2 2023","FQ2 2023","Currency=USD","Period=FQ","BEST_FPERIOD_OVERRIDE=FQ","FILING_STATUS=MR","SCALING_FORMAT=MLN","Sort=A","Dates=H","DateFormat=P","Fill=—","Direction=H","UseDPDF=Y")</f>
        <v>0</v>
      </c>
      <c r="V35" s="13">
        <f>_xll.BDH("ITCI US Equity","T12M_CHG_ST_BORROWINGS","FQ3 2023","FQ3 2023","Currency=USD","Period=FQ","BEST_FPERIOD_OVERRIDE=FQ","FILING_STATUS=MR","SCALING_FORMAT=MLN","Sort=A","Dates=H","DateFormat=P","Fill=—","Direction=H","UseDPDF=Y")</f>
        <v>0</v>
      </c>
      <c r="W35" s="13">
        <f>_xll.BDH("ITCI US Equity","T12M_CHG_ST_BORROWINGS","FQ4 2023","FQ4 2023","Currency=USD","Period=FQ","BEST_FPERIOD_OVERRIDE=FQ","FILING_STATUS=MR","SCALING_FORMAT=MLN","Sort=A","Dates=H","DateFormat=P","Fill=—","Direction=H","UseDPDF=Y")</f>
        <v>0</v>
      </c>
      <c r="X35" s="13">
        <f>_xll.BDH("ITCI US Equity","T12M_CHG_ST_BORROWINGS","FQ1 2024","FQ1 2024","Currency=USD","Period=FQ","BEST_FPERIOD_OVERRIDE=FQ","FILING_STATUS=MR","SCALING_FORMAT=MLN","Sort=A","Dates=H","DateFormat=P","Fill=—","Direction=H","UseDPDF=Y")</f>
        <v>0</v>
      </c>
      <c r="Y35" s="13">
        <f>_xll.BDH("ITCI US Equity","T12M_CHG_ST_BORROWINGS","FQ2 2024","FQ2 2024","Currency=USD","Period=FQ","BEST_FPERIOD_OVERRIDE=FQ","FILING_STATUS=MR","SCALING_FORMAT=MLN","Sort=A","Dates=H","DateFormat=P","Fill=—","Direction=H","UseDPDF=Y")</f>
        <v>0</v>
      </c>
      <c r="Z35" s="13">
        <f>_xll.BDH("ITCI US Equity","T12M_CHG_ST_BORROWINGS","FQ3 2024","FQ3 2024","Currency=USD","Period=FQ","BEST_FPERIOD_OVERRIDE=FQ","FILING_STATUS=MR","SCALING_FORMAT=MLN","Sort=A","Dates=H","DateFormat=P","Fill=—","Direction=H","UseDPDF=Y")</f>
        <v>0</v>
      </c>
      <c r="AA35" s="13">
        <f>_xll.BDH("ITCI US Equity","T12M_CHG_ST_BORROWINGS","FQ4 2024","FQ4 2024","Currency=USD","Period=FQ","BEST_FPERIOD_OVERRIDE=FQ","FILING_STATUS=MR","SCALING_FORMAT=MLN","Sort=A","Dates=H","DateFormat=P","Fill=—","Direction=H","UseDPDF=Y")</f>
        <v>0</v>
      </c>
    </row>
    <row r="36" spans="1:27" x14ac:dyDescent="0.25">
      <c r="A36" s="10" t="s">
        <v>1276</v>
      </c>
      <c r="B36" s="10" t="s">
        <v>1261</v>
      </c>
      <c r="C36" s="13">
        <f>_xll.BDH("ITCI US Equity","T12M_CHG_LT_DEBT","FQ4 2018","FQ4 2018","Currency=USD","Period=FQ","BEST_FPERIOD_OVERRIDE=FQ","FILING_STATUS=MR","SCALING_FORMAT=MLN","Sort=A","Dates=H","DateFormat=P","Fill=—","Direction=H","UseDPDF=Y")</f>
        <v>0</v>
      </c>
      <c r="D36" s="13">
        <f>_xll.BDH("ITCI US Equity","T12M_CHG_LT_DEBT","FQ1 2019","FQ1 2019","Currency=USD","Period=FQ","BEST_FPERIOD_OVERRIDE=FQ","FILING_STATUS=MR","SCALING_FORMAT=MLN","Sort=A","Dates=H","DateFormat=P","Fill=—","Direction=H","UseDPDF=Y")</f>
        <v>0</v>
      </c>
      <c r="E36" s="13">
        <f>_xll.BDH("ITCI US Equity","T12M_CHG_LT_DEBT","FQ2 2019","FQ2 2019","Currency=USD","Period=FQ","BEST_FPERIOD_OVERRIDE=FQ","FILING_STATUS=MR","SCALING_FORMAT=MLN","Sort=A","Dates=H","DateFormat=P","Fill=—","Direction=H","UseDPDF=Y")</f>
        <v>0</v>
      </c>
      <c r="F36" s="13">
        <f>_xll.BDH("ITCI US Equity","T12M_CHG_LT_DEBT","FQ3 2019","FQ3 2019","Currency=USD","Period=FQ","BEST_FPERIOD_OVERRIDE=FQ","FILING_STATUS=MR","SCALING_FORMAT=MLN","Sort=A","Dates=H","DateFormat=P","Fill=—","Direction=H","UseDPDF=Y")</f>
        <v>0</v>
      </c>
      <c r="G36" s="13">
        <f>_xll.BDH("ITCI US Equity","T12M_CHG_LT_DEBT","FQ4 2019","FQ4 2019","Currency=USD","Period=FQ","BEST_FPERIOD_OVERRIDE=FQ","FILING_STATUS=MR","SCALING_FORMAT=MLN","Sort=A","Dates=H","DateFormat=P","Fill=—","Direction=H","UseDPDF=Y")</f>
        <v>0</v>
      </c>
      <c r="H36" s="13">
        <f>_xll.BDH("ITCI US Equity","T12M_CHG_LT_DEBT","FQ1 2020","FQ1 2020","Currency=USD","Period=FQ","BEST_FPERIOD_OVERRIDE=FQ","FILING_STATUS=MR","SCALING_FORMAT=MLN","Sort=A","Dates=H","DateFormat=P","Fill=—","Direction=H","UseDPDF=Y")</f>
        <v>0</v>
      </c>
      <c r="I36" s="13">
        <f>_xll.BDH("ITCI US Equity","T12M_CHG_LT_DEBT","FQ2 2020","FQ2 2020","Currency=USD","Period=FQ","BEST_FPERIOD_OVERRIDE=FQ","FILING_STATUS=MR","SCALING_FORMAT=MLN","Sort=A","Dates=H","DateFormat=P","Fill=—","Direction=H","UseDPDF=Y")</f>
        <v>0</v>
      </c>
      <c r="J36" s="13">
        <f>_xll.BDH("ITCI US Equity","T12M_CHG_LT_DEBT","FQ3 2020","FQ3 2020","Currency=USD","Period=FQ","BEST_FPERIOD_OVERRIDE=FQ","FILING_STATUS=MR","SCALING_FORMAT=MLN","Sort=A","Dates=H","DateFormat=P","Fill=—","Direction=H","UseDPDF=Y")</f>
        <v>0</v>
      </c>
      <c r="K36" s="13">
        <f>_xll.BDH("ITCI US Equity","T12M_CHG_LT_DEBT","FQ4 2020","FQ4 2020","Currency=USD","Period=FQ","BEST_FPERIOD_OVERRIDE=FQ","FILING_STATUS=MR","SCALING_FORMAT=MLN","Sort=A","Dates=H","DateFormat=P","Fill=—","Direction=H","UseDPDF=Y")</f>
        <v>0</v>
      </c>
      <c r="L36" s="13">
        <f>_xll.BDH("ITCI US Equity","T12M_CHG_LT_DEBT","FQ1 2021","FQ1 2021","Currency=USD","Period=FQ","BEST_FPERIOD_OVERRIDE=FQ","FILING_STATUS=MR","SCALING_FORMAT=MLN","Sort=A","Dates=H","DateFormat=P","Fill=—","Direction=H","UseDPDF=Y")</f>
        <v>0</v>
      </c>
      <c r="M36" s="13">
        <f>_xll.BDH("ITCI US Equity","T12M_CHG_LT_DEBT","FQ2 2021","FQ2 2021","Currency=USD","Period=FQ","BEST_FPERIOD_OVERRIDE=FQ","FILING_STATUS=MR","SCALING_FORMAT=MLN","Sort=A","Dates=H","DateFormat=P","Fill=—","Direction=H","UseDPDF=Y")</f>
        <v>0</v>
      </c>
      <c r="N36" s="13">
        <f>_xll.BDH("ITCI US Equity","T12M_CHG_LT_DEBT","FQ3 2021","FQ3 2021","Currency=USD","Period=FQ","BEST_FPERIOD_OVERRIDE=FQ","FILING_STATUS=MR","SCALING_FORMAT=MLN","Sort=A","Dates=H","DateFormat=P","Fill=—","Direction=H","UseDPDF=Y")</f>
        <v>0</v>
      </c>
      <c r="O36" s="13">
        <f>_xll.BDH("ITCI US Equity","T12M_CHG_LT_DEBT","FQ4 2021","FQ4 2021","Currency=USD","Period=FQ","BEST_FPERIOD_OVERRIDE=FQ","FILING_STATUS=MR","SCALING_FORMAT=MLN","Sort=A","Dates=H","DateFormat=P","Fill=—","Direction=H","UseDPDF=Y")</f>
        <v>0</v>
      </c>
      <c r="P36" s="13">
        <f>_xll.BDH("ITCI US Equity","T12M_CHG_LT_DEBT","FQ1 2022","FQ1 2022","Currency=USD","Period=FQ","BEST_FPERIOD_OVERRIDE=FQ","FILING_STATUS=MR","SCALING_FORMAT=MLN","Sort=A","Dates=H","DateFormat=P","Fill=—","Direction=H","UseDPDF=Y")</f>
        <v>0</v>
      </c>
      <c r="Q36" s="13">
        <f>_xll.BDH("ITCI US Equity","T12M_CHG_LT_DEBT","FQ2 2022","FQ2 2022","Currency=USD","Period=FQ","BEST_FPERIOD_OVERRIDE=FQ","FILING_STATUS=MR","SCALING_FORMAT=MLN","Sort=A","Dates=H","DateFormat=P","Fill=—","Direction=H","UseDPDF=Y")</f>
        <v>0</v>
      </c>
      <c r="R36" s="13">
        <f>_xll.BDH("ITCI US Equity","T12M_CHG_LT_DEBT","FQ3 2022","FQ3 2022","Currency=USD","Period=FQ","BEST_FPERIOD_OVERRIDE=FQ","FILING_STATUS=MR","SCALING_FORMAT=MLN","Sort=A","Dates=H","DateFormat=P","Fill=—","Direction=H","UseDPDF=Y")</f>
        <v>0</v>
      </c>
      <c r="S36" s="13">
        <f>_xll.BDH("ITCI US Equity","T12M_CHG_LT_DEBT","FQ4 2022","FQ4 2022","Currency=USD","Period=FQ","BEST_FPERIOD_OVERRIDE=FQ","FILING_STATUS=MR","SCALING_FORMAT=MLN","Sort=A","Dates=H","DateFormat=P","Fill=—","Direction=H","UseDPDF=Y")</f>
        <v>0</v>
      </c>
      <c r="T36" s="13">
        <f>_xll.BDH("ITCI US Equity","T12M_CHG_LT_DEBT","FQ1 2023","FQ1 2023","Currency=USD","Period=FQ","BEST_FPERIOD_OVERRIDE=FQ","FILING_STATUS=MR","SCALING_FORMAT=MLN","Sort=A","Dates=H","DateFormat=P","Fill=—","Direction=H","UseDPDF=Y")</f>
        <v>0</v>
      </c>
      <c r="U36" s="13">
        <f>_xll.BDH("ITCI US Equity","T12M_CHG_LT_DEBT","FQ2 2023","FQ2 2023","Currency=USD","Period=FQ","BEST_FPERIOD_OVERRIDE=FQ","FILING_STATUS=MR","SCALING_FORMAT=MLN","Sort=A","Dates=H","DateFormat=P","Fill=—","Direction=H","UseDPDF=Y")</f>
        <v>0</v>
      </c>
      <c r="V36" s="13">
        <f>_xll.BDH("ITCI US Equity","T12M_CHG_LT_DEBT","FQ3 2023","FQ3 2023","Currency=USD","Period=FQ","BEST_FPERIOD_OVERRIDE=FQ","FILING_STATUS=MR","SCALING_FORMAT=MLN","Sort=A","Dates=H","DateFormat=P","Fill=—","Direction=H","UseDPDF=Y")</f>
        <v>0</v>
      </c>
      <c r="W36" s="13">
        <f>_xll.BDH("ITCI US Equity","T12M_CHG_LT_DEBT","FQ4 2023","FQ4 2023","Currency=USD","Period=FQ","BEST_FPERIOD_OVERRIDE=FQ","FILING_STATUS=MR","SCALING_FORMAT=MLN","Sort=A","Dates=H","DateFormat=P","Fill=—","Direction=H","UseDPDF=Y")</f>
        <v>0</v>
      </c>
      <c r="X36" s="13">
        <f>_xll.BDH("ITCI US Equity","T12M_CHG_LT_DEBT","FQ1 2024","FQ1 2024","Currency=USD","Period=FQ","BEST_FPERIOD_OVERRIDE=FQ","FILING_STATUS=MR","SCALING_FORMAT=MLN","Sort=A","Dates=H","DateFormat=P","Fill=—","Direction=H","UseDPDF=Y")</f>
        <v>0</v>
      </c>
      <c r="Y36" s="13">
        <f>_xll.BDH("ITCI US Equity","T12M_CHG_LT_DEBT","FQ2 2024","FQ2 2024","Currency=USD","Period=FQ","BEST_FPERIOD_OVERRIDE=FQ","FILING_STATUS=MR","SCALING_FORMAT=MLN","Sort=A","Dates=H","DateFormat=P","Fill=—","Direction=H","UseDPDF=Y")</f>
        <v>0</v>
      </c>
      <c r="Z36" s="13">
        <f>_xll.BDH("ITCI US Equity","T12M_CHG_LT_DEBT","FQ3 2024","FQ3 2024","Currency=USD","Period=FQ","BEST_FPERIOD_OVERRIDE=FQ","FILING_STATUS=MR","SCALING_FORMAT=MLN","Sort=A","Dates=H","DateFormat=P","Fill=—","Direction=H","UseDPDF=Y")</f>
        <v>0</v>
      </c>
      <c r="AA36" s="13">
        <f>_xll.BDH("ITCI US Equity","T12M_CHG_LT_DEBT","FQ4 2024","FQ4 2024","Currency=USD","Period=FQ","BEST_FPERIOD_OVERRIDE=FQ","FILING_STATUS=MR","SCALING_FORMAT=MLN","Sort=A","Dates=H","DateFormat=P","Fill=—","Direction=H","UseDPDF=Y")</f>
        <v>0</v>
      </c>
    </row>
    <row r="37" spans="1:27" x14ac:dyDescent="0.25">
      <c r="A37" s="10" t="s">
        <v>1277</v>
      </c>
      <c r="B37" s="10" t="s">
        <v>1262</v>
      </c>
      <c r="C37" s="13">
        <f>_xll.BDH("ITCI US Equity","T12_OTHER_CFF","FQ4 2018","FQ4 2018","Currency=USD","Period=FQ","BEST_FPERIOD_OVERRIDE=FQ","FILING_STATUS=MR","SCALING_FORMAT=MLN","Sort=A","Dates=H","DateFormat=P","Fill=—","Direction=H","UseDPDF=Y")</f>
        <v>1.0999999999999999E-2</v>
      </c>
      <c r="D37" s="13">
        <f>_xll.BDH("ITCI US Equity","T12_OTHER_CFF","FQ1 2019","FQ1 2019","Currency=USD","Period=FQ","BEST_FPERIOD_OVERRIDE=FQ","FILING_STATUS=MR","SCALING_FORMAT=MLN","Sort=A","Dates=H","DateFormat=P","Fill=—","Direction=H","UseDPDF=Y")</f>
        <v>1.0999999999999999E-2</v>
      </c>
      <c r="E37" s="13">
        <f>_xll.BDH("ITCI US Equity","T12_OTHER_CFF","FQ2 2019","FQ2 2019","Currency=USD","Period=FQ","BEST_FPERIOD_OVERRIDE=FQ","FILING_STATUS=MR","SCALING_FORMAT=MLN","Sort=A","Dates=H","DateFormat=P","Fill=—","Direction=H","UseDPDF=Y")</f>
        <v>1.0999999999999999E-2</v>
      </c>
      <c r="F37" s="13">
        <f>_xll.BDH("ITCI US Equity","T12_OTHER_CFF","FQ3 2019","FQ3 2019","Currency=USD","Period=FQ","BEST_FPERIOD_OVERRIDE=FQ","FILING_STATUS=MR","SCALING_FORMAT=MLN","Sort=A","Dates=H","DateFormat=P","Fill=—","Direction=H","UseDPDF=Y")</f>
        <v>1.0999999999999999E-2</v>
      </c>
      <c r="G37" s="13">
        <f>_xll.BDH("ITCI US Equity","T12_OTHER_CFF","FQ4 2019","FQ4 2019","Currency=USD","Period=FQ","BEST_FPERIOD_OVERRIDE=FQ","FILING_STATUS=MR","SCALING_FORMAT=MLN","Sort=A","Dates=H","DateFormat=P","Fill=—","Direction=H","UseDPDF=Y")</f>
        <v>0</v>
      </c>
      <c r="H37" s="13">
        <f>_xll.BDH("ITCI US Equity","T12_OTHER_CFF","FQ1 2020","FQ1 2020","Currency=USD","Period=FQ","BEST_FPERIOD_OVERRIDE=FQ","FILING_STATUS=MR","SCALING_FORMAT=MLN","Sort=A","Dates=H","DateFormat=P","Fill=—","Direction=H","UseDPDF=Y")</f>
        <v>0</v>
      </c>
      <c r="I37" s="13">
        <f>_xll.BDH("ITCI US Equity","T12_OTHER_CFF","FQ2 2020","FQ2 2020","Currency=USD","Period=FQ","BEST_FPERIOD_OVERRIDE=FQ","FILING_STATUS=MR","SCALING_FORMAT=MLN","Sort=A","Dates=H","DateFormat=P","Fill=—","Direction=H","UseDPDF=Y")</f>
        <v>0</v>
      </c>
      <c r="J37" s="13">
        <f>_xll.BDH("ITCI US Equity","T12_OTHER_CFF","FQ3 2020","FQ3 2020","Currency=USD","Period=FQ","BEST_FPERIOD_OVERRIDE=FQ","FILING_STATUS=MR","SCALING_FORMAT=MLN","Sort=A","Dates=H","DateFormat=P","Fill=—","Direction=H","UseDPDF=Y")</f>
        <v>0</v>
      </c>
      <c r="K37" s="13">
        <f>_xll.BDH("ITCI US Equity","T12_OTHER_CFF","FQ4 2020","FQ4 2020","Currency=USD","Period=FQ","BEST_FPERIOD_OVERRIDE=FQ","FILING_STATUS=MR","SCALING_FORMAT=MLN","Sort=A","Dates=H","DateFormat=P","Fill=—","Direction=H","UseDPDF=Y")</f>
        <v>0</v>
      </c>
      <c r="L37" s="13">
        <f>_xll.BDH("ITCI US Equity","T12_OTHER_CFF","FQ1 2021","FQ1 2021","Currency=USD","Period=FQ","BEST_FPERIOD_OVERRIDE=FQ","FILING_STATUS=MR","SCALING_FORMAT=MLN","Sort=A","Dates=H","DateFormat=P","Fill=—","Direction=H","UseDPDF=Y")</f>
        <v>0</v>
      </c>
      <c r="M37" s="13">
        <f>_xll.BDH("ITCI US Equity","T12_OTHER_CFF","FQ2 2021","FQ2 2021","Currency=USD","Period=FQ","BEST_FPERIOD_OVERRIDE=FQ","FILING_STATUS=MR","SCALING_FORMAT=MLN","Sort=A","Dates=H","DateFormat=P","Fill=—","Direction=H","UseDPDF=Y")</f>
        <v>0</v>
      </c>
      <c r="N37" s="13">
        <f>_xll.BDH("ITCI US Equity","T12_OTHER_CFF","FQ3 2021","FQ3 2021","Currency=USD","Period=FQ","BEST_FPERIOD_OVERRIDE=FQ","FILING_STATUS=MR","SCALING_FORMAT=MLN","Sort=A","Dates=H","DateFormat=P","Fill=—","Direction=H","UseDPDF=Y")</f>
        <v>0</v>
      </c>
      <c r="O37" s="13">
        <f>_xll.BDH("ITCI US Equity","T12_OTHER_CFF","FQ4 2021","FQ4 2021","Currency=USD","Period=FQ","BEST_FPERIOD_OVERRIDE=FQ","FILING_STATUS=MR","SCALING_FORMAT=MLN","Sort=A","Dates=H","DateFormat=P","Fill=—","Direction=H","UseDPDF=Y")</f>
        <v>0</v>
      </c>
      <c r="P37" s="13">
        <f>_xll.BDH("ITCI US Equity","T12_OTHER_CFF","FQ1 2022","FQ1 2022","Currency=USD","Period=FQ","BEST_FPERIOD_OVERRIDE=FQ","FILING_STATUS=MR","SCALING_FORMAT=MLN","Sort=A","Dates=H","DateFormat=P","Fill=—","Direction=H","UseDPDF=Y")</f>
        <v>0</v>
      </c>
      <c r="Q37" s="13">
        <f>_xll.BDH("ITCI US Equity","T12_OTHER_CFF","FQ2 2022","FQ2 2022","Currency=USD","Period=FQ","BEST_FPERIOD_OVERRIDE=FQ","FILING_STATUS=MR","SCALING_FORMAT=MLN","Sort=A","Dates=H","DateFormat=P","Fill=—","Direction=H","UseDPDF=Y")</f>
        <v>0</v>
      </c>
      <c r="R37" s="13">
        <f>_xll.BDH("ITCI US Equity","T12_OTHER_CFF","FQ3 2022","FQ3 2022","Currency=USD","Period=FQ","BEST_FPERIOD_OVERRIDE=FQ","FILING_STATUS=MR","SCALING_FORMAT=MLN","Sort=A","Dates=H","DateFormat=P","Fill=—","Direction=H","UseDPDF=Y")</f>
        <v>0</v>
      </c>
      <c r="S37" s="13">
        <f>_xll.BDH("ITCI US Equity","T12_OTHER_CFF","FQ4 2022","FQ4 2022","Currency=USD","Period=FQ","BEST_FPERIOD_OVERRIDE=FQ","FILING_STATUS=MR","SCALING_FORMAT=MLN","Sort=A","Dates=H","DateFormat=P","Fill=—","Direction=H","UseDPDF=Y")</f>
        <v>0</v>
      </c>
      <c r="T37" s="13">
        <f>_xll.BDH("ITCI US Equity","T12_OTHER_CFF","FQ1 2023","FQ1 2023","Currency=USD","Period=FQ","BEST_FPERIOD_OVERRIDE=FQ","FILING_STATUS=MR","SCALING_FORMAT=MLN","Sort=A","Dates=H","DateFormat=P","Fill=—","Direction=H","UseDPDF=Y")</f>
        <v>0</v>
      </c>
      <c r="U37" s="13">
        <f>_xll.BDH("ITCI US Equity","T12_OTHER_CFF","FQ2 2023","FQ2 2023","Currency=USD","Period=FQ","BEST_FPERIOD_OVERRIDE=FQ","FILING_STATUS=MR","SCALING_FORMAT=MLN","Sort=A","Dates=H","DateFormat=P","Fill=—","Direction=H","UseDPDF=Y")</f>
        <v>0</v>
      </c>
      <c r="V37" s="13">
        <f>_xll.BDH("ITCI US Equity","T12_OTHER_CFF","FQ3 2023","FQ3 2023","Currency=USD","Period=FQ","BEST_FPERIOD_OVERRIDE=FQ","FILING_STATUS=MR","SCALING_FORMAT=MLN","Sort=A","Dates=H","DateFormat=P","Fill=—","Direction=H","UseDPDF=Y")</f>
        <v>0</v>
      </c>
      <c r="W37" s="13">
        <f>_xll.BDH("ITCI US Equity","T12_OTHER_CFF","FQ4 2023","FQ4 2023","Currency=USD","Period=FQ","BEST_FPERIOD_OVERRIDE=FQ","FILING_STATUS=MR","SCALING_FORMAT=MLN","Sort=A","Dates=H","DateFormat=P","Fill=—","Direction=H","UseDPDF=Y")</f>
        <v>0</v>
      </c>
      <c r="X37" s="13">
        <f>_xll.BDH("ITCI US Equity","T12_OTHER_CFF","FQ1 2024","FQ1 2024","Currency=USD","Period=FQ","BEST_FPERIOD_OVERRIDE=FQ","FILING_STATUS=MR","SCALING_FORMAT=MLN","Sort=A","Dates=H","DateFormat=P","Fill=—","Direction=H","UseDPDF=Y")</f>
        <v>0</v>
      </c>
      <c r="Y37" s="13">
        <f>_xll.BDH("ITCI US Equity","T12_OTHER_CFF","FQ2 2024","FQ2 2024","Currency=USD","Period=FQ","BEST_FPERIOD_OVERRIDE=FQ","FILING_STATUS=MR","SCALING_FORMAT=MLN","Sort=A","Dates=H","DateFormat=P","Fill=—","Direction=H","UseDPDF=Y")</f>
        <v>0</v>
      </c>
      <c r="Z37" s="13">
        <f>_xll.BDH("ITCI US Equity","T12_OTHER_CFF","FQ3 2024","FQ3 2024","Currency=USD","Period=FQ","BEST_FPERIOD_OVERRIDE=FQ","FILING_STATUS=MR","SCALING_FORMAT=MLN","Sort=A","Dates=H","DateFormat=P","Fill=—","Direction=H","UseDPDF=Y")</f>
        <v>0</v>
      </c>
      <c r="AA37" s="13">
        <f>_xll.BDH("ITCI US Equity","T12_OTHER_CFF","FQ4 2024","FQ4 2024","Currency=USD","Period=FQ","BEST_FPERIOD_OVERRIDE=FQ","FILING_STATUS=MR","SCALING_FORMAT=MLN","Sort=A","Dates=H","DateFormat=P","Fill=—","Direction=H","UseDPDF=Y")</f>
        <v>0</v>
      </c>
    </row>
    <row r="38" spans="1:27" x14ac:dyDescent="0.25">
      <c r="A38" s="6" t="s">
        <v>1263</v>
      </c>
      <c r="B38" s="6" t="s">
        <v>1264</v>
      </c>
      <c r="C38" s="19">
        <f>_xll.BDH("ITCI US Equity","T12_CFF","FQ4 2018","FQ4 2018","Currency=USD","Period=FQ","BEST_FPERIOD_OVERRIDE=FQ","FILING_STATUS=MR","SCALING_FORMAT=MLN","Sort=A","Dates=H","DateFormat=P","Fill=—","Direction=H","UseDPDF=Y")</f>
        <v>0.68520000000000003</v>
      </c>
      <c r="D38" s="19">
        <f>_xll.BDH("ITCI US Equity","T12_CFF","FQ1 2019","FQ1 2019","Currency=USD","Period=FQ","BEST_FPERIOD_OVERRIDE=FQ","FILING_STATUS=MR","SCALING_FORMAT=MLN","Sort=A","Dates=H","DateFormat=P","Fill=—","Direction=H","UseDPDF=Y")</f>
        <v>0.37859999999999999</v>
      </c>
      <c r="E38" s="19">
        <f>_xll.BDH("ITCI US Equity","T12_CFF","FQ2 2019","FQ2 2019","Currency=USD","Period=FQ","BEST_FPERIOD_OVERRIDE=FQ","FILING_STATUS=MR","SCALING_FORMAT=MLN","Sort=A","Dates=H","DateFormat=P","Fill=—","Direction=H","UseDPDF=Y")</f>
        <v>0.63170000000000004</v>
      </c>
      <c r="F38" s="19">
        <f>_xll.BDH("ITCI US Equity","T12_CFF","FQ3 2019","FQ3 2019","Currency=USD","Period=FQ","BEST_FPERIOD_OVERRIDE=FQ","FILING_STATUS=MR","SCALING_FORMAT=MLN","Sort=A","Dates=H","DateFormat=P","Fill=—","Direction=H","UseDPDF=Y")</f>
        <v>0.62870000000000004</v>
      </c>
      <c r="G38" s="19">
        <f>_xll.BDH("ITCI US Equity","T12_CFF","FQ4 2019","FQ4 2019","Currency=USD","Period=FQ","BEST_FPERIOD_OVERRIDE=FQ","FILING_STATUS=MR","SCALING_FORMAT=MLN","Sort=A","Dates=H","DateFormat=P","Fill=—","Direction=H","UseDPDF=Y")</f>
        <v>3.2355999999999998</v>
      </c>
      <c r="H38" s="19">
        <f>_xll.BDH("ITCI US Equity","T12_CFF","FQ1 2020","FQ1 2020","Currency=USD","Period=FQ","BEST_FPERIOD_OVERRIDE=FQ","FILING_STATUS=MR","SCALING_FORMAT=MLN","Sort=A","Dates=H","DateFormat=P","Fill=—","Direction=H","UseDPDF=Y")</f>
        <v>280.77170000000001</v>
      </c>
      <c r="I38" s="19">
        <f>_xll.BDH("ITCI US Equity","T12_CFF","FQ2 2020","FQ2 2020","Currency=USD","Period=FQ","BEST_FPERIOD_OVERRIDE=FQ","FILING_STATUS=MR","SCALING_FORMAT=MLN","Sort=A","Dates=H","DateFormat=P","Fill=—","Direction=H","UseDPDF=Y")</f>
        <v>284.9923</v>
      </c>
      <c r="J38" s="19">
        <f>_xll.BDH("ITCI US Equity","T12_CFF","FQ3 2020","FQ3 2020","Currency=USD","Period=FQ","BEST_FPERIOD_OVERRIDE=FQ","FILING_STATUS=MR","SCALING_FORMAT=MLN","Sort=A","Dates=H","DateFormat=P","Fill=—","Direction=H","UseDPDF=Y")</f>
        <v>663.33439999999996</v>
      </c>
      <c r="K38" s="19">
        <f>_xll.BDH("ITCI US Equity","T12_CFF","FQ4 2020","FQ4 2020","Currency=USD","Period=FQ","BEST_FPERIOD_OVERRIDE=FQ","FILING_STATUS=MR","SCALING_FORMAT=MLN","Sort=A","Dates=H","DateFormat=P","Fill=—","Direction=H","UseDPDF=Y")</f>
        <v>664.17690000000005</v>
      </c>
      <c r="L38" s="19">
        <f>_xll.BDH("ITCI US Equity","T12_CFF","FQ1 2021","FQ1 2021","Currency=USD","Period=FQ","BEST_FPERIOD_OVERRIDE=FQ","FILING_STATUS=MR","SCALING_FORMAT=MLN","Sort=A","Dates=H","DateFormat=P","Fill=—","Direction=H","UseDPDF=Y")</f>
        <v>388.0412</v>
      </c>
      <c r="M38" s="19">
        <f>_xll.BDH("ITCI US Equity","T12_CFF","FQ2 2021","FQ2 2021","Currency=USD","Period=FQ","BEST_FPERIOD_OVERRIDE=FQ","FILING_STATUS=MR","SCALING_FORMAT=MLN","Sort=A","Dates=H","DateFormat=P","Fill=—","Direction=H","UseDPDF=Y")</f>
        <v>385.1431</v>
      </c>
      <c r="N38" s="19">
        <f>_xll.BDH("ITCI US Equity","T12_CFF","FQ3 2021","FQ3 2021","Currency=USD","Period=FQ","BEST_FPERIOD_OVERRIDE=FQ","FILING_STATUS=MR","SCALING_FORMAT=MLN","Sort=A","Dates=H","DateFormat=P","Fill=—","Direction=H","UseDPDF=Y")</f>
        <v>7.24</v>
      </c>
      <c r="O38" s="19">
        <f>_xll.BDH("ITCI US Equity","T12_CFF","FQ4 2021","FQ4 2021","Currency=USD","Period=FQ","BEST_FPERIOD_OVERRIDE=FQ","FILING_STATUS=MR","SCALING_FORMAT=MLN","Sort=A","Dates=H","DateFormat=P","Fill=—","Direction=H","UseDPDF=Y")</f>
        <v>11.5189</v>
      </c>
      <c r="P38" s="19">
        <f>_xll.BDH("ITCI US Equity","T12_CFF","FQ1 2022","FQ1 2022","Currency=USD","Period=FQ","BEST_FPERIOD_OVERRIDE=FQ","FILING_STATUS=MR","SCALING_FORMAT=MLN","Sort=A","Dates=H","DateFormat=P","Fill=—","Direction=H","UseDPDF=Y")</f>
        <v>451.90129999999999</v>
      </c>
      <c r="Q38" s="19">
        <f>_xll.BDH("ITCI US Equity","T12_CFF","FQ2 2022","FQ2 2022","Currency=USD","Period=FQ","BEST_FPERIOD_OVERRIDE=FQ","FILING_STATUS=MR","SCALING_FORMAT=MLN","Sort=A","Dates=H","DateFormat=P","Fill=—","Direction=H","UseDPDF=Y")</f>
        <v>455.8236</v>
      </c>
      <c r="R38" s="19">
        <f>_xll.BDH("ITCI US Equity","T12_CFF","FQ3 2022","FQ3 2022","Currency=USD","Period=FQ","BEST_FPERIOD_OVERRIDE=FQ","FILING_STATUS=MR","SCALING_FORMAT=MLN","Sort=A","Dates=H","DateFormat=P","Fill=—","Direction=H","UseDPDF=Y")</f>
        <v>460.88630000000001</v>
      </c>
      <c r="S38" s="19">
        <f>_xll.BDH("ITCI US Equity","T12_CFF","FQ4 2022","FQ4 2022","Currency=USD","Period=FQ","BEST_FPERIOD_OVERRIDE=FQ","FILING_STATUS=MR","SCALING_FORMAT=MLN","Sort=A","Dates=H","DateFormat=P","Fill=—","Direction=H","UseDPDF=Y")</f>
        <v>455.15899999999999</v>
      </c>
      <c r="T38" s="19">
        <f>_xll.BDH("ITCI US Equity","T12_CFF","FQ1 2023","FQ1 2023","Currency=USD","Period=FQ","BEST_FPERIOD_OVERRIDE=FQ","FILING_STATUS=MR","SCALING_FORMAT=MLN","Sort=A","Dates=H","DateFormat=P","Fill=—","Direction=H","UseDPDF=Y")</f>
        <v>16.984999999999999</v>
      </c>
      <c r="U38" s="19">
        <f>_xll.BDH("ITCI US Equity","T12_CFF","FQ2 2023","FQ2 2023","Currency=USD","Period=FQ","BEST_FPERIOD_OVERRIDE=FQ","FILING_STATUS=MR","SCALING_FORMAT=MLN","Sort=A","Dates=H","DateFormat=P","Fill=—","Direction=H","UseDPDF=Y")</f>
        <v>20.065999999999999</v>
      </c>
      <c r="V38" s="19">
        <f>_xll.BDH("ITCI US Equity","T12_CFF","FQ3 2023","FQ3 2023","Currency=USD","Period=FQ","BEST_FPERIOD_OVERRIDE=FQ","FILING_STATUS=MR","SCALING_FORMAT=MLN","Sort=A","Dates=H","DateFormat=P","Fill=—","Direction=H","UseDPDF=Y")</f>
        <v>16.992999999999999</v>
      </c>
      <c r="W38" s="19">
        <f>_xll.BDH("ITCI US Equity","T12_CFF","FQ4 2023","FQ4 2023","Currency=USD","Period=FQ","BEST_FPERIOD_OVERRIDE=FQ","FILING_STATUS=MR","SCALING_FORMAT=MLN","Sort=A","Dates=H","DateFormat=P","Fill=—","Direction=H","UseDPDF=Y")</f>
        <v>17.809999999999999</v>
      </c>
      <c r="X38" s="19">
        <f>_xll.BDH("ITCI US Equity","T12_CFF","FQ1 2024","FQ1 2024","Currency=USD","Period=FQ","BEST_FPERIOD_OVERRIDE=FQ","FILING_STATUS=MR","SCALING_FORMAT=MLN","Sort=A","Dates=H","DateFormat=P","Fill=—","Direction=H","UseDPDF=Y")</f>
        <v>24.158999999999999</v>
      </c>
      <c r="Y38" s="19">
        <f>_xll.BDH("ITCI US Equity","T12_CFF","FQ2 2024","FQ2 2024","Currency=USD","Period=FQ","BEST_FPERIOD_OVERRIDE=FQ","FILING_STATUS=MR","SCALING_FORMAT=MLN","Sort=A","Dates=H","DateFormat=P","Fill=—","Direction=H","UseDPDF=Y")</f>
        <v>560.75300000000004</v>
      </c>
      <c r="Z38" s="19">
        <f>_xll.BDH("ITCI US Equity","T12_CFF","FQ3 2024","FQ3 2024","Currency=USD","Period=FQ","BEST_FPERIOD_OVERRIDE=FQ","FILING_STATUS=MR","SCALING_FORMAT=MLN","Sort=A","Dates=H","DateFormat=P","Fill=—","Direction=H","UseDPDF=Y")</f>
        <v>564.90599999999995</v>
      </c>
      <c r="AA38" s="19">
        <f>_xll.BDH("ITCI US Equity","T12_CFF","FQ4 2024","FQ4 2024","Currency=USD","Period=FQ","BEST_FPERIOD_OVERRIDE=FQ","FILING_STATUS=MR","SCALING_FORMAT=MLN","Sort=A","Dates=H","DateFormat=P","Fill=—","Direction=H","UseDPDF=Y")</f>
        <v>567.50800000000004</v>
      </c>
    </row>
    <row r="39" spans="1:27" x14ac:dyDescent="0.25">
      <c r="A39" s="11" t="s">
        <v>1274</v>
      </c>
      <c r="B39" s="11" t="s">
        <v>68</v>
      </c>
      <c r="C39" s="25">
        <f>_xll.BDH("ITCI US Equity","ENTERPRISE_VALUE","FQ4 2018","FQ4 2018","Currency=USD","Period=FQ","BEST_FPERIOD_OVERRIDE=FQ","FILING_STATUS=MR","SCALING_FORMAT=MLN","Sort=A","Dates=H","DateFormat=P","Fill=—","Direction=H","UseDPDF=Y")</f>
        <v>277.7269</v>
      </c>
      <c r="D39" s="25">
        <f>_xll.BDH("ITCI US Equity","ENTERPRISE_VALUE","FQ1 2019","FQ1 2019","Currency=USD","Period=FQ","BEST_FPERIOD_OVERRIDE=FQ","FILING_STATUS=MR","SCALING_FORMAT=MLN","Sort=A","Dates=H","DateFormat=P","Fill=—","Direction=H","UseDPDF=Y")</f>
        <v>382.40679999999998</v>
      </c>
      <c r="E39" s="25">
        <f>_xll.BDH("ITCI US Equity","ENTERPRISE_VALUE","FQ2 2019","FQ2 2019","Currency=USD","Period=FQ","BEST_FPERIOD_OVERRIDE=FQ","FILING_STATUS=MR","SCALING_FORMAT=MLN","Sort=A","Dates=H","DateFormat=P","Fill=—","Direction=H","UseDPDF=Y")</f>
        <v>453.85449999999997</v>
      </c>
      <c r="F39" s="25">
        <f>_xll.BDH("ITCI US Equity","ENTERPRISE_VALUE","FQ3 2019","FQ3 2019","Currency=USD","Period=FQ","BEST_FPERIOD_OVERRIDE=FQ","FILING_STATUS=MR","SCALING_FORMAT=MLN","Sort=A","Dates=H","DateFormat=P","Fill=—","Direction=H","UseDPDF=Y")</f>
        <v>179.82239999999999</v>
      </c>
      <c r="G39" s="25">
        <f>_xll.BDH("ITCI US Equity","ENTERPRISE_VALUE","FQ4 2019","FQ4 2019","Currency=USD","Period=FQ","BEST_FPERIOD_OVERRIDE=FQ","FILING_STATUS=MR","SCALING_FORMAT=MLN","Sort=A","Dates=H","DateFormat=P","Fill=—","Direction=H","UseDPDF=Y")</f>
        <v>1703.5947000000001</v>
      </c>
      <c r="H39" s="25">
        <f>_xll.BDH("ITCI US Equity","ENTERPRISE_VALUE","FQ1 2020","FQ1 2020","Currency=USD","Period=FQ","BEST_FPERIOD_OVERRIDE=FQ","FILING_STATUS=MR","SCALING_FORMAT=MLN","Sort=A","Dates=H","DateFormat=P","Fill=—","Direction=H","UseDPDF=Y")</f>
        <v>591.48099999999999</v>
      </c>
      <c r="I39" s="25">
        <f>_xll.BDH("ITCI US Equity","ENTERPRISE_VALUE","FQ2 2020","FQ2 2020","Currency=USD","Period=FQ","BEST_FPERIOD_OVERRIDE=FQ","FILING_STATUS=MR","SCALING_FORMAT=MLN","Sort=A","Dates=H","DateFormat=P","Fill=—","Direction=H","UseDPDF=Y")</f>
        <v>1331.5577000000001</v>
      </c>
      <c r="J39" s="25">
        <f>_xll.BDH("ITCI US Equity","ENTERPRISE_VALUE","FQ3 2020","FQ3 2020","Currency=USD","Period=FQ","BEST_FPERIOD_OVERRIDE=FQ","FILING_STATUS=MR","SCALING_FORMAT=MLN","Sort=A","Dates=H","DateFormat=P","Fill=—","Direction=H","UseDPDF=Y")</f>
        <v>1363.6534999999999</v>
      </c>
      <c r="K39" s="25">
        <f>_xll.BDH("ITCI US Equity","ENTERPRISE_VALUE","FQ4 2020","FQ4 2020","Currency=USD","Period=FQ","BEST_FPERIOD_OVERRIDE=FQ","FILING_STATUS=MR","SCALING_FORMAT=MLN","Sort=A","Dates=H","DateFormat=P","Fill=—","Direction=H","UseDPDF=Y")</f>
        <v>1930.4203</v>
      </c>
      <c r="L39" s="25">
        <f>_xll.BDH("ITCI US Equity","ENTERPRISE_VALUE","FQ1 2021","FQ1 2021","Currency=USD","Period=FQ","BEST_FPERIOD_OVERRIDE=FQ","FILING_STATUS=MR","SCALING_FORMAT=MLN","Sort=A","Dates=H","DateFormat=P","Fill=—","Direction=H","UseDPDF=Y")</f>
        <v>2169.1172000000001</v>
      </c>
      <c r="M39" s="25">
        <f>_xll.BDH("ITCI US Equity","ENTERPRISE_VALUE","FQ2 2021","FQ2 2021","Currency=USD","Period=FQ","BEST_FPERIOD_OVERRIDE=FQ","FILING_STATUS=MR","SCALING_FORMAT=MLN","Sort=A","Dates=H","DateFormat=P","Fill=—","Direction=H","UseDPDF=Y")</f>
        <v>2791.6774</v>
      </c>
      <c r="N39" s="25">
        <f>_xll.BDH("ITCI US Equity","ENTERPRISE_VALUE","FQ3 2021","FQ3 2021","Currency=USD","Period=FQ","BEST_FPERIOD_OVERRIDE=FQ","FILING_STATUS=MR","SCALING_FORMAT=MLN","Sort=A","Dates=H","DateFormat=P","Fill=—","Direction=H","UseDPDF=Y")</f>
        <v>2582.8717000000001</v>
      </c>
      <c r="O39" s="25">
        <f>_xll.BDH("ITCI US Equity","ENTERPRISE_VALUE","FQ4 2021","FQ4 2021","Currency=USD","Period=FQ","BEST_FPERIOD_OVERRIDE=FQ","FILING_STATUS=MR","SCALING_FORMAT=MLN","Sort=A","Dates=H","DateFormat=P","Fill=—","Direction=H","UseDPDF=Y")</f>
        <v>3899.0371</v>
      </c>
      <c r="P39" s="25">
        <f>_xll.BDH("ITCI US Equity","ENTERPRISE_VALUE","FQ1 2022","FQ1 2022","Currency=USD","Period=FQ","BEST_FPERIOD_OVERRIDE=FQ","FILING_STATUS=MR","SCALING_FORMAT=MLN","Sort=A","Dates=H","DateFormat=P","Fill=—","Direction=H","UseDPDF=Y")</f>
        <v>5005.6538</v>
      </c>
      <c r="Q39" s="25">
        <f>_xll.BDH("ITCI US Equity","ENTERPRISE_VALUE","FQ2 2022","FQ2 2022","Currency=USD","Period=FQ","BEST_FPERIOD_OVERRIDE=FQ","FILING_STATUS=MR","SCALING_FORMAT=MLN","Sort=A","Dates=H","DateFormat=P","Fill=—","Direction=H","UseDPDF=Y")</f>
        <v>4735.4706999999999</v>
      </c>
      <c r="R39" s="25">
        <f>_xll.BDH("ITCI US Equity","ENTERPRISE_VALUE","FQ3 2022","FQ3 2022","Currency=USD","Period=FQ","BEST_FPERIOD_OVERRIDE=FQ","FILING_STATUS=MR","SCALING_FORMAT=MLN","Sort=A","Dates=H","DateFormat=P","Fill=—","Direction=H","UseDPDF=Y")</f>
        <v>3804.1392999999998</v>
      </c>
      <c r="S39" s="25">
        <f>_xll.BDH("ITCI US Equity","ENTERPRISE_VALUE","FQ4 2022","FQ4 2022","Currency=USD","Period=FQ","BEST_FPERIOD_OVERRIDE=FQ","FILING_STATUS=MR","SCALING_FORMAT=MLN","Sort=A","Dates=H","DateFormat=P","Fill=—","Direction=H","UseDPDF=Y")</f>
        <v>4446.5286999999998</v>
      </c>
      <c r="T39" s="25">
        <f>_xll.BDH("ITCI US Equity","ENTERPRISE_VALUE","FQ1 2023","FQ1 2023","Currency=USD","Period=FQ","BEST_FPERIOD_OVERRIDE=FQ","FILING_STATUS=MR","SCALING_FORMAT=MLN","Sort=A","Dates=H","DateFormat=P","Fill=—","Direction=H","UseDPDF=Y")</f>
        <v>4660.8576000000003</v>
      </c>
      <c r="U39" s="25">
        <f>_xll.BDH("ITCI US Equity","ENTERPRISE_VALUE","FQ2 2023","FQ2 2023","Currency=USD","Period=FQ","BEST_FPERIOD_OVERRIDE=FQ","FILING_STATUS=MR","SCALING_FORMAT=MLN","Sort=A","Dates=H","DateFormat=P","Fill=—","Direction=H","UseDPDF=Y")</f>
        <v>5589.1360999999997</v>
      </c>
      <c r="V39" s="25">
        <f>_xll.BDH("ITCI US Equity","ENTERPRISE_VALUE","FQ3 2023","FQ3 2023","Currency=USD","Period=FQ","BEST_FPERIOD_OVERRIDE=FQ","FILING_STATUS=MR","SCALING_FORMAT=MLN","Sort=A","Dates=H","DateFormat=P","Fill=—","Direction=H","UseDPDF=Y")</f>
        <v>4536.8464000000004</v>
      </c>
      <c r="W39" s="25">
        <f>_xll.BDH("ITCI US Equity","ENTERPRISE_VALUE","FQ4 2023","FQ4 2023","Currency=USD","Period=FQ","BEST_FPERIOD_OVERRIDE=FQ","FILING_STATUS=MR","SCALING_FORMAT=MLN","Sort=A","Dates=H","DateFormat=P","Fill=—","Direction=H","UseDPDF=Y")</f>
        <v>6421.7191000000003</v>
      </c>
      <c r="X39" s="25">
        <f>_xll.BDH("ITCI US Equity","ENTERPRISE_VALUE","FQ1 2024","FQ1 2024","Currency=USD","Period=FQ","BEST_FPERIOD_OVERRIDE=FQ","FILING_STATUS=MR","SCALING_FORMAT=MLN","Sort=A","Dates=H","DateFormat=P","Fill=—","Direction=H","UseDPDF=Y")</f>
        <v>6286.2179999999998</v>
      </c>
      <c r="Y39" s="25">
        <f>_xll.BDH("ITCI US Equity","ENTERPRISE_VALUE","FQ2 2024","FQ2 2024","Currency=USD","Period=FQ","BEST_FPERIOD_OVERRIDE=FQ","FILING_STATUS=MR","SCALING_FORMAT=MLN","Sort=A","Dates=H","DateFormat=P","Fill=—","Direction=H","UseDPDF=Y")</f>
        <v>6229.6305000000002</v>
      </c>
      <c r="Z39" s="25">
        <f>_xll.BDH("ITCI US Equity","ENTERPRISE_VALUE","FQ3 2024","FQ3 2024","Currency=USD","Period=FQ","BEST_FPERIOD_OVERRIDE=FQ","FILING_STATUS=MR","SCALING_FORMAT=MLN","Sort=A","Dates=H","DateFormat=P","Fill=—","Direction=H","UseDPDF=Y")</f>
        <v>6767.0781999999999</v>
      </c>
      <c r="AA39" s="25">
        <f>_xll.BDH("ITCI US Equity","ENTERPRISE_VALUE","FQ4 2024","FQ4 2024","Currency=USD","Period=FQ","BEST_FPERIOD_OVERRIDE=FQ","FILING_STATUS=MR","SCALING_FORMAT=MLN","Sort=A","Dates=H","DateFormat=P","Fill=—","Direction=H","UseDPDF=Y")</f>
        <v>7889.0806000000002</v>
      </c>
    </row>
    <row r="40" spans="1:27" x14ac:dyDescent="0.25">
      <c r="A40" s="6" t="s">
        <v>1278</v>
      </c>
      <c r="B40" s="6" t="s">
        <v>1279</v>
      </c>
      <c r="C40" s="20">
        <f>_xll.BDH("ITCI US Equity","CAPITAL_YIELD","FQ4 2018","FQ4 2018","Currency=USD","Period=FQ","BEST_FPERIOD_OVERRIDE=FQ","FILING_STATUS=MR","Sort=A","Dates=H","DateFormat=P","Fill=—","Direction=H","UseDPDF=Y")</f>
        <v>-0.2467</v>
      </c>
      <c r="D40" s="20">
        <f>_xll.BDH("ITCI US Equity","CAPITAL_YIELD","FQ1 2019","FQ1 2019","Currency=USD","Period=FQ","BEST_FPERIOD_OVERRIDE=FQ","FILING_STATUS=MR","Sort=A","Dates=H","DateFormat=P","Fill=—","Direction=H","UseDPDF=Y")</f>
        <v>-9.9000000000000005E-2</v>
      </c>
      <c r="E40" s="20">
        <f>_xll.BDH("ITCI US Equity","CAPITAL_YIELD","FQ2 2019","FQ2 2019","Currency=USD","Period=FQ","BEST_FPERIOD_OVERRIDE=FQ","FILING_STATUS=MR","Sort=A","Dates=H","DateFormat=P","Fill=—","Direction=H","UseDPDF=Y")</f>
        <v>-0.13919999999999999</v>
      </c>
      <c r="F40" s="20">
        <f>_xll.BDH("ITCI US Equity","CAPITAL_YIELD","FQ3 2019","FQ3 2019","Currency=USD","Period=FQ","BEST_FPERIOD_OVERRIDE=FQ","FILING_STATUS=MR","Sort=A","Dates=H","DateFormat=P","Fill=—","Direction=H","UseDPDF=Y")</f>
        <v>-0.34960000000000002</v>
      </c>
      <c r="G40" s="20">
        <f>_xll.BDH("ITCI US Equity","CAPITAL_YIELD","FQ4 2019","FQ4 2019","Currency=USD","Period=FQ","BEST_FPERIOD_OVERRIDE=FQ","FILING_STATUS=MR","Sort=A","Dates=H","DateFormat=P","Fill=—","Direction=H","UseDPDF=Y")</f>
        <v>-0.18990000000000001</v>
      </c>
      <c r="H40" s="20">
        <f>_xll.BDH("ITCI US Equity","CAPITAL_YIELD","FQ1 2020","FQ1 2020","Currency=USD","Period=FQ","BEST_FPERIOD_OVERRIDE=FQ","FILING_STATUS=MR","Sort=A","Dates=H","DateFormat=P","Fill=—","Direction=H","UseDPDF=Y")</f>
        <v>-47.469299999999997</v>
      </c>
      <c r="I40" s="20">
        <f>_xll.BDH("ITCI US Equity","CAPITAL_YIELD","FQ2 2020","FQ2 2020","Currency=USD","Period=FQ","BEST_FPERIOD_OVERRIDE=FQ","FILING_STATUS=MR","Sort=A","Dates=H","DateFormat=P","Fill=—","Direction=H","UseDPDF=Y")</f>
        <v>-21.402899999999999</v>
      </c>
      <c r="J40" s="20">
        <f>_xll.BDH("ITCI US Equity","CAPITAL_YIELD","FQ3 2020","FQ3 2020","Currency=USD","Period=FQ","BEST_FPERIOD_OVERRIDE=FQ","FILING_STATUS=MR","Sort=A","Dates=H","DateFormat=P","Fill=—","Direction=H","UseDPDF=Y")</f>
        <v>-48.643900000000002</v>
      </c>
      <c r="K40" s="20">
        <f>_xll.BDH("ITCI US Equity","CAPITAL_YIELD","FQ4 2020","FQ4 2020","Currency=USD","Period=FQ","BEST_FPERIOD_OVERRIDE=FQ","FILING_STATUS=MR","Sort=A","Dates=H","DateFormat=P","Fill=—","Direction=H","UseDPDF=Y")</f>
        <v>-34.405799999999999</v>
      </c>
      <c r="L40" s="20">
        <f>_xll.BDH("ITCI US Equity","CAPITAL_YIELD","FQ1 2021","FQ1 2021","Currency=USD","Period=FQ","BEST_FPERIOD_OVERRIDE=FQ","FILING_STATUS=MR","Sort=A","Dates=H","DateFormat=P","Fill=—","Direction=H","UseDPDF=Y")</f>
        <v>-17.889399999999998</v>
      </c>
      <c r="M40" s="20">
        <f>_xll.BDH("ITCI US Equity","CAPITAL_YIELD","FQ2 2021","FQ2 2021","Currency=USD","Period=FQ","BEST_FPERIOD_OVERRIDE=FQ","FILING_STATUS=MR","Sort=A","Dates=H","DateFormat=P","Fill=—","Direction=H","UseDPDF=Y")</f>
        <v>-13.796099999999999</v>
      </c>
      <c r="N40" s="20">
        <f>_xll.BDH("ITCI US Equity","CAPITAL_YIELD","FQ3 2021","FQ3 2021","Currency=USD","Period=FQ","BEST_FPERIOD_OVERRIDE=FQ","FILING_STATUS=MR","Sort=A","Dates=H","DateFormat=P","Fill=—","Direction=H","UseDPDF=Y")</f>
        <v>-0.28029999999999999</v>
      </c>
      <c r="O40" s="20">
        <f>_xll.BDH("ITCI US Equity","CAPITAL_YIELD","FQ4 2021","FQ4 2021","Currency=USD","Period=FQ","BEST_FPERIOD_OVERRIDE=FQ","FILING_STATUS=MR","Sort=A","Dates=H","DateFormat=P","Fill=—","Direction=H","UseDPDF=Y")</f>
        <v>-0.2954</v>
      </c>
      <c r="P40" s="20">
        <f>_xll.BDH("ITCI US Equity","CAPITAL_YIELD","FQ1 2022","FQ1 2022","Currency=USD","Period=FQ","BEST_FPERIOD_OVERRIDE=FQ","FILING_STATUS=MR","Sort=A","Dates=H","DateFormat=P","Fill=—","Direction=H","UseDPDF=Y")</f>
        <v>-9.0277999999999992</v>
      </c>
      <c r="Q40" s="20">
        <f>_xll.BDH("ITCI US Equity","CAPITAL_YIELD","FQ2 2022","FQ2 2022","Currency=USD","Period=FQ","BEST_FPERIOD_OVERRIDE=FQ","FILING_STATUS=MR","Sort=A","Dates=H","DateFormat=P","Fill=—","Direction=H","UseDPDF=Y")</f>
        <v>-9.6257000000000001</v>
      </c>
      <c r="R40" s="20">
        <f>_xll.BDH("ITCI US Equity","CAPITAL_YIELD","FQ3 2022","FQ3 2022","Currency=USD","Period=FQ","BEST_FPERIOD_OVERRIDE=FQ","FILING_STATUS=MR","Sort=A","Dates=H","DateFormat=P","Fill=—","Direction=H","UseDPDF=Y")</f>
        <v>-12.115399999999999</v>
      </c>
      <c r="S40" s="20">
        <f>_xll.BDH("ITCI US Equity","CAPITAL_YIELD","FQ4 2022","FQ4 2022","Currency=USD","Period=FQ","BEST_FPERIOD_OVERRIDE=FQ","FILING_STATUS=MR","Sort=A","Dates=H","DateFormat=P","Fill=—","Direction=H","UseDPDF=Y")</f>
        <v>-10.2363</v>
      </c>
      <c r="T40" s="20">
        <f>_xll.BDH("ITCI US Equity","CAPITAL_YIELD","FQ1 2023","FQ1 2023","Currency=USD","Period=FQ","BEST_FPERIOD_OVERRIDE=FQ","FILING_STATUS=MR","Sort=A","Dates=H","DateFormat=P","Fill=—","Direction=H","UseDPDF=Y")</f>
        <v>-0.3644</v>
      </c>
      <c r="U40" s="20">
        <f>_xll.BDH("ITCI US Equity","CAPITAL_YIELD","FQ2 2023","FQ2 2023","Currency=USD","Period=FQ","BEST_FPERIOD_OVERRIDE=FQ","FILING_STATUS=MR","Sort=A","Dates=H","DateFormat=P","Fill=—","Direction=H","UseDPDF=Y")</f>
        <v>-0.35899999999999999</v>
      </c>
      <c r="V40" s="20">
        <f>_xll.BDH("ITCI US Equity","CAPITAL_YIELD","FQ3 2023","FQ3 2023","Currency=USD","Period=FQ","BEST_FPERIOD_OVERRIDE=FQ","FILING_STATUS=MR","Sort=A","Dates=H","DateFormat=P","Fill=—","Direction=H","UseDPDF=Y")</f>
        <v>-0.37459999999999999</v>
      </c>
      <c r="W40" s="20">
        <f>_xll.BDH("ITCI US Equity","CAPITAL_YIELD","FQ4 2023","FQ4 2023","Currency=USD","Period=FQ","BEST_FPERIOD_OVERRIDE=FQ","FILING_STATUS=MR","Sort=A","Dates=H","DateFormat=P","Fill=—","Direction=H","UseDPDF=Y")</f>
        <v>-0.27729999999999999</v>
      </c>
      <c r="X40" s="20">
        <f>_xll.BDH("ITCI US Equity","CAPITAL_YIELD","FQ1 2024","FQ1 2024","Currency=USD","Period=FQ","BEST_FPERIOD_OVERRIDE=FQ","FILING_STATUS=MR","Sort=A","Dates=H","DateFormat=P","Fill=—","Direction=H","UseDPDF=Y")</f>
        <v>-0.38429999999999997</v>
      </c>
      <c r="Y40" s="20">
        <f>_xll.BDH("ITCI US Equity","CAPITAL_YIELD","FQ2 2024","FQ2 2024","Currency=USD","Period=FQ","BEST_FPERIOD_OVERRIDE=FQ","FILING_STATUS=MR","Sort=A","Dates=H","DateFormat=P","Fill=—","Direction=H","UseDPDF=Y")</f>
        <v>-9.0014000000000003</v>
      </c>
      <c r="Z40" s="20">
        <f>_xll.BDH("ITCI US Equity","CAPITAL_YIELD","FQ3 2024","FQ3 2024","Currency=USD","Period=FQ","BEST_FPERIOD_OVERRIDE=FQ","FILING_STATUS=MR","Sort=A","Dates=H","DateFormat=P","Fill=—","Direction=H","UseDPDF=Y")</f>
        <v>-8.3478999999999992</v>
      </c>
      <c r="AA40" s="20">
        <f>_xll.BDH("ITCI US Equity","CAPITAL_YIELD","FQ4 2024","FQ4 2024","Currency=USD","Period=FQ","BEST_FPERIOD_OVERRIDE=FQ","FILING_STATUS=MR","Sort=A","Dates=H","DateFormat=P","Fill=—","Direction=H","UseDPDF=Y")</f>
        <v>-7.1936</v>
      </c>
    </row>
    <row r="41" spans="1:27" x14ac:dyDescent="0.25">
      <c r="A41" s="7" t="s">
        <v>90</v>
      </c>
      <c r="B41" s="7"/>
      <c r="C41" s="7" t="s">
        <v>5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21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1280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6" t="s">
        <v>1281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1282</v>
      </c>
      <c r="B7" s="10" t="s">
        <v>1283</v>
      </c>
      <c r="C7" s="14">
        <f>_xll.BDH("ITCI US Equity","TAX_EFFICIENCY","FQ4 2018","FQ4 2018","Currency=USD","Period=FQ","BEST_FPERIOD_OVERRIDE=FQ","FILING_STATUS=MR","FA_ADJUSTED=GAAP","Sort=A","Dates=H","DateFormat=P","Fill=—","Direction=H","UseDPDF=Y")</f>
        <v>100.001</v>
      </c>
      <c r="D7" s="14">
        <f>_xll.BDH("ITCI US Equity","TAX_EFFICIENCY","FQ1 2019","FQ1 2019","Currency=USD","Period=FQ","BEST_FPERIOD_OVERRIDE=FQ","FILING_STATUS=MR","FA_ADJUSTED=GAAP","Sort=A","Dates=H","DateFormat=P","Fill=—","Direction=H","UseDPDF=Y")</f>
        <v>100.001</v>
      </c>
      <c r="E7" s="14">
        <f>_xll.BDH("ITCI US Equity","TAX_EFFICIENCY","FQ2 2019","FQ2 2019","Currency=USD","Period=FQ","BEST_FPERIOD_OVERRIDE=FQ","FILING_STATUS=MR","FA_ADJUSTED=GAAP","Sort=A","Dates=H","DateFormat=P","Fill=—","Direction=H","UseDPDF=Y")</f>
        <v>100.001</v>
      </c>
      <c r="F7" s="14">
        <f>_xll.BDH("ITCI US Equity","TAX_EFFICIENCY","FQ3 2019","FQ3 2019","Currency=USD","Period=FQ","BEST_FPERIOD_OVERRIDE=FQ","FILING_STATUS=MR","FA_ADJUSTED=GAAP","Sort=A","Dates=H","DateFormat=P","Fill=—","Direction=H","UseDPDF=Y")</f>
        <v>100.00109999999999</v>
      </c>
      <c r="G7" s="14">
        <f>_xll.BDH("ITCI US Equity","TAX_EFFICIENCY","FQ4 2019","FQ4 2019","Currency=USD","Period=FQ","BEST_FPERIOD_OVERRIDE=FQ","FILING_STATUS=MR","FA_ADJUSTED=GAAP","Sort=A","Dates=H","DateFormat=P","Fill=—","Direction=H","UseDPDF=Y")</f>
        <v>100.00109999999999</v>
      </c>
      <c r="H7" s="14">
        <f>_xll.BDH("ITCI US Equity","TAX_EFFICIENCY","FQ1 2020","FQ1 2020","Currency=USD","Period=FQ","BEST_FPERIOD_OVERRIDE=FQ","FILING_STATUS=MR","FA_ADJUSTED=GAAP","Sort=A","Dates=H","DateFormat=P","Fill=—","Direction=H","UseDPDF=Y")</f>
        <v>100.003</v>
      </c>
      <c r="I7" s="14">
        <f>_xll.BDH("ITCI US Equity","TAX_EFFICIENCY","FQ2 2020","FQ2 2020","Currency=USD","Period=FQ","BEST_FPERIOD_OVERRIDE=FQ","FILING_STATUS=MR","FA_ADJUSTED=GAAP","Sort=A","Dates=H","DateFormat=P","Fill=—","Direction=H","UseDPDF=Y")</f>
        <v>100.0018</v>
      </c>
      <c r="J7" s="14">
        <f>_xll.BDH("ITCI US Equity","TAX_EFFICIENCY","FQ3 2020","FQ3 2020","Currency=USD","Period=FQ","BEST_FPERIOD_OVERRIDE=FQ","FILING_STATUS=MR","FA_ADJUSTED=GAAP","Sort=A","Dates=H","DateFormat=P","Fill=—","Direction=H","UseDPDF=Y")</f>
        <v>100.0016</v>
      </c>
      <c r="K7" s="14">
        <f>_xll.BDH("ITCI US Equity","TAX_EFFICIENCY","FQ4 2020","FQ4 2020","Currency=USD","Period=FQ","BEST_FPERIOD_OVERRIDE=FQ","FILING_STATUS=MR","FA_ADJUSTED=GAAP","Sort=A","Dates=H","DateFormat=P","Fill=—","Direction=H","UseDPDF=Y")</f>
        <v>100.006</v>
      </c>
      <c r="L7" s="14">
        <f>_xll.BDH("ITCI US Equity","TAX_EFFICIENCY","FQ1 2021","FQ1 2021","Currency=USD","Period=FQ","BEST_FPERIOD_OVERRIDE=FQ","FILING_STATUS=MR","FA_ADJUSTED=GAAP","Sort=A","Dates=H","DateFormat=P","Fill=—","Direction=H","UseDPDF=Y")</f>
        <v>100.00660000000001</v>
      </c>
      <c r="M7" s="14">
        <f>_xll.BDH("ITCI US Equity","TAX_EFFICIENCY","FQ2 2021","FQ2 2021","Currency=USD","Period=FQ","BEST_FPERIOD_OVERRIDE=FQ","FILING_STATUS=MR","FA_ADJUSTED=GAAP","Sort=A","Dates=H","DateFormat=P","Fill=—","Direction=H","UseDPDF=Y")</f>
        <v>100.0164</v>
      </c>
      <c r="N7" s="14">
        <f>_xll.BDH("ITCI US Equity","TAX_EFFICIENCY","FQ3 2021","FQ3 2021","Currency=USD","Period=FQ","BEST_FPERIOD_OVERRIDE=FQ","FILING_STATUS=MR","FA_ADJUSTED=GAAP","Sort=A","Dates=H","DateFormat=P","Fill=—","Direction=H","UseDPDF=Y")</f>
        <v>100.0061</v>
      </c>
      <c r="O7" s="14">
        <f>_xll.BDH("ITCI US Equity","TAX_EFFICIENCY","FQ4 2021","FQ4 2021","Currency=USD","Period=FQ","BEST_FPERIOD_OVERRIDE=FQ","FILING_STATUS=MR","FA_ADJUSTED=GAAP","Sort=A","Dates=H","DateFormat=P","Fill=—","Direction=H","UseDPDF=Y")</f>
        <v>100.002</v>
      </c>
      <c r="P7" s="14">
        <f>_xll.BDH("ITCI US Equity","TAX_EFFICIENCY","FQ1 2022","FQ1 2022","Currency=USD","Period=FQ","BEST_FPERIOD_OVERRIDE=FQ","FILING_STATUS=MR","FA_ADJUSTED=GAAP","Sort=A","Dates=H","DateFormat=P","Fill=—","Direction=H","UseDPDF=Y")</f>
        <v>100.00190000000001</v>
      </c>
      <c r="Q7" s="14">
        <f>_xll.BDH("ITCI US Equity","TAX_EFFICIENCY","FQ2 2022","FQ2 2022","Currency=USD","Period=FQ","BEST_FPERIOD_OVERRIDE=FQ","FILING_STATUS=MR","FA_ADJUSTED=GAAP","Sort=A","Dates=H","DateFormat=P","Fill=—","Direction=H","UseDPDF=Y")</f>
        <v>99.994399999999999</v>
      </c>
      <c r="R7" s="14">
        <f>_xll.BDH("ITCI US Equity","TAX_EFFICIENCY","FQ3 2022","FQ3 2022","Currency=USD","Period=FQ","BEST_FPERIOD_OVERRIDE=FQ","FILING_STATUS=MR","FA_ADJUSTED=GAAP","Sort=A","Dates=H","DateFormat=P","Fill=—","Direction=H","UseDPDF=Y")</f>
        <v>100.002</v>
      </c>
      <c r="S7" s="14">
        <f>_xll.BDH("ITCI US Equity","TAX_EFFICIENCY","FQ4 2022","FQ4 2022","Currency=USD","Period=FQ","BEST_FPERIOD_OVERRIDE=FQ","FILING_STATUS=MR","FA_ADJUSTED=GAAP","Sort=A","Dates=H","DateFormat=P","Fill=—","Direction=H","UseDPDF=Y")</f>
        <v>100.00230000000001</v>
      </c>
      <c r="T7" s="14">
        <f>_xll.BDH("ITCI US Equity","TAX_EFFICIENCY","FQ1 2023","FQ1 2023","Currency=USD","Period=FQ","BEST_FPERIOD_OVERRIDE=FQ","FILING_STATUS=MR","FA_ADJUSTED=GAAP","Sort=A","Dates=H","DateFormat=P","Fill=—","Direction=H","UseDPDF=Y")</f>
        <v>100.0048</v>
      </c>
      <c r="U7" s="14">
        <f>_xll.BDH("ITCI US Equity","TAX_EFFICIENCY","FQ2 2023","FQ2 2023","Currency=USD","Period=FQ","BEST_FPERIOD_OVERRIDE=FQ","FILING_STATUS=MR","FA_ADJUSTED=GAAP","Sort=A","Dates=H","DateFormat=P","Fill=—","Direction=H","UseDPDF=Y")</f>
        <v>100.0793</v>
      </c>
      <c r="V7" s="14">
        <f>_xll.BDH("ITCI US Equity","TAX_EFFICIENCY","FQ3 2023","FQ3 2023","Currency=USD","Period=FQ","BEST_FPERIOD_OVERRIDE=FQ","FILING_STATUS=MR","FA_ADJUSTED=GAAP","Sort=A","Dates=H","DateFormat=P","Fill=—","Direction=H","UseDPDF=Y")</f>
        <v>100.12130000000001</v>
      </c>
      <c r="W7" s="14">
        <f>_xll.BDH("ITCI US Equity","TAX_EFFICIENCY","FQ4 2023","FQ4 2023","Currency=USD","Period=FQ","BEST_FPERIOD_OVERRIDE=FQ","FILING_STATUS=MR","FA_ADJUSTED=GAAP","Sort=A","Dates=H","DateFormat=P","Fill=—","Direction=H","UseDPDF=Y")</f>
        <v>100.45740000000001</v>
      </c>
      <c r="X7" s="14">
        <f>_xll.BDH("ITCI US Equity","TAX_EFFICIENCY","FQ1 2024","FQ1 2024","Currency=USD","Period=FQ","BEST_FPERIOD_OVERRIDE=FQ","FILING_STATUS=MR","FA_ADJUSTED=GAAP","Sort=A","Dates=H","DateFormat=P","Fill=—","Direction=H","UseDPDF=Y")</f>
        <v>100.8964</v>
      </c>
      <c r="Y7" s="14">
        <f>_xll.BDH("ITCI US Equity","TAX_EFFICIENCY","FQ2 2024","FQ2 2024","Currency=USD","Period=FQ","BEST_FPERIOD_OVERRIDE=FQ","FILING_STATUS=MR","FA_ADJUSTED=GAAP","Sort=A","Dates=H","DateFormat=P","Fill=—","Direction=H","UseDPDF=Y")</f>
        <v>101.08759999999999</v>
      </c>
      <c r="Z7" s="14">
        <f>_xll.BDH("ITCI US Equity","TAX_EFFICIENCY","FQ3 2024","FQ3 2024","Currency=USD","Period=FQ","BEST_FPERIOD_OVERRIDE=FQ","FILING_STATUS=MR","FA_ADJUSTED=GAAP","Sort=A","Dates=H","DateFormat=P","Fill=—","Direction=H","UseDPDF=Y")</f>
        <v>101.4542</v>
      </c>
      <c r="AA7" s="14">
        <f>_xll.BDH("ITCI US Equity","TAX_EFFICIENCY","FQ4 2024","FQ4 2024","Currency=USD","Period=FQ","BEST_FPERIOD_OVERRIDE=FQ","FILING_STATUS=MR","FA_ADJUSTED=GAAP","Sort=A","Dates=H","DateFormat=P","Fill=—","Direction=H","UseDPDF=Y")</f>
        <v>100.6374</v>
      </c>
    </row>
    <row r="8" spans="1:27" x14ac:dyDescent="0.25">
      <c r="A8" s="6" t="s">
        <v>1284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x14ac:dyDescent="0.25">
      <c r="A9" s="6" t="s">
        <v>1285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 x14ac:dyDescent="0.25">
      <c r="A10" s="10" t="s">
        <v>1286</v>
      </c>
      <c r="B10" s="10" t="s">
        <v>1287</v>
      </c>
      <c r="C10" s="14">
        <f>_xll.BDH("ITCI US Equity","INT_BURDEN","FQ4 2018","FQ4 2018","Currency=USD","Period=FQ","BEST_FPERIOD_OVERRIDE=FQ","FILING_STATUS=MR","FA_ADJUSTED=GAAP","Sort=A","Dates=H","DateFormat=P","Fill=—","Direction=H","UseDPDF=Y")</f>
        <v>100</v>
      </c>
      <c r="D10" s="14">
        <f>_xll.BDH("ITCI US Equity","INT_BURDEN","FQ1 2019","FQ1 2019","Currency=USD","Period=FQ","BEST_FPERIOD_OVERRIDE=FQ","FILING_STATUS=MR","FA_ADJUSTED=GAAP","Sort=A","Dates=H","DateFormat=P","Fill=—","Direction=H","UseDPDF=Y")</f>
        <v>100</v>
      </c>
      <c r="E10" s="14">
        <f>_xll.BDH("ITCI US Equity","INT_BURDEN","FQ2 2019","FQ2 2019","Currency=USD","Period=FQ","BEST_FPERIOD_OVERRIDE=FQ","FILING_STATUS=MR","FA_ADJUSTED=GAAP","Sort=A","Dates=H","DateFormat=P","Fill=—","Direction=H","UseDPDF=Y")</f>
        <v>100</v>
      </c>
      <c r="F10" s="14">
        <f>_xll.BDH("ITCI US Equity","INT_BURDEN","FQ3 2019","FQ3 2019","Currency=USD","Period=FQ","BEST_FPERIOD_OVERRIDE=FQ","FILING_STATUS=MR","FA_ADJUSTED=GAAP","Sort=A","Dates=H","DateFormat=P","Fill=—","Direction=H","UseDPDF=Y")</f>
        <v>100</v>
      </c>
      <c r="G10" s="14">
        <f>_xll.BDH("ITCI US Equity","INT_BURDEN","FQ4 2019","FQ4 2019","Currency=USD","Period=FQ","BEST_FPERIOD_OVERRIDE=FQ","FILING_STATUS=MR","FA_ADJUSTED=GAAP","Sort=A","Dates=H","DateFormat=P","Fill=—","Direction=H","UseDPDF=Y")</f>
        <v>100</v>
      </c>
      <c r="H10" s="14" t="str">
        <f>_xll.BDH("ITCI US Equity","INT_BURDEN","FQ1 2020","FQ1 2020","Currency=USD","Period=FQ","BEST_FPERIOD_OVERRIDE=FQ","FILING_STATUS=MR","FA_ADJUSTED=GAAP","Sort=A","Dates=H","DateFormat=P","Fill=—","Direction=H","UseDPDF=Y")</f>
        <v>—</v>
      </c>
      <c r="I10" s="14" t="str">
        <f>_xll.BDH("ITCI US Equity","INT_BURDEN","FQ2 2020","FQ2 2020","Currency=USD","Period=FQ","BEST_FPERIOD_OVERRIDE=FQ","FILING_STATUS=MR","FA_ADJUSTED=GAAP","Sort=A","Dates=H","DateFormat=P","Fill=—","Direction=H","UseDPDF=Y")</f>
        <v>—</v>
      </c>
      <c r="J10" s="14" t="str">
        <f>_xll.BDH("ITCI US Equity","INT_BURDEN","FQ3 2020","FQ3 2020","Currency=USD","Period=FQ","BEST_FPERIOD_OVERRIDE=FQ","FILING_STATUS=MR","FA_ADJUSTED=GAAP","Sort=A","Dates=H","DateFormat=P","Fill=—","Direction=H","UseDPDF=Y")</f>
        <v>—</v>
      </c>
      <c r="K10" s="14" t="str">
        <f>_xll.BDH("ITCI US Equity","INT_BURDEN","FQ4 2020","FQ4 2020","Currency=USD","Period=FQ","BEST_FPERIOD_OVERRIDE=FQ","FILING_STATUS=MR","FA_ADJUSTED=GAAP","Sort=A","Dates=H","DateFormat=P","Fill=—","Direction=H","UseDPDF=Y")</f>
        <v>—</v>
      </c>
      <c r="L10" s="14" t="str">
        <f>_xll.BDH("ITCI US Equity","INT_BURDEN","FQ1 2021","FQ1 2021","Currency=USD","Period=FQ","BEST_FPERIOD_OVERRIDE=FQ","FILING_STATUS=MR","FA_ADJUSTED=GAAP","Sort=A","Dates=H","DateFormat=P","Fill=—","Direction=H","UseDPDF=Y")</f>
        <v>—</v>
      </c>
      <c r="M10" s="14" t="str">
        <f>_xll.BDH("ITCI US Equity","INT_BURDEN","FQ2 2021","FQ2 2021","Currency=USD","Period=FQ","BEST_FPERIOD_OVERRIDE=FQ","FILING_STATUS=MR","FA_ADJUSTED=GAAP","Sort=A","Dates=H","DateFormat=P","Fill=—","Direction=H","UseDPDF=Y")</f>
        <v>—</v>
      </c>
      <c r="N10" s="14" t="str">
        <f>_xll.BDH("ITCI US Equity","INT_BURDEN","FQ3 2021","FQ3 2021","Currency=USD","Period=FQ","BEST_FPERIOD_OVERRIDE=FQ","FILING_STATUS=MR","FA_ADJUSTED=GAAP","Sort=A","Dates=H","DateFormat=P","Fill=—","Direction=H","UseDPDF=Y")</f>
        <v>—</v>
      </c>
      <c r="O10" s="14" t="str">
        <f>_xll.BDH("ITCI US Equity","INT_BURDEN","FQ4 2021","FQ4 2021","Currency=USD","Period=FQ","BEST_FPERIOD_OVERRIDE=FQ","FILING_STATUS=MR","FA_ADJUSTED=GAAP","Sort=A","Dates=H","DateFormat=P","Fill=—","Direction=H","UseDPDF=Y")</f>
        <v>—</v>
      </c>
      <c r="P10" s="14" t="str">
        <f>_xll.BDH("ITCI US Equity","INT_BURDEN","FQ1 2022","FQ1 2022","Currency=USD","Period=FQ","BEST_FPERIOD_OVERRIDE=FQ","FILING_STATUS=MR","FA_ADJUSTED=GAAP","Sort=A","Dates=H","DateFormat=P","Fill=—","Direction=H","UseDPDF=Y")</f>
        <v>—</v>
      </c>
      <c r="Q10" s="14" t="str">
        <f>_xll.BDH("ITCI US Equity","INT_BURDEN","FQ2 2022","FQ2 2022","Currency=USD","Period=FQ","BEST_FPERIOD_OVERRIDE=FQ","FILING_STATUS=MR","FA_ADJUSTED=GAAP","Sort=A","Dates=H","DateFormat=P","Fill=—","Direction=H","UseDPDF=Y")</f>
        <v>—</v>
      </c>
      <c r="R10" s="14" t="str">
        <f>_xll.BDH("ITCI US Equity","INT_BURDEN","FQ3 2022","FQ3 2022","Currency=USD","Period=FQ","BEST_FPERIOD_OVERRIDE=FQ","FILING_STATUS=MR","FA_ADJUSTED=GAAP","Sort=A","Dates=H","DateFormat=P","Fill=—","Direction=H","UseDPDF=Y")</f>
        <v>—</v>
      </c>
      <c r="S10" s="14" t="str">
        <f>_xll.BDH("ITCI US Equity","INT_BURDEN","FQ4 2022","FQ4 2022","Currency=USD","Period=FQ","BEST_FPERIOD_OVERRIDE=FQ","FILING_STATUS=MR","FA_ADJUSTED=GAAP","Sort=A","Dates=H","DateFormat=P","Fill=—","Direction=H","UseDPDF=Y")</f>
        <v>—</v>
      </c>
      <c r="T10" s="14" t="str">
        <f>_xll.BDH("ITCI US Equity","INT_BURDEN","FQ1 2023","FQ1 2023","Currency=USD","Period=FQ","BEST_FPERIOD_OVERRIDE=FQ","FILING_STATUS=MR","FA_ADJUSTED=GAAP","Sort=A","Dates=H","DateFormat=P","Fill=—","Direction=H","UseDPDF=Y")</f>
        <v>—</v>
      </c>
      <c r="U10" s="14" t="str">
        <f>_xll.BDH("ITCI US Equity","INT_BURDEN","FQ2 2023","FQ2 2023","Currency=USD","Period=FQ","BEST_FPERIOD_OVERRIDE=FQ","FILING_STATUS=MR","FA_ADJUSTED=GAAP","Sort=A","Dates=H","DateFormat=P","Fill=—","Direction=H","UseDPDF=Y")</f>
        <v>—</v>
      </c>
      <c r="V10" s="14" t="str">
        <f>_xll.BDH("ITCI US Equity","INT_BURDEN","FQ3 2023","FQ3 2023","Currency=USD","Period=FQ","BEST_FPERIOD_OVERRIDE=FQ","FILING_STATUS=MR","FA_ADJUSTED=GAAP","Sort=A","Dates=H","DateFormat=P","Fill=—","Direction=H","UseDPDF=Y")</f>
        <v>—</v>
      </c>
      <c r="W10" s="14" t="str">
        <f>_xll.BDH("ITCI US Equity","INT_BURDEN","FQ4 2023","FQ4 2023","Currency=USD","Period=FQ","BEST_FPERIOD_OVERRIDE=FQ","FILING_STATUS=MR","FA_ADJUSTED=GAAP","Sort=A","Dates=H","DateFormat=P","Fill=—","Direction=H","UseDPDF=Y")</f>
        <v>—</v>
      </c>
      <c r="X10" s="14" t="str">
        <f>_xll.BDH("ITCI US Equity","INT_BURDEN","FQ1 2024","FQ1 2024","Currency=USD","Period=FQ","BEST_FPERIOD_OVERRIDE=FQ","FILING_STATUS=MR","FA_ADJUSTED=GAAP","Sort=A","Dates=H","DateFormat=P","Fill=—","Direction=H","UseDPDF=Y")</f>
        <v>—</v>
      </c>
      <c r="Y10" s="14" t="str">
        <f>_xll.BDH("ITCI US Equity","INT_BURDEN","FQ2 2024","FQ2 2024","Currency=USD","Period=FQ","BEST_FPERIOD_OVERRIDE=FQ","FILING_STATUS=MR","FA_ADJUSTED=GAAP","Sort=A","Dates=H","DateFormat=P","Fill=—","Direction=H","UseDPDF=Y")</f>
        <v>—</v>
      </c>
      <c r="Z10" s="14" t="str">
        <f>_xll.BDH("ITCI US Equity","INT_BURDEN","FQ3 2024","FQ3 2024","Currency=USD","Period=FQ","BEST_FPERIOD_OVERRIDE=FQ","FILING_STATUS=MR","FA_ADJUSTED=GAAP","Sort=A","Dates=H","DateFormat=P","Fill=—","Direction=H","UseDPDF=Y")</f>
        <v>—</v>
      </c>
      <c r="AA10" s="14" t="str">
        <f>_xll.BDH("ITCI US Equity","INT_BURDEN","FQ4 2024","FQ4 2024","Currency=USD","Period=FQ","BEST_FPERIOD_OVERRIDE=FQ","FILING_STATUS=MR","FA_ADJUSTED=GAAP","Sort=A","Dates=H","DateFormat=P","Fill=—","Direction=H","UseDPDF=Y")</f>
        <v>—</v>
      </c>
    </row>
    <row r="11" spans="1:27" x14ac:dyDescent="0.25">
      <c r="A11" s="6" t="s">
        <v>357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x14ac:dyDescent="0.25">
      <c r="A12" s="10" t="s">
        <v>1288</v>
      </c>
      <c r="B12" s="10" t="s">
        <v>1289</v>
      </c>
      <c r="C12" s="14" t="str">
        <f>_xll.BDH("ITCI US Equity","T12_EBIT_TO_REVENUE","FQ4 2018","FQ4 2018","Currency=USD","Period=FQ","BEST_FPERIOD_OVERRIDE=FQ","FILING_STATUS=MR","FA_ADJUSTED=GAAP","Sort=A","Dates=H","DateFormat=P","Fill=—","Direction=H","UseDPDF=Y")</f>
        <v>—</v>
      </c>
      <c r="D12" s="14" t="str">
        <f>_xll.BDH("ITCI US Equity","T12_EBIT_TO_REVENUE","FQ1 2019","FQ1 2019","Currency=USD","Period=FQ","BEST_FPERIOD_OVERRIDE=FQ","FILING_STATUS=MR","FA_ADJUSTED=GAAP","Sort=A","Dates=H","DateFormat=P","Fill=—","Direction=H","UseDPDF=Y")</f>
        <v>—</v>
      </c>
      <c r="E12" s="14" t="str">
        <f>_xll.BDH("ITCI US Equity","T12_EBIT_TO_REVENUE","FQ2 2019","FQ2 2019","Currency=USD","Period=FQ","BEST_FPERIOD_OVERRIDE=FQ","FILING_STATUS=MR","FA_ADJUSTED=GAAP","Sort=A","Dates=H","DateFormat=P","Fill=—","Direction=H","UseDPDF=Y")</f>
        <v>—</v>
      </c>
      <c r="F12" s="14" t="str">
        <f>_xll.BDH("ITCI US Equity","T12_EBIT_TO_REVENUE","FQ3 2019","FQ3 2019","Currency=USD","Period=FQ","BEST_FPERIOD_OVERRIDE=FQ","FILING_STATUS=MR","FA_ADJUSTED=GAAP","Sort=A","Dates=H","DateFormat=P","Fill=—","Direction=H","UseDPDF=Y")</f>
        <v>—</v>
      </c>
      <c r="G12" s="14">
        <f>_xll.BDH("ITCI US Equity","T12_EBIT_TO_REVENUE","FQ4 2019","FQ4 2019","Currency=USD","Period=FQ","BEST_FPERIOD_OVERRIDE=FQ","FILING_STATUS=MR","FA_ADJUSTED=GAAP","Sort=A","Dates=H","DateFormat=P","Fill=—","Direction=H","UseDPDF=Y")</f>
        <v>-243711.0471</v>
      </c>
      <c r="H12" s="14" t="str">
        <f>_xll.BDH("ITCI US Equity","T12_EBIT_TO_REVENUE","FQ1 2020","FQ1 2020","Currency=USD","Period=FQ","BEST_FPERIOD_OVERRIDE=FQ","FILING_STATUS=MR","FA_ADJUSTED=GAAP","Sort=A","Dates=H","DateFormat=P","Fill=—","Direction=H","UseDPDF=Y")</f>
        <v>—</v>
      </c>
      <c r="I12" s="14" t="str">
        <f>_xll.BDH("ITCI US Equity","T12_EBIT_TO_REVENUE","FQ2 2020","FQ2 2020","Currency=USD","Period=FQ","BEST_FPERIOD_OVERRIDE=FQ","FILING_STATUS=MR","FA_ADJUSTED=GAAP","Sort=A","Dates=H","DateFormat=P","Fill=—","Direction=H","UseDPDF=Y")</f>
        <v>—</v>
      </c>
      <c r="J12" s="14" t="str">
        <f>_xll.BDH("ITCI US Equity","T12_EBIT_TO_REVENUE","FQ3 2020","FQ3 2020","Currency=USD","Period=FQ","BEST_FPERIOD_OVERRIDE=FQ","FILING_STATUS=MR","FA_ADJUSTED=GAAP","Sort=A","Dates=H","DateFormat=P","Fill=—","Direction=H","UseDPDF=Y")</f>
        <v>—</v>
      </c>
      <c r="K12" s="14" t="str">
        <f>_xll.BDH("ITCI US Equity","T12_EBIT_TO_REVENUE","FQ4 2020","FQ4 2020","Currency=USD","Period=FQ","BEST_FPERIOD_OVERRIDE=FQ","FILING_STATUS=MR","FA_ADJUSTED=GAAP","Sort=A","Dates=H","DateFormat=P","Fill=—","Direction=H","UseDPDF=Y")</f>
        <v>—</v>
      </c>
      <c r="L12" s="14" t="str">
        <f>_xll.BDH("ITCI US Equity","T12_EBIT_TO_REVENUE","FQ1 2021","FQ1 2021","Currency=USD","Period=FQ","BEST_FPERIOD_OVERRIDE=FQ","FILING_STATUS=MR","FA_ADJUSTED=GAAP","Sort=A","Dates=H","DateFormat=P","Fill=—","Direction=H","UseDPDF=Y")</f>
        <v>—</v>
      </c>
      <c r="M12" s="14" t="str">
        <f>_xll.BDH("ITCI US Equity","T12_EBIT_TO_REVENUE","FQ2 2021","FQ2 2021","Currency=USD","Period=FQ","BEST_FPERIOD_OVERRIDE=FQ","FILING_STATUS=MR","FA_ADJUSTED=GAAP","Sort=A","Dates=H","DateFormat=P","Fill=—","Direction=H","UseDPDF=Y")</f>
        <v>—</v>
      </c>
      <c r="N12" s="14" t="str">
        <f>_xll.BDH("ITCI US Equity","T12_EBIT_TO_REVENUE","FQ3 2021","FQ3 2021","Currency=USD","Period=FQ","BEST_FPERIOD_OVERRIDE=FQ","FILING_STATUS=MR","FA_ADJUSTED=GAAP","Sort=A","Dates=H","DateFormat=P","Fill=—","Direction=H","UseDPDF=Y")</f>
        <v>—</v>
      </c>
      <c r="O12" s="14" t="str">
        <f>_xll.BDH("ITCI US Equity","T12_EBIT_TO_REVENUE","FQ4 2021","FQ4 2021","Currency=USD","Period=FQ","BEST_FPERIOD_OVERRIDE=FQ","FILING_STATUS=MR","FA_ADJUSTED=GAAP","Sort=A","Dates=H","DateFormat=P","Fill=—","Direction=H","UseDPDF=Y")</f>
        <v>—</v>
      </c>
      <c r="P12" s="14" t="str">
        <f>_xll.BDH("ITCI US Equity","T12_EBIT_TO_REVENUE","FQ1 2022","FQ1 2022","Currency=USD","Period=FQ","BEST_FPERIOD_OVERRIDE=FQ","FILING_STATUS=MR","FA_ADJUSTED=GAAP","Sort=A","Dates=H","DateFormat=P","Fill=—","Direction=H","UseDPDF=Y")</f>
        <v>—</v>
      </c>
      <c r="Q12" s="14" t="str">
        <f>_xll.BDH("ITCI US Equity","T12_EBIT_TO_REVENUE","FQ2 2022","FQ2 2022","Currency=USD","Period=FQ","BEST_FPERIOD_OVERRIDE=FQ","FILING_STATUS=MR","FA_ADJUSTED=GAAP","Sort=A","Dates=H","DateFormat=P","Fill=—","Direction=H","UseDPDF=Y")</f>
        <v>—</v>
      </c>
      <c r="R12" s="14" t="str">
        <f>_xll.BDH("ITCI US Equity","T12_EBIT_TO_REVENUE","FQ3 2022","FQ3 2022","Currency=USD","Period=FQ","BEST_FPERIOD_OVERRIDE=FQ","FILING_STATUS=MR","FA_ADJUSTED=GAAP","Sort=A","Dates=H","DateFormat=P","Fill=—","Direction=H","UseDPDF=Y")</f>
        <v>—</v>
      </c>
      <c r="S12" s="14" t="str">
        <f>_xll.BDH("ITCI US Equity","T12_EBIT_TO_REVENUE","FQ4 2022","FQ4 2022","Currency=USD","Period=FQ","BEST_FPERIOD_OVERRIDE=FQ","FILING_STATUS=MR","FA_ADJUSTED=GAAP","Sort=A","Dates=H","DateFormat=P","Fill=—","Direction=H","UseDPDF=Y")</f>
        <v>—</v>
      </c>
      <c r="T12" s="14" t="str">
        <f>_xll.BDH("ITCI US Equity","T12_EBIT_TO_REVENUE","FQ1 2023","FQ1 2023","Currency=USD","Period=FQ","BEST_FPERIOD_OVERRIDE=FQ","FILING_STATUS=MR","FA_ADJUSTED=GAAP","Sort=A","Dates=H","DateFormat=P","Fill=—","Direction=H","UseDPDF=Y")</f>
        <v>—</v>
      </c>
      <c r="U12" s="14" t="str">
        <f>_xll.BDH("ITCI US Equity","T12_EBIT_TO_REVENUE","FQ2 2023","FQ2 2023","Currency=USD","Period=FQ","BEST_FPERIOD_OVERRIDE=FQ","FILING_STATUS=MR","FA_ADJUSTED=GAAP","Sort=A","Dates=H","DateFormat=P","Fill=—","Direction=H","UseDPDF=Y")</f>
        <v>—</v>
      </c>
      <c r="V12" s="14" t="str">
        <f>_xll.BDH("ITCI US Equity","T12_EBIT_TO_REVENUE","FQ3 2023","FQ3 2023","Currency=USD","Period=FQ","BEST_FPERIOD_OVERRIDE=FQ","FILING_STATUS=MR","FA_ADJUSTED=GAAP","Sort=A","Dates=H","DateFormat=P","Fill=—","Direction=H","UseDPDF=Y")</f>
        <v>—</v>
      </c>
      <c r="W12" s="14" t="str">
        <f>_xll.BDH("ITCI US Equity","T12_EBIT_TO_REVENUE","FQ4 2023","FQ4 2023","Currency=USD","Period=FQ","BEST_FPERIOD_OVERRIDE=FQ","FILING_STATUS=MR","FA_ADJUSTED=GAAP","Sort=A","Dates=H","DateFormat=P","Fill=—","Direction=H","UseDPDF=Y")</f>
        <v>—</v>
      </c>
      <c r="X12" s="14" t="str">
        <f>_xll.BDH("ITCI US Equity","T12_EBIT_TO_REVENUE","FQ1 2024","FQ1 2024","Currency=USD","Period=FQ","BEST_FPERIOD_OVERRIDE=FQ","FILING_STATUS=MR","FA_ADJUSTED=GAAP","Sort=A","Dates=H","DateFormat=P","Fill=—","Direction=H","UseDPDF=Y")</f>
        <v>—</v>
      </c>
      <c r="Y12" s="14" t="str">
        <f>_xll.BDH("ITCI US Equity","T12_EBIT_TO_REVENUE","FQ2 2024","FQ2 2024","Currency=USD","Period=FQ","BEST_FPERIOD_OVERRIDE=FQ","FILING_STATUS=MR","FA_ADJUSTED=GAAP","Sort=A","Dates=H","DateFormat=P","Fill=—","Direction=H","UseDPDF=Y")</f>
        <v>—</v>
      </c>
      <c r="Z12" s="14" t="str">
        <f>_xll.BDH("ITCI US Equity","T12_EBIT_TO_REVENUE","FQ3 2024","FQ3 2024","Currency=USD","Period=FQ","BEST_FPERIOD_OVERRIDE=FQ","FILING_STATUS=MR","FA_ADJUSTED=GAAP","Sort=A","Dates=H","DateFormat=P","Fill=—","Direction=H","UseDPDF=Y")</f>
        <v>—</v>
      </c>
      <c r="AA12" s="14" t="str">
        <f>_xll.BDH("ITCI US Equity","T12_EBIT_TO_REVENUE","FQ4 2024","FQ4 2024","Currency=USD","Period=FQ","BEST_FPERIOD_OVERRIDE=FQ","FILING_STATUS=MR","FA_ADJUSTED=GAAP","Sort=A","Dates=H","DateFormat=P","Fill=—","Direction=H","UseDPDF=Y")</f>
        <v>—</v>
      </c>
    </row>
    <row r="13" spans="1:27" x14ac:dyDescent="0.25">
      <c r="A13" s="6" t="s">
        <v>1290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 x14ac:dyDescent="0.25">
      <c r="A14" s="10" t="s">
        <v>1291</v>
      </c>
      <c r="B14" s="10" t="s">
        <v>1292</v>
      </c>
      <c r="C14" s="14">
        <f>_xll.BDH("ITCI US Equity","ASSET_TURNOVER","FQ4 2018","FQ4 2018","Currency=USD","Period=FQ","BEST_FPERIOD_OVERRIDE=FQ","FILING_STATUS=MR","FA_ADJUSTED=GAAP","Sort=A","Dates=H","DateFormat=P","Fill=—","Direction=H","UseDPDF=Y")</f>
        <v>0</v>
      </c>
      <c r="D14" s="14">
        <f>_xll.BDH("ITCI US Equity","ASSET_TURNOVER","FQ1 2019","FQ1 2019","Currency=USD","Period=FQ","BEST_FPERIOD_OVERRIDE=FQ","FILING_STATUS=MR","FA_ADJUSTED=GAAP","Sort=A","Dates=H","DateFormat=P","Fill=—","Direction=H","UseDPDF=Y")</f>
        <v>0</v>
      </c>
      <c r="E14" s="14">
        <f>_xll.BDH("ITCI US Equity","ASSET_TURNOVER","FQ2 2019","FQ2 2019","Currency=USD","Period=FQ","BEST_FPERIOD_OVERRIDE=FQ","FILING_STATUS=MR","FA_ADJUSTED=GAAP","Sort=A","Dates=H","DateFormat=P","Fill=—","Direction=H","UseDPDF=Y")</f>
        <v>0</v>
      </c>
      <c r="F14" s="14">
        <f>_xll.BDH("ITCI US Equity","ASSET_TURNOVER","FQ3 2019","FQ3 2019","Currency=USD","Period=FQ","BEST_FPERIOD_OVERRIDE=FQ","FILING_STATUS=MR","FA_ADJUSTED=GAAP","Sort=A","Dates=H","DateFormat=P","Fill=—","Direction=H","UseDPDF=Y")</f>
        <v>0</v>
      </c>
      <c r="G14" s="14">
        <f>_xll.BDH("ITCI US Equity","ASSET_TURNOVER","FQ4 2019","FQ4 2019","Currency=USD","Period=FQ","BEST_FPERIOD_OVERRIDE=FQ","FILING_STATUS=MR","FA_ADJUSTED=GAAP","Sort=A","Dates=H","DateFormat=P","Fill=—","Direction=H","UseDPDF=Y")</f>
        <v>2.0000000000000001E-4</v>
      </c>
      <c r="H14" s="14">
        <f>_xll.BDH("ITCI US Equity","ASSET_TURNOVER","FQ1 2020","FQ1 2020","Currency=USD","Period=FQ","BEST_FPERIOD_OVERRIDE=FQ","FILING_STATUS=MR","FA_ADJUSTED=GAAP","Sort=A","Dates=H","DateFormat=P","Fill=—","Direction=H","UseDPDF=Y")</f>
        <v>2.8E-3</v>
      </c>
      <c r="I14" s="14">
        <f>_xll.BDH("ITCI US Equity","ASSET_TURNOVER","FQ2 2020","FQ2 2020","Currency=USD","Period=FQ","BEST_FPERIOD_OVERRIDE=FQ","FILING_STATUS=MR","FA_ADJUSTED=GAAP","Sort=A","Dates=H","DateFormat=P","Fill=—","Direction=H","UseDPDF=Y")</f>
        <v>8.0999999999999996E-3</v>
      </c>
      <c r="J14" s="14">
        <f>_xll.BDH("ITCI US Equity","ASSET_TURNOVER","FQ3 2020","FQ3 2020","Currency=USD","Period=FQ","BEST_FPERIOD_OVERRIDE=FQ","FILING_STATUS=MR","FA_ADJUSTED=GAAP","Sort=A","Dates=H","DateFormat=P","Fill=—","Direction=H","UseDPDF=Y")</f>
        <v>1.9800000000000002E-2</v>
      </c>
      <c r="K14" s="14">
        <f>_xll.BDH("ITCI US Equity","ASSET_TURNOVER","FQ4 2020","FQ4 2020","Currency=USD","Period=FQ","BEST_FPERIOD_OVERRIDE=FQ","FILING_STATUS=MR","FA_ADJUSTED=GAAP","Sort=A","Dates=H","DateFormat=P","Fill=—","Direction=H","UseDPDF=Y")</f>
        <v>4.7100000000000003E-2</v>
      </c>
      <c r="L14" s="14">
        <f>_xll.BDH("ITCI US Equity","ASSET_TURNOVER","FQ1 2021","FQ1 2021","Currency=USD","Period=FQ","BEST_FPERIOD_OVERRIDE=FQ","FILING_STATUS=MR","FA_ADJUSTED=GAAP","Sort=A","Dates=H","DateFormat=P","Fill=—","Direction=H","UseDPDF=Y")</f>
        <v>6.5100000000000005E-2</v>
      </c>
      <c r="M14" s="14">
        <f>_xll.BDH("ITCI US Equity","ASSET_TURNOVER","FQ2 2021","FQ2 2021","Currency=USD","Period=FQ","BEST_FPERIOD_OVERRIDE=FQ","FILING_STATUS=MR","FA_ADJUSTED=GAAP","Sort=A","Dates=H","DateFormat=P","Fill=—","Direction=H","UseDPDF=Y")</f>
        <v>0.1045</v>
      </c>
      <c r="N14" s="14">
        <f>_xll.BDH("ITCI US Equity","ASSET_TURNOVER","FQ3 2021","FQ3 2021","Currency=USD","Period=FQ","BEST_FPERIOD_OVERRIDE=FQ","FILING_STATUS=MR","FA_ADJUSTED=GAAP","Sort=A","Dates=H","DateFormat=P","Fill=—","Direction=H","UseDPDF=Y")</f>
        <v>0.10630000000000001</v>
      </c>
      <c r="O14" s="14">
        <f>_xll.BDH("ITCI US Equity","ASSET_TURNOVER","FQ4 2021","FQ4 2021","Currency=USD","Period=FQ","BEST_FPERIOD_OVERRIDE=FQ","FILING_STATUS=MR","FA_ADJUSTED=GAAP","Sort=A","Dates=H","DateFormat=P","Fill=—","Direction=H","UseDPDF=Y")</f>
        <v>0.13880000000000001</v>
      </c>
      <c r="P14" s="14">
        <f>_xll.BDH("ITCI US Equity","ASSET_TURNOVER","FQ1 2022","FQ1 2022","Currency=USD","Period=FQ","BEST_FPERIOD_OVERRIDE=FQ","FILING_STATUS=MR","FA_ADJUSTED=GAAP","Sort=A","Dates=H","DateFormat=P","Fill=—","Direction=H","UseDPDF=Y")</f>
        <v>0.13339999999999999</v>
      </c>
      <c r="Q14" s="14">
        <f>_xll.BDH("ITCI US Equity","ASSET_TURNOVER","FQ2 2022","FQ2 2022","Currency=USD","Period=FQ","BEST_FPERIOD_OVERRIDE=FQ","FILING_STATUS=MR","FA_ADJUSTED=GAAP","Sort=A","Dates=H","DateFormat=P","Fill=—","Direction=H","UseDPDF=Y")</f>
        <v>0.19259999999999999</v>
      </c>
      <c r="R14" s="14">
        <f>_xll.BDH("ITCI US Equity","ASSET_TURNOVER","FQ3 2022","FQ3 2022","Currency=USD","Period=FQ","BEST_FPERIOD_OVERRIDE=FQ","FILING_STATUS=MR","FA_ADJUSTED=GAAP","Sort=A","Dates=H","DateFormat=P","Fill=—","Direction=H","UseDPDF=Y")</f>
        <v>0.28100000000000003</v>
      </c>
      <c r="S14" s="14">
        <f>_xll.BDH("ITCI US Equity","ASSET_TURNOVER","FQ4 2022","FQ4 2022","Currency=USD","Period=FQ","BEST_FPERIOD_OVERRIDE=FQ","FILING_STATUS=MR","FA_ADJUSTED=GAAP","Sort=A","Dates=H","DateFormat=P","Fill=—","Direction=H","UseDPDF=Y")</f>
        <v>0.4022</v>
      </c>
      <c r="T14" s="14">
        <f>_xll.BDH("ITCI US Equity","ASSET_TURNOVER","FQ1 2023","FQ1 2023","Currency=USD","Period=FQ","BEST_FPERIOD_OVERRIDE=FQ","FILING_STATUS=MR","FA_ADJUSTED=GAAP","Sort=A","Dates=H","DateFormat=P","Fill=—","Direction=H","UseDPDF=Y")</f>
        <v>0.39050000000000001</v>
      </c>
      <c r="U14" s="14">
        <f>_xll.BDH("ITCI US Equity","ASSET_TURNOVER","FQ2 2023","FQ2 2023","Currency=USD","Period=FQ","BEST_FPERIOD_OVERRIDE=FQ","FILING_STATUS=MR","FA_ADJUSTED=GAAP","Sort=A","Dates=H","DateFormat=P","Fill=—","Direction=H","UseDPDF=Y")</f>
        <v>0.47960000000000003</v>
      </c>
      <c r="V14" s="14">
        <f>_xll.BDH("ITCI US Equity","ASSET_TURNOVER","FQ3 2023","FQ3 2023","Currency=USD","Period=FQ","BEST_FPERIOD_OVERRIDE=FQ","FILING_STATUS=MR","FA_ADJUSTED=GAAP","Sort=A","Dates=H","DateFormat=P","Fill=—","Direction=H","UseDPDF=Y")</f>
        <v>0.56030000000000002</v>
      </c>
      <c r="W14" s="14">
        <f>_xll.BDH("ITCI US Equity","ASSET_TURNOVER","FQ4 2023","FQ4 2023","Currency=USD","Period=FQ","BEST_FPERIOD_OVERRIDE=FQ","FILING_STATUS=MR","FA_ADJUSTED=GAAP","Sort=A","Dates=H","DateFormat=P","Fill=—","Direction=H","UseDPDF=Y")</f>
        <v>0.62619999999999998</v>
      </c>
      <c r="X14" s="14">
        <f>_xll.BDH("ITCI US Equity","ASSET_TURNOVER","FQ1 2024","FQ1 2024","Currency=USD","Period=FQ","BEST_FPERIOD_OVERRIDE=FQ","FILING_STATUS=MR","FA_ADJUSTED=GAAP","Sort=A","Dates=H","DateFormat=P","Fill=—","Direction=H","UseDPDF=Y")</f>
        <v>0.6996</v>
      </c>
      <c r="Y14" s="14">
        <f>_xll.BDH("ITCI US Equity","ASSET_TURNOVER","FQ2 2024","FQ2 2024","Currency=USD","Period=FQ","BEST_FPERIOD_OVERRIDE=FQ","FILING_STATUS=MR","FA_ADJUSTED=GAAP","Sort=A","Dates=H","DateFormat=P","Fill=—","Direction=H","UseDPDF=Y")</f>
        <v>0.55510000000000004</v>
      </c>
      <c r="Z14" s="14">
        <f>_xll.BDH("ITCI US Equity","ASSET_TURNOVER","FQ3 2024","FQ3 2024","Currency=USD","Period=FQ","BEST_FPERIOD_OVERRIDE=FQ","FILING_STATUS=MR","FA_ADJUSTED=GAAP","Sort=A","Dates=H","DateFormat=P","Fill=—","Direction=H","UseDPDF=Y")</f>
        <v>0.60109999999999997</v>
      </c>
      <c r="AA14" s="14">
        <f>_xll.BDH("ITCI US Equity","ASSET_TURNOVER","FQ4 2024","FQ4 2024","Currency=USD","Period=FQ","BEST_FPERIOD_OVERRIDE=FQ","FILING_STATUS=MR","FA_ADJUSTED=GAAP","Sort=A","Dates=H","DateFormat=P","Fill=—","Direction=H","UseDPDF=Y")</f>
        <v>0.64990000000000003</v>
      </c>
    </row>
    <row r="15" spans="1:27" x14ac:dyDescent="0.25">
      <c r="A15" s="6" t="s">
        <v>1293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x14ac:dyDescent="0.25">
      <c r="A16" s="10" t="s">
        <v>1294</v>
      </c>
      <c r="B16" s="10" t="s">
        <v>1295</v>
      </c>
      <c r="C16" s="14">
        <f>_xll.BDH("ITCI US Equity","FNCL_LVRG","FQ4 2018","FQ4 2018","Currency=USD","Period=FQ","BEST_FPERIOD_OVERRIDE=FQ","FILING_STATUS=MR","Sort=A","Dates=H","DateFormat=P","Fill=—","Direction=H","UseDPDF=Y")</f>
        <v>1.1064000000000001</v>
      </c>
      <c r="D16" s="14">
        <f>_xll.BDH("ITCI US Equity","FNCL_LVRG","FQ1 2019","FQ1 2019","Currency=USD","Period=FQ","BEST_FPERIOD_OVERRIDE=FQ","FILING_STATUS=MR","Sort=A","Dates=H","DateFormat=P","Fill=—","Direction=H","UseDPDF=Y")</f>
        <v>1.1548</v>
      </c>
      <c r="E16" s="14">
        <f>_xll.BDH("ITCI US Equity","FNCL_LVRG","FQ2 2019","FQ2 2019","Currency=USD","Period=FQ","BEST_FPERIOD_OVERRIDE=FQ","FILING_STATUS=MR","Sort=A","Dates=H","DateFormat=P","Fill=—","Direction=H","UseDPDF=Y")</f>
        <v>1.1970000000000001</v>
      </c>
      <c r="F16" s="14">
        <f>_xll.BDH("ITCI US Equity","FNCL_LVRG","FQ3 2019","FQ3 2019","Currency=USD","Period=FQ","BEST_FPERIOD_OVERRIDE=FQ","FILING_STATUS=MR","Sort=A","Dates=H","DateFormat=P","Fill=—","Direction=H","UseDPDF=Y")</f>
        <v>1.2206999999999999</v>
      </c>
      <c r="G16" s="14">
        <f>_xll.BDH("ITCI US Equity","FNCL_LVRG","FQ4 2019","FQ4 2019","Currency=USD","Period=FQ","BEST_FPERIOD_OVERRIDE=FQ","FILING_STATUS=MR","Sort=A","Dates=H","DateFormat=P","Fill=—","Direction=H","UseDPDF=Y")</f>
        <v>1.2603</v>
      </c>
      <c r="H16" s="14">
        <f>_xll.BDH("ITCI US Equity","FNCL_LVRG","FQ1 2020","FQ1 2020","Currency=USD","Period=FQ","BEST_FPERIOD_OVERRIDE=FQ","FILING_STATUS=MR","Sort=A","Dates=H","DateFormat=P","Fill=—","Direction=H","UseDPDF=Y")</f>
        <v>1.171</v>
      </c>
      <c r="I16" s="14">
        <f>_xll.BDH("ITCI US Equity","FNCL_LVRG","FQ2 2020","FQ2 2020","Currency=USD","Period=FQ","BEST_FPERIOD_OVERRIDE=FQ","FILING_STATUS=MR","Sort=A","Dates=H","DateFormat=P","Fill=—","Direction=H","UseDPDF=Y")</f>
        <v>1.1385000000000001</v>
      </c>
      <c r="J16" s="14">
        <f>_xll.BDH("ITCI US Equity","FNCL_LVRG","FQ3 2020","FQ3 2020","Currency=USD","Period=FQ","BEST_FPERIOD_OVERRIDE=FQ","FILING_STATUS=MR","Sort=A","Dates=H","DateFormat=P","Fill=—","Direction=H","UseDPDF=Y")</f>
        <v>1.1132</v>
      </c>
      <c r="K16" s="14">
        <f>_xll.BDH("ITCI US Equity","FNCL_LVRG","FQ4 2020","FQ4 2020","Currency=USD","Period=FQ","BEST_FPERIOD_OVERRIDE=FQ","FILING_STATUS=MR","Sort=A","Dates=H","DateFormat=P","Fill=—","Direction=H","UseDPDF=Y")</f>
        <v>1.0895999999999999</v>
      </c>
      <c r="L16" s="14">
        <f>_xll.BDH("ITCI US Equity","FNCL_LVRG","FQ1 2021","FQ1 2021","Currency=USD","Period=FQ","BEST_FPERIOD_OVERRIDE=FQ","FILING_STATUS=MR","Sort=A","Dates=H","DateFormat=P","Fill=—","Direction=H","UseDPDF=Y")</f>
        <v>1.0968</v>
      </c>
      <c r="M16" s="14">
        <f>_xll.BDH("ITCI US Equity","FNCL_LVRG","FQ2 2021","FQ2 2021","Currency=USD","Period=FQ","BEST_FPERIOD_OVERRIDE=FQ","FILING_STATUS=MR","Sort=A","Dates=H","DateFormat=P","Fill=—","Direction=H","UseDPDF=Y")</f>
        <v>1.1153</v>
      </c>
      <c r="N16" s="14">
        <f>_xll.BDH("ITCI US Equity","FNCL_LVRG","FQ3 2021","FQ3 2021","Currency=USD","Period=FQ","BEST_FPERIOD_OVERRIDE=FQ","FILING_STATUS=MR","Sort=A","Dates=H","DateFormat=P","Fill=—","Direction=H","UseDPDF=Y")</f>
        <v>1.1368</v>
      </c>
      <c r="O16" s="14">
        <f>_xll.BDH("ITCI US Equity","FNCL_LVRG","FQ4 2021","FQ4 2021","Currency=USD","Period=FQ","BEST_FPERIOD_OVERRIDE=FQ","FILING_STATUS=MR","Sort=A","Dates=H","DateFormat=P","Fill=—","Direction=H","UseDPDF=Y")</f>
        <v>1.1572</v>
      </c>
      <c r="P16" s="14">
        <f>_xll.BDH("ITCI US Equity","FNCL_LVRG","FQ1 2022","FQ1 2022","Currency=USD","Period=FQ","BEST_FPERIOD_OVERRIDE=FQ","FILING_STATUS=MR","Sort=A","Dates=H","DateFormat=P","Fill=—","Direction=H","UseDPDF=Y")</f>
        <v>1.1221000000000001</v>
      </c>
      <c r="Q16" s="14">
        <f>_xll.BDH("ITCI US Equity","FNCL_LVRG","FQ2 2022","FQ2 2022","Currency=USD","Period=FQ","BEST_FPERIOD_OVERRIDE=FQ","FILING_STATUS=MR","Sort=A","Dates=H","DateFormat=P","Fill=—","Direction=H","UseDPDF=Y")</f>
        <v>1.1093</v>
      </c>
      <c r="R16" s="14">
        <f>_xll.BDH("ITCI US Equity","FNCL_LVRG","FQ3 2022","FQ3 2022","Currency=USD","Period=FQ","BEST_FPERIOD_OVERRIDE=FQ","FILING_STATUS=MR","Sort=A","Dates=H","DateFormat=P","Fill=—","Direction=H","UseDPDF=Y")</f>
        <v>1.1323000000000001</v>
      </c>
      <c r="S16" s="14">
        <f>_xll.BDH("ITCI US Equity","FNCL_LVRG","FQ4 2022","FQ4 2022","Currency=USD","Period=FQ","BEST_FPERIOD_OVERRIDE=FQ","FILING_STATUS=MR","Sort=A","Dates=H","DateFormat=P","Fill=—","Direction=H","UseDPDF=Y")</f>
        <v>1.1456</v>
      </c>
      <c r="T16" s="14">
        <f>_xll.BDH("ITCI US Equity","FNCL_LVRG","FQ1 2023","FQ1 2023","Currency=USD","Period=FQ","BEST_FPERIOD_OVERRIDE=FQ","FILING_STATUS=MR","Sort=A","Dates=H","DateFormat=P","Fill=—","Direction=H","UseDPDF=Y")</f>
        <v>1.1505000000000001</v>
      </c>
      <c r="U16" s="14">
        <f>_xll.BDH("ITCI US Equity","FNCL_LVRG","FQ2 2023","FQ2 2023","Currency=USD","Period=FQ","BEST_FPERIOD_OVERRIDE=FQ","FILING_STATUS=MR","Sort=A","Dates=H","DateFormat=P","Fill=—","Direction=H","UseDPDF=Y")</f>
        <v>1.1628000000000001</v>
      </c>
      <c r="V16" s="14">
        <f>_xll.BDH("ITCI US Equity","FNCL_LVRG","FQ3 2023","FQ3 2023","Currency=USD","Period=FQ","BEST_FPERIOD_OVERRIDE=FQ","FILING_STATUS=MR","Sort=A","Dates=H","DateFormat=P","Fill=—","Direction=H","UseDPDF=Y")</f>
        <v>1.1850000000000001</v>
      </c>
      <c r="W16" s="14">
        <f>_xll.BDH("ITCI US Equity","FNCL_LVRG","FQ4 2023","FQ4 2023","Currency=USD","Period=FQ","BEST_FPERIOD_OVERRIDE=FQ","FILING_STATUS=MR","Sort=A","Dates=H","DateFormat=P","Fill=—","Direction=H","UseDPDF=Y")</f>
        <v>1.2129000000000001</v>
      </c>
      <c r="X16" s="14">
        <f>_xll.BDH("ITCI US Equity","FNCL_LVRG","FQ1 2024","FQ1 2024","Currency=USD","Period=FQ","BEST_FPERIOD_OVERRIDE=FQ","FILING_STATUS=MR","Sort=A","Dates=H","DateFormat=P","Fill=—","Direction=H","UseDPDF=Y")</f>
        <v>1.2387999999999999</v>
      </c>
      <c r="Y16" s="14">
        <f>_xll.BDH("ITCI US Equity","FNCL_LVRG","FQ2 2024","FQ2 2024","Currency=USD","Period=FQ","BEST_FPERIOD_OVERRIDE=FQ","FILING_STATUS=MR","Sort=A","Dates=H","DateFormat=P","Fill=—","Direction=H","UseDPDF=Y")</f>
        <v>1.1854</v>
      </c>
      <c r="Z16" s="14">
        <f>_xll.BDH("ITCI US Equity","FNCL_LVRG","FQ3 2024","FQ3 2024","Currency=USD","Period=FQ","BEST_FPERIOD_OVERRIDE=FQ","FILING_STATUS=MR","Sort=A","Dates=H","DateFormat=P","Fill=—","Direction=H","UseDPDF=Y")</f>
        <v>1.1553</v>
      </c>
      <c r="AA16" s="14">
        <f>_xll.BDH("ITCI US Equity","FNCL_LVRG","FQ4 2024","FQ4 2024","Currency=USD","Period=FQ","BEST_FPERIOD_OVERRIDE=FQ","FILING_STATUS=MR","Sort=A","Dates=H","DateFormat=P","Fill=—","Direction=H","UseDPDF=Y")</f>
        <v>1.1736</v>
      </c>
    </row>
    <row r="17" spans="1:27" x14ac:dyDescent="0.25">
      <c r="A17" s="10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5">
      <c r="A18" s="10" t="s">
        <v>1296</v>
      </c>
      <c r="B18" s="10" t="s">
        <v>1297</v>
      </c>
      <c r="C18" s="14">
        <f>_xll.BDH("ITCI US Equity","NORMALIZED_ROE","FQ4 2018","FQ4 2018","Currency=USD","Period=FQ","BEST_FPERIOD_OVERRIDE=FQ","FILING_STATUS=MR","FA_ADJUSTED=GAAP","Sort=A","Dates=H","DateFormat=P","Fill=—","Direction=H","UseDPDF=Y")</f>
        <v>-40.180500000000002</v>
      </c>
      <c r="D18" s="14">
        <f>_xll.BDH("ITCI US Equity","NORMALIZED_ROE","FQ1 2019","FQ1 2019","Currency=USD","Period=FQ","BEST_FPERIOD_OVERRIDE=FQ","FILING_STATUS=MR","FA_ADJUSTED=GAAP","Sort=A","Dates=H","DateFormat=P","Fill=—","Direction=H","UseDPDF=Y")</f>
        <v>-43.406100000000002</v>
      </c>
      <c r="E18" s="14">
        <f>_xll.BDH("ITCI US Equity","NORMALIZED_ROE","FQ2 2019","FQ2 2019","Currency=USD","Period=FQ","BEST_FPERIOD_OVERRIDE=FQ","FILING_STATUS=MR","FA_ADJUSTED=GAAP","Sort=A","Dates=H","DateFormat=P","Fill=—","Direction=H","UseDPDF=Y")</f>
        <v>-47.7622</v>
      </c>
      <c r="F18" s="14">
        <f>_xll.BDH("ITCI US Equity","NORMALIZED_ROE","FQ3 2019","FQ3 2019","Currency=USD","Period=FQ","BEST_FPERIOD_OVERRIDE=FQ","FILING_STATUS=MR","FA_ADJUSTED=GAAP","Sort=A","Dates=H","DateFormat=P","Fill=—","Direction=H","UseDPDF=Y")</f>
        <v>-50.9512</v>
      </c>
      <c r="G18" s="14">
        <f>_xll.BDH("ITCI US Equity","NORMALIZED_ROE","FQ4 2019","FQ4 2019","Currency=USD","Period=FQ","BEST_FPERIOD_OVERRIDE=FQ","FILING_STATUS=MR","FA_ADJUSTED=GAAP","Sort=A","Dates=H","DateFormat=P","Fill=—","Direction=H","UseDPDF=Y")</f>
        <v>-57.622700000000002</v>
      </c>
      <c r="H18" s="14">
        <f>_xll.BDH("ITCI US Equity","NORMALIZED_ROE","FQ1 2020","FQ1 2020","Currency=USD","Period=FQ","BEST_FPERIOD_OVERRIDE=FQ","FILING_STATUS=MR","FA_ADJUSTED=GAAP","Sort=A","Dates=H","DateFormat=P","Fill=—","Direction=H","UseDPDF=Y")</f>
        <v>-44.585000000000001</v>
      </c>
      <c r="I18" s="14">
        <f>_xll.BDH("ITCI US Equity","NORMALIZED_ROE","FQ2 2020","FQ2 2020","Currency=USD","Period=FQ","BEST_FPERIOD_OVERRIDE=FQ","FILING_STATUS=MR","FA_ADJUSTED=GAAP","Sort=A","Dates=H","DateFormat=P","Fill=—","Direction=H","UseDPDF=Y")</f>
        <v>-58.6417</v>
      </c>
      <c r="J18" s="14">
        <f>_xll.BDH("ITCI US Equity","NORMALIZED_ROE","FQ3 2020","FQ3 2020","Currency=USD","Period=FQ","BEST_FPERIOD_OVERRIDE=FQ","FILING_STATUS=MR","FA_ADJUSTED=GAAP","Sort=A","Dates=H","DateFormat=P","Fill=—","Direction=H","UseDPDF=Y")</f>
        <v>-44.194099999999999</v>
      </c>
      <c r="K18" s="14">
        <f>_xll.BDH("ITCI US Equity","NORMALIZED_ROE","FQ4 2020","FQ4 2020","Currency=USD","Period=FQ","BEST_FPERIOD_OVERRIDE=FQ","FILING_STATUS=MR","FA_ADJUSTED=GAAP","Sort=A","Dates=H","DateFormat=P","Fill=—","Direction=H","UseDPDF=Y")</f>
        <v>-53.295999999999999</v>
      </c>
      <c r="L18" s="14">
        <f>_xll.BDH("ITCI US Equity","NORMALIZED_ROE","FQ1 2021","FQ1 2021","Currency=USD","Period=FQ","BEST_FPERIOD_OVERRIDE=FQ","FILING_STATUS=MR","FA_ADJUSTED=GAAP","Sort=A","Dates=H","DateFormat=P","Fill=—","Direction=H","UseDPDF=Y")</f>
        <v>-44.5685</v>
      </c>
      <c r="M18" s="14">
        <f>_xll.BDH("ITCI US Equity","NORMALIZED_ROE","FQ2 2021","FQ2 2021","Currency=USD","Period=FQ","BEST_FPERIOD_OVERRIDE=FQ","FILING_STATUS=MR","FA_ADJUSTED=GAAP","Sort=A","Dates=H","DateFormat=P","Fill=—","Direction=H","UseDPDF=Y")</f>
        <v>-50.876100000000001</v>
      </c>
      <c r="N18" s="14">
        <f>_xll.BDH("ITCI US Equity","NORMALIZED_ROE","FQ3 2021","FQ3 2021","Currency=USD","Period=FQ","BEST_FPERIOD_OVERRIDE=FQ","FILING_STATUS=MR","FA_ADJUSTED=GAAP","Sort=A","Dates=H","DateFormat=P","Fill=—","Direction=H","UseDPDF=Y")</f>
        <v>-43.320700000000002</v>
      </c>
      <c r="O18" s="14">
        <f>_xll.BDH("ITCI US Equity","NORMALIZED_ROE","FQ4 2021","FQ4 2021","Currency=USD","Period=FQ","BEST_FPERIOD_OVERRIDE=FQ","FILING_STATUS=MR","FA_ADJUSTED=GAAP","Sort=A","Dates=H","DateFormat=P","Fill=—","Direction=H","UseDPDF=Y")</f>
        <v>-52.872799999999998</v>
      </c>
      <c r="P18" s="14">
        <f>_xll.BDH("ITCI US Equity","NORMALIZED_ROE","FQ1 2022","FQ1 2022","Currency=USD","Period=FQ","BEST_FPERIOD_OVERRIDE=FQ","FILING_STATUS=MR","FA_ADJUSTED=GAAP","Sort=A","Dates=H","DateFormat=P","Fill=—","Direction=H","UseDPDF=Y")</f>
        <v>-43.206600000000002</v>
      </c>
      <c r="Q18" s="14">
        <f>_xll.BDH("ITCI US Equity","NORMALIZED_ROE","FQ2 2022","FQ2 2022","Currency=USD","Period=FQ","BEST_FPERIOD_OVERRIDE=FQ","FILING_STATUS=MR","FA_ADJUSTED=GAAP","Sort=A","Dates=H","DateFormat=P","Fill=—","Direction=H","UseDPDF=Y")</f>
        <v>-50.379100000000001</v>
      </c>
      <c r="R18" s="14">
        <f>_xll.BDH("ITCI US Equity","NORMALIZED_ROE","FQ3 2022","FQ3 2022","Currency=USD","Period=FQ","BEST_FPERIOD_OVERRIDE=FQ","FILING_STATUS=MR","FA_ADJUSTED=GAAP","Sort=A","Dates=H","DateFormat=P","Fill=—","Direction=H","UseDPDF=Y")</f>
        <v>-50.839399999999998</v>
      </c>
      <c r="S18" s="14">
        <f>_xll.BDH("ITCI US Equity","NORMALIZED_ROE","FQ4 2022","FQ4 2022","Currency=USD","Period=FQ","BEST_FPERIOD_OVERRIDE=FQ","FILING_STATUS=MR","FA_ADJUSTED=GAAP","Sort=A","Dates=H","DateFormat=P","Fill=—","Direction=H","UseDPDF=Y")</f>
        <v>-47.721699999999998</v>
      </c>
      <c r="T18" s="14">
        <f>_xll.BDH("ITCI US Equity","NORMALIZED_ROE","FQ1 2023","FQ1 2023","Currency=USD","Period=FQ","BEST_FPERIOD_OVERRIDE=FQ","FILING_STATUS=MR","FA_ADJUSTED=GAAP","Sort=A","Dates=H","DateFormat=P","Fill=—","Direction=H","UseDPDF=Y")</f>
        <v>-32.131300000000003</v>
      </c>
      <c r="U18" s="14">
        <f>_xll.BDH("ITCI US Equity","NORMALIZED_ROE","FQ2 2023","FQ2 2023","Currency=USD","Period=FQ","BEST_FPERIOD_OVERRIDE=FQ","FILING_STATUS=MR","FA_ADJUSTED=GAAP","Sort=A","Dates=H","DateFormat=P","Fill=—","Direction=H","UseDPDF=Y")</f>
        <v>-27.739799999999999</v>
      </c>
      <c r="V18" s="14">
        <f>_xll.BDH("ITCI US Equity","NORMALIZED_ROE","FQ3 2023","FQ3 2023","Currency=USD","Period=FQ","BEST_FPERIOD_OVERRIDE=FQ","FILING_STATUS=MR","FA_ADJUSTED=GAAP","Sort=A","Dates=H","DateFormat=P","Fill=—","Direction=H","UseDPDF=Y")</f>
        <v>-24.122599999999998</v>
      </c>
      <c r="W18" s="14">
        <f>_xll.BDH("ITCI US Equity","NORMALIZED_ROE","FQ4 2023","FQ4 2023","Currency=USD","Period=FQ","BEST_FPERIOD_OVERRIDE=FQ","FILING_STATUS=MR","FA_ADJUSTED=GAAP","Sort=A","Dates=H","DateFormat=P","Fill=—","Direction=H","UseDPDF=Y")</f>
        <v>-22.392700000000001</v>
      </c>
      <c r="X18" s="14">
        <f>_xll.BDH("ITCI US Equity","NORMALIZED_ROE","FQ1 2024","FQ1 2024","Currency=USD","Period=FQ","BEST_FPERIOD_OVERRIDE=FQ","FILING_STATUS=MR","FA_ADJUSTED=GAAP","Sort=A","Dates=H","DateFormat=P","Fill=—","Direction=H","UseDPDF=Y")</f>
        <v>-18.069800000000001</v>
      </c>
      <c r="Y18" s="14">
        <f>_xll.BDH("ITCI US Equity","NORMALIZED_ROE","FQ2 2024","FQ2 2024","Currency=USD","Period=FQ","BEST_FPERIOD_OVERRIDE=FQ","FILING_STATUS=MR","FA_ADJUSTED=GAAP","Sort=A","Dates=H","DateFormat=P","Fill=—","Direction=H","UseDPDF=Y")</f>
        <v>-9.6254000000000008</v>
      </c>
      <c r="Z18" s="14">
        <f>_xll.BDH("ITCI US Equity","NORMALIZED_ROE","FQ3 2024","FQ3 2024","Currency=USD","Period=FQ","BEST_FPERIOD_OVERRIDE=FQ","FILING_STATUS=MR","FA_ADJUSTED=GAAP","Sort=A","Dates=H","DateFormat=P","Fill=—","Direction=H","UseDPDF=Y")</f>
        <v>-9.8963000000000001</v>
      </c>
      <c r="AA18" s="14">
        <f>_xll.BDH("ITCI US Equity","NORMALIZED_ROE","FQ4 2024","FQ4 2024","Currency=USD","Period=FQ","BEST_FPERIOD_OVERRIDE=FQ","FILING_STATUS=MR","FA_ADJUSTED=GAAP","Sort=A","Dates=H","DateFormat=P","Fill=—","Direction=H","UseDPDF=Y")</f>
        <v>-8.5839999999999996</v>
      </c>
    </row>
    <row r="19" spans="1:27" x14ac:dyDescent="0.25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5">
      <c r="A20" s="10" t="s">
        <v>1298</v>
      </c>
      <c r="B20" s="10" t="s">
        <v>1299</v>
      </c>
      <c r="C20" s="14">
        <f>_xll.BDH("ITCI US Equity","5_YEAR_AVERAGE_ADJUSTED_ROE","FQ4 2018","FQ4 2018","Currency=USD","Period=FQ","BEST_FPERIOD_OVERRIDE=FQ","FILING_STATUS=MR","FA_ADJUSTED=GAAP","Sort=A","Dates=H","DateFormat=P","Fill=—","Direction=H","UseDPDF=Y")</f>
        <v>-33.955500000000001</v>
      </c>
      <c r="D20" s="14">
        <f>_xll.BDH("ITCI US Equity","5_YEAR_AVERAGE_ADJUSTED_ROE","FQ1 2019","FQ1 2019","Currency=USD","Period=FQ","BEST_FPERIOD_OVERRIDE=FQ","FILING_STATUS=MR","FA_ADJUSTED=GAAP","Sort=A","Dates=H","DateFormat=P","Fill=—","Direction=H","UseDPDF=Y")</f>
        <v>-37.871400000000001</v>
      </c>
      <c r="E20" s="14">
        <f>_xll.BDH("ITCI US Equity","5_YEAR_AVERAGE_ADJUSTED_ROE","FQ2 2019","FQ2 2019","Currency=USD","Period=FQ","BEST_FPERIOD_OVERRIDE=FQ","FILING_STATUS=MR","FA_ADJUSTED=GAAP","Sort=A","Dates=H","DateFormat=P","Fill=—","Direction=H","UseDPDF=Y")</f>
        <v>-41.888300000000001</v>
      </c>
      <c r="F20" s="14">
        <f>_xll.BDH("ITCI US Equity","5_YEAR_AVERAGE_ADJUSTED_ROE","FQ3 2019","FQ3 2019","Currency=USD","Period=FQ","BEST_FPERIOD_OVERRIDE=FQ","FILING_STATUS=MR","FA_ADJUSTED=GAAP","Sort=A","Dates=H","DateFormat=P","Fill=—","Direction=H","UseDPDF=Y")</f>
        <v>-45.118200000000002</v>
      </c>
      <c r="G20" s="14">
        <f>_xll.BDH("ITCI US Equity","5_YEAR_AVERAGE_ADJUSTED_ROE","FQ4 2019","FQ4 2019","Currency=USD","Period=FQ","BEST_FPERIOD_OVERRIDE=FQ","FILING_STATUS=MR","FA_ADJUSTED=GAAP","Sort=A","Dates=H","DateFormat=P","Fill=—","Direction=H","UseDPDF=Y")</f>
        <v>-47.9846</v>
      </c>
      <c r="H20" s="14">
        <f>_xll.BDH("ITCI US Equity","5_YEAR_AVERAGE_ADJUSTED_ROE","FQ1 2020","FQ1 2020","Currency=USD","Period=FQ","BEST_FPERIOD_OVERRIDE=FQ","FILING_STATUS=MR","FA_ADJUSTED=GAAP","Sort=A","Dates=H","DateFormat=P","Fill=—","Direction=H","UseDPDF=Y")</f>
        <v>-48.865400000000001</v>
      </c>
      <c r="I20" s="14">
        <f>_xll.BDH("ITCI US Equity","5_YEAR_AVERAGE_ADJUSTED_ROE","FQ2 2020","FQ2 2020","Currency=USD","Period=FQ","BEST_FPERIOD_OVERRIDE=FQ","FILING_STATUS=MR","FA_ADJUSTED=GAAP","Sort=A","Dates=H","DateFormat=P","Fill=—","Direction=H","UseDPDF=Y")</f>
        <v>-51.912599999999998</v>
      </c>
      <c r="J20" s="14">
        <f>_xll.BDH("ITCI US Equity","5_YEAR_AVERAGE_ADJUSTED_ROE","FQ3 2020","FQ3 2020","Currency=USD","Period=FQ","BEST_FPERIOD_OVERRIDE=FQ","FILING_STATUS=MR","FA_ADJUSTED=GAAP","Sort=A","Dates=H","DateFormat=P","Fill=—","Direction=H","UseDPDF=Y")</f>
        <v>-51.198900000000002</v>
      </c>
      <c r="K20" s="14">
        <f>_xll.BDH("ITCI US Equity","5_YEAR_AVERAGE_ADJUSTED_ROE","FQ4 2020","FQ4 2020","Currency=USD","Period=FQ","BEST_FPERIOD_OVERRIDE=FQ","FILING_STATUS=MR","FA_ADJUSTED=GAAP","Sort=A","Dates=H","DateFormat=P","Fill=—","Direction=H","UseDPDF=Y")</f>
        <v>-51.667900000000003</v>
      </c>
      <c r="L20" s="14">
        <f>_xll.BDH("ITCI US Equity","5_YEAR_AVERAGE_ADJUSTED_ROE","FQ1 2021","FQ1 2021","Currency=USD","Period=FQ","BEST_FPERIOD_OVERRIDE=FQ","FILING_STATUS=MR","FA_ADJUSTED=GAAP","Sort=A","Dates=H","DateFormat=P","Fill=—","Direction=H","UseDPDF=Y")</f>
        <v>-49.057099999999998</v>
      </c>
      <c r="M20" s="14">
        <f>_xll.BDH("ITCI US Equity","5_YEAR_AVERAGE_ADJUSTED_ROE","FQ2 2021","FQ2 2021","Currency=USD","Period=FQ","BEST_FPERIOD_OVERRIDE=FQ","FILING_STATUS=MR","FA_ADJUSTED=GAAP","Sort=A","Dates=H","DateFormat=P","Fill=—","Direction=H","UseDPDF=Y")</f>
        <v>-50.315300000000001</v>
      </c>
      <c r="N20" s="14">
        <f>_xll.BDH("ITCI US Equity","5_YEAR_AVERAGE_ADJUSTED_ROE","FQ3 2021","FQ3 2021","Currency=USD","Period=FQ","BEST_FPERIOD_OVERRIDE=FQ","FILING_STATUS=MR","FA_ADJUSTED=GAAP","Sort=A","Dates=H","DateFormat=P","Fill=—","Direction=H","UseDPDF=Y")</f>
        <v>-47.251100000000001</v>
      </c>
      <c r="O20" s="14">
        <f>_xll.BDH("ITCI US Equity","5_YEAR_AVERAGE_ADJUSTED_ROE","FQ4 2021","FQ4 2021","Currency=USD","Period=FQ","BEST_FPERIOD_OVERRIDE=FQ","FILING_STATUS=MR","FA_ADJUSTED=GAAP","Sort=A","Dates=H","DateFormat=P","Fill=—","Direction=H","UseDPDF=Y")</f>
        <v>-48.986800000000002</v>
      </c>
      <c r="P20" s="14">
        <f>_xll.BDH("ITCI US Equity","5_YEAR_AVERAGE_ADJUSTED_ROE","FQ1 2022","FQ1 2022","Currency=USD","Period=FQ","BEST_FPERIOD_OVERRIDE=FQ","FILING_STATUS=MR","FA_ADJUSTED=GAAP","Sort=A","Dates=H","DateFormat=P","Fill=—","Direction=H","UseDPDF=Y")</f>
        <v>-46.969000000000001</v>
      </c>
      <c r="Q20" s="14">
        <f>_xll.BDH("ITCI US Equity","5_YEAR_AVERAGE_ADJUSTED_ROE","FQ2 2022","FQ2 2022","Currency=USD","Period=FQ","BEST_FPERIOD_OVERRIDE=FQ","FILING_STATUS=MR","FA_ADJUSTED=GAAP","Sort=A","Dates=H","DateFormat=P","Fill=—","Direction=H","UseDPDF=Y")</f>
        <v>-48.131100000000004</v>
      </c>
      <c r="R20" s="14">
        <f>_xll.BDH("ITCI US Equity","5_YEAR_AVERAGE_ADJUSTED_ROE","FQ3 2022","FQ3 2022","Currency=USD","Period=FQ","BEST_FPERIOD_OVERRIDE=FQ","FILING_STATUS=MR","FA_ADJUSTED=GAAP","Sort=A","Dates=H","DateFormat=P","Fill=—","Direction=H","UseDPDF=Y")</f>
        <v>-48.123699999999999</v>
      </c>
      <c r="S20" s="14">
        <f>_xll.BDH("ITCI US Equity","5_YEAR_AVERAGE_ADJUSTED_ROE","FQ4 2022","FQ4 2022","Currency=USD","Period=FQ","BEST_FPERIOD_OVERRIDE=FQ","FILING_STATUS=MR","FA_ADJUSTED=GAAP","Sort=A","Dates=H","DateFormat=P","Fill=—","Direction=H","UseDPDF=Y")</f>
        <v>-49.003900000000002</v>
      </c>
      <c r="T20" s="14">
        <f>_xll.BDH("ITCI US Equity","5_YEAR_AVERAGE_ADJUSTED_ROE","FQ1 2023","FQ1 2023","Currency=USD","Period=FQ","BEST_FPERIOD_OVERRIDE=FQ","FILING_STATUS=MR","FA_ADJUSTED=GAAP","Sort=A","Dates=H","DateFormat=P","Fill=—","Direction=H","UseDPDF=Y")</f>
        <v>-44.855600000000003</v>
      </c>
      <c r="U20" s="14">
        <f>_xll.BDH("ITCI US Equity","5_YEAR_AVERAGE_ADJUSTED_ROE","FQ2 2023","FQ2 2023","Currency=USD","Period=FQ","BEST_FPERIOD_OVERRIDE=FQ","FILING_STATUS=MR","FA_ADJUSTED=GAAP","Sort=A","Dates=H","DateFormat=P","Fill=—","Direction=H","UseDPDF=Y")</f>
        <v>-41.7622</v>
      </c>
      <c r="V20" s="14">
        <f>_xll.BDH("ITCI US Equity","5_YEAR_AVERAGE_ADJUSTED_ROE","FQ3 2023","FQ3 2023","Currency=USD","Period=FQ","BEST_FPERIOD_OVERRIDE=FQ","FILING_STATUS=MR","FA_ADJUSTED=GAAP","Sort=A","Dates=H","DateFormat=P","Fill=—","Direction=H","UseDPDF=Y")</f>
        <v>-36.511000000000003</v>
      </c>
      <c r="W20" s="14">
        <f>_xll.BDH("ITCI US Equity","5_YEAR_AVERAGE_ADJUSTED_ROE","FQ4 2023","FQ4 2023","Currency=USD","Period=FQ","BEST_FPERIOD_OVERRIDE=FQ","FILING_STATUS=MR","FA_ADJUSTED=GAAP","Sort=A","Dates=H","DateFormat=P","Fill=—","Direction=H","UseDPDF=Y")</f>
        <v>-30.8216</v>
      </c>
      <c r="X20" s="14">
        <f>_xll.BDH("ITCI US Equity","5_YEAR_AVERAGE_ADJUSTED_ROE","FQ1 2024","FQ1 2024","Currency=USD","Period=FQ","BEST_FPERIOD_OVERRIDE=FQ","FILING_STATUS=MR","FA_ADJUSTED=GAAP","Sort=A","Dates=H","DateFormat=P","Fill=—","Direction=H","UseDPDF=Y")</f>
        <v>-24.891300000000001</v>
      </c>
      <c r="Y20" s="14">
        <f>_xll.BDH("ITCI US Equity","5_YEAR_AVERAGE_ADJUSTED_ROE","FQ2 2024","FQ2 2024","Currency=USD","Period=FQ","BEST_FPERIOD_OVERRIDE=FQ","FILING_STATUS=MR","FA_ADJUSTED=GAAP","Sort=A","Dates=H","DateFormat=P","Fill=—","Direction=H","UseDPDF=Y")</f>
        <v>-20.3901</v>
      </c>
      <c r="Z20" s="14">
        <f>_xll.BDH("ITCI US Equity","5_YEAR_AVERAGE_ADJUSTED_ROE","FQ3 2024","FQ3 2024","Currency=USD","Period=FQ","BEST_FPERIOD_OVERRIDE=FQ","FILING_STATUS=MR","FA_ADJUSTED=GAAP","Sort=A","Dates=H","DateFormat=P","Fill=—","Direction=H","UseDPDF=Y")</f>
        <v>-16.821400000000001</v>
      </c>
      <c r="AA20" s="14">
        <f>_xll.BDH("ITCI US Equity","5_YEAR_AVERAGE_ADJUSTED_ROE","FQ4 2024","FQ4 2024","Currency=USD","Period=FQ","BEST_FPERIOD_OVERRIDE=FQ","FILING_STATUS=MR","FA_ADJUSTED=GAAP","Sort=A","Dates=H","DateFormat=P","Fill=—","Direction=H","UseDPDF=Y")</f>
        <v>-13.7136</v>
      </c>
    </row>
    <row r="21" spans="1:27" x14ac:dyDescent="0.25">
      <c r="A21" s="7" t="s">
        <v>90</v>
      </c>
      <c r="B21" s="7"/>
      <c r="C21" s="7" t="s">
        <v>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4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129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31</v>
      </c>
      <c r="AA4" s="4" t="s">
        <v>32</v>
      </c>
    </row>
    <row r="5" spans="1:27" x14ac:dyDescent="0.25">
      <c r="A5" s="9" t="s">
        <v>33</v>
      </c>
      <c r="B5" s="9"/>
      <c r="C5" s="5" t="s">
        <v>34</v>
      </c>
      <c r="D5" s="5" t="s">
        <v>35</v>
      </c>
      <c r="E5" s="5" t="s">
        <v>36</v>
      </c>
      <c r="F5" s="5" t="s">
        <v>37</v>
      </c>
      <c r="G5" s="5" t="s">
        <v>38</v>
      </c>
      <c r="H5" s="5" t="s">
        <v>39</v>
      </c>
      <c r="I5" s="5" t="s">
        <v>40</v>
      </c>
      <c r="J5" s="5" t="s">
        <v>41</v>
      </c>
      <c r="K5" s="5" t="s">
        <v>42</v>
      </c>
      <c r="L5" s="5" t="s">
        <v>43</v>
      </c>
      <c r="M5" s="5" t="s">
        <v>44</v>
      </c>
      <c r="N5" s="5" t="s">
        <v>45</v>
      </c>
      <c r="O5" s="5" t="s">
        <v>46</v>
      </c>
      <c r="P5" s="5" t="s">
        <v>47</v>
      </c>
      <c r="Q5" s="5" t="s">
        <v>48</v>
      </c>
      <c r="R5" s="5" t="s">
        <v>49</v>
      </c>
      <c r="S5" s="5" t="s">
        <v>50</v>
      </c>
      <c r="T5" s="5" t="s">
        <v>51</v>
      </c>
      <c r="U5" s="5" t="s">
        <v>52</v>
      </c>
      <c r="V5" s="5" t="s">
        <v>53</v>
      </c>
      <c r="W5" s="5" t="s">
        <v>54</v>
      </c>
      <c r="X5" s="5" t="s">
        <v>55</v>
      </c>
      <c r="Y5" s="5" t="s">
        <v>56</v>
      </c>
      <c r="Z5" s="5" t="s">
        <v>57</v>
      </c>
      <c r="AA5" s="5" t="s">
        <v>58</v>
      </c>
    </row>
    <row r="6" spans="1:27" x14ac:dyDescent="0.25">
      <c r="A6" s="6" t="s">
        <v>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130</v>
      </c>
      <c r="B7" s="10" t="s">
        <v>131</v>
      </c>
      <c r="C7" s="13">
        <f>_xll.BDH("ITCI US Equity","BEST_SALES","FQ2 2019","FQ2 2019","Currency=USD","Period=FQ","BEST_FPERIOD_OVERRIDE=FQ","FILING_STATUS=MR","Sort=A","Dates=H","DateFormat=P","Fill=—","Direction=H","UseDPDF=Y")</f>
        <v>0.05</v>
      </c>
      <c r="D7" s="13">
        <f>_xll.BDH("ITCI US Equity","BEST_SALES","FQ3 2019","FQ3 2019","Currency=USD","Period=FQ","BEST_FPERIOD_OVERRIDE=FQ","FILING_STATUS=MR","Sort=A","Dates=H","DateFormat=P","Fill=—","Direction=H","UseDPDF=Y")</f>
        <v>0</v>
      </c>
      <c r="E7" s="13">
        <f>_xll.BDH("ITCI US Equity","BEST_SALES","FQ4 2019","FQ4 2019","Currency=USD","Period=FQ","BEST_FPERIOD_OVERRIDE=FQ","FILING_STATUS=MR","Sort=A","Dates=H","DateFormat=P","Fill=—","Direction=H","UseDPDF=Y")</f>
        <v>0</v>
      </c>
      <c r="F7" s="13">
        <f>_xll.BDH("ITCI US Equity","BEST_SALES","FQ1 2020","FQ1 2020","Currency=USD","Period=FQ","BEST_FPERIOD_OVERRIDE=FQ","FILING_STATUS=MR","Sort=A","Dates=H","DateFormat=P","Fill=—","Direction=H","UseDPDF=Y")</f>
        <v>1.657</v>
      </c>
      <c r="G7" s="13">
        <f>_xll.BDH("ITCI US Equity","BEST_SALES","FQ2 2020","FQ2 2020","Currency=USD","Period=FQ","BEST_FPERIOD_OVERRIDE=FQ","FILING_STATUS=MR","Sort=A","Dates=H","DateFormat=P","Fill=—","Direction=H","UseDPDF=Y")</f>
        <v>2.9209999999999998</v>
      </c>
      <c r="H7" s="13">
        <f>_xll.BDH("ITCI US Equity","BEST_SALES","FQ3 2020","FQ3 2020","Currency=USD","Period=FQ","BEST_FPERIOD_OVERRIDE=FQ","FILING_STATUS=MR","Sort=A","Dates=H","DateFormat=P","Fill=—","Direction=H","UseDPDF=Y")</f>
        <v>5.8490000000000002</v>
      </c>
      <c r="I7" s="13">
        <f>_xll.BDH("ITCI US Equity","BEST_SALES","FQ4 2020","FQ4 2020","Currency=USD","Period=FQ","BEST_FPERIOD_OVERRIDE=FQ","FILING_STATUS=MR","Sort=A","Dates=H","DateFormat=P","Fill=—","Direction=H","UseDPDF=Y")</f>
        <v>11.833</v>
      </c>
      <c r="J7" s="13">
        <f>_xll.BDH("ITCI US Equity","BEST_SALES","FQ1 2021","FQ1 2021","Currency=USD","Period=FQ","BEST_FPERIOD_OVERRIDE=FQ","FILING_STATUS=MR","Sort=A","Dates=H","DateFormat=P","Fill=—","Direction=H","UseDPDF=Y")</f>
        <v>16.766999999999999</v>
      </c>
      <c r="K7" s="13">
        <f>_xll.BDH("ITCI US Equity","BEST_SALES","FQ2 2021","FQ2 2021","Currency=USD","Period=FQ","BEST_FPERIOD_OVERRIDE=FQ","FILING_STATUS=MR","Sort=A","Dates=H","DateFormat=P","Fill=—","Direction=H","UseDPDF=Y")</f>
        <v>19.044</v>
      </c>
      <c r="L7" s="13">
        <f>_xll.BDH("ITCI US Equity","BEST_SALES","FQ3 2021","FQ3 2021","Currency=USD","Period=FQ","BEST_FPERIOD_OVERRIDE=FQ","FILING_STATUS=MR","Sort=A","Dates=H","DateFormat=P","Fill=—","Direction=H","UseDPDF=Y")</f>
        <v>22.122</v>
      </c>
      <c r="M7" s="13">
        <f>_xll.BDH("ITCI US Equity","BEST_SALES","FQ4 2021","FQ4 2021","Currency=USD","Period=FQ","BEST_FPERIOD_OVERRIDE=FQ","FILING_STATUS=MR","Sort=A","Dates=H","DateFormat=P","Fill=—","Direction=H","UseDPDF=Y")</f>
        <v>24.96</v>
      </c>
      <c r="N7" s="13">
        <f>_xll.BDH("ITCI US Equity","BEST_SALES","FQ1 2022","FQ1 2022","Currency=USD","Period=FQ","BEST_FPERIOD_OVERRIDE=FQ","FILING_STATUS=MR","Sort=A","Dates=H","DateFormat=P","Fill=—","Direction=H","UseDPDF=Y")</f>
        <v>33.520000000000003</v>
      </c>
      <c r="O7" s="13">
        <f>_xll.BDH("ITCI US Equity","BEST_SALES","FQ2 2022","FQ2 2022","Currency=USD","Period=FQ","BEST_FPERIOD_OVERRIDE=FQ","FILING_STATUS=MR","Sort=A","Dates=H","DateFormat=P","Fill=—","Direction=H","UseDPDF=Y")</f>
        <v>49.069000000000003</v>
      </c>
      <c r="P7" s="13">
        <f>_xll.BDH("ITCI US Equity","BEST_SALES","FQ3 2022","FQ3 2022","Currency=USD","Period=FQ","BEST_FPERIOD_OVERRIDE=FQ","FILING_STATUS=MR","Sort=A","Dates=H","DateFormat=P","Fill=—","Direction=H","UseDPDF=Y")</f>
        <v>66</v>
      </c>
      <c r="Q7" s="13">
        <f>_xll.BDH("ITCI US Equity","BEST_SALES","FQ4 2022","FQ4 2022","Currency=USD","Period=FQ","BEST_FPERIOD_OVERRIDE=FQ","FILING_STATUS=MR","Sort=A","Dates=H","DateFormat=P","Fill=—","Direction=H","UseDPDF=Y")</f>
        <v>86.968999999999994</v>
      </c>
      <c r="R7" s="13">
        <f>_xll.BDH("ITCI US Equity","BEST_SALES","FQ1 2023","FQ1 2023","Currency=USD","Period=FQ","BEST_FPERIOD_OVERRIDE=FQ","FILING_STATUS=MR","Sort=A","Dates=H","DateFormat=P","Fill=—","Direction=H","UseDPDF=Y")</f>
        <v>92.155000000000001</v>
      </c>
      <c r="S7" s="13">
        <f>_xll.BDH("ITCI US Equity","BEST_SALES","FQ2 2023","FQ2 2023","Currency=USD","Period=FQ","BEST_FPERIOD_OVERRIDE=FQ","FILING_STATUS=MR","Sort=A","Dates=H","DateFormat=P","Fill=—","Direction=H","UseDPDF=Y")</f>
        <v>106.76900000000001</v>
      </c>
      <c r="T7" s="13">
        <f>_xll.BDH("ITCI US Equity","BEST_SALES","FQ3 2023","FQ3 2023","Currency=USD","Period=FQ","BEST_FPERIOD_OVERRIDE=FQ","FILING_STATUS=MR","Sort=A","Dates=H","DateFormat=P","Fill=—","Direction=H","UseDPDF=Y")</f>
        <v>119.417</v>
      </c>
      <c r="U7" s="13">
        <f>_xll.BDH("ITCI US Equity","BEST_SALES","FQ4 2023","FQ4 2023","Currency=USD","Period=FQ","BEST_FPERIOD_OVERRIDE=FQ","FILING_STATUS=MR","Sort=A","Dates=H","DateFormat=P","Fill=—","Direction=H","UseDPDF=Y")</f>
        <v>135.61500000000001</v>
      </c>
      <c r="V7" s="13">
        <f>_xll.BDH("ITCI US Equity","BEST_SALES","FQ1 2024","FQ1 2024","Currency=USD","Period=FQ","BEST_FPERIOD_OVERRIDE=FQ","FILING_STATUS=MR","Sort=A","Dates=H","DateFormat=P","Fill=—","Direction=H","UseDPDF=Y")</f>
        <v>141.53800000000001</v>
      </c>
      <c r="W7" s="13">
        <f>_xll.BDH("ITCI US Equity","BEST_SALES","FQ2 2024","FQ2 2024","Currency=USD","Period=FQ","BEST_FPERIOD_OVERRIDE=FQ","FILING_STATUS=MR","Sort=A","Dates=H","DateFormat=P","Fill=—","Direction=H","UseDPDF=Y")</f>
        <v>157.929</v>
      </c>
      <c r="X7" s="13">
        <f>_xll.BDH("ITCI US Equity","BEST_SALES","FQ3 2024","FQ3 2024","Currency=USD","Period=FQ","BEST_FPERIOD_OVERRIDE=FQ","FILING_STATUS=MR","Sort=A","Dates=H","DateFormat=P","Fill=—","Direction=H","UseDPDF=Y")</f>
        <v>172.286</v>
      </c>
      <c r="Y7" s="13">
        <f>_xll.BDH("ITCI US Equity","BEST_SALES","FQ4 2024","FQ4 2024","Currency=USD","Period=FQ","BEST_FPERIOD_OVERRIDE=FQ","FILING_STATUS=MR","Sort=A","Dates=H","DateFormat=P","Fill=—","Direction=H","UseDPDF=Y")</f>
        <v>193.30799999999999</v>
      </c>
      <c r="Z7" s="13">
        <v>203.875</v>
      </c>
      <c r="AA7" s="13">
        <v>219</v>
      </c>
    </row>
    <row r="8" spans="1:27" x14ac:dyDescent="0.25">
      <c r="A8" s="10" t="s">
        <v>132</v>
      </c>
      <c r="B8" s="10" t="s">
        <v>133</v>
      </c>
      <c r="C8" s="13">
        <f>_xll.BDH("ITCI US Equity","IS_COMP_SALES","FQ2 2019","FQ2 2019","Currency=USD","Period=FQ","BEST_FPERIOD_OVERRIDE=FQ","FILING_STATUS=MR","SCALING_FORMAT=MLN","Sort=A","Dates=H","DateFormat=P","Fill=—","Direction=H","UseDPDF=Y")</f>
        <v>0</v>
      </c>
      <c r="D8" s="13">
        <f>_xll.BDH("ITCI US Equity","IS_COMP_SALES","FQ3 2019","FQ3 2019","Currency=USD","Period=FQ","BEST_FPERIOD_OVERRIDE=FQ","FILING_STATUS=MR","SCALING_FORMAT=MLN","Sort=A","Dates=H","DateFormat=P","Fill=—","Direction=H","UseDPDF=Y")</f>
        <v>0</v>
      </c>
      <c r="E8" s="13">
        <f>_xll.BDH("ITCI US Equity","IS_COMP_SALES","FQ4 2019","FQ4 2019","Currency=USD","Period=FQ","BEST_FPERIOD_OVERRIDE=FQ","FILING_STATUS=MR","SCALING_FORMAT=MLN","Sort=A","Dates=H","DateFormat=P","Fill=—","Direction=H","UseDPDF=Y")</f>
        <v>6.0600000000000001E-2</v>
      </c>
      <c r="F8" s="13">
        <f>_xll.BDH("ITCI US Equity","IS_COMP_SALES","FQ1 2020","FQ1 2020","Currency=USD","Period=FQ","BEST_FPERIOD_OVERRIDE=FQ","FILING_STATUS=MR","SCALING_FORMAT=MLN","Sort=A","Dates=H","DateFormat=P","Fill=—","Direction=H","UseDPDF=Y")</f>
        <v>1.0834999999999999</v>
      </c>
      <c r="G8" s="13">
        <f>_xll.BDH("ITCI US Equity","IS_COMP_SALES","FQ2 2020","FQ2 2020","Currency=USD","Period=FQ","BEST_FPERIOD_OVERRIDE=FQ","FILING_STATUS=MR","SCALING_FORMAT=MLN","Sort=A","Dates=H","DateFormat=P","Fill=—","Direction=H","UseDPDF=Y")</f>
        <v>1.9066000000000001</v>
      </c>
      <c r="H8" s="13">
        <f>_xll.BDH("ITCI US Equity","IS_COMP_SALES","FQ3 2020","FQ3 2020","Currency=USD","Period=FQ","BEST_FPERIOD_OVERRIDE=FQ","FILING_STATUS=MR","SCALING_FORMAT=MLN","Sort=A","Dates=H","DateFormat=P","Fill=—","Direction=H","UseDPDF=Y")</f>
        <v>7.3685999999999998</v>
      </c>
      <c r="I8" s="13">
        <f>_xll.BDH("ITCI US Equity","IS_COMP_SALES","FQ4 2020","FQ4 2020","Currency=USD","Period=FQ","BEST_FPERIOD_OVERRIDE=FQ","FILING_STATUS=MR","SCALING_FORMAT=MLN","Sort=A","Dates=H","DateFormat=P","Fill=—","Direction=H","UseDPDF=Y")</f>
        <v>12.4543</v>
      </c>
      <c r="J8" s="13">
        <f>_xll.BDH("ITCI US Equity","IS_COMP_SALES","FQ1 2021","FQ1 2021","Currency=USD","Period=FQ","BEST_FPERIOD_OVERRIDE=FQ","FILING_STATUS=MR","SCALING_FORMAT=MLN","Sort=A","Dates=H","DateFormat=P","Fill=—","Direction=H","UseDPDF=Y")</f>
        <v>15.878299999999999</v>
      </c>
      <c r="K8" s="13">
        <f>_xll.BDH("ITCI US Equity","IS_COMP_SALES","FQ2 2021","FQ2 2021","Currency=USD","Period=FQ","BEST_FPERIOD_OVERRIDE=FQ","FILING_STATUS=MR","SCALING_FORMAT=MLN","Sort=A","Dates=H","DateFormat=P","Fill=—","Direction=H","UseDPDF=Y")</f>
        <v>20.046600000000002</v>
      </c>
      <c r="L8" s="13">
        <f>_xll.BDH("ITCI US Equity","IS_COMP_SALES","FQ3 2021","FQ3 2021","Currency=USD","Period=FQ","BEST_FPERIOD_OVERRIDE=FQ","FILING_STATUS=MR","SCALING_FORMAT=MLN","Sort=A","Dates=H","DateFormat=P","Fill=—","Direction=H","UseDPDF=Y")</f>
        <v>22.2072</v>
      </c>
      <c r="M8" s="13">
        <f>_xll.BDH("ITCI US Equity","IS_COMP_SALES","FQ4 2021","FQ4 2021","Currency=USD","Period=FQ","BEST_FPERIOD_OVERRIDE=FQ","FILING_STATUS=MR","SCALING_FORMAT=MLN","Sort=A","Dates=H","DateFormat=P","Fill=—","Direction=H","UseDPDF=Y")</f>
        <v>25.6709</v>
      </c>
      <c r="N8" s="13">
        <f>_xll.BDH("ITCI US Equity","IS_COMP_SALES","FQ1 2022","FQ1 2022","Currency=USD","Period=FQ","BEST_FPERIOD_OVERRIDE=FQ","FILING_STATUS=MR","SCALING_FORMAT=MLN","Sort=A","Dates=H","DateFormat=P","Fill=—","Direction=H","UseDPDF=Y")</f>
        <v>34.996000000000002</v>
      </c>
      <c r="O8" s="13">
        <f>_xll.BDH("ITCI US Equity","IS_COMP_SALES","FQ2 2022","FQ2 2022","Currency=USD","Period=FQ","BEST_FPERIOD_OVERRIDE=FQ","FILING_STATUS=MR","SCALING_FORMAT=MLN","Sort=A","Dates=H","DateFormat=P","Fill=—","Direction=H","UseDPDF=Y")</f>
        <v>55.579000000000001</v>
      </c>
      <c r="P8" s="13">
        <f>_xll.BDH("ITCI US Equity","IS_COMP_SALES","FQ3 2022","FQ3 2022","Currency=USD","Period=FQ","BEST_FPERIOD_OVERRIDE=FQ","FILING_STATUS=MR","SCALING_FORMAT=MLN","Sort=A","Dates=H","DateFormat=P","Fill=—","Direction=H","UseDPDF=Y")</f>
        <v>71.87</v>
      </c>
      <c r="Q8" s="13">
        <f>_xll.BDH("ITCI US Equity","IS_COMP_SALES","FQ4 2022","FQ4 2022","Currency=USD","Period=FQ","BEST_FPERIOD_OVERRIDE=FQ","FILING_STATUS=MR","SCALING_FORMAT=MLN","Sort=A","Dates=H","DateFormat=P","Fill=—","Direction=H","UseDPDF=Y")</f>
        <v>87.869</v>
      </c>
      <c r="R8" s="13">
        <f>_xll.BDH("ITCI US Equity","IS_COMP_SALES","FQ1 2023","FQ1 2023","Currency=USD","Period=FQ","BEST_FPERIOD_OVERRIDE=FQ","FILING_STATUS=MR","SCALING_FORMAT=MLN","Sort=A","Dates=H","DateFormat=P","Fill=—","Direction=H","UseDPDF=Y")</f>
        <v>95.305999999999997</v>
      </c>
      <c r="S8" s="13">
        <f>_xll.BDH("ITCI US Equity","IS_COMP_SALES","FQ2 2023","FQ2 2023","Currency=USD","Period=FQ","BEST_FPERIOD_OVERRIDE=FQ","FILING_STATUS=MR","SCALING_FORMAT=MLN","Sort=A","Dates=H","DateFormat=P","Fill=—","Direction=H","UseDPDF=Y")</f>
        <v>110.792</v>
      </c>
      <c r="T8" s="13">
        <f>_xll.BDH("ITCI US Equity","IS_COMP_SALES","FQ3 2023","FQ3 2023","Currency=USD","Period=FQ","BEST_FPERIOD_OVERRIDE=FQ","FILING_STATUS=MR","SCALING_FORMAT=MLN","Sort=A","Dates=H","DateFormat=P","Fill=—","Direction=H","UseDPDF=Y")</f>
        <v>126.173</v>
      </c>
      <c r="U8" s="13">
        <f>_xll.BDH("ITCI US Equity","IS_COMP_SALES","FQ4 2023","FQ4 2023","Currency=USD","Period=FQ","BEST_FPERIOD_OVERRIDE=FQ","FILING_STATUS=MR","SCALING_FORMAT=MLN","Sort=A","Dates=H","DateFormat=P","Fill=—","Direction=H","UseDPDF=Y")</f>
        <v>132.09899999999999</v>
      </c>
      <c r="V8" s="13">
        <f>_xll.BDH("ITCI US Equity","IS_COMP_SALES","FQ1 2024","FQ1 2024","Currency=USD","Period=FQ","BEST_FPERIOD_OVERRIDE=FQ","FILING_STATUS=MR","SCALING_FORMAT=MLN","Sort=A","Dates=H","DateFormat=P","Fill=—","Direction=H","UseDPDF=Y")</f>
        <v>144.86600000000001</v>
      </c>
      <c r="W8" s="13">
        <f>_xll.BDH("ITCI US Equity","IS_COMP_SALES","FQ2 2024","FQ2 2024","Currency=USD","Period=FQ","BEST_FPERIOD_OVERRIDE=FQ","FILING_STATUS=MR","SCALING_FORMAT=MLN","Sort=A","Dates=H","DateFormat=P","Fill=—","Direction=H","UseDPDF=Y")</f>
        <v>161.38800000000001</v>
      </c>
      <c r="X8" s="13">
        <f>_xll.BDH("ITCI US Equity","IS_COMP_SALES","FQ3 2024","FQ3 2024","Currency=USD","Period=FQ","BEST_FPERIOD_OVERRIDE=FQ","FILING_STATUS=MR","SCALING_FORMAT=MLN","Sort=A","Dates=H","DateFormat=P","Fill=—","Direction=H","UseDPDF=Y")</f>
        <v>175.375</v>
      </c>
      <c r="Y8" s="13">
        <f>_xll.BDH("ITCI US Equity","IS_COMP_SALES","FQ4 2024","FQ4 2024","Currency=USD","Period=FQ","BEST_FPERIOD_OVERRIDE=FQ","FILING_STATUS=MR","SCALING_FORMAT=MLN","Sort=A","Dates=H","DateFormat=P","Fill=—","Direction=H","UseDPDF=Y")</f>
        <v>199.22300000000001</v>
      </c>
      <c r="Z8" s="13"/>
      <c r="AA8" s="13"/>
    </row>
    <row r="9" spans="1:27" x14ac:dyDescent="0.25">
      <c r="A9" s="11" t="s">
        <v>134</v>
      </c>
      <c r="B9" s="11"/>
      <c r="C9" s="25" t="s">
        <v>76</v>
      </c>
      <c r="D9" s="25" t="s">
        <v>76</v>
      </c>
      <c r="E9" s="25" t="s">
        <v>76</v>
      </c>
      <c r="F9" s="25">
        <v>-34.612009656004801</v>
      </c>
      <c r="G9" s="25">
        <v>-34.726600479287903</v>
      </c>
      <c r="H9" s="25">
        <v>25.980406907163601</v>
      </c>
      <c r="I9" s="25">
        <v>5.2503169103354903</v>
      </c>
      <c r="J9" s="25">
        <v>-5.3001192819228198</v>
      </c>
      <c r="K9" s="25">
        <v>5.2644454946439803</v>
      </c>
      <c r="L9" s="25">
        <v>0.38514148811138899</v>
      </c>
      <c r="M9" s="25">
        <v>2.8482612179487199</v>
      </c>
      <c r="N9" s="25">
        <v>4.4033412887828103</v>
      </c>
      <c r="O9" s="25">
        <v>13.267032138417299</v>
      </c>
      <c r="P9" s="25">
        <v>8.8939393939393998</v>
      </c>
      <c r="Q9" s="25">
        <v>1.03485149880993</v>
      </c>
      <c r="R9" s="25">
        <v>3.4192393250501798</v>
      </c>
      <c r="S9" s="25">
        <v>3.7679476252470199</v>
      </c>
      <c r="T9" s="25">
        <v>5.6574859525863204</v>
      </c>
      <c r="U9" s="25">
        <v>-2.59263355823472</v>
      </c>
      <c r="V9" s="25">
        <v>2.3513120151478799</v>
      </c>
      <c r="W9" s="25">
        <v>2.1902247212354902</v>
      </c>
      <c r="X9" s="25">
        <v>1.79294893374969</v>
      </c>
      <c r="Y9" s="25">
        <v>3.0598837088997999</v>
      </c>
      <c r="Z9" s="25"/>
      <c r="AA9" s="25"/>
    </row>
    <row r="10" spans="1:27" x14ac:dyDescent="0.25">
      <c r="A10" s="10" t="s">
        <v>135</v>
      </c>
      <c r="B10" s="10" t="s">
        <v>70</v>
      </c>
      <c r="C10" s="13">
        <f>_xll.BDH("ITCI US Equity","SALES_REV_TURN","FQ2 2019","FQ2 2019","Currency=USD","Period=FQ","BEST_FPERIOD_OVERRIDE=FQ","FILING_STATUS=MR","SCALING_FORMAT=MLN","FA_ADJUSTED=GAAP","Sort=A","Dates=H","DateFormat=P","Fill=—","Direction=H","UseDPDF=Y")</f>
        <v>0</v>
      </c>
      <c r="D10" s="13">
        <f>_xll.BDH("ITCI US Equity","SALES_REV_TURN","FQ3 2019","FQ3 2019","Currency=USD","Period=FQ","BEST_FPERIOD_OVERRIDE=FQ","FILING_STATUS=MR","SCALING_FORMAT=MLN","FA_ADJUSTED=GAAP","Sort=A","Dates=H","DateFormat=P","Fill=—","Direction=H","UseDPDF=Y")</f>
        <v>0</v>
      </c>
      <c r="E10" s="13">
        <f>_xll.BDH("ITCI US Equity","SALES_REV_TURN","FQ4 2019","FQ4 2019","Currency=USD","Period=FQ","BEST_FPERIOD_OVERRIDE=FQ","FILING_STATUS=MR","SCALING_FORMAT=MLN","FA_ADJUSTED=GAAP","Sort=A","Dates=H","DateFormat=P","Fill=—","Direction=H","UseDPDF=Y")</f>
        <v>6.0600000000000001E-2</v>
      </c>
      <c r="F10" s="13">
        <f>_xll.BDH("ITCI US Equity","SALES_REV_TURN","FQ1 2020","FQ1 2020","Currency=USD","Period=FQ","BEST_FPERIOD_OVERRIDE=FQ","FILING_STATUS=MR","SCALING_FORMAT=MLN","FA_ADJUSTED=GAAP","Sort=A","Dates=H","DateFormat=P","Fill=—","Direction=H","UseDPDF=Y")</f>
        <v>1.0834999999999999</v>
      </c>
      <c r="G10" s="13">
        <f>_xll.BDH("ITCI US Equity","SALES_REV_TURN","FQ2 2020","FQ2 2020","Currency=USD","Period=FQ","BEST_FPERIOD_OVERRIDE=FQ","FILING_STATUS=MR","SCALING_FORMAT=MLN","FA_ADJUSTED=GAAP","Sort=A","Dates=H","DateFormat=P","Fill=—","Direction=H","UseDPDF=Y")</f>
        <v>1.9066000000000001</v>
      </c>
      <c r="H10" s="13">
        <f>_xll.BDH("ITCI US Equity","SALES_REV_TURN","FQ3 2020","FQ3 2020","Currency=USD","Period=FQ","BEST_FPERIOD_OVERRIDE=FQ","FILING_STATUS=MR","SCALING_FORMAT=MLN","FA_ADJUSTED=GAAP","Sort=A","Dates=H","DateFormat=P","Fill=—","Direction=H","UseDPDF=Y")</f>
        <v>7.3685999999999998</v>
      </c>
      <c r="I10" s="13">
        <f>_xll.BDH("ITCI US Equity","SALES_REV_TURN","FQ4 2020","FQ4 2020","Currency=USD","Period=FQ","BEST_FPERIOD_OVERRIDE=FQ","FILING_STATUS=MR","SCALING_FORMAT=MLN","FA_ADJUSTED=GAAP","Sort=A","Dates=H","DateFormat=P","Fill=—","Direction=H","UseDPDF=Y")</f>
        <v>12.4543</v>
      </c>
      <c r="J10" s="13">
        <f>_xll.BDH("ITCI US Equity","SALES_REV_TURN","FQ1 2021","FQ1 2021","Currency=USD","Period=FQ","BEST_FPERIOD_OVERRIDE=FQ","FILING_STATUS=MR","SCALING_FORMAT=MLN","FA_ADJUSTED=GAAP","Sort=A","Dates=H","DateFormat=P","Fill=—","Direction=H","UseDPDF=Y")</f>
        <v>15.878299999999999</v>
      </c>
      <c r="K10" s="13">
        <f>_xll.BDH("ITCI US Equity","SALES_REV_TURN","FQ2 2021","FQ2 2021","Currency=USD","Period=FQ","BEST_FPERIOD_OVERRIDE=FQ","FILING_STATUS=MR","SCALING_FORMAT=MLN","FA_ADJUSTED=GAAP","Sort=A","Dates=H","DateFormat=P","Fill=—","Direction=H","UseDPDF=Y")</f>
        <v>20.046600000000002</v>
      </c>
      <c r="L10" s="13">
        <f>_xll.BDH("ITCI US Equity","SALES_REV_TURN","FQ3 2021","FQ3 2021","Currency=USD","Period=FQ","BEST_FPERIOD_OVERRIDE=FQ","FILING_STATUS=MR","SCALING_FORMAT=MLN","FA_ADJUSTED=GAAP","Sort=A","Dates=H","DateFormat=P","Fill=—","Direction=H","UseDPDF=Y")</f>
        <v>22.2072</v>
      </c>
      <c r="M10" s="13">
        <f>_xll.BDH("ITCI US Equity","SALES_REV_TURN","FQ4 2021","FQ4 2021","Currency=USD","Period=FQ","BEST_FPERIOD_OVERRIDE=FQ","FILING_STATUS=MR","SCALING_FORMAT=MLN","FA_ADJUSTED=GAAP","Sort=A","Dates=H","DateFormat=P","Fill=—","Direction=H","UseDPDF=Y")</f>
        <v>25.6709</v>
      </c>
      <c r="N10" s="13">
        <f>_xll.BDH("ITCI US Equity","SALES_REV_TURN","FQ1 2022","FQ1 2022","Currency=USD","Period=FQ","BEST_FPERIOD_OVERRIDE=FQ","FILING_STATUS=MR","SCALING_FORMAT=MLN","FA_ADJUSTED=GAAP","Sort=A","Dates=H","DateFormat=P","Fill=—","Direction=H","UseDPDF=Y")</f>
        <v>34.996000000000002</v>
      </c>
      <c r="O10" s="13">
        <f>_xll.BDH("ITCI US Equity","SALES_REV_TURN","FQ2 2022","FQ2 2022","Currency=USD","Period=FQ","BEST_FPERIOD_OVERRIDE=FQ","FILING_STATUS=MR","SCALING_FORMAT=MLN","FA_ADJUSTED=GAAP","Sort=A","Dates=H","DateFormat=P","Fill=—","Direction=H","UseDPDF=Y")</f>
        <v>55.579000000000001</v>
      </c>
      <c r="P10" s="13">
        <f>_xll.BDH("ITCI US Equity","SALES_REV_TURN","FQ3 2022","FQ3 2022","Currency=USD","Period=FQ","BEST_FPERIOD_OVERRIDE=FQ","FILING_STATUS=MR","SCALING_FORMAT=MLN","FA_ADJUSTED=GAAP","Sort=A","Dates=H","DateFormat=P","Fill=—","Direction=H","UseDPDF=Y")</f>
        <v>71.87</v>
      </c>
      <c r="Q10" s="13">
        <f>_xll.BDH("ITCI US Equity","SALES_REV_TURN","FQ4 2022","FQ4 2022","Currency=USD","Period=FQ","BEST_FPERIOD_OVERRIDE=FQ","FILING_STATUS=MR","SCALING_FORMAT=MLN","FA_ADJUSTED=GAAP","Sort=A","Dates=H","DateFormat=P","Fill=—","Direction=H","UseDPDF=Y")</f>
        <v>87.869</v>
      </c>
      <c r="R10" s="13">
        <f>_xll.BDH("ITCI US Equity","SALES_REV_TURN","FQ1 2023","FQ1 2023","Currency=USD","Period=FQ","BEST_FPERIOD_OVERRIDE=FQ","FILING_STATUS=MR","SCALING_FORMAT=MLN","FA_ADJUSTED=GAAP","Sort=A","Dates=H","DateFormat=P","Fill=—","Direction=H","UseDPDF=Y")</f>
        <v>95.305999999999997</v>
      </c>
      <c r="S10" s="13">
        <f>_xll.BDH("ITCI US Equity","SALES_REV_TURN","FQ2 2023","FQ2 2023","Currency=USD","Period=FQ","BEST_FPERIOD_OVERRIDE=FQ","FILING_STATUS=MR","SCALING_FORMAT=MLN","FA_ADJUSTED=GAAP","Sort=A","Dates=H","DateFormat=P","Fill=—","Direction=H","UseDPDF=Y")</f>
        <v>110.792</v>
      </c>
      <c r="T10" s="13">
        <f>_xll.BDH("ITCI US Equity","SALES_REV_TURN","FQ3 2023","FQ3 2023","Currency=USD","Period=FQ","BEST_FPERIOD_OVERRIDE=FQ","FILING_STATUS=MR","SCALING_FORMAT=MLN","FA_ADJUSTED=GAAP","Sort=A","Dates=H","DateFormat=P","Fill=—","Direction=H","UseDPDF=Y")</f>
        <v>126.173</v>
      </c>
      <c r="U10" s="13">
        <f>_xll.BDH("ITCI US Equity","SALES_REV_TURN","FQ4 2023","FQ4 2023","Currency=USD","Period=FQ","BEST_FPERIOD_OVERRIDE=FQ","FILING_STATUS=MR","SCALING_FORMAT=MLN","FA_ADJUSTED=GAAP","Sort=A","Dates=H","DateFormat=P","Fill=—","Direction=H","UseDPDF=Y")</f>
        <v>132.09899999999999</v>
      </c>
      <c r="V10" s="13">
        <f>_xll.BDH("ITCI US Equity","SALES_REV_TURN","FQ1 2024","FQ1 2024","Currency=USD","Period=FQ","BEST_FPERIOD_OVERRIDE=FQ","FILING_STATUS=MR","SCALING_FORMAT=MLN","FA_ADJUSTED=GAAP","Sort=A","Dates=H","DateFormat=P","Fill=—","Direction=H","UseDPDF=Y")</f>
        <v>144.86600000000001</v>
      </c>
      <c r="W10" s="13">
        <f>_xll.BDH("ITCI US Equity","SALES_REV_TURN","FQ2 2024","FQ2 2024","Currency=USD","Period=FQ","BEST_FPERIOD_OVERRIDE=FQ","FILING_STATUS=MR","SCALING_FORMAT=MLN","FA_ADJUSTED=GAAP","Sort=A","Dates=H","DateFormat=P","Fill=—","Direction=H","UseDPDF=Y")</f>
        <v>161.38800000000001</v>
      </c>
      <c r="X10" s="13">
        <f>_xll.BDH("ITCI US Equity","SALES_REV_TURN","FQ3 2024","FQ3 2024","Currency=USD","Period=FQ","BEST_FPERIOD_OVERRIDE=FQ","FILING_STATUS=MR","SCALING_FORMAT=MLN","FA_ADJUSTED=GAAP","Sort=A","Dates=H","DateFormat=P","Fill=—","Direction=H","UseDPDF=Y")</f>
        <v>175.375</v>
      </c>
      <c r="Y10" s="13">
        <f>_xll.BDH("ITCI US Equity","SALES_REV_TURN","FQ4 2024","FQ4 2024","Currency=USD","Period=FQ","BEST_FPERIOD_OVERRIDE=FQ","FILING_STATUS=MR","SCALING_FORMAT=MLN","FA_ADJUSTED=GAAP","Sort=A","Dates=H","DateFormat=P","Fill=—","Direction=H","UseDPDF=Y")</f>
        <v>199.22300000000001</v>
      </c>
      <c r="Z10" s="13"/>
      <c r="AA10" s="13"/>
    </row>
    <row r="11" spans="1:27" x14ac:dyDescent="0.25">
      <c r="A11" s="10" t="s">
        <v>136</v>
      </c>
      <c r="B11" s="10" t="s">
        <v>70</v>
      </c>
      <c r="C11" s="13">
        <f>_xll.BDH("ITCI US Equity","SALES_REV_TURN","FQ2 2019","FQ2 2019","Currency=USD","Period=FQ","BEST_FPERIOD_OVERRIDE=FQ","FILING_STATUS=MR","SCALING_FORMAT=MLN","FA_ADJUSTED=Adjusted","Sort=A","Dates=H","DateFormat=P","Fill=—","Direction=H","UseDPDF=Y")</f>
        <v>0</v>
      </c>
      <c r="D11" s="13">
        <f>_xll.BDH("ITCI US Equity","SALES_REV_TURN","FQ3 2019","FQ3 2019","Currency=USD","Period=FQ","BEST_FPERIOD_OVERRIDE=FQ","FILING_STATUS=MR","SCALING_FORMAT=MLN","FA_ADJUSTED=Adjusted","Sort=A","Dates=H","DateFormat=P","Fill=—","Direction=H","UseDPDF=Y")</f>
        <v>0</v>
      </c>
      <c r="E11" s="13">
        <f>_xll.BDH("ITCI US Equity","SALES_REV_TURN","FQ4 2019","FQ4 2019","Currency=USD","Period=FQ","BEST_FPERIOD_OVERRIDE=FQ","FILING_STATUS=MR","SCALING_FORMAT=MLN","FA_ADJUSTED=Adjusted","Sort=A","Dates=H","DateFormat=P","Fill=—","Direction=H","UseDPDF=Y")</f>
        <v>6.0600000000000001E-2</v>
      </c>
      <c r="F11" s="13">
        <f>_xll.BDH("ITCI US Equity","SALES_REV_TURN","FQ1 2020","FQ1 2020","Currency=USD","Period=FQ","BEST_FPERIOD_OVERRIDE=FQ","FILING_STATUS=MR","SCALING_FORMAT=MLN","FA_ADJUSTED=Adjusted","Sort=A","Dates=H","DateFormat=P","Fill=—","Direction=H","UseDPDF=Y")</f>
        <v>1.0834999999999999</v>
      </c>
      <c r="G11" s="13">
        <f>_xll.BDH("ITCI US Equity","SALES_REV_TURN","FQ2 2020","FQ2 2020","Currency=USD","Period=FQ","BEST_FPERIOD_OVERRIDE=FQ","FILING_STATUS=MR","SCALING_FORMAT=MLN","FA_ADJUSTED=Adjusted","Sort=A","Dates=H","DateFormat=P","Fill=—","Direction=H","UseDPDF=Y")</f>
        <v>1.9066000000000001</v>
      </c>
      <c r="H11" s="13">
        <f>_xll.BDH("ITCI US Equity","SALES_REV_TURN","FQ3 2020","FQ3 2020","Currency=USD","Period=FQ","BEST_FPERIOD_OVERRIDE=FQ","FILING_STATUS=MR","SCALING_FORMAT=MLN","FA_ADJUSTED=Adjusted","Sort=A","Dates=H","DateFormat=P","Fill=—","Direction=H","UseDPDF=Y")</f>
        <v>7.3685999999999998</v>
      </c>
      <c r="I11" s="13">
        <f>_xll.BDH("ITCI US Equity","SALES_REV_TURN","FQ4 2020","FQ4 2020","Currency=USD","Period=FQ","BEST_FPERIOD_OVERRIDE=FQ","FILING_STATUS=MR","SCALING_FORMAT=MLN","FA_ADJUSTED=Adjusted","Sort=A","Dates=H","DateFormat=P","Fill=—","Direction=H","UseDPDF=Y")</f>
        <v>12.4543</v>
      </c>
      <c r="J11" s="13">
        <f>_xll.BDH("ITCI US Equity","SALES_REV_TURN","FQ1 2021","FQ1 2021","Currency=USD","Period=FQ","BEST_FPERIOD_OVERRIDE=FQ","FILING_STATUS=MR","SCALING_FORMAT=MLN","FA_ADJUSTED=Adjusted","Sort=A","Dates=H","DateFormat=P","Fill=—","Direction=H","UseDPDF=Y")</f>
        <v>15.878299999999999</v>
      </c>
      <c r="K11" s="13">
        <f>_xll.BDH("ITCI US Equity","SALES_REV_TURN","FQ2 2021","FQ2 2021","Currency=USD","Period=FQ","BEST_FPERIOD_OVERRIDE=FQ","FILING_STATUS=MR","SCALING_FORMAT=MLN","FA_ADJUSTED=Adjusted","Sort=A","Dates=H","DateFormat=P","Fill=—","Direction=H","UseDPDF=Y")</f>
        <v>20.046600000000002</v>
      </c>
      <c r="L11" s="13">
        <f>_xll.BDH("ITCI US Equity","SALES_REV_TURN","FQ3 2021","FQ3 2021","Currency=USD","Period=FQ","BEST_FPERIOD_OVERRIDE=FQ","FILING_STATUS=MR","SCALING_FORMAT=MLN","FA_ADJUSTED=Adjusted","Sort=A","Dates=H","DateFormat=P","Fill=—","Direction=H","UseDPDF=Y")</f>
        <v>22.2072</v>
      </c>
      <c r="M11" s="13">
        <f>_xll.BDH("ITCI US Equity","SALES_REV_TURN","FQ4 2021","FQ4 2021","Currency=USD","Period=FQ","BEST_FPERIOD_OVERRIDE=FQ","FILING_STATUS=MR","SCALING_FORMAT=MLN","FA_ADJUSTED=Adjusted","Sort=A","Dates=H","DateFormat=P","Fill=—","Direction=H","UseDPDF=Y")</f>
        <v>25.6709</v>
      </c>
      <c r="N11" s="13">
        <f>_xll.BDH("ITCI US Equity","SALES_REV_TURN","FQ1 2022","FQ1 2022","Currency=USD","Period=FQ","BEST_FPERIOD_OVERRIDE=FQ","FILING_STATUS=MR","SCALING_FORMAT=MLN","FA_ADJUSTED=Adjusted","Sort=A","Dates=H","DateFormat=P","Fill=—","Direction=H","UseDPDF=Y")</f>
        <v>34.996000000000002</v>
      </c>
      <c r="O11" s="13">
        <f>_xll.BDH("ITCI US Equity","SALES_REV_TURN","FQ2 2022","FQ2 2022","Currency=USD","Period=FQ","BEST_FPERIOD_OVERRIDE=FQ","FILING_STATUS=MR","SCALING_FORMAT=MLN","FA_ADJUSTED=Adjusted","Sort=A","Dates=H","DateFormat=P","Fill=—","Direction=H","UseDPDF=Y")</f>
        <v>55.579000000000001</v>
      </c>
      <c r="P11" s="13">
        <f>_xll.BDH("ITCI US Equity","SALES_REV_TURN","FQ3 2022","FQ3 2022","Currency=USD","Period=FQ","BEST_FPERIOD_OVERRIDE=FQ","FILING_STATUS=MR","SCALING_FORMAT=MLN","FA_ADJUSTED=Adjusted","Sort=A","Dates=H","DateFormat=P","Fill=—","Direction=H","UseDPDF=Y")</f>
        <v>71.87</v>
      </c>
      <c r="Q11" s="13">
        <f>_xll.BDH("ITCI US Equity","SALES_REV_TURN","FQ4 2022","FQ4 2022","Currency=USD","Period=FQ","BEST_FPERIOD_OVERRIDE=FQ","FILING_STATUS=MR","SCALING_FORMAT=MLN","FA_ADJUSTED=Adjusted","Sort=A","Dates=H","DateFormat=P","Fill=—","Direction=H","UseDPDF=Y")</f>
        <v>87.869</v>
      </c>
      <c r="R11" s="13">
        <f>_xll.BDH("ITCI US Equity","SALES_REV_TURN","FQ1 2023","FQ1 2023","Currency=USD","Period=FQ","BEST_FPERIOD_OVERRIDE=FQ","FILING_STATUS=MR","SCALING_FORMAT=MLN","FA_ADJUSTED=Adjusted","Sort=A","Dates=H","DateFormat=P","Fill=—","Direction=H","UseDPDF=Y")</f>
        <v>95.305999999999997</v>
      </c>
      <c r="S11" s="13">
        <f>_xll.BDH("ITCI US Equity","SALES_REV_TURN","FQ2 2023","FQ2 2023","Currency=USD","Period=FQ","BEST_FPERIOD_OVERRIDE=FQ","FILING_STATUS=MR","SCALING_FORMAT=MLN","FA_ADJUSTED=Adjusted","Sort=A","Dates=H","DateFormat=P","Fill=—","Direction=H","UseDPDF=Y")</f>
        <v>110.792</v>
      </c>
      <c r="T11" s="13">
        <f>_xll.BDH("ITCI US Equity","SALES_REV_TURN","FQ3 2023","FQ3 2023","Currency=USD","Period=FQ","BEST_FPERIOD_OVERRIDE=FQ","FILING_STATUS=MR","SCALING_FORMAT=MLN","FA_ADJUSTED=Adjusted","Sort=A","Dates=H","DateFormat=P","Fill=—","Direction=H","UseDPDF=Y")</f>
        <v>126.173</v>
      </c>
      <c r="U11" s="13">
        <f>_xll.BDH("ITCI US Equity","SALES_REV_TURN","FQ4 2023","FQ4 2023","Currency=USD","Period=FQ","BEST_FPERIOD_OVERRIDE=FQ","FILING_STATUS=MR","SCALING_FORMAT=MLN","FA_ADJUSTED=Adjusted","Sort=A","Dates=H","DateFormat=P","Fill=—","Direction=H","UseDPDF=Y")</f>
        <v>132.09899999999999</v>
      </c>
      <c r="V11" s="13">
        <f>_xll.BDH("ITCI US Equity","SALES_REV_TURN","FQ1 2024","FQ1 2024","Currency=USD","Period=FQ","BEST_FPERIOD_OVERRIDE=FQ","FILING_STATUS=MR","SCALING_FORMAT=MLN","FA_ADJUSTED=Adjusted","Sort=A","Dates=H","DateFormat=P","Fill=—","Direction=H","UseDPDF=Y")</f>
        <v>144.86600000000001</v>
      </c>
      <c r="W11" s="13">
        <f>_xll.BDH("ITCI US Equity","SALES_REV_TURN","FQ2 2024","FQ2 2024","Currency=USD","Period=FQ","BEST_FPERIOD_OVERRIDE=FQ","FILING_STATUS=MR","SCALING_FORMAT=MLN","FA_ADJUSTED=Adjusted","Sort=A","Dates=H","DateFormat=P","Fill=—","Direction=H","UseDPDF=Y")</f>
        <v>161.38800000000001</v>
      </c>
      <c r="X11" s="13">
        <f>_xll.BDH("ITCI US Equity","SALES_REV_TURN","FQ3 2024","FQ3 2024","Currency=USD","Period=FQ","BEST_FPERIOD_OVERRIDE=FQ","FILING_STATUS=MR","SCALING_FORMAT=MLN","FA_ADJUSTED=Adjusted","Sort=A","Dates=H","DateFormat=P","Fill=—","Direction=H","UseDPDF=Y")</f>
        <v>175.375</v>
      </c>
      <c r="Y11" s="13">
        <f>_xll.BDH("ITCI US Equity","SALES_REV_TURN","FQ4 2024","FQ4 2024","Currency=USD","Period=FQ","BEST_FPERIOD_OVERRIDE=FQ","FILING_STATUS=MR","SCALING_FORMAT=MLN","FA_ADJUSTED=Adjusted","Sort=A","Dates=H","DateFormat=P","Fill=—","Direction=H","UseDPDF=Y")</f>
        <v>199.22300000000001</v>
      </c>
      <c r="Z11" s="13"/>
      <c r="AA11" s="13"/>
    </row>
    <row r="12" spans="1:27" x14ac:dyDescent="0.25">
      <c r="A12" s="1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25">
      <c r="A13" s="6" t="s">
        <v>137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 x14ac:dyDescent="0.25">
      <c r="A14" s="10" t="s">
        <v>130</v>
      </c>
      <c r="B14" s="10" t="s">
        <v>138</v>
      </c>
      <c r="C14" s="14">
        <f>_xll.BDH("ITCI US Equity","BEST_EPS","FQ2 2019","FQ2 2019","Currency=USD","Period=FQ","BEST_FPERIOD_OVERRIDE=FQ","FILING_STATUS=MR","Sort=A","Dates=H","DateFormat=P","Fill=—","Direction=H","UseDPDF=Y")</f>
        <v>-0.83099999999999996</v>
      </c>
      <c r="D14" s="14">
        <f>_xll.BDH("ITCI US Equity","BEST_EPS","FQ3 2019","FQ3 2019","Currency=USD","Period=FQ","BEST_FPERIOD_OVERRIDE=FQ","FILING_STATUS=MR","Sort=A","Dates=H","DateFormat=P","Fill=—","Direction=H","UseDPDF=Y")</f>
        <v>-0.80200000000000005</v>
      </c>
      <c r="E14" s="14">
        <f>_xll.BDH("ITCI US Equity","BEST_EPS","FQ4 2019","FQ4 2019","Currency=USD","Period=FQ","BEST_FPERIOD_OVERRIDE=FQ","FILING_STATUS=MR","Sort=A","Dates=H","DateFormat=P","Fill=—","Direction=H","UseDPDF=Y")</f>
        <v>-0.81599999999999995</v>
      </c>
      <c r="F14" s="14">
        <f>_xll.BDH("ITCI US Equity","BEST_EPS","FQ1 2020","FQ1 2020","Currency=USD","Period=FQ","BEST_FPERIOD_OVERRIDE=FQ","FILING_STATUS=MR","Sort=A","Dates=H","DateFormat=P","Fill=—","Direction=H","UseDPDF=Y")</f>
        <v>-0.96</v>
      </c>
      <c r="G14" s="14">
        <f>_xll.BDH("ITCI US Equity","BEST_EPS","FQ2 2020","FQ2 2020","Currency=USD","Period=FQ","BEST_FPERIOD_OVERRIDE=FQ","FILING_STATUS=MR","Sort=A","Dates=H","DateFormat=P","Fill=—","Direction=H","UseDPDF=Y")</f>
        <v>-0.91400000000000003</v>
      </c>
      <c r="H14" s="14">
        <f>_xll.BDH("ITCI US Equity","BEST_EPS","FQ3 2020","FQ3 2020","Currency=USD","Period=FQ","BEST_FPERIOD_OVERRIDE=FQ","FILING_STATUS=MR","Sort=A","Dates=H","DateFormat=P","Fill=—","Direction=H","UseDPDF=Y")</f>
        <v>-0.99199999999999999</v>
      </c>
      <c r="I14" s="14">
        <f>_xll.BDH("ITCI US Equity","BEST_EPS","FQ4 2020","FQ4 2020","Currency=USD","Period=FQ","BEST_FPERIOD_OVERRIDE=FQ","FILING_STATUS=MR","Sort=A","Dates=H","DateFormat=P","Fill=—","Direction=H","UseDPDF=Y")</f>
        <v>-0.83</v>
      </c>
      <c r="J14" s="14">
        <f>_xll.BDH("ITCI US Equity","BEST_EPS","FQ1 2021","FQ1 2021","Currency=USD","Period=FQ","BEST_FPERIOD_OVERRIDE=FQ","FILING_STATUS=MR","Sort=A","Dates=H","DateFormat=P","Fill=—","Direction=H","UseDPDF=Y")</f>
        <v>-0.79700000000000004</v>
      </c>
      <c r="K14" s="14">
        <f>_xll.BDH("ITCI US Equity","BEST_EPS","FQ2 2021","FQ2 2021","Currency=USD","Period=FQ","BEST_FPERIOD_OVERRIDE=FQ","FILING_STATUS=MR","Sort=A","Dates=H","DateFormat=P","Fill=—","Direction=H","UseDPDF=Y")</f>
        <v>-0.78</v>
      </c>
      <c r="L14" s="14">
        <f>_xll.BDH("ITCI US Equity","BEST_EPS","FQ3 2021","FQ3 2021","Currency=USD","Period=FQ","BEST_FPERIOD_OVERRIDE=FQ","FILING_STATUS=MR","Sort=A","Dates=H","DateFormat=P","Fill=—","Direction=H","UseDPDF=Y")</f>
        <v>-0.92400000000000004</v>
      </c>
      <c r="M14" s="14">
        <f>_xll.BDH("ITCI US Equity","BEST_EPS","FQ4 2021","FQ4 2021","Currency=USD","Period=FQ","BEST_FPERIOD_OVERRIDE=FQ","FILING_STATUS=MR","Sort=A","Dates=H","DateFormat=P","Fill=—","Direction=H","UseDPDF=Y")</f>
        <v>-0.995</v>
      </c>
      <c r="N14" s="14">
        <f>_xll.BDH("ITCI US Equity","BEST_EPS","FQ1 2022","FQ1 2022","Currency=USD","Period=FQ","BEST_FPERIOD_OVERRIDE=FQ","FILING_STATUS=MR","Sort=A","Dates=H","DateFormat=P","Fill=—","Direction=H","UseDPDF=Y")</f>
        <v>-0.92100000000000004</v>
      </c>
      <c r="O14" s="14">
        <f>_xll.BDH("ITCI US Equity","BEST_EPS","FQ2 2022","FQ2 2022","Currency=USD","Period=FQ","BEST_FPERIOD_OVERRIDE=FQ","FILING_STATUS=MR","Sort=A","Dates=H","DateFormat=P","Fill=—","Direction=H","UseDPDF=Y")</f>
        <v>-0.76100000000000001</v>
      </c>
      <c r="P14" s="14">
        <f>_xll.BDH("ITCI US Equity","BEST_EPS","FQ3 2022","FQ3 2022","Currency=USD","Period=FQ","BEST_FPERIOD_OVERRIDE=FQ","FILING_STATUS=MR","Sort=A","Dates=H","DateFormat=P","Fill=—","Direction=H","UseDPDF=Y")</f>
        <v>-0.81399999999999995</v>
      </c>
      <c r="Q14" s="14">
        <f>_xll.BDH("ITCI US Equity","BEST_EPS","FQ4 2022","FQ4 2022","Currency=USD","Period=FQ","BEST_FPERIOD_OVERRIDE=FQ","FILING_STATUS=MR","Sort=A","Dates=H","DateFormat=P","Fill=—","Direction=H","UseDPDF=Y")</f>
        <v>-0.58199999999999996</v>
      </c>
      <c r="R14" s="14">
        <f>_xll.BDH("ITCI US Equity","BEST_EPS","FQ1 2023","FQ1 2023","Currency=USD","Period=FQ","BEST_FPERIOD_OVERRIDE=FQ","FILING_STATUS=MR","Sort=A","Dates=H","DateFormat=P","Fill=—","Direction=H","UseDPDF=Y")</f>
        <v>-0.60699999999999998</v>
      </c>
      <c r="S14" s="14">
        <f>_xll.BDH("ITCI US Equity","BEST_EPS","FQ2 2023","FQ2 2023","Currency=USD","Period=FQ","BEST_FPERIOD_OVERRIDE=FQ","FILING_STATUS=MR","Sort=A","Dates=H","DateFormat=P","Fill=—","Direction=H","UseDPDF=Y")</f>
        <v>-0.59599999999999997</v>
      </c>
      <c r="T14" s="14">
        <f>_xll.BDH("ITCI US Equity","BEST_EPS","FQ3 2023","FQ3 2023","Currency=USD","Period=FQ","BEST_FPERIOD_OVERRIDE=FQ","FILING_STATUS=MR","Sort=A","Dates=H","DateFormat=P","Fill=—","Direction=H","UseDPDF=Y")</f>
        <v>-0.56100000000000005</v>
      </c>
      <c r="U14" s="14">
        <f>_xll.BDH("ITCI US Equity","BEST_EPS","FQ4 2023","FQ4 2023","Currency=USD","Period=FQ","BEST_FPERIOD_OVERRIDE=FQ","FILING_STATUS=MR","Sort=A","Dates=H","DateFormat=P","Fill=—","Direction=H","UseDPDF=Y")</f>
        <v>-0.443</v>
      </c>
      <c r="V14" s="14">
        <f>_xll.BDH("ITCI US Equity","BEST_EPS","FQ1 2024","FQ1 2024","Currency=USD","Period=FQ","BEST_FPERIOD_OVERRIDE=FQ","FILING_STATUS=MR","Sort=A","Dates=H","DateFormat=P","Fill=—","Direction=H","UseDPDF=Y")</f>
        <v>-0.318</v>
      </c>
      <c r="W14" s="14">
        <f>_xll.BDH("ITCI US Equity","BEST_EPS","FQ2 2024","FQ2 2024","Currency=USD","Period=FQ","BEST_FPERIOD_OVERRIDE=FQ","FILING_STATUS=MR","Sort=A","Dates=H","DateFormat=P","Fill=—","Direction=H","UseDPDF=Y")</f>
        <v>-0.19</v>
      </c>
      <c r="X14" s="14">
        <f>_xll.BDH("ITCI US Equity","BEST_EPS","FQ3 2024","FQ3 2024","Currency=USD","Period=FQ","BEST_FPERIOD_OVERRIDE=FQ","FILING_STATUS=MR","Sort=A","Dates=H","DateFormat=P","Fill=—","Direction=H","UseDPDF=Y")</f>
        <v>-0.193</v>
      </c>
      <c r="Y14" s="14">
        <f>_xll.BDH("ITCI US Equity","BEST_EPS","FQ4 2024","FQ4 2024","Currency=USD","Period=FQ","BEST_FPERIOD_OVERRIDE=FQ","FILING_STATUS=MR","Sort=A","Dates=H","DateFormat=P","Fill=—","Direction=H","UseDPDF=Y")</f>
        <v>-0.11</v>
      </c>
      <c r="Z14" s="14">
        <v>-0.10100000000000001</v>
      </c>
      <c r="AA14" s="14">
        <v>-0.02</v>
      </c>
    </row>
    <row r="15" spans="1:27" x14ac:dyDescent="0.25">
      <c r="A15" s="10" t="s">
        <v>132</v>
      </c>
      <c r="B15" s="10" t="s">
        <v>139</v>
      </c>
      <c r="C15" s="14">
        <f>_xll.BDH("ITCI US Equity","IS_COMP_EPS_ADJUSTED","FQ2 2019","FQ2 2019","Currency=USD","Period=FQ","BEST_FPERIOD_OVERRIDE=FQ","FILING_STATUS=MR","Sort=A","Dates=H","DateFormat=P","Fill=—","Direction=H","UseDPDF=Y")</f>
        <v>-0.68</v>
      </c>
      <c r="D15" s="14">
        <f>_xll.BDH("ITCI US Equity","IS_COMP_EPS_ADJUSTED","FQ3 2019","FQ3 2019","Currency=USD","Period=FQ","BEST_FPERIOD_OVERRIDE=FQ","FILING_STATUS=MR","Sort=A","Dates=H","DateFormat=P","Fill=—","Direction=H","UseDPDF=Y")</f>
        <v>-0.63149999999999995</v>
      </c>
      <c r="E15" s="14">
        <f>_xll.BDH("ITCI US Equity","IS_COMP_EPS_ADJUSTED","FQ4 2019","FQ4 2019","Currency=USD","Period=FQ","BEST_FPERIOD_OVERRIDE=FQ","FILING_STATUS=MR","Sort=A","Dates=H","DateFormat=P","Fill=—","Direction=H","UseDPDF=Y")</f>
        <v>-0.73419999999999996</v>
      </c>
      <c r="F15" s="14">
        <f>_xll.BDH("ITCI US Equity","IS_COMP_EPS_ADJUSTED","FQ1 2020","FQ1 2020","Currency=USD","Period=FQ","BEST_FPERIOD_OVERRIDE=FQ","FILING_STATUS=MR","Sort=A","Dates=H","DateFormat=P","Fill=—","Direction=H","UseDPDF=Y")</f>
        <v>-0.72819999999999996</v>
      </c>
      <c r="G15" s="14">
        <f>_xll.BDH("ITCI US Equity","IS_COMP_EPS_ADJUSTED","FQ2 2020","FQ2 2020","Currency=USD","Period=FQ","BEST_FPERIOD_OVERRIDE=FQ","FILING_STATUS=MR","Sort=A","Dates=H","DateFormat=P","Fill=—","Direction=H","UseDPDF=Y")</f>
        <v>-0.95909999999999995</v>
      </c>
      <c r="H15" s="14">
        <f>_xll.BDH("ITCI US Equity","IS_COMP_EPS_ADJUSTED","FQ3 2020","FQ3 2020","Currency=USD","Period=FQ","BEST_FPERIOD_OVERRIDE=FQ","FILING_STATUS=MR","Sort=A","Dates=H","DateFormat=P","Fill=—","Direction=H","UseDPDF=Y")</f>
        <v>-0.79369999999999996</v>
      </c>
      <c r="I15" s="14">
        <f>_xll.BDH("ITCI US Equity","IS_COMP_EPS_ADJUSTED","FQ4 2020","FQ4 2020","Currency=USD","Period=FQ","BEST_FPERIOD_OVERRIDE=FQ","FILING_STATUS=MR","Sort=A","Dates=H","DateFormat=P","Fill=—","Direction=H","UseDPDF=Y")</f>
        <v>-0.75600000000000001</v>
      </c>
      <c r="J15" s="14">
        <f>_xll.BDH("ITCI US Equity","IS_COMP_EPS_ADJUSTED","FQ1 2021","FQ1 2021","Currency=USD","Period=FQ","BEST_FPERIOD_OVERRIDE=FQ","FILING_STATUS=MR","Sort=A","Dates=H","DateFormat=P","Fill=—","Direction=H","UseDPDF=Y")</f>
        <v>-0.65</v>
      </c>
      <c r="K15" s="14">
        <f>_xll.BDH("ITCI US Equity","IS_COMP_EPS_ADJUSTED","FQ2 2021","FQ2 2021","Currency=USD","Period=FQ","BEST_FPERIOD_OVERRIDE=FQ","FILING_STATUS=MR","Sort=A","Dates=H","DateFormat=P","Fill=—","Direction=H","UseDPDF=Y")</f>
        <v>-0.85</v>
      </c>
      <c r="L15" s="14">
        <f>_xll.BDH("ITCI US Equity","IS_COMP_EPS_ADJUSTED","FQ3 2021","FQ3 2021","Currency=USD","Period=FQ","BEST_FPERIOD_OVERRIDE=FQ","FILING_STATUS=MR","Sort=A","Dates=H","DateFormat=P","Fill=—","Direction=H","UseDPDF=Y")</f>
        <v>-0.95</v>
      </c>
      <c r="M15" s="14">
        <f>_xll.BDH("ITCI US Equity","IS_COMP_EPS_ADJUSTED","FQ4 2021","FQ4 2021","Currency=USD","Period=FQ","BEST_FPERIOD_OVERRIDE=FQ","FILING_STATUS=MR","Sort=A","Dates=H","DateFormat=P","Fill=—","Direction=H","UseDPDF=Y")</f>
        <v>-1.05</v>
      </c>
      <c r="N15" s="14">
        <f>_xll.BDH("ITCI US Equity","IS_COMP_EPS_ADJUSTED","FQ1 2022","FQ1 2022","Currency=USD","Period=FQ","BEST_FPERIOD_OVERRIDE=FQ","FILING_STATUS=MR","Sort=A","Dates=H","DateFormat=P","Fill=—","Direction=H","UseDPDF=Y")</f>
        <v>-0.78</v>
      </c>
      <c r="O15" s="14">
        <f>_xll.BDH("ITCI US Equity","IS_COMP_EPS_ADJUSTED","FQ2 2022","FQ2 2022","Currency=USD","Period=FQ","BEST_FPERIOD_OVERRIDE=FQ","FILING_STATUS=MR","Sort=A","Dates=H","DateFormat=P","Fill=—","Direction=H","UseDPDF=Y")</f>
        <v>-0.92</v>
      </c>
      <c r="P15" s="14">
        <f>_xll.BDH("ITCI US Equity","IS_COMP_EPS_ADJUSTED","FQ3 2022","FQ3 2022","Currency=USD","Period=FQ","BEST_FPERIOD_OVERRIDE=FQ","FILING_STATUS=MR","Sort=A","Dates=H","DateFormat=P","Fill=—","Direction=H","UseDPDF=Y")</f>
        <v>-0.56999999999999995</v>
      </c>
      <c r="Q15" s="14">
        <f>_xll.BDH("ITCI US Equity","IS_COMP_EPS_ADJUSTED","FQ4 2022","FQ4 2022","Currency=USD","Period=FQ","BEST_FPERIOD_OVERRIDE=FQ","FILING_STATUS=MR","Sort=A","Dates=H","DateFormat=P","Fill=—","Direction=H","UseDPDF=Y")</f>
        <v>-0.45</v>
      </c>
      <c r="R15" s="14">
        <f>_xll.BDH("ITCI US Equity","IS_COMP_EPS_ADJUSTED","FQ1 2023","FQ1 2023","Currency=USD","Period=FQ","BEST_FPERIOD_OVERRIDE=FQ","FILING_STATUS=MR","Sort=A","Dates=H","DateFormat=P","Fill=—","Direction=H","UseDPDF=Y")</f>
        <v>-0.46</v>
      </c>
      <c r="S15" s="14">
        <f>_xll.BDH("ITCI US Equity","IS_COMP_EPS_ADJUSTED","FQ2 2023","FQ2 2023","Currency=USD","Period=FQ","BEST_FPERIOD_OVERRIDE=FQ","FILING_STATUS=MR","Sort=A","Dates=H","DateFormat=P","Fill=—","Direction=H","UseDPDF=Y")</f>
        <v>-0.45</v>
      </c>
      <c r="T15" s="14">
        <f>_xll.BDH("ITCI US Equity","IS_COMP_EPS_ADJUSTED","FQ3 2023","FQ3 2023","Currency=USD","Period=FQ","BEST_FPERIOD_OVERRIDE=FQ","FILING_STATUS=MR","Sort=A","Dates=H","DateFormat=P","Fill=—","Direction=H","UseDPDF=Y")</f>
        <v>-0.25</v>
      </c>
      <c r="U15" s="14">
        <f>_xll.BDH("ITCI US Equity","IS_COMP_EPS_ADJUSTED","FQ4 2023","FQ4 2023","Currency=USD","Period=FQ","BEST_FPERIOD_OVERRIDE=FQ","FILING_STATUS=MR","Sort=A","Dates=H","DateFormat=P","Fill=—","Direction=H","UseDPDF=Y")</f>
        <v>-0.3</v>
      </c>
      <c r="V15" s="14">
        <f>_xll.BDH("ITCI US Equity","IS_COMP_EPS_ADJUSTED","FQ1 2024","FQ1 2024","Currency=USD","Period=FQ","BEST_FPERIOD_OVERRIDE=FQ","FILING_STATUS=MR","Sort=A","Dates=H","DateFormat=P","Fill=—","Direction=H","UseDPDF=Y")</f>
        <v>-0.16</v>
      </c>
      <c r="W15" s="14">
        <f>_xll.BDH("ITCI US Equity","IS_COMP_EPS_ADJUSTED","FQ2 2024","FQ2 2024","Currency=USD","Period=FQ","BEST_FPERIOD_OVERRIDE=FQ","FILING_STATUS=MR","Sort=A","Dates=H","DateFormat=P","Fill=—","Direction=H","UseDPDF=Y")</f>
        <v>-0.16</v>
      </c>
      <c r="X15" s="14">
        <f>_xll.BDH("ITCI US Equity","IS_COMP_EPS_ADJUSTED","FQ3 2024","FQ3 2024","Currency=USD","Period=FQ","BEST_FPERIOD_OVERRIDE=FQ","FILING_STATUS=MR","Sort=A","Dates=H","DateFormat=P","Fill=—","Direction=H","UseDPDF=Y")</f>
        <v>-0.25</v>
      </c>
      <c r="Y15" s="14">
        <f>_xll.BDH("ITCI US Equity","IS_COMP_EPS_ADJUSTED","FQ4 2024","FQ4 2024","Currency=USD","Period=FQ","BEST_FPERIOD_OVERRIDE=FQ","FILING_STATUS=MR","Sort=A","Dates=H","DateFormat=P","Fill=—","Direction=H","UseDPDF=Y")</f>
        <v>-0.16</v>
      </c>
      <c r="Z15" s="14"/>
      <c r="AA15" s="14"/>
    </row>
    <row r="16" spans="1:27" x14ac:dyDescent="0.25">
      <c r="A16" s="11" t="s">
        <v>140</v>
      </c>
      <c r="B16" s="11"/>
      <c r="C16" s="25">
        <v>18.170878459687099</v>
      </c>
      <c r="D16" s="25">
        <v>21.2617206982544</v>
      </c>
      <c r="E16" s="25">
        <v>10.0267156862745</v>
      </c>
      <c r="F16" s="25">
        <v>24.145312499999999</v>
      </c>
      <c r="G16" s="25">
        <v>-4.9341356673960597</v>
      </c>
      <c r="H16" s="25">
        <v>19.993346774193501</v>
      </c>
      <c r="I16" s="25">
        <v>8.92</v>
      </c>
      <c r="J16" s="25">
        <v>18.444165621079001</v>
      </c>
      <c r="K16" s="25">
        <v>-8.9743589743589691</v>
      </c>
      <c r="L16" s="25">
        <v>-2.8138528138528001</v>
      </c>
      <c r="M16" s="25">
        <v>-5.5276381909547796</v>
      </c>
      <c r="N16" s="25">
        <v>15.3094462540717</v>
      </c>
      <c r="O16" s="25">
        <v>-20.8935611038108</v>
      </c>
      <c r="P16" s="25">
        <v>29.97542997543</v>
      </c>
      <c r="Q16" s="25">
        <v>22.680412371134</v>
      </c>
      <c r="R16" s="25">
        <v>24.217462932454701</v>
      </c>
      <c r="S16" s="25">
        <v>24.496644295302001</v>
      </c>
      <c r="T16" s="25">
        <v>55.436720142602503</v>
      </c>
      <c r="U16" s="25">
        <v>32.279909706546299</v>
      </c>
      <c r="V16" s="25">
        <v>49.685534591195001</v>
      </c>
      <c r="W16" s="25">
        <v>15.789473684210501</v>
      </c>
      <c r="X16" s="25">
        <v>-29.5336787564767</v>
      </c>
      <c r="Y16" s="25">
        <v>-45.454545454545503</v>
      </c>
      <c r="Z16" s="25"/>
      <c r="AA16" s="25"/>
    </row>
    <row r="17" spans="1:27" x14ac:dyDescent="0.25">
      <c r="A17" s="10" t="s">
        <v>135</v>
      </c>
      <c r="B17" s="10" t="s">
        <v>104</v>
      </c>
      <c r="C17" s="14">
        <f>_xll.BDH("ITCI US Equity","IS_DILUTED_EPS","FQ2 2019","FQ2 2019","Currency=USD","Period=FQ","BEST_FPERIOD_OVERRIDE=FQ","FILING_STATUS=MR","FA_ADJUSTED=GAAP","Sort=A","Dates=H","DateFormat=P","Fill=—","Direction=H","UseDPDF=Y")</f>
        <v>-0.68</v>
      </c>
      <c r="D17" s="14">
        <f>_xll.BDH("ITCI US Equity","IS_DILUTED_EPS","FQ3 2019","FQ3 2019","Currency=USD","Period=FQ","BEST_FPERIOD_OVERRIDE=FQ","FILING_STATUS=MR","FA_ADJUSTED=GAAP","Sort=A","Dates=H","DateFormat=P","Fill=—","Direction=H","UseDPDF=Y")</f>
        <v>-0.63</v>
      </c>
      <c r="E17" s="14">
        <f>_xll.BDH("ITCI US Equity","IS_DILUTED_EPS","FQ4 2019","FQ4 2019","Currency=USD","Period=FQ","BEST_FPERIOD_OVERRIDE=FQ","FILING_STATUS=MR","FA_ADJUSTED=GAAP","Sort=A","Dates=H","DateFormat=P","Fill=—","Direction=H","UseDPDF=Y")</f>
        <v>-0.74</v>
      </c>
      <c r="F17" s="14">
        <f>_xll.BDH("ITCI US Equity","IS_DILUTED_EPS","FQ1 2020","FQ1 2020","Currency=USD","Period=FQ","BEST_FPERIOD_OVERRIDE=FQ","FILING_STATUS=MR","FA_ADJUSTED=GAAP","Sort=A","Dates=H","DateFormat=P","Fill=—","Direction=H","UseDPDF=Y")</f>
        <v>-0.73</v>
      </c>
      <c r="G17" s="14">
        <f>_xll.BDH("ITCI US Equity","IS_DILUTED_EPS","FQ2 2020","FQ2 2020","Currency=USD","Period=FQ","BEST_FPERIOD_OVERRIDE=FQ","FILING_STATUS=MR","FA_ADJUSTED=GAAP","Sort=A","Dates=H","DateFormat=P","Fill=—","Direction=H","UseDPDF=Y")</f>
        <v>-0.96</v>
      </c>
      <c r="H17" s="14">
        <f>_xll.BDH("ITCI US Equity","IS_DILUTED_EPS","FQ3 2020","FQ3 2020","Currency=USD","Period=FQ","BEST_FPERIOD_OVERRIDE=FQ","FILING_STATUS=MR","FA_ADJUSTED=GAAP","Sort=A","Dates=H","DateFormat=P","Fill=—","Direction=H","UseDPDF=Y")</f>
        <v>-0.79</v>
      </c>
      <c r="I17" s="14">
        <f>_xll.BDH("ITCI US Equity","IS_DILUTED_EPS","FQ4 2020","FQ4 2020","Currency=USD","Period=FQ","BEST_FPERIOD_OVERRIDE=FQ","FILING_STATUS=MR","FA_ADJUSTED=GAAP","Sort=A","Dates=H","DateFormat=P","Fill=—","Direction=H","UseDPDF=Y")</f>
        <v>-0.76</v>
      </c>
      <c r="J17" s="14">
        <f>_xll.BDH("ITCI US Equity","IS_DILUTED_EPS","FQ1 2021","FQ1 2021","Currency=USD","Period=FQ","BEST_FPERIOD_OVERRIDE=FQ","FILING_STATUS=MR","FA_ADJUSTED=GAAP","Sort=A","Dates=H","DateFormat=P","Fill=—","Direction=H","UseDPDF=Y")</f>
        <v>-0.65</v>
      </c>
      <c r="K17" s="14">
        <f>_xll.BDH("ITCI US Equity","IS_DILUTED_EPS","FQ2 2021","FQ2 2021","Currency=USD","Period=FQ","BEST_FPERIOD_OVERRIDE=FQ","FILING_STATUS=MR","FA_ADJUSTED=GAAP","Sort=A","Dates=H","DateFormat=P","Fill=—","Direction=H","UseDPDF=Y")</f>
        <v>-0.85</v>
      </c>
      <c r="L17" s="14">
        <f>_xll.BDH("ITCI US Equity","IS_DILUTED_EPS","FQ3 2021","FQ3 2021","Currency=USD","Period=FQ","BEST_FPERIOD_OVERRIDE=FQ","FILING_STATUS=MR","FA_ADJUSTED=GAAP","Sort=A","Dates=H","DateFormat=P","Fill=—","Direction=H","UseDPDF=Y")</f>
        <v>-0.95</v>
      </c>
      <c r="M17" s="14">
        <f>_xll.BDH("ITCI US Equity","IS_DILUTED_EPS","FQ4 2021","FQ4 2021","Currency=USD","Period=FQ","BEST_FPERIOD_OVERRIDE=FQ","FILING_STATUS=MR","FA_ADJUSTED=GAAP","Sort=A","Dates=H","DateFormat=P","Fill=—","Direction=H","UseDPDF=Y")</f>
        <v>-1.05</v>
      </c>
      <c r="N17" s="14">
        <f>_xll.BDH("ITCI US Equity","IS_DILUTED_EPS","FQ1 2022","FQ1 2022","Currency=USD","Period=FQ","BEST_FPERIOD_OVERRIDE=FQ","FILING_STATUS=MR","FA_ADJUSTED=GAAP","Sort=A","Dates=H","DateFormat=P","Fill=—","Direction=H","UseDPDF=Y")</f>
        <v>-0.78</v>
      </c>
      <c r="O17" s="14">
        <f>_xll.BDH("ITCI US Equity","IS_DILUTED_EPS","FQ2 2022","FQ2 2022","Currency=USD","Period=FQ","BEST_FPERIOD_OVERRIDE=FQ","FILING_STATUS=MR","FA_ADJUSTED=GAAP","Sort=A","Dates=H","DateFormat=P","Fill=—","Direction=H","UseDPDF=Y")</f>
        <v>-0.92</v>
      </c>
      <c r="P17" s="14">
        <f>_xll.BDH("ITCI US Equity","IS_DILUTED_EPS","FQ3 2022","FQ3 2022","Currency=USD","Period=FQ","BEST_FPERIOD_OVERRIDE=FQ","FILING_STATUS=MR","FA_ADJUSTED=GAAP","Sort=A","Dates=H","DateFormat=P","Fill=—","Direction=H","UseDPDF=Y")</f>
        <v>-0.56999999999999995</v>
      </c>
      <c r="Q17" s="14">
        <f>_xll.BDH("ITCI US Equity","IS_DILUTED_EPS","FQ4 2022","FQ4 2022","Currency=USD","Period=FQ","BEST_FPERIOD_OVERRIDE=FQ","FILING_STATUS=MR","FA_ADJUSTED=GAAP","Sort=A","Dates=H","DateFormat=P","Fill=—","Direction=H","UseDPDF=Y")</f>
        <v>-0.45</v>
      </c>
      <c r="R17" s="14">
        <f>_xll.BDH("ITCI US Equity","IS_DILUTED_EPS","FQ1 2023","FQ1 2023","Currency=USD","Period=FQ","BEST_FPERIOD_OVERRIDE=FQ","FILING_STATUS=MR","FA_ADJUSTED=GAAP","Sort=A","Dates=H","DateFormat=P","Fill=—","Direction=H","UseDPDF=Y")</f>
        <v>-0.46</v>
      </c>
      <c r="S17" s="14">
        <f>_xll.BDH("ITCI US Equity","IS_DILUTED_EPS","FQ2 2023","FQ2 2023","Currency=USD","Period=FQ","BEST_FPERIOD_OVERRIDE=FQ","FILING_STATUS=MR","FA_ADJUSTED=GAAP","Sort=A","Dates=H","DateFormat=P","Fill=—","Direction=H","UseDPDF=Y")</f>
        <v>-0.45</v>
      </c>
      <c r="T17" s="14">
        <f>_xll.BDH("ITCI US Equity","IS_DILUTED_EPS","FQ3 2023","FQ3 2023","Currency=USD","Period=FQ","BEST_FPERIOD_OVERRIDE=FQ","FILING_STATUS=MR","FA_ADJUSTED=GAAP","Sort=A","Dates=H","DateFormat=P","Fill=—","Direction=H","UseDPDF=Y")</f>
        <v>-0.25</v>
      </c>
      <c r="U17" s="14">
        <f>_xll.BDH("ITCI US Equity","IS_DILUTED_EPS","FQ4 2023","FQ4 2023","Currency=USD","Period=FQ","BEST_FPERIOD_OVERRIDE=FQ","FILING_STATUS=MR","FA_ADJUSTED=GAAP","Sort=A","Dates=H","DateFormat=P","Fill=—","Direction=H","UseDPDF=Y")</f>
        <v>-0.3</v>
      </c>
      <c r="V17" s="14">
        <f>_xll.BDH("ITCI US Equity","IS_DILUTED_EPS","FQ1 2024","FQ1 2024","Currency=USD","Period=FQ","BEST_FPERIOD_OVERRIDE=FQ","FILING_STATUS=MR","FA_ADJUSTED=GAAP","Sort=A","Dates=H","DateFormat=P","Fill=—","Direction=H","UseDPDF=Y")</f>
        <v>-0.16</v>
      </c>
      <c r="W17" s="14">
        <f>_xll.BDH("ITCI US Equity","IS_DILUTED_EPS","FQ2 2024","FQ2 2024","Currency=USD","Period=FQ","BEST_FPERIOD_OVERRIDE=FQ","FILING_STATUS=MR","FA_ADJUSTED=GAAP","Sort=A","Dates=H","DateFormat=P","Fill=—","Direction=H","UseDPDF=Y")</f>
        <v>-0.16</v>
      </c>
      <c r="X17" s="14">
        <f>_xll.BDH("ITCI US Equity","IS_DILUTED_EPS","FQ3 2024","FQ3 2024","Currency=USD","Period=FQ","BEST_FPERIOD_OVERRIDE=FQ","FILING_STATUS=MR","FA_ADJUSTED=GAAP","Sort=A","Dates=H","DateFormat=P","Fill=—","Direction=H","UseDPDF=Y")</f>
        <v>-0.25</v>
      </c>
      <c r="Y17" s="14">
        <f>_xll.BDH("ITCI US Equity","IS_DILUTED_EPS","FQ4 2024","FQ4 2024","Currency=USD","Period=FQ","BEST_FPERIOD_OVERRIDE=FQ","FILING_STATUS=MR","FA_ADJUSTED=GAAP","Sort=A","Dates=H","DateFormat=P","Fill=—","Direction=H","UseDPDF=Y")</f>
        <v>-0.16</v>
      </c>
      <c r="Z17" s="14"/>
      <c r="AA17" s="14"/>
    </row>
    <row r="18" spans="1:27" x14ac:dyDescent="0.25">
      <c r="A18" s="10" t="s">
        <v>136</v>
      </c>
      <c r="B18" s="10" t="s">
        <v>82</v>
      </c>
      <c r="C18" s="14">
        <f>_xll.BDH("ITCI US Equity","IS_DIL_EPS_CONT_OPS","FQ2 2019","FQ2 2019","Currency=USD","Period=FQ","BEST_FPERIOD_OVERRIDE=FQ","FILING_STATUS=MR","Sort=A","Dates=H","DateFormat=P","Fill=—","Direction=H","UseDPDF=Y")</f>
        <v>-0.68</v>
      </c>
      <c r="D18" s="14">
        <f>_xll.BDH("ITCI US Equity","IS_DIL_EPS_CONT_OPS","FQ3 2019","FQ3 2019","Currency=USD","Period=FQ","BEST_FPERIOD_OVERRIDE=FQ","FILING_STATUS=MR","Sort=A","Dates=H","DateFormat=P","Fill=—","Direction=H","UseDPDF=Y")</f>
        <v>-0.63</v>
      </c>
      <c r="E18" s="14">
        <f>_xll.BDH("ITCI US Equity","IS_DIL_EPS_CONT_OPS","FQ4 2019","FQ4 2019","Currency=USD","Period=FQ","BEST_FPERIOD_OVERRIDE=FQ","FILING_STATUS=MR","Sort=A","Dates=H","DateFormat=P","Fill=—","Direction=H","UseDPDF=Y")</f>
        <v>-0.74</v>
      </c>
      <c r="F18" s="14">
        <f>_xll.BDH("ITCI US Equity","IS_DIL_EPS_CONT_OPS","FQ1 2020","FQ1 2020","Currency=USD","Period=FQ","BEST_FPERIOD_OVERRIDE=FQ","FILING_STATUS=MR","Sort=A","Dates=H","DateFormat=P","Fill=—","Direction=H","UseDPDF=Y")</f>
        <v>-0.73</v>
      </c>
      <c r="G18" s="14">
        <f>_xll.BDH("ITCI US Equity","IS_DIL_EPS_CONT_OPS","FQ2 2020","FQ2 2020","Currency=USD","Period=FQ","BEST_FPERIOD_OVERRIDE=FQ","FILING_STATUS=MR","Sort=A","Dates=H","DateFormat=P","Fill=—","Direction=H","UseDPDF=Y")</f>
        <v>-0.96</v>
      </c>
      <c r="H18" s="14">
        <f>_xll.BDH("ITCI US Equity","IS_DIL_EPS_CONT_OPS","FQ3 2020","FQ3 2020","Currency=USD","Period=FQ","BEST_FPERIOD_OVERRIDE=FQ","FILING_STATUS=MR","Sort=A","Dates=H","DateFormat=P","Fill=—","Direction=H","UseDPDF=Y")</f>
        <v>-0.79</v>
      </c>
      <c r="I18" s="14">
        <f>_xll.BDH("ITCI US Equity","IS_DIL_EPS_CONT_OPS","FQ4 2020","FQ4 2020","Currency=USD","Period=FQ","BEST_FPERIOD_OVERRIDE=FQ","FILING_STATUS=MR","Sort=A","Dates=H","DateFormat=P","Fill=—","Direction=H","UseDPDF=Y")</f>
        <v>-0.76</v>
      </c>
      <c r="J18" s="14">
        <f>_xll.BDH("ITCI US Equity","IS_DIL_EPS_CONT_OPS","FQ1 2021","FQ1 2021","Currency=USD","Period=FQ","BEST_FPERIOD_OVERRIDE=FQ","FILING_STATUS=MR","Sort=A","Dates=H","DateFormat=P","Fill=—","Direction=H","UseDPDF=Y")</f>
        <v>-0.65</v>
      </c>
      <c r="K18" s="14">
        <f>_xll.BDH("ITCI US Equity","IS_DIL_EPS_CONT_OPS","FQ2 2021","FQ2 2021","Currency=USD","Period=FQ","BEST_FPERIOD_OVERRIDE=FQ","FILING_STATUS=MR","Sort=A","Dates=H","DateFormat=P","Fill=—","Direction=H","UseDPDF=Y")</f>
        <v>-0.85</v>
      </c>
      <c r="L18" s="14">
        <f>_xll.BDH("ITCI US Equity","IS_DIL_EPS_CONT_OPS","FQ3 2021","FQ3 2021","Currency=USD","Period=FQ","BEST_FPERIOD_OVERRIDE=FQ","FILING_STATUS=MR","Sort=A","Dates=H","DateFormat=P","Fill=—","Direction=H","UseDPDF=Y")</f>
        <v>-0.95</v>
      </c>
      <c r="M18" s="14">
        <f>_xll.BDH("ITCI US Equity","IS_DIL_EPS_CONT_OPS","FQ4 2021","FQ4 2021","Currency=USD","Period=FQ","BEST_FPERIOD_OVERRIDE=FQ","FILING_STATUS=MR","Sort=A","Dates=H","DateFormat=P","Fill=—","Direction=H","UseDPDF=Y")</f>
        <v>-1.05</v>
      </c>
      <c r="N18" s="14">
        <f>_xll.BDH("ITCI US Equity","IS_DIL_EPS_CONT_OPS","FQ1 2022","FQ1 2022","Currency=USD","Period=FQ","BEST_FPERIOD_OVERRIDE=FQ","FILING_STATUS=MR","Sort=A","Dates=H","DateFormat=P","Fill=—","Direction=H","UseDPDF=Y")</f>
        <v>-0.78</v>
      </c>
      <c r="O18" s="14">
        <f>_xll.BDH("ITCI US Equity","IS_DIL_EPS_CONT_OPS","FQ2 2022","FQ2 2022","Currency=USD","Period=FQ","BEST_FPERIOD_OVERRIDE=FQ","FILING_STATUS=MR","Sort=A","Dates=H","DateFormat=P","Fill=—","Direction=H","UseDPDF=Y")</f>
        <v>-0.92</v>
      </c>
      <c r="P18" s="14">
        <f>_xll.BDH("ITCI US Equity","IS_DIL_EPS_CONT_OPS","FQ3 2022","FQ3 2022","Currency=USD","Period=FQ","BEST_FPERIOD_OVERRIDE=FQ","FILING_STATUS=MR","Sort=A","Dates=H","DateFormat=P","Fill=—","Direction=H","UseDPDF=Y")</f>
        <v>-0.56999999999999995</v>
      </c>
      <c r="Q18" s="14">
        <f>_xll.BDH("ITCI US Equity","IS_DIL_EPS_CONT_OPS","FQ4 2022","FQ4 2022","Currency=USD","Period=FQ","BEST_FPERIOD_OVERRIDE=FQ","FILING_STATUS=MR","Sort=A","Dates=H","DateFormat=P","Fill=—","Direction=H","UseDPDF=Y")</f>
        <v>-0.45</v>
      </c>
      <c r="R18" s="14">
        <f>_xll.BDH("ITCI US Equity","IS_DIL_EPS_CONT_OPS","FQ1 2023","FQ1 2023","Currency=USD","Period=FQ","BEST_FPERIOD_OVERRIDE=FQ","FILING_STATUS=MR","Sort=A","Dates=H","DateFormat=P","Fill=—","Direction=H","UseDPDF=Y")</f>
        <v>-0.46</v>
      </c>
      <c r="S18" s="14">
        <f>_xll.BDH("ITCI US Equity","IS_DIL_EPS_CONT_OPS","FQ2 2023","FQ2 2023","Currency=USD","Period=FQ","BEST_FPERIOD_OVERRIDE=FQ","FILING_STATUS=MR","Sort=A","Dates=H","DateFormat=P","Fill=—","Direction=H","UseDPDF=Y")</f>
        <v>-0.45</v>
      </c>
      <c r="T18" s="14">
        <f>_xll.BDH("ITCI US Equity","IS_DIL_EPS_CONT_OPS","FQ3 2023","FQ3 2023","Currency=USD","Period=FQ","BEST_FPERIOD_OVERRIDE=FQ","FILING_STATUS=MR","Sort=A","Dates=H","DateFormat=P","Fill=—","Direction=H","UseDPDF=Y")</f>
        <v>-0.25</v>
      </c>
      <c r="U18" s="14">
        <f>_xll.BDH("ITCI US Equity","IS_DIL_EPS_CONT_OPS","FQ4 2023","FQ4 2023","Currency=USD","Period=FQ","BEST_FPERIOD_OVERRIDE=FQ","FILING_STATUS=MR","Sort=A","Dates=H","DateFormat=P","Fill=—","Direction=H","UseDPDF=Y")</f>
        <v>-0.3</v>
      </c>
      <c r="V18" s="14">
        <f>_xll.BDH("ITCI US Equity","IS_DIL_EPS_CONT_OPS","FQ1 2024","FQ1 2024","Currency=USD","Period=FQ","BEST_FPERIOD_OVERRIDE=FQ","FILING_STATUS=MR","Sort=A","Dates=H","DateFormat=P","Fill=—","Direction=H","UseDPDF=Y")</f>
        <v>-0.16</v>
      </c>
      <c r="W18" s="14">
        <f>_xll.BDH("ITCI US Equity","IS_DIL_EPS_CONT_OPS","FQ2 2024","FQ2 2024","Currency=USD","Period=FQ","BEST_FPERIOD_OVERRIDE=FQ","FILING_STATUS=MR","Sort=A","Dates=H","DateFormat=P","Fill=—","Direction=H","UseDPDF=Y")</f>
        <v>-0.16</v>
      </c>
      <c r="X18" s="14">
        <f>_xll.BDH("ITCI US Equity","IS_DIL_EPS_CONT_OPS","FQ3 2024","FQ3 2024","Currency=USD","Period=FQ","BEST_FPERIOD_OVERRIDE=FQ","FILING_STATUS=MR","Sort=A","Dates=H","DateFormat=P","Fill=—","Direction=H","UseDPDF=Y")</f>
        <v>-0.25</v>
      </c>
      <c r="Y18" s="14">
        <f>_xll.BDH("ITCI US Equity","IS_DIL_EPS_CONT_OPS","FQ4 2024","FQ4 2024","Currency=USD","Period=FQ","BEST_FPERIOD_OVERRIDE=FQ","FILING_STATUS=MR","Sort=A","Dates=H","DateFormat=P","Fill=—","Direction=H","UseDPDF=Y")</f>
        <v>-0.16</v>
      </c>
      <c r="Z18" s="14"/>
      <c r="AA18" s="14"/>
    </row>
    <row r="19" spans="1:27" x14ac:dyDescent="0.25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5">
      <c r="A20" s="6" t="s">
        <v>141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x14ac:dyDescent="0.25">
      <c r="A21" s="10" t="s">
        <v>130</v>
      </c>
      <c r="B21" s="10" t="s">
        <v>142</v>
      </c>
      <c r="C21" s="13">
        <f>_xll.BDH("ITCI US Equity","BEST_OPP","FQ2 2019","FQ2 2019","Currency=USD","Period=FQ","BEST_FPERIOD_OVERRIDE=FQ","FILING_STATUS=MR","Sort=A","Dates=H","DateFormat=P","Fill=—","Direction=H","UseDPDF=Y")</f>
        <v>-49.25</v>
      </c>
      <c r="D21" s="13">
        <f>_xll.BDH("ITCI US Equity","BEST_OPP","FQ3 2019","FQ3 2019","Currency=USD","Period=FQ","BEST_FPERIOD_OVERRIDE=FQ","FILING_STATUS=MR","Sort=A","Dates=H","DateFormat=P","Fill=—","Direction=H","UseDPDF=Y")</f>
        <v>-47.55</v>
      </c>
      <c r="E21" s="13">
        <f>_xll.BDH("ITCI US Equity","BEST_OPP","FQ4 2019","FQ4 2019","Currency=USD","Period=FQ","BEST_FPERIOD_OVERRIDE=FQ","FILING_STATUS=MR","Sort=A","Dates=H","DateFormat=P","Fill=—","Direction=H","UseDPDF=Y")</f>
        <v>-47.183</v>
      </c>
      <c r="F21" s="13">
        <f>_xll.BDH("ITCI US Equity","BEST_OPP","FQ1 2020","FQ1 2020","Currency=USD","Period=FQ","BEST_FPERIOD_OVERRIDE=FQ","FILING_STATUS=MR","Sort=A","Dates=H","DateFormat=P","Fill=—","Direction=H","UseDPDF=Y")</f>
        <v>-60.4</v>
      </c>
      <c r="G21" s="13">
        <f>_xll.BDH("ITCI US Equity","BEST_OPP","FQ2 2020","FQ2 2020","Currency=USD","Period=FQ","BEST_FPERIOD_OVERRIDE=FQ","FILING_STATUS=MR","Sort=A","Dates=H","DateFormat=P","Fill=—","Direction=H","UseDPDF=Y")</f>
        <v>-62.014000000000003</v>
      </c>
      <c r="H21" s="13">
        <f>_xll.BDH("ITCI US Equity","BEST_OPP","FQ3 2020","FQ3 2020","Currency=USD","Period=FQ","BEST_FPERIOD_OVERRIDE=FQ","FILING_STATUS=MR","Sort=A","Dates=H","DateFormat=P","Fill=—","Direction=H","UseDPDF=Y")</f>
        <v>-70.466999999999999</v>
      </c>
      <c r="I21" s="13">
        <f>_xll.BDH("ITCI US Equity","BEST_OPP","FQ4 2020","FQ4 2020","Currency=USD","Period=FQ","BEST_FPERIOD_OVERRIDE=FQ","FILING_STATUS=MR","Sort=A","Dates=H","DateFormat=P","Fill=—","Direction=H","UseDPDF=Y")</f>
        <v>-67.86</v>
      </c>
      <c r="J21" s="13">
        <f>_xll.BDH("ITCI US Equity","BEST_OPP","FQ1 2021","FQ1 2021","Currency=USD","Period=FQ","BEST_FPERIOD_OVERRIDE=FQ","FILING_STATUS=MR","Sort=A","Dates=H","DateFormat=P","Fill=—","Direction=H","UseDPDF=Y")</f>
        <v>-63.88</v>
      </c>
      <c r="K21" s="13">
        <f>_xll.BDH("ITCI US Equity","BEST_OPP","FQ2 2021","FQ2 2021","Currency=USD","Period=FQ","BEST_FPERIOD_OVERRIDE=FQ","FILING_STATUS=MR","Sort=A","Dates=H","DateFormat=P","Fill=—","Direction=H","UseDPDF=Y")</f>
        <v>-63.45</v>
      </c>
      <c r="L21" s="13">
        <f>_xll.BDH("ITCI US Equity","BEST_OPP","FQ3 2021","FQ3 2021","Currency=USD","Period=FQ","BEST_FPERIOD_OVERRIDE=FQ","FILING_STATUS=MR","Sort=A","Dates=H","DateFormat=P","Fill=—","Direction=H","UseDPDF=Y")</f>
        <v>-75.421999999999997</v>
      </c>
      <c r="M21" s="13">
        <f>_xll.BDH("ITCI US Equity","BEST_OPP","FQ4 2021","FQ4 2021","Currency=USD","Period=FQ","BEST_FPERIOD_OVERRIDE=FQ","FILING_STATUS=MR","Sort=A","Dates=H","DateFormat=P","Fill=—","Direction=H","UseDPDF=Y")</f>
        <v>-82.68</v>
      </c>
      <c r="N21" s="13">
        <f>_xll.BDH("ITCI US Equity","BEST_OPP","FQ1 2022","FQ1 2022","Currency=USD","Period=FQ","BEST_FPERIOD_OVERRIDE=FQ","FILING_STATUS=MR","Sort=A","Dates=H","DateFormat=P","Fill=—","Direction=H","UseDPDF=Y")</f>
        <v>-84.99</v>
      </c>
      <c r="O21" s="13">
        <f>_xll.BDH("ITCI US Equity","BEST_OPP","FQ2 2022","FQ2 2022","Currency=USD","Period=FQ","BEST_FPERIOD_OVERRIDE=FQ","FILING_STATUS=MR","Sort=A","Dates=H","DateFormat=P","Fill=—","Direction=H","UseDPDF=Y")</f>
        <v>-71.230999999999995</v>
      </c>
      <c r="P21" s="13">
        <f>_xll.BDH("ITCI US Equity","BEST_OPP","FQ3 2022","FQ3 2022","Currency=USD","Period=FQ","BEST_FPERIOD_OVERRIDE=FQ","FILING_STATUS=MR","Sort=A","Dates=H","DateFormat=P","Fill=—","Direction=H","UseDPDF=Y")</f>
        <v>-77.408000000000001</v>
      </c>
      <c r="Q21" s="13">
        <f>_xll.BDH("ITCI US Equity","BEST_OPP","FQ4 2022","FQ4 2022","Currency=USD","Period=FQ","BEST_FPERIOD_OVERRIDE=FQ","FILING_STATUS=MR","Sort=A","Dates=H","DateFormat=P","Fill=—","Direction=H","UseDPDF=Y")</f>
        <v>-57.277000000000001</v>
      </c>
      <c r="R21" s="13">
        <f>_xll.BDH("ITCI US Equity","BEST_OPP","FQ1 2023","FQ1 2023","Currency=USD","Period=FQ","BEST_FPERIOD_OVERRIDE=FQ","FILING_STATUS=MR","Sort=A","Dates=H","DateFormat=P","Fill=—","Direction=H","UseDPDF=Y")</f>
        <v>-60.216999999999999</v>
      </c>
      <c r="S21" s="13">
        <f>_xll.BDH("ITCI US Equity","BEST_OPP","FQ2 2023","FQ2 2023","Currency=USD","Period=FQ","BEST_FPERIOD_OVERRIDE=FQ","FILING_STATUS=MR","Sort=A","Dates=H","DateFormat=P","Fill=—","Direction=H","UseDPDF=Y")</f>
        <v>-59.569000000000003</v>
      </c>
      <c r="T21" s="13">
        <f>_xll.BDH("ITCI US Equity","BEST_OPP","FQ3 2023","FQ3 2023","Currency=USD","Period=FQ","BEST_FPERIOD_OVERRIDE=FQ","FILING_STATUS=MR","Sort=A","Dates=H","DateFormat=P","Fill=—","Direction=H","UseDPDF=Y")</f>
        <v>-58.542000000000002</v>
      </c>
      <c r="U21" s="13">
        <f>_xll.BDH("ITCI US Equity","BEST_OPP","FQ4 2023","FQ4 2023","Currency=USD","Period=FQ","BEST_FPERIOD_OVERRIDE=FQ","FILING_STATUS=MR","Sort=A","Dates=H","DateFormat=P","Fill=—","Direction=H","UseDPDF=Y")</f>
        <v>-47.369</v>
      </c>
      <c r="V21" s="13">
        <f>_xll.BDH("ITCI US Equity","BEST_OPP","FQ1 2024","FQ1 2024","Currency=USD","Period=FQ","BEST_FPERIOD_OVERRIDE=FQ","FILING_STATUS=MR","Sort=A","Dates=H","DateFormat=P","Fill=—","Direction=H","UseDPDF=Y")</f>
        <v>-35.476999999999997</v>
      </c>
      <c r="W21" s="13">
        <f>_xll.BDH("ITCI US Equity","BEST_OPP","FQ2 2024","FQ2 2024","Currency=USD","Period=FQ","BEST_FPERIOD_OVERRIDE=FQ","FILING_STATUS=MR","Sort=A","Dates=H","DateFormat=P","Fill=—","Direction=H","UseDPDF=Y")</f>
        <v>-25.606999999999999</v>
      </c>
      <c r="X21" s="13">
        <f>_xll.BDH("ITCI US Equity","BEST_OPP","FQ3 2024","FQ3 2024","Currency=USD","Period=FQ","BEST_FPERIOD_OVERRIDE=FQ","FILING_STATUS=MR","Sort=A","Dates=H","DateFormat=P","Fill=—","Direction=H","UseDPDF=Y")</f>
        <v>-29.364000000000001</v>
      </c>
      <c r="Y21" s="13">
        <f>_xll.BDH("ITCI US Equity","BEST_OPP","FQ4 2024","FQ4 2024","Currency=USD","Period=FQ","BEST_FPERIOD_OVERRIDE=FQ","FILING_STATUS=MR","Sort=A","Dates=H","DateFormat=P","Fill=—","Direction=H","UseDPDF=Y")</f>
        <v>-19.585000000000001</v>
      </c>
      <c r="Z21" s="13">
        <v>-19.46</v>
      </c>
      <c r="AA21" s="13">
        <v>-14.603999999999999</v>
      </c>
    </row>
    <row r="22" spans="1:27" x14ac:dyDescent="0.25">
      <c r="A22" s="10" t="s">
        <v>132</v>
      </c>
      <c r="B22" s="10" t="s">
        <v>143</v>
      </c>
      <c r="C22" s="13">
        <f>_xll.BDH("ITCI US Equity","IS_COMPARABLE_EBIT","FQ2 2019","FQ2 2019","Currency=USD","Period=FQ","BEST_FPERIOD_OVERRIDE=FQ","FILING_STATUS=MR","SCALING_FORMAT=MLN","Sort=A","Dates=H","DateFormat=P","Fill=—","Direction=H","UseDPDF=Y")</f>
        <v>-39.171100000000003</v>
      </c>
      <c r="D22" s="13">
        <f>_xll.BDH("ITCI US Equity","IS_COMPARABLE_EBIT","FQ3 2019","FQ3 2019","Currency=USD","Period=FQ","BEST_FPERIOD_OVERRIDE=FQ","FILING_STATUS=MR","SCALING_FORMAT=MLN","Sort=A","Dates=H","DateFormat=P","Fill=—","Direction=H","UseDPDF=Y")</f>
        <v>-36.376199999999997</v>
      </c>
      <c r="E22" s="13">
        <f>_xll.BDH("ITCI US Equity","IS_COMPARABLE_EBIT","FQ4 2019","FQ4 2019","Currency=USD","Period=FQ","BEST_FPERIOD_OVERRIDE=FQ","FILING_STATUS=MR","SCALING_FORMAT=MLN","Sort=A","Dates=H","DateFormat=P","Fill=—","Direction=H","UseDPDF=Y")</f>
        <v>-41.768700000000003</v>
      </c>
      <c r="F22" s="13">
        <f>_xll.BDH("ITCI US Equity","IS_COMPARABLE_EBIT","FQ1 2020","FQ1 2020","Currency=USD","Period=FQ","BEST_FPERIOD_OVERRIDE=FQ","FILING_STATUS=MR","SCALING_FORMAT=MLN","Sort=A","Dates=H","DateFormat=P","Fill=—","Direction=H","UseDPDF=Y")</f>
        <v>-49.085500000000003</v>
      </c>
      <c r="G22" s="13">
        <f>_xll.BDH("ITCI US Equity","IS_COMPARABLE_EBIT","FQ2 2020","FQ2 2020","Currency=USD","Period=FQ","BEST_FPERIOD_OVERRIDE=FQ","FILING_STATUS=MR","SCALING_FORMAT=MLN","Sort=A","Dates=H","DateFormat=P","Fill=—","Direction=H","UseDPDF=Y")</f>
        <v>-64.872299999999996</v>
      </c>
      <c r="H22" s="13">
        <f>_xll.BDH("ITCI US Equity","IS_COMPARABLE_EBIT","FQ3 2020","FQ3 2020","Currency=USD","Period=FQ","BEST_FPERIOD_OVERRIDE=FQ","FILING_STATUS=MR","SCALING_FORMAT=MLN","Sort=A","Dates=H","DateFormat=P","Fill=—","Direction=H","UseDPDF=Y")</f>
        <v>-55.936500000000002</v>
      </c>
      <c r="I22" s="13">
        <f>_xll.BDH("ITCI US Equity","IS_COMPARABLE_EBIT","FQ4 2020","FQ4 2020","Currency=USD","Period=FQ","BEST_FPERIOD_OVERRIDE=FQ","FILING_STATUS=MR","SCALING_FORMAT=MLN","Sort=A","Dates=H","DateFormat=P","Fill=—","Direction=H","UseDPDF=Y")</f>
        <v>-61.333300000000001</v>
      </c>
      <c r="J22" s="13">
        <f>_xll.BDH("ITCI US Equity","IS_COMPARABLE_EBIT","FQ1 2021","FQ1 2021","Currency=USD","Period=FQ","BEST_FPERIOD_OVERRIDE=FQ","FILING_STATUS=MR","SCALING_FORMAT=MLN","Sort=A","Dates=H","DateFormat=P","Fill=—","Direction=H","UseDPDF=Y")</f>
        <v>-53.218699999999998</v>
      </c>
      <c r="K22" s="13">
        <f>_xll.BDH("ITCI US Equity","IS_COMPARABLE_EBIT","FQ2 2021","FQ2 2021","Currency=USD","Period=FQ","BEST_FPERIOD_OVERRIDE=FQ","FILING_STATUS=MR","SCALING_FORMAT=MLN","Sort=A","Dates=H","DateFormat=P","Fill=—","Direction=H","UseDPDF=Y")</f>
        <v>-69.141099999999994</v>
      </c>
      <c r="L22" s="13">
        <f>_xll.BDH("ITCI US Equity","IS_COMPARABLE_EBIT","FQ3 2021","FQ3 2021","Currency=USD","Period=FQ","BEST_FPERIOD_OVERRIDE=FQ","FILING_STATUS=MR","SCALING_FORMAT=MLN","Sort=A","Dates=H","DateFormat=P","Fill=—","Direction=H","UseDPDF=Y")</f>
        <v>-77.323800000000006</v>
      </c>
      <c r="M22" s="13">
        <f>_xll.BDH("ITCI US Equity","IS_COMPARABLE_EBIT","FQ4 2021","FQ4 2021","Currency=USD","Period=FQ","BEST_FPERIOD_OVERRIDE=FQ","FILING_STATUS=MR","SCALING_FORMAT=MLN","Sort=A","Dates=H","DateFormat=P","Fill=—","Direction=H","UseDPDF=Y")</f>
        <v>-86.004599999999996</v>
      </c>
      <c r="N22" s="13">
        <f>_xll.BDH("ITCI US Equity","IS_COMPARABLE_EBIT","FQ1 2022","FQ1 2022","Currency=USD","Period=FQ","BEST_FPERIOD_OVERRIDE=FQ","FILING_STATUS=MR","SCALING_FORMAT=MLN","Sort=A","Dates=H","DateFormat=P","Fill=—","Direction=H","UseDPDF=Y")</f>
        <v>-72.662000000000006</v>
      </c>
      <c r="O22" s="13">
        <f>_xll.BDH("ITCI US Equity","IS_COMPARABLE_EBIT","FQ2 2022","FQ2 2022","Currency=USD","Period=FQ","BEST_FPERIOD_OVERRIDE=FQ","FILING_STATUS=MR","SCALING_FORMAT=MLN","Sort=A","Dates=H","DateFormat=P","Fill=—","Direction=H","UseDPDF=Y")</f>
        <v>-87.923000000000002</v>
      </c>
      <c r="P22" s="13">
        <f>_xll.BDH("ITCI US Equity","IS_COMPARABLE_EBIT","FQ3 2022","FQ3 2022","Currency=USD","Period=FQ","BEST_FPERIOD_OVERRIDE=FQ","FILING_STATUS=MR","SCALING_FORMAT=MLN","Sort=A","Dates=H","DateFormat=P","Fill=—","Direction=H","UseDPDF=Y")</f>
        <v>-55.628999999999998</v>
      </c>
      <c r="Q22" s="13">
        <f>_xll.BDH("ITCI US Equity","IS_COMPARABLE_EBIT","FQ4 2022","FQ4 2022","Currency=USD","Period=FQ","BEST_FPERIOD_OVERRIDE=FQ","FILING_STATUS=MR","SCALING_FORMAT=MLN","Sort=A","Dates=H","DateFormat=P","Fill=—","Direction=H","UseDPDF=Y")</f>
        <v>-47.411999999999999</v>
      </c>
      <c r="R22" s="13">
        <f>_xll.BDH("ITCI US Equity","IS_COMPARABLE_EBIT","FQ1 2023","FQ1 2023","Currency=USD","Period=FQ","BEST_FPERIOD_OVERRIDE=FQ","FILING_STATUS=MR","SCALING_FORMAT=MLN","Sort=A","Dates=H","DateFormat=P","Fill=—","Direction=H","UseDPDF=Y")</f>
        <v>-48.392000000000003</v>
      </c>
      <c r="S22" s="13">
        <f>_xll.BDH("ITCI US Equity","IS_COMPARABLE_EBIT","FQ2 2023","FQ2 2023","Currency=USD","Period=FQ","BEST_FPERIOD_OVERRIDE=FQ","FILING_STATUS=MR","SCALING_FORMAT=MLN","Sort=A","Dates=H","DateFormat=P","Fill=—","Direction=H","UseDPDF=Y")</f>
        <v>-47.179000000000002</v>
      </c>
      <c r="T22" s="13">
        <f>_xll.BDH("ITCI US Equity","IS_COMPARABLE_EBIT","FQ3 2023","FQ3 2023","Currency=USD","Period=FQ","BEST_FPERIOD_OVERRIDE=FQ","FILING_STATUS=MR","SCALING_FORMAT=MLN","Sort=A","Dates=H","DateFormat=P","Fill=—","Direction=H","UseDPDF=Y")</f>
        <v>-29.713000000000001</v>
      </c>
      <c r="U22" s="13">
        <f>_xll.BDH("ITCI US Equity","IS_COMPARABLE_EBIT","FQ4 2023","FQ4 2023","Currency=USD","Period=FQ","BEST_FPERIOD_OVERRIDE=FQ","FILING_STATUS=MR","SCALING_FORMAT=MLN","Sort=A","Dates=H","DateFormat=P","Fill=—","Direction=H","UseDPDF=Y")</f>
        <v>-34.097000000000001</v>
      </c>
      <c r="V22" s="13">
        <f>_xll.BDH("ITCI US Equity","IS_COMPARABLE_EBIT","FQ1 2024","FQ1 2024","Currency=USD","Period=FQ","BEST_FPERIOD_OVERRIDE=FQ","FILING_STATUS=MR","SCALING_FORMAT=MLN","Sort=A","Dates=H","DateFormat=P","Fill=—","Direction=H","UseDPDF=Y")</f>
        <v>-20.952000000000002</v>
      </c>
      <c r="W22" s="13">
        <f>_xll.BDH("ITCI US Equity","IS_COMPARABLE_EBIT","FQ2 2024","FQ2 2024","Currency=USD","Period=FQ","BEST_FPERIOD_OVERRIDE=FQ","FILING_STATUS=MR","SCALING_FORMAT=MLN","Sort=A","Dates=H","DateFormat=P","Fill=—","Direction=H","UseDPDF=Y")</f>
        <v>-27.722999999999999</v>
      </c>
      <c r="X22" s="13">
        <f>_xll.BDH("ITCI US Equity","IS_COMPARABLE_EBIT","FQ3 2024","FQ3 2024","Currency=USD","Period=FQ","BEST_FPERIOD_OVERRIDE=FQ","FILING_STATUS=MR","SCALING_FORMAT=MLN","Sort=A","Dates=H","DateFormat=P","Fill=—","Direction=H","UseDPDF=Y")</f>
        <v>-38.848999999999997</v>
      </c>
      <c r="Y22" s="13">
        <f>_xll.BDH("ITCI US Equity","IS_COMPARABLE_EBIT","FQ4 2024","FQ4 2024","Currency=USD","Period=FQ","BEST_FPERIOD_OVERRIDE=FQ","FILING_STATUS=MR","SCALING_FORMAT=MLN","Sort=A","Dates=H","DateFormat=P","Fill=—","Direction=H","UseDPDF=Y")</f>
        <v>-29.196999999999999</v>
      </c>
      <c r="Z22" s="13"/>
      <c r="AA22" s="13"/>
    </row>
    <row r="23" spans="1:27" x14ac:dyDescent="0.25">
      <c r="A23" s="11" t="s">
        <v>144</v>
      </c>
      <c r="B23" s="11"/>
      <c r="C23" s="25">
        <v>20.4647431472081</v>
      </c>
      <c r="D23" s="25">
        <v>23.498977917981101</v>
      </c>
      <c r="E23" s="25">
        <v>11.4751944556302</v>
      </c>
      <c r="F23" s="25">
        <v>18.7325761589404</v>
      </c>
      <c r="G23" s="25">
        <v>-4.6091479343374004</v>
      </c>
      <c r="H23" s="25">
        <v>20.620355627456799</v>
      </c>
      <c r="I23" s="25">
        <v>9.6178367226643005</v>
      </c>
      <c r="J23" s="25">
        <v>16.689585159674401</v>
      </c>
      <c r="K23" s="25">
        <v>-8.9693522458628703</v>
      </c>
      <c r="L23" s="25">
        <v>-2.5215772586248102</v>
      </c>
      <c r="M23" s="25">
        <v>-4.02098935655538</v>
      </c>
      <c r="N23" s="25">
        <v>14.5052359101071</v>
      </c>
      <c r="O23" s="25">
        <v>-23.433617385688802</v>
      </c>
      <c r="P23" s="25">
        <v>28.135334849111199</v>
      </c>
      <c r="Q23" s="25">
        <v>17.223318260383799</v>
      </c>
      <c r="R23" s="25">
        <v>19.637311722603201</v>
      </c>
      <c r="S23" s="25">
        <v>20.7994090886199</v>
      </c>
      <c r="T23" s="25">
        <v>49.2449865054149</v>
      </c>
      <c r="U23" s="25">
        <v>28.018324220481698</v>
      </c>
      <c r="V23" s="25">
        <v>40.942018772726001</v>
      </c>
      <c r="W23" s="25">
        <v>-8.2633654859999197</v>
      </c>
      <c r="X23" s="25">
        <v>-32.301457567088903</v>
      </c>
      <c r="Y23" s="25">
        <v>-49.078376308399299</v>
      </c>
      <c r="Z23" s="25"/>
      <c r="AA23" s="25"/>
    </row>
    <row r="24" spans="1:27" x14ac:dyDescent="0.25">
      <c r="A24" s="10" t="s">
        <v>135</v>
      </c>
      <c r="B24" s="10" t="s">
        <v>141</v>
      </c>
      <c r="C24" s="13">
        <f>_xll.BDH("ITCI US Equity","EBIT","FQ2 2019","FQ2 2019","Currency=USD","Period=FQ","BEST_FPERIOD_OVERRIDE=FQ","FILING_STATUS=MR","SCALING_FORMAT=MLN","FA_ADJUSTED=GAAP","Sort=A","Dates=H","DateFormat=P","Fill=—","Direction=H","UseDPDF=Y")</f>
        <v>-39.171100000000003</v>
      </c>
      <c r="D24" s="13">
        <f>_xll.BDH("ITCI US Equity","EBIT","FQ3 2019","FQ3 2019","Currency=USD","Period=FQ","BEST_FPERIOD_OVERRIDE=FQ","FILING_STATUS=MR","SCALING_FORMAT=MLN","FA_ADJUSTED=GAAP","Sort=A","Dates=H","DateFormat=P","Fill=—","Direction=H","UseDPDF=Y")</f>
        <v>-36.376199999999997</v>
      </c>
      <c r="E24" s="13">
        <f>_xll.BDH("ITCI US Equity","EBIT","FQ4 2019","FQ4 2019","Currency=USD","Period=FQ","BEST_FPERIOD_OVERRIDE=FQ","FILING_STATUS=MR","SCALING_FORMAT=MLN","FA_ADJUSTED=GAAP","Sort=A","Dates=H","DateFormat=P","Fill=—","Direction=H","UseDPDF=Y")</f>
        <v>-41.768700000000003</v>
      </c>
      <c r="F24" s="13">
        <f>_xll.BDH("ITCI US Equity","EBIT","FQ1 2020","FQ1 2020","Currency=USD","Period=FQ","BEST_FPERIOD_OVERRIDE=FQ","FILING_STATUS=MR","SCALING_FORMAT=MLN","FA_ADJUSTED=GAAP","Sort=A","Dates=H","DateFormat=P","Fill=—","Direction=H","UseDPDF=Y")</f>
        <v>-49.085500000000003</v>
      </c>
      <c r="G24" s="13">
        <f>_xll.BDH("ITCI US Equity","EBIT","FQ2 2020","FQ2 2020","Currency=USD","Period=FQ","BEST_FPERIOD_OVERRIDE=FQ","FILING_STATUS=MR","SCALING_FORMAT=MLN","FA_ADJUSTED=GAAP","Sort=A","Dates=H","DateFormat=P","Fill=—","Direction=H","UseDPDF=Y")</f>
        <v>-64.872299999999996</v>
      </c>
      <c r="H24" s="13">
        <f>_xll.BDH("ITCI US Equity","EBIT","FQ3 2020","FQ3 2020","Currency=USD","Period=FQ","BEST_FPERIOD_OVERRIDE=FQ","FILING_STATUS=MR","SCALING_FORMAT=MLN","FA_ADJUSTED=GAAP","Sort=A","Dates=H","DateFormat=P","Fill=—","Direction=H","UseDPDF=Y")</f>
        <v>-55.936500000000002</v>
      </c>
      <c r="I24" s="13">
        <f>_xll.BDH("ITCI US Equity","EBIT","FQ4 2020","FQ4 2020","Currency=USD","Period=FQ","BEST_FPERIOD_OVERRIDE=FQ","FILING_STATUS=MR","SCALING_FORMAT=MLN","FA_ADJUSTED=GAAP","Sort=A","Dates=H","DateFormat=P","Fill=—","Direction=H","UseDPDF=Y")</f>
        <v>-61.333300000000001</v>
      </c>
      <c r="J24" s="13">
        <f>_xll.BDH("ITCI US Equity","EBIT","FQ1 2021","FQ1 2021","Currency=USD","Period=FQ","BEST_FPERIOD_OVERRIDE=FQ","FILING_STATUS=MR","SCALING_FORMAT=MLN","FA_ADJUSTED=GAAP","Sort=A","Dates=H","DateFormat=P","Fill=—","Direction=H","UseDPDF=Y")</f>
        <v>-53.218699999999998</v>
      </c>
      <c r="K24" s="13">
        <f>_xll.BDH("ITCI US Equity","EBIT","FQ2 2021","FQ2 2021","Currency=USD","Period=FQ","BEST_FPERIOD_OVERRIDE=FQ","FILING_STATUS=MR","SCALING_FORMAT=MLN","FA_ADJUSTED=GAAP","Sort=A","Dates=H","DateFormat=P","Fill=—","Direction=H","UseDPDF=Y")</f>
        <v>-69.141099999999994</v>
      </c>
      <c r="L24" s="13">
        <f>_xll.BDH("ITCI US Equity","EBIT","FQ3 2021","FQ3 2021","Currency=USD","Period=FQ","BEST_FPERIOD_OVERRIDE=FQ","FILING_STATUS=MR","SCALING_FORMAT=MLN","FA_ADJUSTED=GAAP","Sort=A","Dates=H","DateFormat=P","Fill=—","Direction=H","UseDPDF=Y")</f>
        <v>-77.323800000000006</v>
      </c>
      <c r="M24" s="13">
        <f>_xll.BDH("ITCI US Equity","EBIT","FQ4 2021","FQ4 2021","Currency=USD","Period=FQ","BEST_FPERIOD_OVERRIDE=FQ","FILING_STATUS=MR","SCALING_FORMAT=MLN","FA_ADJUSTED=GAAP","Sort=A","Dates=H","DateFormat=P","Fill=—","Direction=H","UseDPDF=Y")</f>
        <v>-86.004599999999996</v>
      </c>
      <c r="N24" s="13">
        <f>_xll.BDH("ITCI US Equity","EBIT","FQ1 2022","FQ1 2022","Currency=USD","Period=FQ","BEST_FPERIOD_OVERRIDE=FQ","FILING_STATUS=MR","SCALING_FORMAT=MLN","FA_ADJUSTED=GAAP","Sort=A","Dates=H","DateFormat=P","Fill=—","Direction=H","UseDPDF=Y")</f>
        <v>-72.662000000000006</v>
      </c>
      <c r="O24" s="13">
        <f>_xll.BDH("ITCI US Equity","EBIT","FQ2 2022","FQ2 2022","Currency=USD","Period=FQ","BEST_FPERIOD_OVERRIDE=FQ","FILING_STATUS=MR","SCALING_FORMAT=MLN","FA_ADJUSTED=GAAP","Sort=A","Dates=H","DateFormat=P","Fill=—","Direction=H","UseDPDF=Y")</f>
        <v>-87.923000000000002</v>
      </c>
      <c r="P24" s="13">
        <f>_xll.BDH("ITCI US Equity","EBIT","FQ3 2022","FQ3 2022","Currency=USD","Period=FQ","BEST_FPERIOD_OVERRIDE=FQ","FILING_STATUS=MR","SCALING_FORMAT=MLN","FA_ADJUSTED=GAAP","Sort=A","Dates=H","DateFormat=P","Fill=—","Direction=H","UseDPDF=Y")</f>
        <v>-55.628999999999998</v>
      </c>
      <c r="Q24" s="13">
        <f>_xll.BDH("ITCI US Equity","EBIT","FQ4 2022","FQ4 2022","Currency=USD","Period=FQ","BEST_FPERIOD_OVERRIDE=FQ","FILING_STATUS=MR","SCALING_FORMAT=MLN","FA_ADJUSTED=GAAP","Sort=A","Dates=H","DateFormat=P","Fill=—","Direction=H","UseDPDF=Y")</f>
        <v>-47.411999999999999</v>
      </c>
      <c r="R24" s="13">
        <f>_xll.BDH("ITCI US Equity","EBIT","FQ1 2023","FQ1 2023","Currency=USD","Period=FQ","BEST_FPERIOD_OVERRIDE=FQ","FILING_STATUS=MR","SCALING_FORMAT=MLN","FA_ADJUSTED=GAAP","Sort=A","Dates=H","DateFormat=P","Fill=—","Direction=H","UseDPDF=Y")</f>
        <v>-48.392000000000003</v>
      </c>
      <c r="S24" s="13">
        <f>_xll.BDH("ITCI US Equity","EBIT","FQ2 2023","FQ2 2023","Currency=USD","Period=FQ","BEST_FPERIOD_OVERRIDE=FQ","FILING_STATUS=MR","SCALING_FORMAT=MLN","FA_ADJUSTED=GAAP","Sort=A","Dates=H","DateFormat=P","Fill=—","Direction=H","UseDPDF=Y")</f>
        <v>-47.179000000000002</v>
      </c>
      <c r="T24" s="13">
        <f>_xll.BDH("ITCI US Equity","EBIT","FQ3 2023","FQ3 2023","Currency=USD","Period=FQ","BEST_FPERIOD_OVERRIDE=FQ","FILING_STATUS=MR","SCALING_FORMAT=MLN","FA_ADJUSTED=GAAP","Sort=A","Dates=H","DateFormat=P","Fill=—","Direction=H","UseDPDF=Y")</f>
        <v>-29.713000000000001</v>
      </c>
      <c r="U24" s="13">
        <f>_xll.BDH("ITCI US Equity","EBIT","FQ4 2023","FQ4 2023","Currency=USD","Period=FQ","BEST_FPERIOD_OVERRIDE=FQ","FILING_STATUS=MR","SCALING_FORMAT=MLN","FA_ADJUSTED=GAAP","Sort=A","Dates=H","DateFormat=P","Fill=—","Direction=H","UseDPDF=Y")</f>
        <v>-34.097000000000001</v>
      </c>
      <c r="V24" s="13">
        <f>_xll.BDH("ITCI US Equity","EBIT","FQ1 2024","FQ1 2024","Currency=USD","Period=FQ","BEST_FPERIOD_OVERRIDE=FQ","FILING_STATUS=MR","SCALING_FORMAT=MLN","FA_ADJUSTED=GAAP","Sort=A","Dates=H","DateFormat=P","Fill=—","Direction=H","UseDPDF=Y")</f>
        <v>-20.952000000000002</v>
      </c>
      <c r="W24" s="13">
        <f>_xll.BDH("ITCI US Equity","EBIT","FQ2 2024","FQ2 2024","Currency=USD","Period=FQ","BEST_FPERIOD_OVERRIDE=FQ","FILING_STATUS=MR","SCALING_FORMAT=MLN","FA_ADJUSTED=GAAP","Sort=A","Dates=H","DateFormat=P","Fill=—","Direction=H","UseDPDF=Y")</f>
        <v>-27.722999999999999</v>
      </c>
      <c r="X24" s="13">
        <f>_xll.BDH("ITCI US Equity","EBIT","FQ3 2024","FQ3 2024","Currency=USD","Period=FQ","BEST_FPERIOD_OVERRIDE=FQ","FILING_STATUS=MR","SCALING_FORMAT=MLN","FA_ADJUSTED=GAAP","Sort=A","Dates=H","DateFormat=P","Fill=—","Direction=H","UseDPDF=Y")</f>
        <v>-38.848999999999997</v>
      </c>
      <c r="Y24" s="13">
        <f>_xll.BDH("ITCI US Equity","EBIT","FQ4 2024","FQ4 2024","Currency=USD","Period=FQ","BEST_FPERIOD_OVERRIDE=FQ","FILING_STATUS=MR","SCALING_FORMAT=MLN","FA_ADJUSTED=GAAP","Sort=A","Dates=H","DateFormat=P","Fill=—","Direction=H","UseDPDF=Y")</f>
        <v>-29.196999999999999</v>
      </c>
      <c r="Z24" s="13"/>
      <c r="AA24" s="13"/>
    </row>
    <row r="25" spans="1:27" x14ac:dyDescent="0.25">
      <c r="A25" s="10" t="s">
        <v>136</v>
      </c>
      <c r="B25" s="10" t="s">
        <v>141</v>
      </c>
      <c r="C25" s="13">
        <f>_xll.BDH("ITCI US Equity","EBIT","FQ2 2019","FQ2 2019","Currency=USD","Period=FQ","BEST_FPERIOD_OVERRIDE=FQ","FILING_STATUS=MR","SCALING_FORMAT=MLN","FA_ADJUSTED=Adjusted","Sort=A","Dates=H","DateFormat=P","Fill=—","Direction=H","UseDPDF=Y")</f>
        <v>-39.171100000000003</v>
      </c>
      <c r="D25" s="13">
        <f>_xll.BDH("ITCI US Equity","EBIT","FQ3 2019","FQ3 2019","Currency=USD","Period=FQ","BEST_FPERIOD_OVERRIDE=FQ","FILING_STATUS=MR","SCALING_FORMAT=MLN","FA_ADJUSTED=Adjusted","Sort=A","Dates=H","DateFormat=P","Fill=—","Direction=H","UseDPDF=Y")</f>
        <v>-36.376199999999997</v>
      </c>
      <c r="E25" s="13">
        <f>_xll.BDH("ITCI US Equity","EBIT","FQ4 2019","FQ4 2019","Currency=USD","Period=FQ","BEST_FPERIOD_OVERRIDE=FQ","FILING_STATUS=MR","SCALING_FORMAT=MLN","FA_ADJUSTED=Adjusted","Sort=A","Dates=H","DateFormat=P","Fill=—","Direction=H","UseDPDF=Y")</f>
        <v>-41.768700000000003</v>
      </c>
      <c r="F25" s="13">
        <f>_xll.BDH("ITCI US Equity","EBIT","FQ1 2020","FQ1 2020","Currency=USD","Period=FQ","BEST_FPERIOD_OVERRIDE=FQ","FILING_STATUS=MR","SCALING_FORMAT=MLN","FA_ADJUSTED=Adjusted","Sort=A","Dates=H","DateFormat=P","Fill=—","Direction=H","UseDPDF=Y")</f>
        <v>-49.085500000000003</v>
      </c>
      <c r="G25" s="13">
        <f>_xll.BDH("ITCI US Equity","EBIT","FQ2 2020","FQ2 2020","Currency=USD","Period=FQ","BEST_FPERIOD_OVERRIDE=FQ","FILING_STATUS=MR","SCALING_FORMAT=MLN","FA_ADJUSTED=Adjusted","Sort=A","Dates=H","DateFormat=P","Fill=—","Direction=H","UseDPDF=Y")</f>
        <v>-64.872299999999996</v>
      </c>
      <c r="H25" s="13">
        <f>_xll.BDH("ITCI US Equity","EBIT","FQ3 2020","FQ3 2020","Currency=USD","Period=FQ","BEST_FPERIOD_OVERRIDE=FQ","FILING_STATUS=MR","SCALING_FORMAT=MLN","FA_ADJUSTED=Adjusted","Sort=A","Dates=H","DateFormat=P","Fill=—","Direction=H","UseDPDF=Y")</f>
        <v>-55.936500000000002</v>
      </c>
      <c r="I25" s="13">
        <f>_xll.BDH("ITCI US Equity","EBIT","FQ4 2020","FQ4 2020","Currency=USD","Period=FQ","BEST_FPERIOD_OVERRIDE=FQ","FILING_STATUS=MR","SCALING_FORMAT=MLN","FA_ADJUSTED=Adjusted","Sort=A","Dates=H","DateFormat=P","Fill=—","Direction=H","UseDPDF=Y")</f>
        <v>-61.333300000000001</v>
      </c>
      <c r="J25" s="13">
        <f>_xll.BDH("ITCI US Equity","EBIT","FQ1 2021","FQ1 2021","Currency=USD","Period=FQ","BEST_FPERIOD_OVERRIDE=FQ","FILING_STATUS=MR","SCALING_FORMAT=MLN","FA_ADJUSTED=Adjusted","Sort=A","Dates=H","DateFormat=P","Fill=—","Direction=H","UseDPDF=Y")</f>
        <v>-53.218699999999998</v>
      </c>
      <c r="K25" s="13">
        <f>_xll.BDH("ITCI US Equity","EBIT","FQ2 2021","FQ2 2021","Currency=USD","Period=FQ","BEST_FPERIOD_OVERRIDE=FQ","FILING_STATUS=MR","SCALING_FORMAT=MLN","FA_ADJUSTED=Adjusted","Sort=A","Dates=H","DateFormat=P","Fill=—","Direction=H","UseDPDF=Y")</f>
        <v>-69.141099999999994</v>
      </c>
      <c r="L25" s="13">
        <f>_xll.BDH("ITCI US Equity","EBIT","FQ3 2021","FQ3 2021","Currency=USD","Period=FQ","BEST_FPERIOD_OVERRIDE=FQ","FILING_STATUS=MR","SCALING_FORMAT=MLN","FA_ADJUSTED=Adjusted","Sort=A","Dates=H","DateFormat=P","Fill=—","Direction=H","UseDPDF=Y")</f>
        <v>-77.323800000000006</v>
      </c>
      <c r="M25" s="13">
        <f>_xll.BDH("ITCI US Equity","EBIT","FQ4 2021","FQ4 2021","Currency=USD","Period=FQ","BEST_FPERIOD_OVERRIDE=FQ","FILING_STATUS=MR","SCALING_FORMAT=MLN","FA_ADJUSTED=Adjusted","Sort=A","Dates=H","DateFormat=P","Fill=—","Direction=H","UseDPDF=Y")</f>
        <v>-86.004599999999996</v>
      </c>
      <c r="N25" s="13">
        <f>_xll.BDH("ITCI US Equity","EBIT","FQ1 2022","FQ1 2022","Currency=USD","Period=FQ","BEST_FPERIOD_OVERRIDE=FQ","FILING_STATUS=MR","SCALING_FORMAT=MLN","FA_ADJUSTED=Adjusted","Sort=A","Dates=H","DateFormat=P","Fill=—","Direction=H","UseDPDF=Y")</f>
        <v>-72.662000000000006</v>
      </c>
      <c r="O25" s="13">
        <f>_xll.BDH("ITCI US Equity","EBIT","FQ2 2022","FQ2 2022","Currency=USD","Period=FQ","BEST_FPERIOD_OVERRIDE=FQ","FILING_STATUS=MR","SCALING_FORMAT=MLN","FA_ADJUSTED=Adjusted","Sort=A","Dates=H","DateFormat=P","Fill=—","Direction=H","UseDPDF=Y")</f>
        <v>-87.923000000000002</v>
      </c>
      <c r="P25" s="13">
        <f>_xll.BDH("ITCI US Equity","EBIT","FQ3 2022","FQ3 2022","Currency=USD","Period=FQ","BEST_FPERIOD_OVERRIDE=FQ","FILING_STATUS=MR","SCALING_FORMAT=MLN","FA_ADJUSTED=Adjusted","Sort=A","Dates=H","DateFormat=P","Fill=—","Direction=H","UseDPDF=Y")</f>
        <v>-55.628999999999998</v>
      </c>
      <c r="Q25" s="13">
        <f>_xll.BDH("ITCI US Equity","EBIT","FQ4 2022","FQ4 2022","Currency=USD","Period=FQ","BEST_FPERIOD_OVERRIDE=FQ","FILING_STATUS=MR","SCALING_FORMAT=MLN","FA_ADJUSTED=Adjusted","Sort=A","Dates=H","DateFormat=P","Fill=—","Direction=H","UseDPDF=Y")</f>
        <v>-47.411999999999999</v>
      </c>
      <c r="R25" s="13">
        <f>_xll.BDH("ITCI US Equity","EBIT","FQ1 2023","FQ1 2023","Currency=USD","Period=FQ","BEST_FPERIOD_OVERRIDE=FQ","FILING_STATUS=MR","SCALING_FORMAT=MLN","FA_ADJUSTED=Adjusted","Sort=A","Dates=H","DateFormat=P","Fill=—","Direction=H","UseDPDF=Y")</f>
        <v>-48.392000000000003</v>
      </c>
      <c r="S25" s="13">
        <f>_xll.BDH("ITCI US Equity","EBIT","FQ2 2023","FQ2 2023","Currency=USD","Period=FQ","BEST_FPERIOD_OVERRIDE=FQ","FILING_STATUS=MR","SCALING_FORMAT=MLN","FA_ADJUSTED=Adjusted","Sort=A","Dates=H","DateFormat=P","Fill=—","Direction=H","UseDPDF=Y")</f>
        <v>-47.179000000000002</v>
      </c>
      <c r="T25" s="13">
        <f>_xll.BDH("ITCI US Equity","EBIT","FQ3 2023","FQ3 2023","Currency=USD","Period=FQ","BEST_FPERIOD_OVERRIDE=FQ","FILING_STATUS=MR","SCALING_FORMAT=MLN","FA_ADJUSTED=Adjusted","Sort=A","Dates=H","DateFormat=P","Fill=—","Direction=H","UseDPDF=Y")</f>
        <v>-29.713000000000001</v>
      </c>
      <c r="U25" s="13">
        <f>_xll.BDH("ITCI US Equity","EBIT","FQ4 2023","FQ4 2023","Currency=USD","Period=FQ","BEST_FPERIOD_OVERRIDE=FQ","FILING_STATUS=MR","SCALING_FORMAT=MLN","FA_ADJUSTED=Adjusted","Sort=A","Dates=H","DateFormat=P","Fill=—","Direction=H","UseDPDF=Y")</f>
        <v>-34.097000000000001</v>
      </c>
      <c r="V25" s="13">
        <f>_xll.BDH("ITCI US Equity","EBIT","FQ1 2024","FQ1 2024","Currency=USD","Period=FQ","BEST_FPERIOD_OVERRIDE=FQ","FILING_STATUS=MR","SCALING_FORMAT=MLN","FA_ADJUSTED=Adjusted","Sort=A","Dates=H","DateFormat=P","Fill=—","Direction=H","UseDPDF=Y")</f>
        <v>-20.952000000000002</v>
      </c>
      <c r="W25" s="13">
        <f>_xll.BDH("ITCI US Equity","EBIT","FQ2 2024","FQ2 2024","Currency=USD","Period=FQ","BEST_FPERIOD_OVERRIDE=FQ","FILING_STATUS=MR","SCALING_FORMAT=MLN","FA_ADJUSTED=Adjusted","Sort=A","Dates=H","DateFormat=P","Fill=—","Direction=H","UseDPDF=Y")</f>
        <v>-27.722999999999999</v>
      </c>
      <c r="X25" s="13">
        <f>_xll.BDH("ITCI US Equity","EBIT","FQ3 2024","FQ3 2024","Currency=USD","Period=FQ","BEST_FPERIOD_OVERRIDE=FQ","FILING_STATUS=MR","SCALING_FORMAT=MLN","FA_ADJUSTED=Adjusted","Sort=A","Dates=H","DateFormat=P","Fill=—","Direction=H","UseDPDF=Y")</f>
        <v>-38.848999999999997</v>
      </c>
      <c r="Y25" s="13">
        <f>_xll.BDH("ITCI US Equity","EBIT","FQ4 2024","FQ4 2024","Currency=USD","Period=FQ","BEST_FPERIOD_OVERRIDE=FQ","FILING_STATUS=MR","SCALING_FORMAT=MLN","FA_ADJUSTED=Adjusted","Sort=A","Dates=H","DateFormat=P","Fill=—","Direction=H","UseDPDF=Y")</f>
        <v>-29.196999999999999</v>
      </c>
      <c r="Z25" s="13"/>
      <c r="AA25" s="13"/>
    </row>
    <row r="26" spans="1:27" x14ac:dyDescent="0.25">
      <c r="A26" s="10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5">
      <c r="A27" s="6" t="s">
        <v>78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x14ac:dyDescent="0.25">
      <c r="A28" s="10" t="s">
        <v>130</v>
      </c>
      <c r="B28" s="10" t="s">
        <v>145</v>
      </c>
      <c r="C28" s="13">
        <f>_xll.BDH("ITCI US Equity","BEST_EBITDA","FQ2 2019","FQ2 2019","Currency=USD","Period=FQ","BEST_FPERIOD_OVERRIDE=FQ","FILING_STATUS=MR","Sort=A","Dates=H","DateFormat=P","Fill=—","Direction=H","UseDPDF=Y")</f>
        <v>-52</v>
      </c>
      <c r="D28" s="13">
        <f>_xll.BDH("ITCI US Equity","BEST_EBITDA","FQ3 2019","FQ3 2019","Currency=USD","Period=FQ","BEST_FPERIOD_OVERRIDE=FQ","FILING_STATUS=MR","Sort=A","Dates=H","DateFormat=P","Fill=—","Direction=H","UseDPDF=Y")</f>
        <v>-45</v>
      </c>
      <c r="E28" s="13">
        <f>_xll.BDH("ITCI US Equity","BEST_EBITDA","FQ4 2019","FQ4 2019","Currency=USD","Period=FQ","BEST_FPERIOD_OVERRIDE=FQ","FILING_STATUS=MR","Sort=A","Dates=H","DateFormat=P","Fill=—","Direction=H","UseDPDF=Y")</f>
        <v>-42.5</v>
      </c>
      <c r="F28" s="13">
        <f>_xll.BDH("ITCI US Equity","BEST_EBITDA","FQ1 2020","FQ1 2020","Currency=USD","Period=FQ","BEST_FPERIOD_OVERRIDE=FQ","FILING_STATUS=MR","Sort=A","Dates=H","DateFormat=P","Fill=—","Direction=H","UseDPDF=Y")</f>
        <v>-64</v>
      </c>
      <c r="G28" s="13">
        <f>_xll.BDH("ITCI US Equity","BEST_EBITDA","FQ2 2020","FQ2 2020","Currency=USD","Period=FQ","BEST_FPERIOD_OVERRIDE=FQ","FILING_STATUS=MR","Sort=A","Dates=H","DateFormat=P","Fill=—","Direction=H","UseDPDF=Y")</f>
        <v>-71.099999999999994</v>
      </c>
      <c r="H28" s="13">
        <f>_xll.BDH("ITCI US Equity","BEST_EBITDA","FQ3 2020","FQ3 2020","Currency=USD","Period=FQ","BEST_FPERIOD_OVERRIDE=FQ","FILING_STATUS=MR","Sort=A","Dates=H","DateFormat=P","Fill=—","Direction=H","UseDPDF=Y")</f>
        <v>-71.5</v>
      </c>
      <c r="I28" s="13">
        <f>_xll.BDH("ITCI US Equity","BEST_EBITDA","FQ4 2020","FQ4 2020","Currency=USD","Period=FQ","BEST_FPERIOD_OVERRIDE=FQ","FILING_STATUS=MR","Sort=A","Dates=H","DateFormat=P","Fill=—","Direction=H","UseDPDF=Y")</f>
        <v>-77.55</v>
      </c>
      <c r="J28" s="13">
        <f>_xll.BDH("ITCI US Equity","BEST_EBITDA","FQ1 2021","FQ1 2021","Currency=USD","Period=FQ","BEST_FPERIOD_OVERRIDE=FQ","FILING_STATUS=MR","Sort=A","Dates=H","DateFormat=P","Fill=—","Direction=H","UseDPDF=Y")</f>
        <v>-67.400000000000006</v>
      </c>
      <c r="K28" s="13">
        <f>_xll.BDH("ITCI US Equity","BEST_EBITDA","FQ2 2021","FQ2 2021","Currency=USD","Period=FQ","BEST_FPERIOD_OVERRIDE=FQ","FILING_STATUS=MR","Sort=A","Dates=H","DateFormat=P","Fill=—","Direction=H","UseDPDF=Y")</f>
        <v>-70.466999999999999</v>
      </c>
      <c r="L28" s="13">
        <f>_xll.BDH("ITCI US Equity","BEST_EBITDA","FQ3 2021","FQ3 2021","Currency=USD","Period=FQ","BEST_FPERIOD_OVERRIDE=FQ","FILING_STATUS=MR","Sort=A","Dates=H","DateFormat=P","Fill=—","Direction=H","UseDPDF=Y")</f>
        <v>-80.733000000000004</v>
      </c>
      <c r="M28" s="13">
        <f>_xll.BDH("ITCI US Equity","BEST_EBITDA","FQ4 2021","FQ4 2021","Currency=USD","Period=FQ","BEST_FPERIOD_OVERRIDE=FQ","FILING_STATUS=MR","Sort=A","Dates=H","DateFormat=P","Fill=—","Direction=H","UseDPDF=Y")</f>
        <v>-86.167000000000002</v>
      </c>
      <c r="N28" s="13">
        <f>_xll.BDH("ITCI US Equity","BEST_EBITDA","FQ1 2022","FQ1 2022","Currency=USD","Period=FQ","BEST_FPERIOD_OVERRIDE=FQ","FILING_STATUS=MR","Sort=A","Dates=H","DateFormat=P","Fill=—","Direction=H","UseDPDF=Y")</f>
        <v>-85.266999999999996</v>
      </c>
      <c r="O28" s="13">
        <f>_xll.BDH("ITCI US Equity","BEST_EBITDA","FQ2 2022","FQ2 2022","Currency=USD","Period=FQ","BEST_FPERIOD_OVERRIDE=FQ","FILING_STATUS=MR","Sort=A","Dates=H","DateFormat=P","Fill=—","Direction=H","UseDPDF=Y")</f>
        <v>-71.349999999999994</v>
      </c>
      <c r="P28" s="13">
        <f>_xll.BDH("ITCI US Equity","BEST_EBITDA","FQ3 2022","FQ3 2022","Currency=USD","Period=FQ","BEST_FPERIOD_OVERRIDE=FQ","FILING_STATUS=MR","Sort=A","Dates=H","DateFormat=P","Fill=—","Direction=H","UseDPDF=Y")</f>
        <v>-82.525000000000006</v>
      </c>
      <c r="Q28" s="13">
        <f>_xll.BDH("ITCI US Equity","BEST_EBITDA","FQ4 2022","FQ4 2022","Currency=USD","Period=FQ","BEST_FPERIOD_OVERRIDE=FQ","FILING_STATUS=MR","Sort=A","Dates=H","DateFormat=P","Fill=—","Direction=H","UseDPDF=Y")</f>
        <v>-60.7</v>
      </c>
      <c r="R28" s="13">
        <f>_xll.BDH("ITCI US Equity","BEST_EBITDA","FQ1 2023","FQ1 2023","Currency=USD","Period=FQ","BEST_FPERIOD_OVERRIDE=FQ","FILING_STATUS=MR","Sort=A","Dates=H","DateFormat=P","Fill=—","Direction=H","UseDPDF=Y")</f>
        <v>-63.12</v>
      </c>
      <c r="S28" s="13">
        <f>_xll.BDH("ITCI US Equity","BEST_EBITDA","FQ2 2023","FQ2 2023","Currency=USD","Period=FQ","BEST_FPERIOD_OVERRIDE=FQ","FILING_STATUS=MR","Sort=A","Dates=H","DateFormat=P","Fill=—","Direction=H","UseDPDF=Y")</f>
        <v>-60</v>
      </c>
      <c r="T28" s="13">
        <f>_xll.BDH("ITCI US Equity","BEST_EBITDA","FQ3 2023","FQ3 2023","Currency=USD","Period=FQ","BEST_FPERIOD_OVERRIDE=FQ","FILING_STATUS=MR","Sort=A","Dates=H","DateFormat=P","Fill=—","Direction=H","UseDPDF=Y")</f>
        <v>-61.466999999999999</v>
      </c>
      <c r="U28" s="13">
        <f>_xll.BDH("ITCI US Equity","BEST_EBITDA","FQ4 2023","FQ4 2023","Currency=USD","Period=FQ","BEST_FPERIOD_OVERRIDE=FQ","FILING_STATUS=MR","Sort=A","Dates=H","DateFormat=P","Fill=—","Direction=H","UseDPDF=Y")</f>
        <v>-53.767000000000003</v>
      </c>
      <c r="V28" s="13">
        <f>_xll.BDH("ITCI US Equity","BEST_EBITDA","FQ1 2024","FQ1 2024","Currency=USD","Period=FQ","BEST_FPERIOD_OVERRIDE=FQ","FILING_STATUS=MR","Sort=A","Dates=H","DateFormat=P","Fill=—","Direction=H","UseDPDF=Y")</f>
        <v>-34.200000000000003</v>
      </c>
      <c r="W28" s="13">
        <f>_xll.BDH("ITCI US Equity","BEST_EBITDA","FQ2 2024","FQ2 2024","Currency=USD","Period=FQ","BEST_FPERIOD_OVERRIDE=FQ","FILING_STATUS=MR","Sort=A","Dates=H","DateFormat=P","Fill=—","Direction=H","UseDPDF=Y")</f>
        <v>-28.2</v>
      </c>
      <c r="X28" s="13">
        <f>_xll.BDH("ITCI US Equity","BEST_EBITDA","FQ3 2024","FQ3 2024","Currency=USD","Period=FQ","BEST_FPERIOD_OVERRIDE=FQ","FILING_STATUS=MR","Sort=A","Dates=H","DateFormat=P","Fill=—","Direction=H","UseDPDF=Y")</f>
        <v>-30.175000000000001</v>
      </c>
      <c r="Y28" s="13">
        <f>_xll.BDH("ITCI US Equity","BEST_EBITDA","FQ4 2024","FQ4 2024","Currency=USD","Period=FQ","BEST_FPERIOD_OVERRIDE=FQ","FILING_STATUS=MR","Sort=A","Dates=H","DateFormat=P","Fill=—","Direction=H","UseDPDF=Y")</f>
        <v>-24.28</v>
      </c>
      <c r="Z28" s="13">
        <v>-12.73</v>
      </c>
      <c r="AA28" s="13">
        <v>-4.4800000000000004</v>
      </c>
    </row>
    <row r="29" spans="1:27" x14ac:dyDescent="0.25">
      <c r="A29" s="10" t="s">
        <v>132</v>
      </c>
      <c r="B29" s="10" t="s">
        <v>146</v>
      </c>
      <c r="C29" s="13">
        <f>_xll.BDH("ITCI US Equity","IS_COMPARABLE_EBITDA","FQ2 2019","FQ2 2019","Currency=USD","Period=FQ","BEST_FPERIOD_OVERRIDE=FQ","FILING_STATUS=MR","SCALING_FORMAT=MLN","Sort=A","Dates=H","DateFormat=P","Fill=—","Direction=H","UseDPDF=Y")</f>
        <v>-39.071100000000001</v>
      </c>
      <c r="D29" s="13">
        <f>_xll.BDH("ITCI US Equity","IS_COMPARABLE_EBITDA","FQ3 2019","FQ3 2019","Currency=USD","Period=FQ","BEST_FPERIOD_OVERRIDE=FQ","FILING_STATUS=MR","SCALING_FORMAT=MLN","Sort=A","Dates=H","DateFormat=P","Fill=—","Direction=H","UseDPDF=Y")</f>
        <v>-36.276200000000003</v>
      </c>
      <c r="E29" s="13">
        <f>_xll.BDH("ITCI US Equity","IS_COMPARABLE_EBITDA","FQ4 2019","FQ4 2019","Currency=USD","Period=FQ","BEST_FPERIOD_OVERRIDE=FQ","FILING_STATUS=MR","SCALING_FORMAT=MLN","Sort=A","Dates=H","DateFormat=P","Fill=—","Direction=H","UseDPDF=Y")</f>
        <v>-41.668700000000001</v>
      </c>
      <c r="F29" s="13">
        <f>_xll.BDH("ITCI US Equity","IS_COMPARABLE_EBITDA","FQ1 2020","FQ1 2020","Currency=USD","Period=FQ","BEST_FPERIOD_OVERRIDE=FQ","FILING_STATUS=MR","SCALING_FORMAT=MLN","Sort=A","Dates=H","DateFormat=P","Fill=—","Direction=H","UseDPDF=Y")</f>
        <v>-48.985500000000002</v>
      </c>
      <c r="G29" s="13">
        <f>_xll.BDH("ITCI US Equity","IS_COMPARABLE_EBITDA","FQ2 2020","FQ2 2020","Currency=USD","Period=FQ","BEST_FPERIOD_OVERRIDE=FQ","FILING_STATUS=MR","SCALING_FORMAT=MLN","Sort=A","Dates=H","DateFormat=P","Fill=—","Direction=H","UseDPDF=Y")</f>
        <v>-64.772300000000001</v>
      </c>
      <c r="H29" s="13">
        <f>_xll.BDH("ITCI US Equity","IS_COMPARABLE_EBITDA","FQ3 2020","FQ3 2020","Currency=USD","Period=FQ","BEST_FPERIOD_OVERRIDE=FQ","FILING_STATUS=MR","SCALING_FORMAT=MLN","Sort=A","Dates=H","DateFormat=P","Fill=—","Direction=H","UseDPDF=Y")</f>
        <v>-55.836500000000001</v>
      </c>
      <c r="I29" s="13">
        <f>_xll.BDH("ITCI US Equity","IS_COMPARABLE_EBITDA","FQ4 2020","FQ4 2020","Currency=USD","Period=FQ","BEST_FPERIOD_OVERRIDE=FQ","FILING_STATUS=MR","SCALING_FORMAT=MLN","Sort=A","Dates=H","DateFormat=P","Fill=—","Direction=H","UseDPDF=Y")</f>
        <v>-61.2333</v>
      </c>
      <c r="J29" s="13">
        <f>_xll.BDH("ITCI US Equity","IS_COMPARABLE_EBITDA","FQ1 2021","FQ1 2021","Currency=USD","Period=FQ","BEST_FPERIOD_OVERRIDE=FQ","FILING_STATUS=MR","SCALING_FORMAT=MLN","Sort=A","Dates=H","DateFormat=P","Fill=—","Direction=H","UseDPDF=Y")</f>
        <v>-53.118699999999997</v>
      </c>
      <c r="K29" s="13">
        <f>_xll.BDH("ITCI US Equity","IS_COMPARABLE_EBITDA","FQ2 2021","FQ2 2021","Currency=USD","Period=FQ","BEST_FPERIOD_OVERRIDE=FQ","FILING_STATUS=MR","SCALING_FORMAT=MLN","Sort=A","Dates=H","DateFormat=P","Fill=—","Direction=H","UseDPDF=Y")</f>
        <v>-69.0411</v>
      </c>
      <c r="L29" s="13">
        <f>_xll.BDH("ITCI US Equity","IS_COMPARABLE_EBITDA","FQ3 2021","FQ3 2021","Currency=USD","Period=FQ","BEST_FPERIOD_OVERRIDE=FQ","FILING_STATUS=MR","SCALING_FORMAT=MLN","Sort=A","Dates=H","DateFormat=P","Fill=—","Direction=H","UseDPDF=Y")</f>
        <v>-77.223799999999997</v>
      </c>
      <c r="M29" s="13">
        <f>_xll.BDH("ITCI US Equity","IS_COMPARABLE_EBITDA","FQ4 2021","FQ4 2021","Currency=USD","Period=FQ","BEST_FPERIOD_OVERRIDE=FQ","FILING_STATUS=MR","SCALING_FORMAT=MLN","Sort=A","Dates=H","DateFormat=P","Fill=—","Direction=H","UseDPDF=Y")</f>
        <v>-85.904600000000002</v>
      </c>
      <c r="N29" s="13">
        <f>_xll.BDH("ITCI US Equity","IS_COMPARABLE_EBITDA","FQ1 2022","FQ1 2022","Currency=USD","Period=FQ","BEST_FPERIOD_OVERRIDE=FQ","FILING_STATUS=MR","SCALING_FORMAT=MLN","Sort=A","Dates=H","DateFormat=P","Fill=—","Direction=H","UseDPDF=Y")</f>
        <v>-72.462000000000003</v>
      </c>
      <c r="O29" s="13">
        <f>_xll.BDH("ITCI US Equity","IS_COMPARABLE_EBITDA","FQ2 2022","FQ2 2022","Currency=USD","Period=FQ","BEST_FPERIOD_OVERRIDE=FQ","FILING_STATUS=MR","SCALING_FORMAT=MLN","Sort=A","Dates=H","DateFormat=P","Fill=—","Direction=H","UseDPDF=Y")</f>
        <v>-87.722999999999999</v>
      </c>
      <c r="P29" s="13">
        <f>_xll.BDH("ITCI US Equity","IS_COMPARABLE_EBITDA","FQ3 2022","FQ3 2022","Currency=USD","Period=FQ","BEST_FPERIOD_OVERRIDE=FQ","FILING_STATUS=MR","SCALING_FORMAT=MLN","Sort=A","Dates=H","DateFormat=P","Fill=—","Direction=H","UseDPDF=Y")</f>
        <v>-55.429000000000002</v>
      </c>
      <c r="Q29" s="13">
        <f>_xll.BDH("ITCI US Equity","IS_COMPARABLE_EBITDA","FQ4 2022","FQ4 2022","Currency=USD","Period=FQ","BEST_FPERIOD_OVERRIDE=FQ","FILING_STATUS=MR","SCALING_FORMAT=MLN","Sort=A","Dates=H","DateFormat=P","Fill=—","Direction=H","UseDPDF=Y")</f>
        <v>-47.268999999999998</v>
      </c>
      <c r="R29" s="13">
        <f>_xll.BDH("ITCI US Equity","IS_COMPARABLE_EBITDA","FQ1 2023","FQ1 2023","Currency=USD","Period=FQ","BEST_FPERIOD_OVERRIDE=FQ","FILING_STATUS=MR","SCALING_FORMAT=MLN","Sort=A","Dates=H","DateFormat=P","Fill=—","Direction=H","UseDPDF=Y")</f>
        <v>-48.258000000000003</v>
      </c>
      <c r="S29" s="13">
        <f>_xll.BDH("ITCI US Equity","IS_COMPARABLE_EBITDA","FQ2 2023","FQ2 2023","Currency=USD","Period=FQ","BEST_FPERIOD_OVERRIDE=FQ","FILING_STATUS=MR","SCALING_FORMAT=MLN","Sort=A","Dates=H","DateFormat=P","Fill=—","Direction=H","UseDPDF=Y")</f>
        <v>-47.055999999999997</v>
      </c>
      <c r="T29" s="13">
        <f>_xll.BDH("ITCI US Equity","IS_COMPARABLE_EBITDA","FQ3 2023","FQ3 2023","Currency=USD","Period=FQ","BEST_FPERIOD_OVERRIDE=FQ","FILING_STATUS=MR","SCALING_FORMAT=MLN","Sort=A","Dates=H","DateFormat=P","Fill=—","Direction=H","UseDPDF=Y")</f>
        <v>-29.577999999999999</v>
      </c>
      <c r="U29" s="13">
        <f>_xll.BDH("ITCI US Equity","IS_COMPARABLE_EBITDA","FQ4 2023","FQ4 2023","Currency=USD","Period=FQ","BEST_FPERIOD_OVERRIDE=FQ","FILING_STATUS=MR","SCALING_FORMAT=MLN","Sort=A","Dates=H","DateFormat=P","Fill=—","Direction=H","UseDPDF=Y")</f>
        <v>-33.896999999999998</v>
      </c>
      <c r="V29" s="13">
        <f>_xll.BDH("ITCI US Equity","IS_COMPARABLE_EBITDA","FQ1 2024","FQ1 2024","Currency=USD","Period=FQ","BEST_FPERIOD_OVERRIDE=FQ","FILING_STATUS=MR","SCALING_FORMAT=MLN","Sort=A","Dates=H","DateFormat=P","Fill=—","Direction=H","UseDPDF=Y")</f>
        <v>-20.82</v>
      </c>
      <c r="W29" s="13">
        <f>_xll.BDH("ITCI US Equity","IS_COMPARABLE_EBITDA","FQ2 2024","FQ2 2024","Currency=USD","Period=FQ","BEST_FPERIOD_OVERRIDE=FQ","FILING_STATUS=MR","SCALING_FORMAT=MLN","Sort=A","Dates=H","DateFormat=P","Fill=—","Direction=H","UseDPDF=Y")</f>
        <v>-27.594000000000001</v>
      </c>
      <c r="X29" s="13">
        <f>_xll.BDH("ITCI US Equity","IS_COMPARABLE_EBITDA","FQ3 2024","FQ3 2024","Currency=USD","Period=FQ","BEST_FPERIOD_OVERRIDE=FQ","FILING_STATUS=MR","SCALING_FORMAT=MLN","Sort=A","Dates=H","DateFormat=P","Fill=—","Direction=H","UseDPDF=Y")</f>
        <v>-38.710999999999999</v>
      </c>
      <c r="Y29" s="13" t="str">
        <f>_xll.BDH("ITCI US Equity","IS_COMPARABLE_EBITDA","FQ4 2024","FQ4 2024","Currency=USD","Period=FQ","BEST_FPERIOD_OVERRIDE=FQ","FILING_STATUS=MR","SCALING_FORMAT=MLN","Sort=A","Dates=H","DateFormat=P","Fill=—","Direction=H","UseDPDF=Y")</f>
        <v>—</v>
      </c>
      <c r="Z29" s="13"/>
      <c r="AA29" s="13"/>
    </row>
    <row r="30" spans="1:27" x14ac:dyDescent="0.25">
      <c r="A30" s="11" t="s">
        <v>147</v>
      </c>
      <c r="B30" s="11"/>
      <c r="C30" s="25">
        <v>24.8632423076923</v>
      </c>
      <c r="D30" s="25">
        <v>19.386142222222201</v>
      </c>
      <c r="E30" s="25">
        <v>1.95609647058824</v>
      </c>
      <c r="F30" s="25">
        <v>23.460118749999999</v>
      </c>
      <c r="G30" s="25">
        <v>8.8996947960618797</v>
      </c>
      <c r="H30" s="25">
        <v>21.9070573426573</v>
      </c>
      <c r="I30" s="25">
        <v>21.0401856866538</v>
      </c>
      <c r="J30" s="25">
        <v>21.1888827893175</v>
      </c>
      <c r="K30" s="25">
        <v>2.02356564065449</v>
      </c>
      <c r="L30" s="25">
        <v>4.3466438754908303</v>
      </c>
      <c r="M30" s="25">
        <v>0.30457831884595798</v>
      </c>
      <c r="N30" s="25">
        <v>15.017533160542801</v>
      </c>
      <c r="O30" s="25">
        <v>-22.947442186405102</v>
      </c>
      <c r="P30" s="25">
        <v>32.833686761587401</v>
      </c>
      <c r="Q30" s="25">
        <v>22.126853377265199</v>
      </c>
      <c r="R30" s="25">
        <v>23.545627376425799</v>
      </c>
      <c r="S30" s="25">
        <v>21.573333333333299</v>
      </c>
      <c r="T30" s="25">
        <v>51.879870499617702</v>
      </c>
      <c r="U30" s="25">
        <v>36.9557535291164</v>
      </c>
      <c r="V30" s="25">
        <v>39.122807017543899</v>
      </c>
      <c r="W30" s="25">
        <v>2.1489361702127598</v>
      </c>
      <c r="X30" s="25">
        <v>-28.288318144159099</v>
      </c>
      <c r="Y30" s="25" t="s">
        <v>76</v>
      </c>
      <c r="Z30" s="25"/>
      <c r="AA30" s="25"/>
    </row>
    <row r="31" spans="1:27" x14ac:dyDescent="0.25">
      <c r="A31" s="10" t="s">
        <v>135</v>
      </c>
      <c r="B31" s="10" t="s">
        <v>78</v>
      </c>
      <c r="C31" s="13">
        <f>_xll.BDH("ITCI US Equity","EBITDA","FQ2 2019","FQ2 2019","Currency=USD","Period=FQ","BEST_FPERIOD_OVERRIDE=FQ","FILING_STATUS=MR","SCALING_FORMAT=MLN","FA_ADJUSTED=GAAP","Sort=A","Dates=H","DateFormat=P","Fill=—","Direction=H","UseDPDF=Y")</f>
        <v>-38.110100000000003</v>
      </c>
      <c r="D31" s="13">
        <f>_xll.BDH("ITCI US Equity","EBITDA","FQ3 2019","FQ3 2019","Currency=USD","Period=FQ","BEST_FPERIOD_OVERRIDE=FQ","FILING_STATUS=MR","SCALING_FORMAT=MLN","FA_ADJUSTED=GAAP","Sort=A","Dates=H","DateFormat=P","Fill=—","Direction=H","UseDPDF=Y")</f>
        <v>-35.429200000000002</v>
      </c>
      <c r="E31" s="13">
        <f>_xll.BDH("ITCI US Equity","EBITDA","FQ4 2019","FQ4 2019","Currency=USD","Period=FQ","BEST_FPERIOD_OVERRIDE=FQ","FILING_STATUS=MR","SCALING_FORMAT=MLN","FA_ADJUSTED=GAAP","Sort=A","Dates=H","DateFormat=P","Fill=—","Direction=H","UseDPDF=Y")</f>
        <v>-40.826999999999998</v>
      </c>
      <c r="F31" s="13">
        <f>_xll.BDH("ITCI US Equity","EBITDA","FQ1 2020","FQ1 2020","Currency=USD","Period=FQ","BEST_FPERIOD_OVERRIDE=FQ","FILING_STATUS=MR","SCALING_FORMAT=MLN","FA_ADJUSTED=GAAP","Sort=A","Dates=H","DateFormat=P","Fill=—","Direction=H","UseDPDF=Y")</f>
        <v>-48.118699999999997</v>
      </c>
      <c r="G31" s="13">
        <f>_xll.BDH("ITCI US Equity","EBITDA","FQ2 2020","FQ2 2020","Currency=USD","Period=FQ","BEST_FPERIOD_OVERRIDE=FQ","FILING_STATUS=MR","SCALING_FORMAT=MLN","FA_ADJUSTED=GAAP","Sort=A","Dates=H","DateFormat=P","Fill=—","Direction=H","UseDPDF=Y")</f>
        <v>-63.94</v>
      </c>
      <c r="H31" s="13">
        <f>_xll.BDH("ITCI US Equity","EBITDA","FQ3 2020","FQ3 2020","Currency=USD","Period=FQ","BEST_FPERIOD_OVERRIDE=FQ","FILING_STATUS=MR","SCALING_FORMAT=MLN","FA_ADJUSTED=GAAP","Sort=A","Dates=H","DateFormat=P","Fill=—","Direction=H","UseDPDF=Y")</f>
        <v>-55.0154</v>
      </c>
      <c r="I31" s="13">
        <f>_xll.BDH("ITCI US Equity","EBITDA","FQ4 2020","FQ4 2020","Currency=USD","Period=FQ","BEST_FPERIOD_OVERRIDE=FQ","FILING_STATUS=MR","SCALING_FORMAT=MLN","FA_ADJUSTED=GAAP","Sort=A","Dates=H","DateFormat=P","Fill=—","Direction=H","UseDPDF=Y")</f>
        <v>-60.824300000000001</v>
      </c>
      <c r="J31" s="13">
        <f>_xll.BDH("ITCI US Equity","EBITDA","FQ1 2021","FQ1 2021","Currency=USD","Period=FQ","BEST_FPERIOD_OVERRIDE=FQ","FILING_STATUS=MR","SCALING_FORMAT=MLN","FA_ADJUSTED=GAAP","Sort=A","Dates=H","DateFormat=P","Fill=—","Direction=H","UseDPDF=Y")</f>
        <v>-52.291699999999999</v>
      </c>
      <c r="K31" s="13">
        <f>_xll.BDH("ITCI US Equity","EBITDA","FQ2 2021","FQ2 2021","Currency=USD","Period=FQ","BEST_FPERIOD_OVERRIDE=FQ","FILING_STATUS=MR","SCALING_FORMAT=MLN","FA_ADJUSTED=GAAP","Sort=A","Dates=H","DateFormat=P","Fill=—","Direction=H","UseDPDF=Y")</f>
        <v>-68.215500000000006</v>
      </c>
      <c r="L31" s="13">
        <f>_xll.BDH("ITCI US Equity","EBITDA","FQ3 2021","FQ3 2021","Currency=USD","Period=FQ","BEST_FPERIOD_OVERRIDE=FQ","FILING_STATUS=MR","SCALING_FORMAT=MLN","FA_ADJUSTED=GAAP","Sort=A","Dates=H","DateFormat=P","Fill=—","Direction=H","UseDPDF=Y")</f>
        <v>-76.389899999999997</v>
      </c>
      <c r="M31" s="13">
        <f>_xll.BDH("ITCI US Equity","EBITDA","FQ4 2021","FQ4 2021","Currency=USD","Period=FQ","BEST_FPERIOD_OVERRIDE=FQ","FILING_STATUS=MR","SCALING_FORMAT=MLN","FA_ADJUSTED=GAAP","Sort=A","Dates=H","DateFormat=P","Fill=—","Direction=H","UseDPDF=Y")</f>
        <v>-84.908799999999999</v>
      </c>
      <c r="N31" s="13">
        <f>_xll.BDH("ITCI US Equity","EBITDA","FQ1 2022","FQ1 2022","Currency=USD","Period=FQ","BEST_FPERIOD_OVERRIDE=FQ","FILING_STATUS=MR","SCALING_FORMAT=MLN","FA_ADJUSTED=GAAP","Sort=A","Dates=H","DateFormat=P","Fill=—","Direction=H","UseDPDF=Y")</f>
        <v>-72.491</v>
      </c>
      <c r="O31" s="13">
        <f>_xll.BDH("ITCI US Equity","EBITDA","FQ2 2022","FQ2 2022","Currency=USD","Period=FQ","BEST_FPERIOD_OVERRIDE=FQ","FILING_STATUS=MR","SCALING_FORMAT=MLN","FA_ADJUSTED=GAAP","Sort=A","Dates=H","DateFormat=P","Fill=—","Direction=H","UseDPDF=Y")</f>
        <v>-87.751000000000005</v>
      </c>
      <c r="P31" s="13">
        <f>_xll.BDH("ITCI US Equity","EBITDA","FQ3 2022","FQ3 2022","Currency=USD","Period=FQ","BEST_FPERIOD_OVERRIDE=FQ","FILING_STATUS=MR","SCALING_FORMAT=MLN","FA_ADJUSTED=GAAP","Sort=A","Dates=H","DateFormat=P","Fill=—","Direction=H","UseDPDF=Y")</f>
        <v>-55.459000000000003</v>
      </c>
      <c r="Q31" s="13">
        <f>_xll.BDH("ITCI US Equity","EBITDA","FQ4 2022","FQ4 2022","Currency=USD","Period=FQ","BEST_FPERIOD_OVERRIDE=FQ","FILING_STATUS=MR","SCALING_FORMAT=MLN","FA_ADJUSTED=GAAP","Sort=A","Dates=H","DateFormat=P","Fill=—","Direction=H","UseDPDF=Y")</f>
        <v>-40.064999999999998</v>
      </c>
      <c r="R31" s="13">
        <f>_xll.BDH("ITCI US Equity","EBITDA","FQ1 2023","FQ1 2023","Currency=USD","Period=FQ","BEST_FPERIOD_OVERRIDE=FQ","FILING_STATUS=MR","SCALING_FORMAT=MLN","FA_ADJUSTED=GAAP","Sort=A","Dates=H","DateFormat=P","Fill=—","Direction=H","UseDPDF=Y")</f>
        <v>-47.173000000000002</v>
      </c>
      <c r="S31" s="13">
        <f>_xll.BDH("ITCI US Equity","EBITDA","FQ2 2023","FQ2 2023","Currency=USD","Period=FQ","BEST_FPERIOD_OVERRIDE=FQ","FILING_STATUS=MR","SCALING_FORMAT=MLN","FA_ADJUSTED=GAAP","Sort=A","Dates=H","DateFormat=P","Fill=—","Direction=H","UseDPDF=Y")</f>
        <v>-47.055999999999997</v>
      </c>
      <c r="T31" s="13">
        <f>_xll.BDH("ITCI US Equity","EBITDA","FQ3 2023","FQ3 2023","Currency=USD","Period=FQ","BEST_FPERIOD_OVERRIDE=FQ","FILING_STATUS=MR","SCALING_FORMAT=MLN","FA_ADJUSTED=GAAP","Sort=A","Dates=H","DateFormat=P","Fill=—","Direction=H","UseDPDF=Y")</f>
        <v>-28.66</v>
      </c>
      <c r="U31" s="13">
        <f>_xll.BDH("ITCI US Equity","EBITDA","FQ4 2023","FQ4 2023","Currency=USD","Period=FQ","BEST_FPERIOD_OVERRIDE=FQ","FILING_STATUS=MR","SCALING_FORMAT=MLN","FA_ADJUSTED=GAAP","Sort=A","Dates=H","DateFormat=P","Fill=—","Direction=H","UseDPDF=Y")</f>
        <v>-26.276</v>
      </c>
      <c r="V31" s="13">
        <f>_xll.BDH("ITCI US Equity","EBITDA","FQ1 2024","FQ1 2024","Currency=USD","Period=FQ","BEST_FPERIOD_OVERRIDE=FQ","FILING_STATUS=MR","SCALING_FORMAT=MLN","FA_ADJUSTED=GAAP","Sort=A","Dates=H","DateFormat=P","Fill=—","Direction=H","UseDPDF=Y")</f>
        <v>-19.879000000000001</v>
      </c>
      <c r="W31" s="13">
        <f>_xll.BDH("ITCI US Equity","EBITDA","FQ2 2024","FQ2 2024","Currency=USD","Period=FQ","BEST_FPERIOD_OVERRIDE=FQ","FILING_STATUS=MR","SCALING_FORMAT=MLN","FA_ADJUSTED=GAAP","Sort=A","Dates=H","DateFormat=P","Fill=—","Direction=H","UseDPDF=Y")</f>
        <v>-26.561</v>
      </c>
      <c r="X31" s="13">
        <f>_xll.BDH("ITCI US Equity","EBITDA","FQ3 2024","FQ3 2024","Currency=USD","Period=FQ","BEST_FPERIOD_OVERRIDE=FQ","FILING_STATUS=MR","SCALING_FORMAT=MLN","FA_ADJUSTED=GAAP","Sort=A","Dates=H","DateFormat=P","Fill=—","Direction=H","UseDPDF=Y")</f>
        <v>-37.658000000000001</v>
      </c>
      <c r="Y31" s="13">
        <f>_xll.BDH("ITCI US Equity","EBITDA","FQ4 2024","FQ4 2024","Currency=USD","Period=FQ","BEST_FPERIOD_OVERRIDE=FQ","FILING_STATUS=MR","SCALING_FORMAT=MLN","FA_ADJUSTED=GAAP","Sort=A","Dates=H","DateFormat=P","Fill=—","Direction=H","UseDPDF=Y")</f>
        <v>-26.981999999999999</v>
      </c>
      <c r="Z31" s="13"/>
      <c r="AA31" s="13"/>
    </row>
    <row r="32" spans="1:27" x14ac:dyDescent="0.25">
      <c r="A32" s="10" t="s">
        <v>136</v>
      </c>
      <c r="B32" s="10" t="s">
        <v>78</v>
      </c>
      <c r="C32" s="13">
        <f>_xll.BDH("ITCI US Equity","EBITDA","FQ2 2019","FQ2 2019","Currency=USD","Period=FQ","BEST_FPERIOD_OVERRIDE=FQ","FILING_STATUS=MR","SCALING_FORMAT=MLN","FA_ADJUSTED=Adjusted","Sort=A","Dates=H","DateFormat=P","Fill=—","Direction=H","UseDPDF=Y")</f>
        <v>-38.110100000000003</v>
      </c>
      <c r="D32" s="13">
        <f>_xll.BDH("ITCI US Equity","EBITDA","FQ3 2019","FQ3 2019","Currency=USD","Period=FQ","BEST_FPERIOD_OVERRIDE=FQ","FILING_STATUS=MR","SCALING_FORMAT=MLN","FA_ADJUSTED=Adjusted","Sort=A","Dates=H","DateFormat=P","Fill=—","Direction=H","UseDPDF=Y")</f>
        <v>-35.429200000000002</v>
      </c>
      <c r="E32" s="13">
        <f>_xll.BDH("ITCI US Equity","EBITDA","FQ4 2019","FQ4 2019","Currency=USD","Period=FQ","BEST_FPERIOD_OVERRIDE=FQ","FILING_STATUS=MR","SCALING_FORMAT=MLN","FA_ADJUSTED=Adjusted","Sort=A","Dates=H","DateFormat=P","Fill=—","Direction=H","UseDPDF=Y")</f>
        <v>-40.826999999999998</v>
      </c>
      <c r="F32" s="13">
        <f>_xll.BDH("ITCI US Equity","EBITDA","FQ1 2020","FQ1 2020","Currency=USD","Period=FQ","BEST_FPERIOD_OVERRIDE=FQ","FILING_STATUS=MR","SCALING_FORMAT=MLN","FA_ADJUSTED=Adjusted","Sort=A","Dates=H","DateFormat=P","Fill=—","Direction=H","UseDPDF=Y")</f>
        <v>-48.118699999999997</v>
      </c>
      <c r="G32" s="13">
        <f>_xll.BDH("ITCI US Equity","EBITDA","FQ2 2020","FQ2 2020","Currency=USD","Period=FQ","BEST_FPERIOD_OVERRIDE=FQ","FILING_STATUS=MR","SCALING_FORMAT=MLN","FA_ADJUSTED=Adjusted","Sort=A","Dates=H","DateFormat=P","Fill=—","Direction=H","UseDPDF=Y")</f>
        <v>-63.94</v>
      </c>
      <c r="H32" s="13">
        <f>_xll.BDH("ITCI US Equity","EBITDA","FQ3 2020","FQ3 2020","Currency=USD","Period=FQ","BEST_FPERIOD_OVERRIDE=FQ","FILING_STATUS=MR","SCALING_FORMAT=MLN","FA_ADJUSTED=Adjusted","Sort=A","Dates=H","DateFormat=P","Fill=—","Direction=H","UseDPDF=Y")</f>
        <v>-55.0154</v>
      </c>
      <c r="I32" s="13">
        <f>_xll.BDH("ITCI US Equity","EBITDA","FQ4 2020","FQ4 2020","Currency=USD","Period=FQ","BEST_FPERIOD_OVERRIDE=FQ","FILING_STATUS=MR","SCALING_FORMAT=MLN","FA_ADJUSTED=Adjusted","Sort=A","Dates=H","DateFormat=P","Fill=—","Direction=H","UseDPDF=Y")</f>
        <v>-60.824300000000001</v>
      </c>
      <c r="J32" s="13">
        <f>_xll.BDH("ITCI US Equity","EBITDA","FQ1 2021","FQ1 2021","Currency=USD","Period=FQ","BEST_FPERIOD_OVERRIDE=FQ","FILING_STATUS=MR","SCALING_FORMAT=MLN","FA_ADJUSTED=Adjusted","Sort=A","Dates=H","DateFormat=P","Fill=—","Direction=H","UseDPDF=Y")</f>
        <v>-52.291699999999999</v>
      </c>
      <c r="K32" s="13">
        <f>_xll.BDH("ITCI US Equity","EBITDA","FQ2 2021","FQ2 2021","Currency=USD","Period=FQ","BEST_FPERIOD_OVERRIDE=FQ","FILING_STATUS=MR","SCALING_FORMAT=MLN","FA_ADJUSTED=Adjusted","Sort=A","Dates=H","DateFormat=P","Fill=—","Direction=H","UseDPDF=Y")</f>
        <v>-68.215500000000006</v>
      </c>
      <c r="L32" s="13">
        <f>_xll.BDH("ITCI US Equity","EBITDA","FQ3 2021","FQ3 2021","Currency=USD","Period=FQ","BEST_FPERIOD_OVERRIDE=FQ","FILING_STATUS=MR","SCALING_FORMAT=MLN","FA_ADJUSTED=Adjusted","Sort=A","Dates=H","DateFormat=P","Fill=—","Direction=H","UseDPDF=Y")</f>
        <v>-76.389899999999997</v>
      </c>
      <c r="M32" s="13">
        <f>_xll.BDH("ITCI US Equity","EBITDA","FQ4 2021","FQ4 2021","Currency=USD","Period=FQ","BEST_FPERIOD_OVERRIDE=FQ","FILING_STATUS=MR","SCALING_FORMAT=MLN","FA_ADJUSTED=Adjusted","Sort=A","Dates=H","DateFormat=P","Fill=—","Direction=H","UseDPDF=Y")</f>
        <v>-84.908799999999999</v>
      </c>
      <c r="N32" s="13">
        <f>_xll.BDH("ITCI US Equity","EBITDA","FQ1 2022","FQ1 2022","Currency=USD","Period=FQ","BEST_FPERIOD_OVERRIDE=FQ","FILING_STATUS=MR","SCALING_FORMAT=MLN","FA_ADJUSTED=Adjusted","Sort=A","Dates=H","DateFormat=P","Fill=—","Direction=H","UseDPDF=Y")</f>
        <v>-72.491</v>
      </c>
      <c r="O32" s="13">
        <f>_xll.BDH("ITCI US Equity","EBITDA","FQ2 2022","FQ2 2022","Currency=USD","Period=FQ","BEST_FPERIOD_OVERRIDE=FQ","FILING_STATUS=MR","SCALING_FORMAT=MLN","FA_ADJUSTED=Adjusted","Sort=A","Dates=H","DateFormat=P","Fill=—","Direction=H","UseDPDF=Y")</f>
        <v>-87.751000000000005</v>
      </c>
      <c r="P32" s="13">
        <f>_xll.BDH("ITCI US Equity","EBITDA","FQ3 2022","FQ3 2022","Currency=USD","Period=FQ","BEST_FPERIOD_OVERRIDE=FQ","FILING_STATUS=MR","SCALING_FORMAT=MLN","FA_ADJUSTED=Adjusted","Sort=A","Dates=H","DateFormat=P","Fill=—","Direction=H","UseDPDF=Y")</f>
        <v>-55.459000000000003</v>
      </c>
      <c r="Q32" s="13">
        <f>_xll.BDH("ITCI US Equity","EBITDA","FQ4 2022","FQ4 2022","Currency=USD","Period=FQ","BEST_FPERIOD_OVERRIDE=FQ","FILING_STATUS=MR","SCALING_FORMAT=MLN","FA_ADJUSTED=Adjusted","Sort=A","Dates=H","DateFormat=P","Fill=—","Direction=H","UseDPDF=Y")</f>
        <v>-40.064999999999998</v>
      </c>
      <c r="R32" s="13">
        <f>_xll.BDH("ITCI US Equity","EBITDA","FQ1 2023","FQ1 2023","Currency=USD","Period=FQ","BEST_FPERIOD_OVERRIDE=FQ","FILING_STATUS=MR","SCALING_FORMAT=MLN","FA_ADJUSTED=Adjusted","Sort=A","Dates=H","DateFormat=P","Fill=—","Direction=H","UseDPDF=Y")</f>
        <v>-47.173000000000002</v>
      </c>
      <c r="S32" s="13">
        <f>_xll.BDH("ITCI US Equity","EBITDA","FQ2 2023","FQ2 2023","Currency=USD","Period=FQ","BEST_FPERIOD_OVERRIDE=FQ","FILING_STATUS=MR","SCALING_FORMAT=MLN","FA_ADJUSTED=Adjusted","Sort=A","Dates=H","DateFormat=P","Fill=—","Direction=H","UseDPDF=Y")</f>
        <v>-47.055999999999997</v>
      </c>
      <c r="T32" s="13">
        <f>_xll.BDH("ITCI US Equity","EBITDA","FQ3 2023","FQ3 2023","Currency=USD","Period=FQ","BEST_FPERIOD_OVERRIDE=FQ","FILING_STATUS=MR","SCALING_FORMAT=MLN","FA_ADJUSTED=Adjusted","Sort=A","Dates=H","DateFormat=P","Fill=—","Direction=H","UseDPDF=Y")</f>
        <v>-28.66</v>
      </c>
      <c r="U32" s="13">
        <f>_xll.BDH("ITCI US Equity","EBITDA","FQ4 2023","FQ4 2023","Currency=USD","Period=FQ","BEST_FPERIOD_OVERRIDE=FQ","FILING_STATUS=MR","SCALING_FORMAT=MLN","FA_ADJUSTED=Adjusted","Sort=A","Dates=H","DateFormat=P","Fill=—","Direction=H","UseDPDF=Y")</f>
        <v>-26.276</v>
      </c>
      <c r="V32" s="13">
        <f>_xll.BDH("ITCI US Equity","EBITDA","FQ1 2024","FQ1 2024","Currency=USD","Period=FQ","BEST_FPERIOD_OVERRIDE=FQ","FILING_STATUS=MR","SCALING_FORMAT=MLN","FA_ADJUSTED=Adjusted","Sort=A","Dates=H","DateFormat=P","Fill=—","Direction=H","UseDPDF=Y")</f>
        <v>-19.879000000000001</v>
      </c>
      <c r="W32" s="13">
        <f>_xll.BDH("ITCI US Equity","EBITDA","FQ2 2024","FQ2 2024","Currency=USD","Period=FQ","BEST_FPERIOD_OVERRIDE=FQ","FILING_STATUS=MR","SCALING_FORMAT=MLN","FA_ADJUSTED=Adjusted","Sort=A","Dates=H","DateFormat=P","Fill=—","Direction=H","UseDPDF=Y")</f>
        <v>-26.561</v>
      </c>
      <c r="X32" s="13">
        <f>_xll.BDH("ITCI US Equity","EBITDA","FQ3 2024","FQ3 2024","Currency=USD","Period=FQ","BEST_FPERIOD_OVERRIDE=FQ","FILING_STATUS=MR","SCALING_FORMAT=MLN","FA_ADJUSTED=Adjusted","Sort=A","Dates=H","DateFormat=P","Fill=—","Direction=H","UseDPDF=Y")</f>
        <v>-37.658000000000001</v>
      </c>
      <c r="Y32" s="13">
        <f>_xll.BDH("ITCI US Equity","EBITDA","FQ4 2024","FQ4 2024","Currency=USD","Period=FQ","BEST_FPERIOD_OVERRIDE=FQ","FILING_STATUS=MR","SCALING_FORMAT=MLN","FA_ADJUSTED=Adjusted","Sort=A","Dates=H","DateFormat=P","Fill=—","Direction=H","UseDPDF=Y")</f>
        <v>-26.981999999999999</v>
      </c>
      <c r="Z32" s="13"/>
      <c r="AA32" s="13"/>
    </row>
    <row r="33" spans="1:27" x14ac:dyDescent="0.25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5">
      <c r="A34" s="6" t="s">
        <v>148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 x14ac:dyDescent="0.25">
      <c r="A35" s="10" t="s">
        <v>130</v>
      </c>
      <c r="B35" s="10" t="s">
        <v>149</v>
      </c>
      <c r="C35" s="14" t="str">
        <f>_xll.BDH("ITCI US Equity","BEST_GROSS_MARGIN","FQ2 2019","FQ2 2019","Currency=USD","Period=FQ","BEST_FPERIOD_OVERRIDE=FQ","FILING_STATUS=MR","Sort=A","Dates=H","DateFormat=P","Fill=—","Direction=H","UseDPDF=Y")</f>
        <v>—</v>
      </c>
      <c r="D35" s="14" t="str">
        <f>_xll.BDH("ITCI US Equity","BEST_GROSS_MARGIN","FQ3 2019","FQ3 2019","Currency=USD","Period=FQ","BEST_FPERIOD_OVERRIDE=FQ","FILING_STATUS=MR","Sort=A","Dates=H","DateFormat=P","Fill=—","Direction=H","UseDPDF=Y")</f>
        <v>—</v>
      </c>
      <c r="E35" s="14" t="str">
        <f>_xll.BDH("ITCI US Equity","BEST_GROSS_MARGIN","FQ4 2019","FQ4 2019","Currency=USD","Period=FQ","BEST_FPERIOD_OVERRIDE=FQ","FILING_STATUS=MR","Sort=A","Dates=H","DateFormat=P","Fill=—","Direction=H","UseDPDF=Y")</f>
        <v>—</v>
      </c>
      <c r="F35" s="14">
        <f>_xll.BDH("ITCI US Equity","BEST_GROSS_MARGIN","FQ1 2020","FQ1 2020","Currency=USD","Period=FQ","BEST_FPERIOD_OVERRIDE=FQ","FILING_STATUS=MR","Sort=A","Dates=H","DateFormat=P","Fill=—","Direction=H","UseDPDF=Y")</f>
        <v>91</v>
      </c>
      <c r="G35" s="14">
        <f>_xll.BDH("ITCI US Equity","BEST_GROSS_MARGIN","FQ2 2020","FQ2 2020","Currency=USD","Period=FQ","BEST_FPERIOD_OVERRIDE=FQ","FILING_STATUS=MR","Sort=A","Dates=H","DateFormat=P","Fill=—","Direction=H","UseDPDF=Y")</f>
        <v>90</v>
      </c>
      <c r="H35" s="14">
        <f>_xll.BDH("ITCI US Equity","BEST_GROSS_MARGIN","FQ3 2020","FQ3 2020","Currency=USD","Period=FQ","BEST_FPERIOD_OVERRIDE=FQ","FILING_STATUS=MR","Sort=A","Dates=H","DateFormat=P","Fill=—","Direction=H","UseDPDF=Y")</f>
        <v>91.667000000000002</v>
      </c>
      <c r="I35" s="14">
        <f>_xll.BDH("ITCI US Equity","BEST_GROSS_MARGIN","FQ4 2020","FQ4 2020","Currency=USD","Period=FQ","BEST_FPERIOD_OVERRIDE=FQ","FILING_STATUS=MR","Sort=A","Dates=H","DateFormat=P","Fill=—","Direction=H","UseDPDF=Y")</f>
        <v>91</v>
      </c>
      <c r="J35" s="14">
        <f>_xll.BDH("ITCI US Equity","BEST_GROSS_MARGIN","FQ1 2021","FQ1 2021","Currency=USD","Period=FQ","BEST_FPERIOD_OVERRIDE=FQ","FILING_STATUS=MR","Sort=A","Dates=H","DateFormat=P","Fill=—","Direction=H","UseDPDF=Y")</f>
        <v>89.667000000000002</v>
      </c>
      <c r="K35" s="14">
        <f>_xll.BDH("ITCI US Equity","BEST_GROSS_MARGIN","FQ2 2021","FQ2 2021","Currency=USD","Period=FQ","BEST_FPERIOD_OVERRIDE=FQ","FILING_STATUS=MR","Sort=A","Dates=H","DateFormat=P","Fill=—","Direction=H","UseDPDF=Y")</f>
        <v>90.332999999999998</v>
      </c>
      <c r="L35" s="14">
        <f>_xll.BDH("ITCI US Equity","BEST_GROSS_MARGIN","FQ3 2021","FQ3 2021","Currency=USD","Period=FQ","BEST_FPERIOD_OVERRIDE=FQ","FILING_STATUS=MR","Sort=A","Dates=H","DateFormat=P","Fill=—","Direction=H","UseDPDF=Y")</f>
        <v>90.5</v>
      </c>
      <c r="M35" s="14">
        <f>_xll.BDH("ITCI US Equity","BEST_GROSS_MARGIN","FQ4 2021","FQ4 2021","Currency=USD","Period=FQ","BEST_FPERIOD_OVERRIDE=FQ","FILING_STATUS=MR","Sort=A","Dates=H","DateFormat=P","Fill=—","Direction=H","UseDPDF=Y")</f>
        <v>90.433000000000007</v>
      </c>
      <c r="N35" s="14">
        <f>_xll.BDH("ITCI US Equity","BEST_GROSS_MARGIN","FQ1 2022","FQ1 2022","Currency=USD","Period=FQ","BEST_FPERIOD_OVERRIDE=FQ","FILING_STATUS=MR","Sort=A","Dates=H","DateFormat=P","Fill=—","Direction=H","UseDPDF=Y")</f>
        <v>90.075000000000003</v>
      </c>
      <c r="O35" s="14">
        <f>_xll.BDH("ITCI US Equity","BEST_GROSS_MARGIN","FQ2 2022","FQ2 2022","Currency=USD","Period=FQ","BEST_FPERIOD_OVERRIDE=FQ","FILING_STATUS=MR","Sort=A","Dates=H","DateFormat=P","Fill=—","Direction=H","UseDPDF=Y")</f>
        <v>90.17</v>
      </c>
      <c r="P35" s="14">
        <f>_xll.BDH("ITCI US Equity","BEST_GROSS_MARGIN","FQ3 2022","FQ3 2022","Currency=USD","Period=FQ","BEST_FPERIOD_OVERRIDE=FQ","FILING_STATUS=MR","Sort=A","Dates=H","DateFormat=P","Fill=—","Direction=H","UseDPDF=Y")</f>
        <v>89.885999999999996</v>
      </c>
      <c r="Q35" s="14">
        <f>_xll.BDH("ITCI US Equity","BEST_GROSS_MARGIN","FQ4 2022","FQ4 2022","Currency=USD","Period=FQ","BEST_FPERIOD_OVERRIDE=FQ","FILING_STATUS=MR","Sort=A","Dates=H","DateFormat=P","Fill=—","Direction=H","UseDPDF=Y")</f>
        <v>90.382999999999996</v>
      </c>
      <c r="R35" s="14">
        <f>_xll.BDH("ITCI US Equity","BEST_GROSS_MARGIN","FQ1 2023","FQ1 2023","Currency=USD","Period=FQ","BEST_FPERIOD_OVERRIDE=FQ","FILING_STATUS=MR","Sort=A","Dates=H","DateFormat=P","Fill=—","Direction=H","UseDPDF=Y")</f>
        <v>91.007000000000005</v>
      </c>
      <c r="S35" s="14">
        <f>_xll.BDH("ITCI US Equity","BEST_GROSS_MARGIN","FQ2 2023","FQ2 2023","Currency=USD","Period=FQ","BEST_FPERIOD_OVERRIDE=FQ","FILING_STATUS=MR","Sort=A","Dates=H","DateFormat=P","Fill=—","Direction=H","UseDPDF=Y")</f>
        <v>90.338999999999999</v>
      </c>
      <c r="T35" s="14">
        <f>_xll.BDH("ITCI US Equity","BEST_GROSS_MARGIN","FQ3 2023","FQ3 2023","Currency=USD","Period=FQ","BEST_FPERIOD_OVERRIDE=FQ","FILING_STATUS=MR","Sort=A","Dates=H","DateFormat=P","Fill=—","Direction=H","UseDPDF=Y")</f>
        <v>90.991</v>
      </c>
      <c r="U35" s="14">
        <f>_xll.BDH("ITCI US Equity","BEST_GROSS_MARGIN","FQ4 2023","FQ4 2023","Currency=USD","Period=FQ","BEST_FPERIOD_OVERRIDE=FQ","FILING_STATUS=MR","Sort=A","Dates=H","DateFormat=P","Fill=—","Direction=H","UseDPDF=Y")</f>
        <v>90.867000000000004</v>
      </c>
      <c r="V35" s="14">
        <f>_xll.BDH("ITCI US Equity","BEST_GROSS_MARGIN","FQ1 2024","FQ1 2024","Currency=USD","Period=FQ","BEST_FPERIOD_OVERRIDE=FQ","FILING_STATUS=MR","Sort=A","Dates=H","DateFormat=P","Fill=—","Direction=H","UseDPDF=Y")</f>
        <v>92.340999999999994</v>
      </c>
      <c r="W35" s="14">
        <f>_xll.BDH("ITCI US Equity","BEST_GROSS_MARGIN","FQ2 2024","FQ2 2024","Currency=USD","Period=FQ","BEST_FPERIOD_OVERRIDE=FQ","FILING_STATUS=MR","Sort=A","Dates=H","DateFormat=P","Fill=—","Direction=H","UseDPDF=Y")</f>
        <v>92.313999999999993</v>
      </c>
      <c r="X35" s="14">
        <f>_xll.BDH("ITCI US Equity","BEST_GROSS_MARGIN","FQ3 2024","FQ3 2024","Currency=USD","Period=FQ","BEST_FPERIOD_OVERRIDE=FQ","FILING_STATUS=MR","Sort=A","Dates=H","DateFormat=P","Fill=—","Direction=H","UseDPDF=Y")</f>
        <v>92.066000000000003</v>
      </c>
      <c r="Y35" s="14">
        <f>_xll.BDH("ITCI US Equity","BEST_GROSS_MARGIN","FQ4 2024","FQ4 2024","Currency=USD","Period=FQ","BEST_FPERIOD_OVERRIDE=FQ","FILING_STATUS=MR","Sort=A","Dates=H","DateFormat=P","Fill=—","Direction=H","UseDPDF=Y")</f>
        <v>91.765000000000001</v>
      </c>
      <c r="Z35" s="14">
        <v>92.5</v>
      </c>
      <c r="AA35" s="14">
        <v>92.45</v>
      </c>
    </row>
    <row r="36" spans="1:27" x14ac:dyDescent="0.25">
      <c r="A36" s="10" t="s">
        <v>132</v>
      </c>
      <c r="B36" s="10" t="s">
        <v>150</v>
      </c>
      <c r="C36" s="13" t="str">
        <f>_xll.BDH("ITCI US Equity","IS_COMP_GROSS_MARGIN_PERCENTAGE","FQ2 2019","FQ2 2019","Currency=USD","Period=FQ","BEST_FPERIOD_OVERRIDE=FQ","FILING_STATUS=MR","Sort=A","Dates=H","DateFormat=P","Fill=—","Direction=H","UseDPDF=Y")</f>
        <v>—</v>
      </c>
      <c r="D36" s="13" t="str">
        <f>_xll.BDH("ITCI US Equity","IS_COMP_GROSS_MARGIN_PERCENTAGE","FQ3 2019","FQ3 2019","Currency=USD","Period=FQ","BEST_FPERIOD_OVERRIDE=FQ","FILING_STATUS=MR","Sort=A","Dates=H","DateFormat=P","Fill=—","Direction=H","UseDPDF=Y")</f>
        <v>—</v>
      </c>
      <c r="E36" s="13">
        <f>_xll.BDH("ITCI US Equity","IS_COMP_GROSS_MARGIN_PERCENTAGE","FQ4 2019","FQ4 2019","Currency=USD","Period=FQ","BEST_FPERIOD_OVERRIDE=FQ","FILING_STATUS=MR","Sort=A","Dates=H","DateFormat=P","Fill=—","Direction=H","UseDPDF=Y")</f>
        <v>-68910.397100000002</v>
      </c>
      <c r="F36" s="13">
        <f>_xll.BDH("ITCI US Equity","IS_COMP_GROSS_MARGIN_PERCENTAGE","FQ1 2020","FQ1 2020","Currency=USD","Period=FQ","BEST_FPERIOD_OVERRIDE=FQ","FILING_STATUS=MR","Sort=A","Dates=H","DateFormat=P","Fill=—","Direction=H","UseDPDF=Y")</f>
        <v>93.602900000000005</v>
      </c>
      <c r="G36" s="13">
        <f>_xll.BDH("ITCI US Equity","IS_COMP_GROSS_MARGIN_PERCENTAGE","FQ2 2020","FQ2 2020","Currency=USD","Period=FQ","BEST_FPERIOD_OVERRIDE=FQ","FILING_STATUS=MR","Sort=A","Dates=H","DateFormat=P","Fill=—","Direction=H","UseDPDF=Y")</f>
        <v>93.258300000000006</v>
      </c>
      <c r="H36" s="13">
        <f>_xll.BDH("ITCI US Equity","IS_COMP_GROSS_MARGIN_PERCENTAGE","FQ3 2020","FQ3 2020","Currency=USD","Period=FQ","BEST_FPERIOD_OVERRIDE=FQ","FILING_STATUS=MR","Sort=A","Dates=H","DateFormat=P","Fill=—","Direction=H","UseDPDF=Y")</f>
        <v>92.453000000000003</v>
      </c>
      <c r="I36" s="13">
        <f>_xll.BDH("ITCI US Equity","IS_COMP_GROSS_MARGIN_PERCENTAGE","FQ4 2020","FQ4 2020","Currency=USD","Period=FQ","BEST_FPERIOD_OVERRIDE=FQ","FILING_STATUS=MR","Sort=A","Dates=H","DateFormat=P","Fill=—","Direction=H","UseDPDF=Y")</f>
        <v>90.837900000000005</v>
      </c>
      <c r="J36" s="13">
        <f>_xll.BDH("ITCI US Equity","IS_COMP_GROSS_MARGIN_PERCENTAGE","FQ1 2021","FQ1 2021","Currency=USD","Period=FQ","BEST_FPERIOD_OVERRIDE=FQ","FILING_STATUS=MR","Sort=A","Dates=H","DateFormat=P","Fill=—","Direction=H","UseDPDF=Y")</f>
        <v>90.8352</v>
      </c>
      <c r="K36" s="13">
        <f>_xll.BDH("ITCI US Equity","IS_COMP_GROSS_MARGIN_PERCENTAGE","FQ2 2021","FQ2 2021","Currency=USD","Period=FQ","BEST_FPERIOD_OVERRIDE=FQ","FILING_STATUS=MR","Sort=A","Dates=H","DateFormat=P","Fill=—","Direction=H","UseDPDF=Y")</f>
        <v>89.823499999999996</v>
      </c>
      <c r="L36" s="13">
        <f>_xll.BDH("ITCI US Equity","IS_COMP_GROSS_MARGIN_PERCENTAGE","FQ3 2021","FQ3 2021","Currency=USD","Period=FQ","BEST_FPERIOD_OVERRIDE=FQ","FILING_STATUS=MR","Sort=A","Dates=H","DateFormat=P","Fill=—","Direction=H","UseDPDF=Y")</f>
        <v>90.988</v>
      </c>
      <c r="M36" s="13">
        <f>_xll.BDH("ITCI US Equity","IS_COMP_GROSS_MARGIN_PERCENTAGE","FQ4 2021","FQ4 2021","Currency=USD","Period=FQ","BEST_FPERIOD_OVERRIDE=FQ","FILING_STATUS=MR","Sort=A","Dates=H","DateFormat=P","Fill=—","Direction=H","UseDPDF=Y")</f>
        <v>90.113200000000006</v>
      </c>
      <c r="N36" s="13">
        <f>_xll.BDH("ITCI US Equity","IS_COMP_GROSS_MARGIN_PERCENTAGE","FQ1 2022","FQ1 2022","Currency=USD","Period=FQ","BEST_FPERIOD_OVERRIDE=FQ","FILING_STATUS=MR","Sort=A","Dates=H","DateFormat=P","Fill=—","Direction=H","UseDPDF=Y")</f>
        <v>90.984700000000004</v>
      </c>
      <c r="O36" s="13">
        <f>_xll.BDH("ITCI US Equity","IS_COMP_GROSS_MARGIN_PERCENTAGE","FQ2 2022","FQ2 2022","Currency=USD","Period=FQ","BEST_FPERIOD_OVERRIDE=FQ","FILING_STATUS=MR","Sort=A","Dates=H","DateFormat=P","Fill=—","Direction=H","UseDPDF=Y")</f>
        <v>91.633499999999998</v>
      </c>
      <c r="P36" s="13">
        <f>_xll.BDH("ITCI US Equity","IS_COMP_GROSS_MARGIN_PERCENTAGE","FQ3 2022","FQ3 2022","Currency=USD","Period=FQ","BEST_FPERIOD_OVERRIDE=FQ","FILING_STATUS=MR","Sort=A","Dates=H","DateFormat=P","Fill=—","Direction=H","UseDPDF=Y")</f>
        <v>91.860299999999995</v>
      </c>
      <c r="Q36" s="13">
        <f>_xll.BDH("ITCI US Equity","IS_COMP_GROSS_MARGIN_PERCENTAGE","FQ4 2022","FQ4 2022","Currency=USD","Period=FQ","BEST_FPERIOD_OVERRIDE=FQ","FILING_STATUS=MR","Sort=A","Dates=H","DateFormat=P","Fill=—","Direction=H","UseDPDF=Y")</f>
        <v>92.274900000000002</v>
      </c>
      <c r="R36" s="13">
        <f>_xll.BDH("ITCI US Equity","IS_COMP_GROSS_MARGIN_PERCENTAGE","FQ1 2023","FQ1 2023","Currency=USD","Period=FQ","BEST_FPERIOD_OVERRIDE=FQ","FILING_STATUS=MR","Sort=A","Dates=H","DateFormat=P","Fill=—","Direction=H","UseDPDF=Y")</f>
        <v>92.21</v>
      </c>
      <c r="S36" s="13">
        <f>_xll.BDH("ITCI US Equity","IS_COMP_GROSS_MARGIN_PERCENTAGE","FQ2 2023","FQ2 2023","Currency=USD","Period=FQ","BEST_FPERIOD_OVERRIDE=FQ","FILING_STATUS=MR","Sort=A","Dates=H","DateFormat=P","Fill=—","Direction=H","UseDPDF=Y")</f>
        <v>93.534700000000001</v>
      </c>
      <c r="T36" s="13">
        <f>_xll.BDH("ITCI US Equity","IS_COMP_GROSS_MARGIN_PERCENTAGE","FQ3 2023","FQ3 2023","Currency=USD","Period=FQ","BEST_FPERIOD_OVERRIDE=FQ","FILING_STATUS=MR","Sort=A","Dates=H","DateFormat=P","Fill=—","Direction=H","UseDPDF=Y")</f>
        <v>92.764700000000005</v>
      </c>
      <c r="U36" s="13">
        <f>_xll.BDH("ITCI US Equity","IS_COMP_GROSS_MARGIN_PERCENTAGE","FQ4 2023","FQ4 2023","Currency=USD","Period=FQ","BEST_FPERIOD_OVERRIDE=FQ","FILING_STATUS=MR","Sort=A","Dates=H","DateFormat=P","Fill=—","Direction=H","UseDPDF=Y")</f>
        <v>91.898499999999999</v>
      </c>
      <c r="V36" s="13">
        <f>_xll.BDH("ITCI US Equity","IS_COMP_GROSS_MARGIN_PERCENTAGE","FQ1 2024","FQ1 2024","Currency=USD","Period=FQ","BEST_FPERIOD_OVERRIDE=FQ","FILING_STATUS=MR","Sort=A","Dates=H","DateFormat=P","Fill=—","Direction=H","UseDPDF=Y")</f>
        <v>93.1661</v>
      </c>
      <c r="W36" s="13">
        <f>_xll.BDH("ITCI US Equity","IS_COMP_GROSS_MARGIN_PERCENTAGE","FQ2 2024","FQ2 2024","Currency=USD","Period=FQ","BEST_FPERIOD_OVERRIDE=FQ","FILING_STATUS=MR","Sort=A","Dates=H","DateFormat=P","Fill=—","Direction=H","UseDPDF=Y")</f>
        <v>92.964799999999997</v>
      </c>
      <c r="X36" s="13">
        <f>_xll.BDH("ITCI US Equity","IS_COMP_GROSS_MARGIN_PERCENTAGE","FQ3 2024","FQ3 2024","Currency=USD","Period=FQ","BEST_FPERIOD_OVERRIDE=FQ","FILING_STATUS=MR","Sort=A","Dates=H","DateFormat=P","Fill=—","Direction=H","UseDPDF=Y")</f>
        <v>91.273600000000002</v>
      </c>
      <c r="Y36" s="13" t="str">
        <f>_xll.BDH("ITCI US Equity","IS_COMP_GROSS_MARGIN_PERCENTAGE","FQ4 2024","FQ4 2024","Currency=USD","Period=FQ","BEST_FPERIOD_OVERRIDE=FQ","FILING_STATUS=MR","Sort=A","Dates=H","DateFormat=P","Fill=—","Direction=H","UseDPDF=Y")</f>
        <v>—</v>
      </c>
      <c r="Z36" s="13"/>
      <c r="AA36" s="13"/>
    </row>
    <row r="37" spans="1:27" x14ac:dyDescent="0.25">
      <c r="A37" s="11" t="s">
        <v>151</v>
      </c>
      <c r="B37" s="11"/>
      <c r="C37" s="25" t="s">
        <v>76</v>
      </c>
      <c r="D37" s="25" t="s">
        <v>76</v>
      </c>
      <c r="E37" s="25" t="s">
        <v>76</v>
      </c>
      <c r="F37" s="25">
        <v>2.86035384615385</v>
      </c>
      <c r="G37" s="25">
        <v>3.6203733333333301</v>
      </c>
      <c r="H37" s="25">
        <v>0.85746342740572101</v>
      </c>
      <c r="I37" s="25">
        <v>-0.17812637362636699</v>
      </c>
      <c r="J37" s="25">
        <v>1.3028349336991201</v>
      </c>
      <c r="K37" s="25">
        <v>-0.56398436894600401</v>
      </c>
      <c r="L37" s="25">
        <v>0.53921657458562899</v>
      </c>
      <c r="M37" s="25">
        <v>-0.35360985480964802</v>
      </c>
      <c r="N37" s="25">
        <v>1.00991840133222</v>
      </c>
      <c r="O37" s="25">
        <v>1.62307973827216</v>
      </c>
      <c r="P37" s="25">
        <v>2.19645217275216</v>
      </c>
      <c r="Q37" s="25">
        <v>2.0931635373908799</v>
      </c>
      <c r="R37" s="25">
        <v>1.32187633918269</v>
      </c>
      <c r="S37" s="25">
        <v>3.5374887922159899</v>
      </c>
      <c r="T37" s="25">
        <v>1.94930927234562</v>
      </c>
      <c r="U37" s="25">
        <v>1.1351755862964501</v>
      </c>
      <c r="V37" s="25">
        <v>0.89353374990525503</v>
      </c>
      <c r="W37" s="25">
        <v>0.70496457742055296</v>
      </c>
      <c r="X37" s="25">
        <v>-0.86073360415354805</v>
      </c>
      <c r="Y37" s="25" t="s">
        <v>76</v>
      </c>
      <c r="Z37" s="25"/>
      <c r="AA37" s="25"/>
    </row>
    <row r="38" spans="1:27" x14ac:dyDescent="0.25">
      <c r="A38" s="10" t="s">
        <v>135</v>
      </c>
      <c r="B38" s="10" t="s">
        <v>152</v>
      </c>
      <c r="C38" s="13" t="str">
        <f>_xll.BDH("ITCI US Equity","GROSS_MARGIN","FQ2 2019","FQ2 2019","Currency=USD","Period=FQ","BEST_FPERIOD_OVERRIDE=FQ","FILING_STATUS=MR","FA_ADJUSTED=GAAP","Sort=A","Dates=H","DateFormat=P","Fill=—","Direction=H","UseDPDF=Y")</f>
        <v>—</v>
      </c>
      <c r="D38" s="13" t="str">
        <f>_xll.BDH("ITCI US Equity","GROSS_MARGIN","FQ3 2019","FQ3 2019","Currency=USD","Period=FQ","BEST_FPERIOD_OVERRIDE=FQ","FILING_STATUS=MR","FA_ADJUSTED=GAAP","Sort=A","Dates=H","DateFormat=P","Fill=—","Direction=H","UseDPDF=Y")</f>
        <v>—</v>
      </c>
      <c r="E38" s="13" t="str">
        <f>_xll.BDH("ITCI US Equity","GROSS_MARGIN","FQ4 2019","FQ4 2019","Currency=USD","Period=FQ","BEST_FPERIOD_OVERRIDE=FQ","FILING_STATUS=MR","FA_ADJUSTED=GAAP","Sort=A","Dates=H","DateFormat=P","Fill=—","Direction=H","UseDPDF=Y")</f>
        <v>—</v>
      </c>
      <c r="F38" s="13">
        <f>_xll.BDH("ITCI US Equity","GROSS_MARGIN","FQ1 2020","FQ1 2020","Currency=USD","Period=FQ","BEST_FPERIOD_OVERRIDE=FQ","FILING_STATUS=MR","FA_ADJUSTED=GAAP","Sort=A","Dates=H","DateFormat=P","Fill=—","Direction=H","UseDPDF=Y")</f>
        <v>93.602900000000005</v>
      </c>
      <c r="G38" s="13">
        <f>_xll.BDH("ITCI US Equity","GROSS_MARGIN","FQ2 2020","FQ2 2020","Currency=USD","Period=FQ","BEST_FPERIOD_OVERRIDE=FQ","FILING_STATUS=MR","FA_ADJUSTED=GAAP","Sort=A","Dates=H","DateFormat=P","Fill=—","Direction=H","UseDPDF=Y")</f>
        <v>93.258300000000006</v>
      </c>
      <c r="H38" s="13">
        <f>_xll.BDH("ITCI US Equity","GROSS_MARGIN","FQ3 2020","FQ3 2020","Currency=USD","Period=FQ","BEST_FPERIOD_OVERRIDE=FQ","FILING_STATUS=MR","FA_ADJUSTED=GAAP","Sort=A","Dates=H","DateFormat=P","Fill=—","Direction=H","UseDPDF=Y")</f>
        <v>92.453000000000003</v>
      </c>
      <c r="I38" s="13">
        <f>_xll.BDH("ITCI US Equity","GROSS_MARGIN","FQ4 2020","FQ4 2020","Currency=USD","Period=FQ","BEST_FPERIOD_OVERRIDE=FQ","FILING_STATUS=MR","FA_ADJUSTED=GAAP","Sort=A","Dates=H","DateFormat=P","Fill=—","Direction=H","UseDPDF=Y")</f>
        <v>90.837900000000005</v>
      </c>
      <c r="J38" s="13">
        <f>_xll.BDH("ITCI US Equity","GROSS_MARGIN","FQ1 2021","FQ1 2021","Currency=USD","Period=FQ","BEST_FPERIOD_OVERRIDE=FQ","FILING_STATUS=MR","FA_ADJUSTED=GAAP","Sort=A","Dates=H","DateFormat=P","Fill=—","Direction=H","UseDPDF=Y")</f>
        <v>90.8352</v>
      </c>
      <c r="K38" s="13">
        <f>_xll.BDH("ITCI US Equity","GROSS_MARGIN","FQ2 2021","FQ2 2021","Currency=USD","Period=FQ","BEST_FPERIOD_OVERRIDE=FQ","FILING_STATUS=MR","FA_ADJUSTED=GAAP","Sort=A","Dates=H","DateFormat=P","Fill=—","Direction=H","UseDPDF=Y")</f>
        <v>89.823499999999996</v>
      </c>
      <c r="L38" s="13">
        <f>_xll.BDH("ITCI US Equity","GROSS_MARGIN","FQ3 2021","FQ3 2021","Currency=USD","Period=FQ","BEST_FPERIOD_OVERRIDE=FQ","FILING_STATUS=MR","FA_ADJUSTED=GAAP","Sort=A","Dates=H","DateFormat=P","Fill=—","Direction=H","UseDPDF=Y")</f>
        <v>90.988</v>
      </c>
      <c r="M38" s="13">
        <f>_xll.BDH("ITCI US Equity","GROSS_MARGIN","FQ4 2021","FQ4 2021","Currency=USD","Period=FQ","BEST_FPERIOD_OVERRIDE=FQ","FILING_STATUS=MR","FA_ADJUSTED=GAAP","Sort=A","Dates=H","DateFormat=P","Fill=—","Direction=H","UseDPDF=Y")</f>
        <v>90.113200000000006</v>
      </c>
      <c r="N38" s="13">
        <f>_xll.BDH("ITCI US Equity","GROSS_MARGIN","FQ1 2022","FQ1 2022","Currency=USD","Period=FQ","BEST_FPERIOD_OVERRIDE=FQ","FILING_STATUS=MR","FA_ADJUSTED=GAAP","Sort=A","Dates=H","DateFormat=P","Fill=—","Direction=H","UseDPDF=Y")</f>
        <v>90.984700000000004</v>
      </c>
      <c r="O38" s="13">
        <f>_xll.BDH("ITCI US Equity","GROSS_MARGIN","FQ2 2022","FQ2 2022","Currency=USD","Period=FQ","BEST_FPERIOD_OVERRIDE=FQ","FILING_STATUS=MR","FA_ADJUSTED=GAAP","Sort=A","Dates=H","DateFormat=P","Fill=—","Direction=H","UseDPDF=Y")</f>
        <v>91.633499999999998</v>
      </c>
      <c r="P38" s="13">
        <f>_xll.BDH("ITCI US Equity","GROSS_MARGIN","FQ3 2022","FQ3 2022","Currency=USD","Period=FQ","BEST_FPERIOD_OVERRIDE=FQ","FILING_STATUS=MR","FA_ADJUSTED=GAAP","Sort=A","Dates=H","DateFormat=P","Fill=—","Direction=H","UseDPDF=Y")</f>
        <v>91.860299999999995</v>
      </c>
      <c r="Q38" s="13">
        <f>_xll.BDH("ITCI US Equity","GROSS_MARGIN","FQ4 2022","FQ4 2022","Currency=USD","Period=FQ","BEST_FPERIOD_OVERRIDE=FQ","FILING_STATUS=MR","FA_ADJUSTED=GAAP","Sort=A","Dates=H","DateFormat=P","Fill=—","Direction=H","UseDPDF=Y")</f>
        <v>92.274900000000002</v>
      </c>
      <c r="R38" s="13">
        <f>_xll.BDH("ITCI US Equity","GROSS_MARGIN","FQ1 2023","FQ1 2023","Currency=USD","Period=FQ","BEST_FPERIOD_OVERRIDE=FQ","FILING_STATUS=MR","FA_ADJUSTED=GAAP","Sort=A","Dates=H","DateFormat=P","Fill=—","Direction=H","UseDPDF=Y")</f>
        <v>92.916499999999999</v>
      </c>
      <c r="S38" s="13">
        <f>_xll.BDH("ITCI US Equity","GROSS_MARGIN","FQ2 2023","FQ2 2023","Currency=USD","Period=FQ","BEST_FPERIOD_OVERRIDE=FQ","FILING_STATUS=MR","FA_ADJUSTED=GAAP","Sort=A","Dates=H","DateFormat=P","Fill=—","Direction=H","UseDPDF=Y")</f>
        <v>93.534700000000001</v>
      </c>
      <c r="T38" s="13">
        <f>_xll.BDH("ITCI US Equity","GROSS_MARGIN","FQ3 2023","FQ3 2023","Currency=USD","Period=FQ","BEST_FPERIOD_OVERRIDE=FQ","FILING_STATUS=MR","FA_ADJUSTED=GAAP","Sort=A","Dates=H","DateFormat=P","Fill=—","Direction=H","UseDPDF=Y")</f>
        <v>92.764700000000005</v>
      </c>
      <c r="U38" s="13">
        <f>_xll.BDH("ITCI US Equity","GROSS_MARGIN","FQ4 2023","FQ4 2023","Currency=USD","Period=FQ","BEST_FPERIOD_OVERRIDE=FQ","FILING_STATUS=MR","FA_ADJUSTED=GAAP","Sort=A","Dates=H","DateFormat=P","Fill=—","Direction=H","UseDPDF=Y")</f>
        <v>91.898499999999999</v>
      </c>
      <c r="V38" s="13">
        <f>_xll.BDH("ITCI US Equity","GROSS_MARGIN","FQ1 2024","FQ1 2024","Currency=USD","Period=FQ","BEST_FPERIOD_OVERRIDE=FQ","FILING_STATUS=MR","FA_ADJUSTED=GAAP","Sort=A","Dates=H","DateFormat=P","Fill=—","Direction=H","UseDPDF=Y")</f>
        <v>93.1661</v>
      </c>
      <c r="W38" s="13">
        <f>_xll.BDH("ITCI US Equity","GROSS_MARGIN","FQ2 2024","FQ2 2024","Currency=USD","Period=FQ","BEST_FPERIOD_OVERRIDE=FQ","FILING_STATUS=MR","FA_ADJUSTED=GAAP","Sort=A","Dates=H","DateFormat=P","Fill=—","Direction=H","UseDPDF=Y")</f>
        <v>92.964799999999997</v>
      </c>
      <c r="X38" s="13">
        <f>_xll.BDH("ITCI US Equity","GROSS_MARGIN","FQ3 2024","FQ3 2024","Currency=USD","Period=FQ","BEST_FPERIOD_OVERRIDE=FQ","FILING_STATUS=MR","FA_ADJUSTED=GAAP","Sort=A","Dates=H","DateFormat=P","Fill=—","Direction=H","UseDPDF=Y")</f>
        <v>91.273600000000002</v>
      </c>
      <c r="Y38" s="13">
        <f>_xll.BDH("ITCI US Equity","GROSS_MARGIN","FQ4 2024","FQ4 2024","Currency=USD","Period=FQ","BEST_FPERIOD_OVERRIDE=FQ","FILING_STATUS=MR","FA_ADJUSTED=GAAP","Sort=A","Dates=H","DateFormat=P","Fill=—","Direction=H","UseDPDF=Y")</f>
        <v>89.7577</v>
      </c>
      <c r="Z38" s="13"/>
      <c r="AA38" s="13"/>
    </row>
    <row r="39" spans="1:27" x14ac:dyDescent="0.25">
      <c r="A39" s="10" t="s">
        <v>136</v>
      </c>
      <c r="B39" s="10" t="s">
        <v>152</v>
      </c>
      <c r="C39" s="13" t="str">
        <f>_xll.BDH("ITCI US Equity","GROSS_MARGIN","FQ2 2019","FQ2 2019","Currency=USD","Period=FQ","BEST_FPERIOD_OVERRIDE=FQ","FILING_STATUS=MR","FA_ADJUSTED=Adjusted","Sort=A","Dates=H","DateFormat=P","Fill=—","Direction=H","UseDPDF=Y")</f>
        <v>—</v>
      </c>
      <c r="D39" s="13" t="str">
        <f>_xll.BDH("ITCI US Equity","GROSS_MARGIN","FQ3 2019","FQ3 2019","Currency=USD","Period=FQ","BEST_FPERIOD_OVERRIDE=FQ","FILING_STATUS=MR","FA_ADJUSTED=Adjusted","Sort=A","Dates=H","DateFormat=P","Fill=—","Direction=H","UseDPDF=Y")</f>
        <v>—</v>
      </c>
      <c r="E39" s="13" t="str">
        <f>_xll.BDH("ITCI US Equity","GROSS_MARGIN","FQ4 2019","FQ4 2019","Currency=USD","Period=FQ","BEST_FPERIOD_OVERRIDE=FQ","FILING_STATUS=MR","FA_ADJUSTED=Adjusted","Sort=A","Dates=H","DateFormat=P","Fill=—","Direction=H","UseDPDF=Y")</f>
        <v>—</v>
      </c>
      <c r="F39" s="13">
        <f>_xll.BDH("ITCI US Equity","GROSS_MARGIN","FQ1 2020","FQ1 2020","Currency=USD","Period=FQ","BEST_FPERIOD_OVERRIDE=FQ","FILING_STATUS=MR","FA_ADJUSTED=Adjusted","Sort=A","Dates=H","DateFormat=P","Fill=—","Direction=H","UseDPDF=Y")</f>
        <v>93.602900000000005</v>
      </c>
      <c r="G39" s="13">
        <f>_xll.BDH("ITCI US Equity","GROSS_MARGIN","FQ2 2020","FQ2 2020","Currency=USD","Period=FQ","BEST_FPERIOD_OVERRIDE=FQ","FILING_STATUS=MR","FA_ADJUSTED=Adjusted","Sort=A","Dates=H","DateFormat=P","Fill=—","Direction=H","UseDPDF=Y")</f>
        <v>93.258300000000006</v>
      </c>
      <c r="H39" s="13">
        <f>_xll.BDH("ITCI US Equity","GROSS_MARGIN","FQ3 2020","FQ3 2020","Currency=USD","Period=FQ","BEST_FPERIOD_OVERRIDE=FQ","FILING_STATUS=MR","FA_ADJUSTED=Adjusted","Sort=A","Dates=H","DateFormat=P","Fill=—","Direction=H","UseDPDF=Y")</f>
        <v>92.453000000000003</v>
      </c>
      <c r="I39" s="13">
        <f>_xll.BDH("ITCI US Equity","GROSS_MARGIN","FQ4 2020","FQ4 2020","Currency=USD","Period=FQ","BEST_FPERIOD_OVERRIDE=FQ","FILING_STATUS=MR","FA_ADJUSTED=Adjusted","Sort=A","Dates=H","DateFormat=P","Fill=—","Direction=H","UseDPDF=Y")</f>
        <v>90.837900000000005</v>
      </c>
      <c r="J39" s="13">
        <f>_xll.BDH("ITCI US Equity","GROSS_MARGIN","FQ1 2021","FQ1 2021","Currency=USD","Period=FQ","BEST_FPERIOD_OVERRIDE=FQ","FILING_STATUS=MR","FA_ADJUSTED=Adjusted","Sort=A","Dates=H","DateFormat=P","Fill=—","Direction=H","UseDPDF=Y")</f>
        <v>90.8352</v>
      </c>
      <c r="K39" s="13">
        <f>_xll.BDH("ITCI US Equity","GROSS_MARGIN","FQ2 2021","FQ2 2021","Currency=USD","Period=FQ","BEST_FPERIOD_OVERRIDE=FQ","FILING_STATUS=MR","FA_ADJUSTED=Adjusted","Sort=A","Dates=H","DateFormat=P","Fill=—","Direction=H","UseDPDF=Y")</f>
        <v>89.823499999999996</v>
      </c>
      <c r="L39" s="13">
        <f>_xll.BDH("ITCI US Equity","GROSS_MARGIN","FQ3 2021","FQ3 2021","Currency=USD","Period=FQ","BEST_FPERIOD_OVERRIDE=FQ","FILING_STATUS=MR","FA_ADJUSTED=Adjusted","Sort=A","Dates=H","DateFormat=P","Fill=—","Direction=H","UseDPDF=Y")</f>
        <v>90.988</v>
      </c>
      <c r="M39" s="13">
        <f>_xll.BDH("ITCI US Equity","GROSS_MARGIN","FQ4 2021","FQ4 2021","Currency=USD","Period=FQ","BEST_FPERIOD_OVERRIDE=FQ","FILING_STATUS=MR","FA_ADJUSTED=Adjusted","Sort=A","Dates=H","DateFormat=P","Fill=—","Direction=H","UseDPDF=Y")</f>
        <v>90.113200000000006</v>
      </c>
      <c r="N39" s="13">
        <f>_xll.BDH("ITCI US Equity","GROSS_MARGIN","FQ1 2022","FQ1 2022","Currency=USD","Period=FQ","BEST_FPERIOD_OVERRIDE=FQ","FILING_STATUS=MR","FA_ADJUSTED=Adjusted","Sort=A","Dates=H","DateFormat=P","Fill=—","Direction=H","UseDPDF=Y")</f>
        <v>90.984700000000004</v>
      </c>
      <c r="O39" s="13">
        <f>_xll.BDH("ITCI US Equity","GROSS_MARGIN","FQ2 2022","FQ2 2022","Currency=USD","Period=FQ","BEST_FPERIOD_OVERRIDE=FQ","FILING_STATUS=MR","FA_ADJUSTED=Adjusted","Sort=A","Dates=H","DateFormat=P","Fill=—","Direction=H","UseDPDF=Y")</f>
        <v>91.633499999999998</v>
      </c>
      <c r="P39" s="13">
        <f>_xll.BDH("ITCI US Equity","GROSS_MARGIN","FQ3 2022","FQ3 2022","Currency=USD","Period=FQ","BEST_FPERIOD_OVERRIDE=FQ","FILING_STATUS=MR","FA_ADJUSTED=Adjusted","Sort=A","Dates=H","DateFormat=P","Fill=—","Direction=H","UseDPDF=Y")</f>
        <v>91.860299999999995</v>
      </c>
      <c r="Q39" s="13">
        <f>_xll.BDH("ITCI US Equity","GROSS_MARGIN","FQ4 2022","FQ4 2022","Currency=USD","Period=FQ","BEST_FPERIOD_OVERRIDE=FQ","FILING_STATUS=MR","FA_ADJUSTED=Adjusted","Sort=A","Dates=H","DateFormat=P","Fill=—","Direction=H","UseDPDF=Y")</f>
        <v>92.274900000000002</v>
      </c>
      <c r="R39" s="13">
        <f>_xll.BDH("ITCI US Equity","GROSS_MARGIN","FQ1 2023","FQ1 2023","Currency=USD","Period=FQ","BEST_FPERIOD_OVERRIDE=FQ","FILING_STATUS=MR","FA_ADJUSTED=Adjusted","Sort=A","Dates=H","DateFormat=P","Fill=—","Direction=H","UseDPDF=Y")</f>
        <v>92.916499999999999</v>
      </c>
      <c r="S39" s="13">
        <f>_xll.BDH("ITCI US Equity","GROSS_MARGIN","FQ2 2023","FQ2 2023","Currency=USD","Period=FQ","BEST_FPERIOD_OVERRIDE=FQ","FILING_STATUS=MR","FA_ADJUSTED=Adjusted","Sort=A","Dates=H","DateFormat=P","Fill=—","Direction=H","UseDPDF=Y")</f>
        <v>93.534700000000001</v>
      </c>
      <c r="T39" s="13">
        <f>_xll.BDH("ITCI US Equity","GROSS_MARGIN","FQ3 2023","FQ3 2023","Currency=USD","Period=FQ","BEST_FPERIOD_OVERRIDE=FQ","FILING_STATUS=MR","FA_ADJUSTED=Adjusted","Sort=A","Dates=H","DateFormat=P","Fill=—","Direction=H","UseDPDF=Y")</f>
        <v>92.764700000000005</v>
      </c>
      <c r="U39" s="13">
        <f>_xll.BDH("ITCI US Equity","GROSS_MARGIN","FQ4 2023","FQ4 2023","Currency=USD","Period=FQ","BEST_FPERIOD_OVERRIDE=FQ","FILING_STATUS=MR","FA_ADJUSTED=Adjusted","Sort=A","Dates=H","DateFormat=P","Fill=—","Direction=H","UseDPDF=Y")</f>
        <v>91.898499999999999</v>
      </c>
      <c r="V39" s="13">
        <f>_xll.BDH("ITCI US Equity","GROSS_MARGIN","FQ1 2024","FQ1 2024","Currency=USD","Period=FQ","BEST_FPERIOD_OVERRIDE=FQ","FILING_STATUS=MR","FA_ADJUSTED=Adjusted","Sort=A","Dates=H","DateFormat=P","Fill=—","Direction=H","UseDPDF=Y")</f>
        <v>93.1661</v>
      </c>
      <c r="W39" s="13">
        <f>_xll.BDH("ITCI US Equity","GROSS_MARGIN","FQ2 2024","FQ2 2024","Currency=USD","Period=FQ","BEST_FPERIOD_OVERRIDE=FQ","FILING_STATUS=MR","FA_ADJUSTED=Adjusted","Sort=A","Dates=H","DateFormat=P","Fill=—","Direction=H","UseDPDF=Y")</f>
        <v>92.964799999999997</v>
      </c>
      <c r="X39" s="13">
        <f>_xll.BDH("ITCI US Equity","GROSS_MARGIN","FQ3 2024","FQ3 2024","Currency=USD","Period=FQ","BEST_FPERIOD_OVERRIDE=FQ","FILING_STATUS=MR","FA_ADJUSTED=Adjusted","Sort=A","Dates=H","DateFormat=P","Fill=—","Direction=H","UseDPDF=Y")</f>
        <v>91.273600000000002</v>
      </c>
      <c r="Y39" s="13">
        <f>_xll.BDH("ITCI US Equity","GROSS_MARGIN","FQ4 2024","FQ4 2024","Currency=USD","Period=FQ","BEST_FPERIOD_OVERRIDE=FQ","FILING_STATUS=MR","FA_ADJUSTED=Adjusted","Sort=A","Dates=H","DateFormat=P","Fill=—","Direction=H","UseDPDF=Y")</f>
        <v>89.7577</v>
      </c>
      <c r="Z39" s="13"/>
      <c r="AA39" s="13"/>
    </row>
    <row r="40" spans="1:27" x14ac:dyDescent="0.25">
      <c r="A40" s="10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5">
      <c r="A41" s="6" t="s">
        <v>153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x14ac:dyDescent="0.25">
      <c r="A42" s="10" t="s">
        <v>130</v>
      </c>
      <c r="B42" s="10" t="s">
        <v>154</v>
      </c>
      <c r="C42" s="13">
        <f>_xll.BDH("ITCI US Equity","BEST_PTP","FQ2 2019","FQ2 2019","Currency=USD","Period=FQ","BEST_FPERIOD_OVERRIDE=FQ","FILING_STATUS=MR","Sort=A","Dates=H","DateFormat=P","Fill=—","Direction=H","UseDPDF=Y")</f>
        <v>-47.482999999999997</v>
      </c>
      <c r="D42" s="13">
        <f>_xll.BDH("ITCI US Equity","BEST_PTP","FQ3 2019","FQ3 2019","Currency=USD","Period=FQ","BEST_FPERIOD_OVERRIDE=FQ","FILING_STATUS=MR","Sort=A","Dates=H","DateFormat=P","Fill=—","Direction=H","UseDPDF=Y")</f>
        <v>-46.814</v>
      </c>
      <c r="E42" s="13">
        <f>_xll.BDH("ITCI US Equity","BEST_PTP","FQ4 2019","FQ4 2019","Currency=USD","Period=FQ","BEST_FPERIOD_OVERRIDE=FQ","FILING_STATUS=MR","Sort=A","Dates=H","DateFormat=P","Fill=—","Direction=H","UseDPDF=Y")</f>
        <v>-45.6</v>
      </c>
      <c r="F42" s="13">
        <f>_xll.BDH("ITCI US Equity","BEST_PTP","FQ1 2020","FQ1 2020","Currency=USD","Period=FQ","BEST_FPERIOD_OVERRIDE=FQ","FILING_STATUS=MR","Sort=A","Dates=H","DateFormat=P","Fill=—","Direction=H","UseDPDF=Y")</f>
        <v>-60.283000000000001</v>
      </c>
      <c r="G42" s="13">
        <f>_xll.BDH("ITCI US Equity","BEST_PTP","FQ2 2020","FQ2 2020","Currency=USD","Period=FQ","BEST_FPERIOD_OVERRIDE=FQ","FILING_STATUS=MR","Sort=A","Dates=H","DateFormat=P","Fill=—","Direction=H","UseDPDF=Y")</f>
        <v>-62.167000000000002</v>
      </c>
      <c r="H42" s="13">
        <f>_xll.BDH("ITCI US Equity","BEST_PTP","FQ3 2020","FQ3 2020","Currency=USD","Period=FQ","BEST_FPERIOD_OVERRIDE=FQ","FILING_STATUS=MR","Sort=A","Dates=H","DateFormat=P","Fill=—","Direction=H","UseDPDF=Y")</f>
        <v>-68.114000000000004</v>
      </c>
      <c r="I42" s="13">
        <f>_xll.BDH("ITCI US Equity","BEST_PTP","FQ4 2020","FQ4 2020","Currency=USD","Period=FQ","BEST_FPERIOD_OVERRIDE=FQ","FILING_STATUS=MR","Sort=A","Dates=H","DateFormat=P","Fill=—","Direction=H","UseDPDF=Y")</f>
        <v>-69.3</v>
      </c>
      <c r="J42" s="13">
        <f>_xll.BDH("ITCI US Equity","BEST_PTP","FQ1 2021","FQ1 2021","Currency=USD","Period=FQ","BEST_FPERIOD_OVERRIDE=FQ","FILING_STATUS=MR","Sort=A","Dates=H","DateFormat=P","Fill=—","Direction=H","UseDPDF=Y")</f>
        <v>-64.683000000000007</v>
      </c>
      <c r="K42" s="13">
        <f>_xll.BDH("ITCI US Equity","BEST_PTP","FQ2 2021","FQ2 2021","Currency=USD","Period=FQ","BEST_FPERIOD_OVERRIDE=FQ","FILING_STATUS=MR","Sort=A","Dates=H","DateFormat=P","Fill=—","Direction=H","UseDPDF=Y")</f>
        <v>-65</v>
      </c>
      <c r="L42" s="13">
        <f>_xll.BDH("ITCI US Equity","BEST_PTP","FQ3 2021","FQ3 2021","Currency=USD","Period=FQ","BEST_FPERIOD_OVERRIDE=FQ","FILING_STATUS=MR","Sort=A","Dates=H","DateFormat=P","Fill=—","Direction=H","UseDPDF=Y")</f>
        <v>-73.456999999999994</v>
      </c>
      <c r="M42" s="13">
        <f>_xll.BDH("ITCI US Equity","BEST_PTP","FQ4 2021","FQ4 2021","Currency=USD","Period=FQ","BEST_FPERIOD_OVERRIDE=FQ","FILING_STATUS=MR","Sort=A","Dates=H","DateFormat=P","Fill=—","Direction=H","UseDPDF=Y")</f>
        <v>-83.028999999999996</v>
      </c>
      <c r="N42" s="13">
        <f>_xll.BDH("ITCI US Equity","BEST_PTP","FQ1 2022","FQ1 2022","Currency=USD","Period=FQ","BEST_FPERIOD_OVERRIDE=FQ","FILING_STATUS=MR","Sort=A","Dates=H","DateFormat=P","Fill=—","Direction=H","UseDPDF=Y")</f>
        <v>-88.286000000000001</v>
      </c>
      <c r="O42" s="13">
        <f>_xll.BDH("ITCI US Equity","BEST_PTP","FQ2 2022","FQ2 2022","Currency=USD","Period=FQ","BEST_FPERIOD_OVERRIDE=FQ","FILING_STATUS=MR","Sort=A","Dates=H","DateFormat=P","Fill=—","Direction=H","UseDPDF=Y")</f>
        <v>-72.47</v>
      </c>
      <c r="P42" s="13">
        <f>_xll.BDH("ITCI US Equity","BEST_PTP","FQ3 2022","FQ3 2022","Currency=USD","Period=FQ","BEST_FPERIOD_OVERRIDE=FQ","FILING_STATUS=MR","Sort=A","Dates=H","DateFormat=P","Fill=—","Direction=H","UseDPDF=Y")</f>
        <v>-79.436999999999998</v>
      </c>
      <c r="Q42" s="13">
        <f>_xll.BDH("ITCI US Equity","BEST_PTP","FQ4 2022","FQ4 2022","Currency=USD","Period=FQ","BEST_FPERIOD_OVERRIDE=FQ","FILING_STATUS=MR","Sort=A","Dates=H","DateFormat=P","Fill=—","Direction=H","UseDPDF=Y")</f>
        <v>-56.527000000000001</v>
      </c>
      <c r="R42" s="13">
        <f>_xll.BDH("ITCI US Equity","BEST_PTP","FQ1 2023","FQ1 2023","Currency=USD","Period=FQ","BEST_FPERIOD_OVERRIDE=FQ","FILING_STATUS=MR","Sort=A","Dates=H","DateFormat=P","Fill=—","Direction=H","UseDPDF=Y")</f>
        <v>-57.7</v>
      </c>
      <c r="S42" s="13">
        <f>_xll.BDH("ITCI US Equity","BEST_PTP","FQ2 2023","FQ2 2023","Currency=USD","Period=FQ","BEST_FPERIOD_OVERRIDE=FQ","FILING_STATUS=MR","Sort=A","Dates=H","DateFormat=P","Fill=—","Direction=H","UseDPDF=Y")</f>
        <v>-57.47</v>
      </c>
      <c r="T42" s="13">
        <f>_xll.BDH("ITCI US Equity","BEST_PTP","FQ3 2023","FQ3 2023","Currency=USD","Period=FQ","BEST_FPERIOD_OVERRIDE=FQ","FILING_STATUS=MR","Sort=A","Dates=H","DateFormat=P","Fill=—","Direction=H","UseDPDF=Y")</f>
        <v>-55.02</v>
      </c>
      <c r="U42" s="13">
        <f>_xll.BDH("ITCI US Equity","BEST_PTP","FQ4 2023","FQ4 2023","Currency=USD","Period=FQ","BEST_FPERIOD_OVERRIDE=FQ","FILING_STATUS=MR","Sort=A","Dates=H","DateFormat=P","Fill=—","Direction=H","UseDPDF=Y")</f>
        <v>-43.244999999999997</v>
      </c>
      <c r="V42" s="13">
        <f>_xll.BDH("ITCI US Equity","BEST_PTP","FQ1 2024","FQ1 2024","Currency=USD","Period=FQ","BEST_FPERIOD_OVERRIDE=FQ","FILING_STATUS=MR","Sort=A","Dates=H","DateFormat=P","Fill=—","Direction=H","UseDPDF=Y")</f>
        <v>-30.957999999999998</v>
      </c>
      <c r="W42" s="13">
        <f>_xll.BDH("ITCI US Equity","BEST_PTP","FQ2 2024","FQ2 2024","Currency=USD","Period=FQ","BEST_FPERIOD_OVERRIDE=FQ","FILING_STATUS=MR","Sort=A","Dates=H","DateFormat=P","Fill=—","Direction=H","UseDPDF=Y")</f>
        <v>-21.242000000000001</v>
      </c>
      <c r="X42" s="13">
        <f>_xll.BDH("ITCI US Equity","BEST_PTP","FQ3 2024","FQ3 2024","Currency=USD","Period=FQ","BEST_FPERIOD_OVERRIDE=FQ","FILING_STATUS=MR","Sort=A","Dates=H","DateFormat=P","Fill=—","Direction=H","UseDPDF=Y")</f>
        <v>-20.901</v>
      </c>
      <c r="Y42" s="13">
        <f>_xll.BDH("ITCI US Equity","BEST_PTP","FQ4 2024","FQ4 2024","Currency=USD","Period=FQ","BEST_FPERIOD_OVERRIDE=FQ","FILING_STATUS=MR","Sort=A","Dates=H","DateFormat=P","Fill=—","Direction=H","UseDPDF=Y")</f>
        <v>-11.712</v>
      </c>
      <c r="Z42" s="13">
        <v>-14.47</v>
      </c>
      <c r="AA42" s="13">
        <v>-4.867</v>
      </c>
    </row>
    <row r="43" spans="1:27" x14ac:dyDescent="0.25">
      <c r="A43" s="10" t="s">
        <v>132</v>
      </c>
      <c r="B43" s="10" t="s">
        <v>155</v>
      </c>
      <c r="C43" s="13">
        <f>_xll.BDH("ITCI US Equity","IS_COMP_PTP_EX_STK_BASED_COMP","FQ2 2019","FQ2 2019","Currency=USD","Period=FQ","BEST_FPERIOD_OVERRIDE=FQ","FILING_STATUS=MR","SCALING_FORMAT=MLN","Sort=A","Dates=H","DateFormat=P","Fill=—","Direction=H","UseDPDF=Y")</f>
        <v>-37.439599999999999</v>
      </c>
      <c r="D43" s="13">
        <f>_xll.BDH("ITCI US Equity","IS_COMP_PTP_EX_STK_BASED_COMP","FQ3 2019","FQ3 2019","Currency=USD","Period=FQ","BEST_FPERIOD_OVERRIDE=FQ","FILING_STATUS=MR","SCALING_FORMAT=MLN","Sort=A","Dates=H","DateFormat=P","Fill=—","Direction=H","UseDPDF=Y")</f>
        <v>-34.862400000000001</v>
      </c>
      <c r="E43" s="13">
        <f>_xll.BDH("ITCI US Equity","IS_COMP_PTP_EX_STK_BASED_COMP","FQ4 2019","FQ4 2019","Currency=USD","Period=FQ","BEST_FPERIOD_OVERRIDE=FQ","FILING_STATUS=MR","SCALING_FORMAT=MLN","Sort=A","Dates=H","DateFormat=P","Fill=—","Direction=H","UseDPDF=Y")</f>
        <v>-40.582900000000002</v>
      </c>
      <c r="F43" s="13">
        <f>_xll.BDH("ITCI US Equity","IS_COMP_PTP_EX_STK_BASED_COMP","FQ1 2020","FQ1 2020","Currency=USD","Period=FQ","BEST_FPERIOD_OVERRIDE=FQ","FILING_STATUS=MR","SCALING_FORMAT=MLN","Sort=A","Dates=H","DateFormat=P","Fill=—","Direction=H","UseDPDF=Y")</f>
        <v>-47.407299999999999</v>
      </c>
      <c r="G43" s="13">
        <f>_xll.BDH("ITCI US Equity","IS_COMP_PTP_EX_STK_BASED_COMP","FQ2 2020","FQ2 2020","Currency=USD","Period=FQ","BEST_FPERIOD_OVERRIDE=FQ","FILING_STATUS=MR","SCALING_FORMAT=MLN","Sort=A","Dates=H","DateFormat=P","Fill=—","Direction=H","UseDPDF=Y")</f>
        <v>-63.712299999999999</v>
      </c>
      <c r="H43" s="13">
        <f>_xll.BDH("ITCI US Equity","IS_COMP_PTP_EX_STK_BASED_COMP","FQ3 2020","FQ3 2020","Currency=USD","Period=FQ","BEST_FPERIOD_OVERRIDE=FQ","FILING_STATUS=MR","SCALING_FORMAT=MLN","Sort=A","Dates=H","DateFormat=P","Fill=—","Direction=H","UseDPDF=Y")</f>
        <v>-55.183599999999998</v>
      </c>
      <c r="I43" s="13">
        <f>_xll.BDH("ITCI US Equity","IS_COMP_PTP_EX_STK_BASED_COMP","FQ4 2020","FQ4 2020","Currency=USD","Period=FQ","BEST_FPERIOD_OVERRIDE=FQ","FILING_STATUS=MR","SCALING_FORMAT=MLN","Sort=A","Dates=H","DateFormat=P","Fill=—","Direction=H","UseDPDF=Y")</f>
        <v>-60.688899999999997</v>
      </c>
      <c r="J43" s="13">
        <f>_xll.BDH("ITCI US Equity","IS_COMP_PTP_EX_STK_BASED_COMP","FQ1 2021","FQ1 2021","Currency=USD","Period=FQ","BEST_FPERIOD_OVERRIDE=FQ","FILING_STATUS=MR","SCALING_FORMAT=MLN","Sort=A","Dates=H","DateFormat=P","Fill=—","Direction=H","UseDPDF=Y")</f>
        <v>-52.734900000000003</v>
      </c>
      <c r="K43" s="13">
        <f>_xll.BDH("ITCI US Equity","IS_COMP_PTP_EX_STK_BASED_COMP","FQ2 2021","FQ2 2021","Currency=USD","Period=FQ","BEST_FPERIOD_OVERRIDE=FQ","FILING_STATUS=MR","SCALING_FORMAT=MLN","Sort=A","Dates=H","DateFormat=P","Fill=—","Direction=H","UseDPDF=Y")</f>
        <v>-68.72</v>
      </c>
      <c r="L43" s="13">
        <f>_xll.BDH("ITCI US Equity","IS_COMP_PTP_EX_STK_BASED_COMP","FQ3 2021","FQ3 2021","Currency=USD","Period=FQ","BEST_FPERIOD_OVERRIDE=FQ","FILING_STATUS=MR","SCALING_FORMAT=MLN","Sort=A","Dates=H","DateFormat=P","Fill=—","Direction=H","UseDPDF=Y")</f>
        <v>-76.931100000000001</v>
      </c>
      <c r="M43" s="13">
        <f>_xll.BDH("ITCI US Equity","IS_COMP_PTP_EX_STK_BASED_COMP","FQ4 2021","FQ4 2021","Currency=USD","Period=FQ","BEST_FPERIOD_OVERRIDE=FQ","FILING_STATUS=MR","SCALING_FORMAT=MLN","Sort=A","Dates=H","DateFormat=P","Fill=—","Direction=H","UseDPDF=Y")</f>
        <v>-85.733900000000006</v>
      </c>
      <c r="N43" s="13">
        <f>_xll.BDH("ITCI US Equity","IS_COMP_PTP_EX_STK_BASED_COMP","FQ1 2022","FQ1 2022","Currency=USD","Period=FQ","BEST_FPERIOD_OVERRIDE=FQ","FILING_STATUS=MR","SCALING_FORMAT=MLN","Sort=A","Dates=H","DateFormat=P","Fill=—","Direction=H","UseDPDF=Y")</f>
        <v>-72.114000000000004</v>
      </c>
      <c r="O43" s="13">
        <f>_xll.BDH("ITCI US Equity","IS_COMP_PTP_EX_STK_BASED_COMP","FQ2 2022","FQ2 2022","Currency=USD","Period=FQ","BEST_FPERIOD_OVERRIDE=FQ","FILING_STATUS=MR","SCALING_FORMAT=MLN","Sort=A","Dates=H","DateFormat=P","Fill=—","Direction=H","UseDPDF=Y")</f>
        <v>-86.602999999999994</v>
      </c>
      <c r="P43" s="13">
        <f>_xll.BDH("ITCI US Equity","IS_COMP_PTP_EX_STK_BASED_COMP","FQ3 2022","FQ3 2022","Currency=USD","Period=FQ","BEST_FPERIOD_OVERRIDE=FQ","FILING_STATUS=MR","SCALING_FORMAT=MLN","Sort=A","Dates=H","DateFormat=P","Fill=—","Direction=H","UseDPDF=Y")</f>
        <v>-53.506999999999998</v>
      </c>
      <c r="Q43" s="13">
        <f>_xll.BDH("ITCI US Equity","IS_COMP_PTP_EX_STK_BASED_COMP","FQ4 2022","FQ4 2022","Currency=USD","Period=FQ","BEST_FPERIOD_OVERRIDE=FQ","FILING_STATUS=MR","SCALING_FORMAT=MLN","Sort=A","Dates=H","DateFormat=P","Fill=—","Direction=H","UseDPDF=Y")</f>
        <v>-44.026000000000003</v>
      </c>
      <c r="R43" s="13">
        <f>_xll.BDH("ITCI US Equity","IS_COMP_PTP_EX_STK_BASED_COMP","FQ1 2023","FQ1 2023","Currency=USD","Period=FQ","BEST_FPERIOD_OVERRIDE=FQ","FILING_STATUS=MR","SCALING_FORMAT=MLN","Sort=A","Dates=H","DateFormat=P","Fill=—","Direction=H","UseDPDF=Y")</f>
        <v>-44.042999999999999</v>
      </c>
      <c r="S43" s="13">
        <f>_xll.BDH("ITCI US Equity","IS_COMP_PTP_EX_STK_BASED_COMP","FQ2 2023","FQ2 2023","Currency=USD","Period=FQ","BEST_FPERIOD_OVERRIDE=FQ","FILING_STATUS=MR","SCALING_FORMAT=MLN","Sort=A","Dates=H","DateFormat=P","Fill=—","Direction=H","UseDPDF=Y")</f>
        <v>-42.649000000000001</v>
      </c>
      <c r="T43" s="13">
        <f>_xll.BDH("ITCI US Equity","IS_COMP_PTP_EX_STK_BASED_COMP","FQ3 2023","FQ3 2023","Currency=USD","Period=FQ","BEST_FPERIOD_OVERRIDE=FQ","FILING_STATUS=MR","SCALING_FORMAT=MLN","Sort=A","Dates=H","DateFormat=P","Fill=—","Direction=H","UseDPDF=Y")</f>
        <v>-24.215</v>
      </c>
      <c r="U43" s="13">
        <f>_xll.BDH("ITCI US Equity","IS_COMP_PTP_EX_STK_BASED_COMP","FQ4 2023","FQ4 2023","Currency=USD","Period=FQ","BEST_FPERIOD_OVERRIDE=FQ","FILING_STATUS=MR","SCALING_FORMAT=MLN","Sort=A","Dates=H","DateFormat=P","Fill=—","Direction=H","UseDPDF=Y")</f>
        <v>-28.131</v>
      </c>
      <c r="V43" s="13">
        <f>_xll.BDH("ITCI US Equity","IS_COMP_PTP_EX_STK_BASED_COMP","FQ1 2024","FQ1 2024","Currency=USD","Period=FQ","BEST_FPERIOD_OVERRIDE=FQ","FILING_STATUS=MR","SCALING_FORMAT=MLN","Sort=A","Dates=H","DateFormat=P","Fill=—","Direction=H","UseDPDF=Y")</f>
        <v>-14.888</v>
      </c>
      <c r="W43" s="13">
        <f>_xll.BDH("ITCI US Equity","IS_COMP_PTP_EX_STK_BASED_COMP","FQ2 2024","FQ2 2024","Currency=USD","Period=FQ","BEST_FPERIOD_OVERRIDE=FQ","FILING_STATUS=MR","SCALING_FORMAT=MLN","Sort=A","Dates=H","DateFormat=P","Fill=—","Direction=H","UseDPDF=Y")</f>
        <v>-16.163</v>
      </c>
      <c r="X43" s="13">
        <f>_xll.BDH("ITCI US Equity","IS_COMP_PTP_EX_STK_BASED_COMP","FQ3 2024","FQ3 2024","Currency=USD","Period=FQ","BEST_FPERIOD_OVERRIDE=FQ","FILING_STATUS=MR","SCALING_FORMAT=MLN","Sort=A","Dates=H","DateFormat=P","Fill=—","Direction=H","UseDPDF=Y")</f>
        <v>-25.95</v>
      </c>
      <c r="Y43" s="13">
        <f>_xll.BDH("ITCI US Equity","IS_COMP_PTP_EX_STK_BASED_COMP","FQ4 2024","FQ4 2024","Currency=USD","Period=FQ","BEST_FPERIOD_OVERRIDE=FQ","FILING_STATUS=MR","SCALING_FORMAT=MLN","Sort=A","Dates=H","DateFormat=P","Fill=—","Direction=H","UseDPDF=Y")</f>
        <v>-17.202000000000002</v>
      </c>
      <c r="Z43" s="13"/>
      <c r="AA43" s="13"/>
    </row>
    <row r="44" spans="1:27" x14ac:dyDescent="0.25">
      <c r="A44" s="11" t="s">
        <v>156</v>
      </c>
      <c r="B44" s="11"/>
      <c r="C44" s="25">
        <v>21.1516458521997</v>
      </c>
      <c r="D44" s="25">
        <v>25.529971803306701</v>
      </c>
      <c r="E44" s="25">
        <v>11.0025197368421</v>
      </c>
      <c r="F44" s="25">
        <v>21.3587230230745</v>
      </c>
      <c r="G44" s="25">
        <v>-2.4856563771775999</v>
      </c>
      <c r="H44" s="25">
        <v>18.983432187215602</v>
      </c>
      <c r="I44" s="25">
        <v>12.425763347763301</v>
      </c>
      <c r="J44" s="25">
        <v>18.471711268803201</v>
      </c>
      <c r="K44" s="25">
        <v>-5.7231169230769297</v>
      </c>
      <c r="L44" s="25">
        <v>-4.7294730250350598</v>
      </c>
      <c r="M44" s="25">
        <v>-3.2578219658191698</v>
      </c>
      <c r="N44" s="25">
        <v>18.3177400720386</v>
      </c>
      <c r="O44" s="25">
        <v>-19.501862839795798</v>
      </c>
      <c r="P44" s="25">
        <v>32.642219620579802</v>
      </c>
      <c r="Q44" s="25">
        <v>22.115095441116601</v>
      </c>
      <c r="R44" s="25">
        <v>23.6689774696707</v>
      </c>
      <c r="S44" s="25">
        <v>25.7891073603619</v>
      </c>
      <c r="T44" s="25">
        <v>55.988731370410797</v>
      </c>
      <c r="U44" s="25">
        <v>34.949705168227503</v>
      </c>
      <c r="V44" s="25">
        <v>51.909038051553701</v>
      </c>
      <c r="W44" s="25">
        <v>23.910177949345599</v>
      </c>
      <c r="X44" s="25">
        <v>-24.1567389120138</v>
      </c>
      <c r="Y44" s="25">
        <v>-46.875</v>
      </c>
      <c r="Z44" s="25"/>
      <c r="AA44" s="25"/>
    </row>
    <row r="45" spans="1:27" x14ac:dyDescent="0.25">
      <c r="A45" s="10" t="s">
        <v>135</v>
      </c>
      <c r="B45" s="10" t="s">
        <v>157</v>
      </c>
      <c r="C45" s="13">
        <f>_xll.BDH("ITCI US Equity","PRETAX_INC","FQ2 2019","FQ2 2019","Currency=USD","Period=FQ","BEST_FPERIOD_OVERRIDE=FQ","FILING_STATUS=MR","SCALING_FORMAT=MLN","FA_ADJUSTED=GAAP","Sort=A","Dates=H","DateFormat=P","Fill=—","Direction=H","UseDPDF=Y")</f>
        <v>-37.439599999999999</v>
      </c>
      <c r="D45" s="13">
        <f>_xll.BDH("ITCI US Equity","PRETAX_INC","FQ3 2019","FQ3 2019","Currency=USD","Period=FQ","BEST_FPERIOD_OVERRIDE=FQ","FILING_STATUS=MR","SCALING_FORMAT=MLN","FA_ADJUSTED=GAAP","Sort=A","Dates=H","DateFormat=P","Fill=—","Direction=H","UseDPDF=Y")</f>
        <v>-34.862400000000001</v>
      </c>
      <c r="E45" s="13">
        <f>_xll.BDH("ITCI US Equity","PRETAX_INC","FQ4 2019","FQ4 2019","Currency=USD","Period=FQ","BEST_FPERIOD_OVERRIDE=FQ","FILING_STATUS=MR","SCALING_FORMAT=MLN","FA_ADJUSTED=GAAP","Sort=A","Dates=H","DateFormat=P","Fill=—","Direction=H","UseDPDF=Y")</f>
        <v>-40.582900000000002</v>
      </c>
      <c r="F45" s="13">
        <f>_xll.BDH("ITCI US Equity","PRETAX_INC","FQ1 2020","FQ1 2020","Currency=USD","Period=FQ","BEST_FPERIOD_OVERRIDE=FQ","FILING_STATUS=MR","SCALING_FORMAT=MLN","FA_ADJUSTED=GAAP","Sort=A","Dates=H","DateFormat=P","Fill=—","Direction=H","UseDPDF=Y")</f>
        <v>-47.407299999999999</v>
      </c>
      <c r="G45" s="13">
        <f>_xll.BDH("ITCI US Equity","PRETAX_INC","FQ2 2020","FQ2 2020","Currency=USD","Period=FQ","BEST_FPERIOD_OVERRIDE=FQ","FILING_STATUS=MR","SCALING_FORMAT=MLN","FA_ADJUSTED=GAAP","Sort=A","Dates=H","DateFormat=P","Fill=—","Direction=H","UseDPDF=Y")</f>
        <v>-63.712299999999999</v>
      </c>
      <c r="H45" s="13">
        <f>_xll.BDH("ITCI US Equity","PRETAX_INC","FQ3 2020","FQ3 2020","Currency=USD","Period=FQ","BEST_FPERIOD_OVERRIDE=FQ","FILING_STATUS=MR","SCALING_FORMAT=MLN","FA_ADJUSTED=GAAP","Sort=A","Dates=H","DateFormat=P","Fill=—","Direction=H","UseDPDF=Y")</f>
        <v>-55.183599999999998</v>
      </c>
      <c r="I45" s="13">
        <f>_xll.BDH("ITCI US Equity","PRETAX_INC","FQ4 2020","FQ4 2020","Currency=USD","Period=FQ","BEST_FPERIOD_OVERRIDE=FQ","FILING_STATUS=MR","SCALING_FORMAT=MLN","FA_ADJUSTED=GAAP","Sort=A","Dates=H","DateFormat=P","Fill=—","Direction=H","UseDPDF=Y")</f>
        <v>-60.688899999999997</v>
      </c>
      <c r="J45" s="13">
        <f>_xll.BDH("ITCI US Equity","PRETAX_INC","FQ1 2021","FQ1 2021","Currency=USD","Period=FQ","BEST_FPERIOD_OVERRIDE=FQ","FILING_STATUS=MR","SCALING_FORMAT=MLN","FA_ADJUSTED=GAAP","Sort=A","Dates=H","DateFormat=P","Fill=—","Direction=H","UseDPDF=Y")</f>
        <v>-52.734900000000003</v>
      </c>
      <c r="K45" s="13">
        <f>_xll.BDH("ITCI US Equity","PRETAX_INC","FQ2 2021","FQ2 2021","Currency=USD","Period=FQ","BEST_FPERIOD_OVERRIDE=FQ","FILING_STATUS=MR","SCALING_FORMAT=MLN","FA_ADJUSTED=GAAP","Sort=A","Dates=H","DateFormat=P","Fill=—","Direction=H","UseDPDF=Y")</f>
        <v>-68.72</v>
      </c>
      <c r="L45" s="13">
        <f>_xll.BDH("ITCI US Equity","PRETAX_INC","FQ3 2021","FQ3 2021","Currency=USD","Period=FQ","BEST_FPERIOD_OVERRIDE=FQ","FILING_STATUS=MR","SCALING_FORMAT=MLN","FA_ADJUSTED=GAAP","Sort=A","Dates=H","DateFormat=P","Fill=—","Direction=H","UseDPDF=Y")</f>
        <v>-76.931100000000001</v>
      </c>
      <c r="M45" s="13">
        <f>_xll.BDH("ITCI US Equity","PRETAX_INC","FQ4 2021","FQ4 2021","Currency=USD","Period=FQ","BEST_FPERIOD_OVERRIDE=FQ","FILING_STATUS=MR","SCALING_FORMAT=MLN","FA_ADJUSTED=GAAP","Sort=A","Dates=H","DateFormat=P","Fill=—","Direction=H","UseDPDF=Y")</f>
        <v>-85.733900000000006</v>
      </c>
      <c r="N45" s="13">
        <f>_xll.BDH("ITCI US Equity","PRETAX_INC","FQ1 2022","FQ1 2022","Currency=USD","Period=FQ","BEST_FPERIOD_OVERRIDE=FQ","FILING_STATUS=MR","SCALING_FORMAT=MLN","FA_ADJUSTED=GAAP","Sort=A","Dates=H","DateFormat=P","Fill=—","Direction=H","UseDPDF=Y")</f>
        <v>-72.114000000000004</v>
      </c>
      <c r="O45" s="13">
        <f>_xll.BDH("ITCI US Equity","PRETAX_INC","FQ2 2022","FQ2 2022","Currency=USD","Period=FQ","BEST_FPERIOD_OVERRIDE=FQ","FILING_STATUS=MR","SCALING_FORMAT=MLN","FA_ADJUSTED=GAAP","Sort=A","Dates=H","DateFormat=P","Fill=—","Direction=H","UseDPDF=Y")</f>
        <v>-86.602999999999994</v>
      </c>
      <c r="P45" s="13">
        <f>_xll.BDH("ITCI US Equity","PRETAX_INC","FQ3 2022","FQ3 2022","Currency=USD","Period=FQ","BEST_FPERIOD_OVERRIDE=FQ","FILING_STATUS=MR","SCALING_FORMAT=MLN","FA_ADJUSTED=GAAP","Sort=A","Dates=H","DateFormat=P","Fill=—","Direction=H","UseDPDF=Y")</f>
        <v>-53.506999999999998</v>
      </c>
      <c r="Q45" s="13">
        <f>_xll.BDH("ITCI US Equity","PRETAX_INC","FQ4 2022","FQ4 2022","Currency=USD","Period=FQ","BEST_FPERIOD_OVERRIDE=FQ","FILING_STATUS=MR","SCALING_FORMAT=MLN","FA_ADJUSTED=GAAP","Sort=A","Dates=H","DateFormat=P","Fill=—","Direction=H","UseDPDF=Y")</f>
        <v>-44.026000000000003</v>
      </c>
      <c r="R45" s="13">
        <f>_xll.BDH("ITCI US Equity","PRETAX_INC","FQ1 2023","FQ1 2023","Currency=USD","Period=FQ","BEST_FPERIOD_OVERRIDE=FQ","FILING_STATUS=MR","SCALING_FORMAT=MLN","FA_ADJUSTED=GAAP","Sort=A","Dates=H","DateFormat=P","Fill=—","Direction=H","UseDPDF=Y")</f>
        <v>-44.042999999999999</v>
      </c>
      <c r="S45" s="13">
        <f>_xll.BDH("ITCI US Equity","PRETAX_INC","FQ2 2023","FQ2 2023","Currency=USD","Period=FQ","BEST_FPERIOD_OVERRIDE=FQ","FILING_STATUS=MR","SCALING_FORMAT=MLN","FA_ADJUSTED=GAAP","Sort=A","Dates=H","DateFormat=P","Fill=—","Direction=H","UseDPDF=Y")</f>
        <v>-42.649000000000001</v>
      </c>
      <c r="T45" s="13">
        <f>_xll.BDH("ITCI US Equity","PRETAX_INC","FQ3 2023","FQ3 2023","Currency=USD","Period=FQ","BEST_FPERIOD_OVERRIDE=FQ","FILING_STATUS=MR","SCALING_FORMAT=MLN","FA_ADJUSTED=GAAP","Sort=A","Dates=H","DateFormat=P","Fill=—","Direction=H","UseDPDF=Y")</f>
        <v>-24.215</v>
      </c>
      <c r="U45" s="13">
        <f>_xll.BDH("ITCI US Equity","PRETAX_INC","FQ4 2023","FQ4 2023","Currency=USD","Period=FQ","BEST_FPERIOD_OVERRIDE=FQ","FILING_STATUS=MR","SCALING_FORMAT=MLN","FA_ADJUSTED=GAAP","Sort=A","Dates=H","DateFormat=P","Fill=—","Direction=H","UseDPDF=Y")</f>
        <v>-28.131</v>
      </c>
      <c r="V45" s="13">
        <f>_xll.BDH("ITCI US Equity","PRETAX_INC","FQ1 2024","FQ1 2024","Currency=USD","Period=FQ","BEST_FPERIOD_OVERRIDE=FQ","FILING_STATUS=MR","SCALING_FORMAT=MLN","FA_ADJUSTED=GAAP","Sort=A","Dates=H","DateFormat=P","Fill=—","Direction=H","UseDPDF=Y")</f>
        <v>-14.888</v>
      </c>
      <c r="W45" s="13">
        <f>_xll.BDH("ITCI US Equity","PRETAX_INC","FQ2 2024","FQ2 2024","Currency=USD","Period=FQ","BEST_FPERIOD_OVERRIDE=FQ","FILING_STATUS=MR","SCALING_FORMAT=MLN","FA_ADJUSTED=GAAP","Sort=A","Dates=H","DateFormat=P","Fill=—","Direction=H","UseDPDF=Y")</f>
        <v>-16.163</v>
      </c>
      <c r="X45" s="13">
        <f>_xll.BDH("ITCI US Equity","PRETAX_INC","FQ3 2024","FQ3 2024","Currency=USD","Period=FQ","BEST_FPERIOD_OVERRIDE=FQ","FILING_STATUS=MR","SCALING_FORMAT=MLN","FA_ADJUSTED=GAAP","Sort=A","Dates=H","DateFormat=P","Fill=—","Direction=H","UseDPDF=Y")</f>
        <v>-25.95</v>
      </c>
      <c r="Y45" s="13">
        <f>_xll.BDH("ITCI US Equity","PRETAX_INC","FQ4 2024","FQ4 2024","Currency=USD","Period=FQ","BEST_FPERIOD_OVERRIDE=FQ","FILING_STATUS=MR","SCALING_FORMAT=MLN","FA_ADJUSTED=GAAP","Sort=A","Dates=H","DateFormat=P","Fill=—","Direction=H","UseDPDF=Y")</f>
        <v>-17.202000000000002</v>
      </c>
      <c r="Z45" s="13"/>
      <c r="AA45" s="13"/>
    </row>
    <row r="46" spans="1:27" x14ac:dyDescent="0.25">
      <c r="A46" s="10" t="s">
        <v>136</v>
      </c>
      <c r="B46" s="10" t="s">
        <v>157</v>
      </c>
      <c r="C46" s="13">
        <f>_xll.BDH("ITCI US Equity","PRETAX_INC","FQ2 2019","FQ2 2019","Currency=USD","Period=FQ","BEST_FPERIOD_OVERRIDE=FQ","FILING_STATUS=MR","SCALING_FORMAT=MLN","FA_ADJUSTED=Adjusted","Sort=A","Dates=H","DateFormat=P","Fill=—","Direction=H","UseDPDF=Y")</f>
        <v>-37.439599999999999</v>
      </c>
      <c r="D46" s="13">
        <f>_xll.BDH("ITCI US Equity","PRETAX_INC","FQ3 2019","FQ3 2019","Currency=USD","Period=FQ","BEST_FPERIOD_OVERRIDE=FQ","FILING_STATUS=MR","SCALING_FORMAT=MLN","FA_ADJUSTED=Adjusted","Sort=A","Dates=H","DateFormat=P","Fill=—","Direction=H","UseDPDF=Y")</f>
        <v>-34.862400000000001</v>
      </c>
      <c r="E46" s="13">
        <f>_xll.BDH("ITCI US Equity","PRETAX_INC","FQ4 2019","FQ4 2019","Currency=USD","Period=FQ","BEST_FPERIOD_OVERRIDE=FQ","FILING_STATUS=MR","SCALING_FORMAT=MLN","FA_ADJUSTED=Adjusted","Sort=A","Dates=H","DateFormat=P","Fill=—","Direction=H","UseDPDF=Y")</f>
        <v>-40.582900000000002</v>
      </c>
      <c r="F46" s="13">
        <f>_xll.BDH("ITCI US Equity","PRETAX_INC","FQ1 2020","FQ1 2020","Currency=USD","Period=FQ","BEST_FPERIOD_OVERRIDE=FQ","FILING_STATUS=MR","SCALING_FORMAT=MLN","FA_ADJUSTED=Adjusted","Sort=A","Dates=H","DateFormat=P","Fill=—","Direction=H","UseDPDF=Y")</f>
        <v>-47.407299999999999</v>
      </c>
      <c r="G46" s="13">
        <f>_xll.BDH("ITCI US Equity","PRETAX_INC","FQ2 2020","FQ2 2020","Currency=USD","Period=FQ","BEST_FPERIOD_OVERRIDE=FQ","FILING_STATUS=MR","SCALING_FORMAT=MLN","FA_ADJUSTED=Adjusted","Sort=A","Dates=H","DateFormat=P","Fill=—","Direction=H","UseDPDF=Y")</f>
        <v>-63.712299999999999</v>
      </c>
      <c r="H46" s="13">
        <f>_xll.BDH("ITCI US Equity","PRETAX_INC","FQ3 2020","FQ3 2020","Currency=USD","Period=FQ","BEST_FPERIOD_OVERRIDE=FQ","FILING_STATUS=MR","SCALING_FORMAT=MLN","FA_ADJUSTED=Adjusted","Sort=A","Dates=H","DateFormat=P","Fill=—","Direction=H","UseDPDF=Y")</f>
        <v>-55.183599999999998</v>
      </c>
      <c r="I46" s="13">
        <f>_xll.BDH("ITCI US Equity","PRETAX_INC","FQ4 2020","FQ4 2020","Currency=USD","Period=FQ","BEST_FPERIOD_OVERRIDE=FQ","FILING_STATUS=MR","SCALING_FORMAT=MLN","FA_ADJUSTED=Adjusted","Sort=A","Dates=H","DateFormat=P","Fill=—","Direction=H","UseDPDF=Y")</f>
        <v>-60.688899999999997</v>
      </c>
      <c r="J46" s="13">
        <f>_xll.BDH("ITCI US Equity","PRETAX_INC","FQ1 2021","FQ1 2021","Currency=USD","Period=FQ","BEST_FPERIOD_OVERRIDE=FQ","FILING_STATUS=MR","SCALING_FORMAT=MLN","FA_ADJUSTED=Adjusted","Sort=A","Dates=H","DateFormat=P","Fill=—","Direction=H","UseDPDF=Y")</f>
        <v>-52.734900000000003</v>
      </c>
      <c r="K46" s="13">
        <f>_xll.BDH("ITCI US Equity","PRETAX_INC","FQ2 2021","FQ2 2021","Currency=USD","Period=FQ","BEST_FPERIOD_OVERRIDE=FQ","FILING_STATUS=MR","SCALING_FORMAT=MLN","FA_ADJUSTED=Adjusted","Sort=A","Dates=H","DateFormat=P","Fill=—","Direction=H","UseDPDF=Y")</f>
        <v>-68.72</v>
      </c>
      <c r="L46" s="13">
        <f>_xll.BDH("ITCI US Equity","PRETAX_INC","FQ3 2021","FQ3 2021","Currency=USD","Period=FQ","BEST_FPERIOD_OVERRIDE=FQ","FILING_STATUS=MR","SCALING_FORMAT=MLN","FA_ADJUSTED=Adjusted","Sort=A","Dates=H","DateFormat=P","Fill=—","Direction=H","UseDPDF=Y")</f>
        <v>-76.931100000000001</v>
      </c>
      <c r="M46" s="13">
        <f>_xll.BDH("ITCI US Equity","PRETAX_INC","FQ4 2021","FQ4 2021","Currency=USD","Period=FQ","BEST_FPERIOD_OVERRIDE=FQ","FILING_STATUS=MR","SCALING_FORMAT=MLN","FA_ADJUSTED=Adjusted","Sort=A","Dates=H","DateFormat=P","Fill=—","Direction=H","UseDPDF=Y")</f>
        <v>-85.733900000000006</v>
      </c>
      <c r="N46" s="13">
        <f>_xll.BDH("ITCI US Equity","PRETAX_INC","FQ1 2022","FQ1 2022","Currency=USD","Period=FQ","BEST_FPERIOD_OVERRIDE=FQ","FILING_STATUS=MR","SCALING_FORMAT=MLN","FA_ADJUSTED=Adjusted","Sort=A","Dates=H","DateFormat=P","Fill=—","Direction=H","UseDPDF=Y")</f>
        <v>-72.114000000000004</v>
      </c>
      <c r="O46" s="13">
        <f>_xll.BDH("ITCI US Equity","PRETAX_INC","FQ2 2022","FQ2 2022","Currency=USD","Period=FQ","BEST_FPERIOD_OVERRIDE=FQ","FILING_STATUS=MR","SCALING_FORMAT=MLN","FA_ADJUSTED=Adjusted","Sort=A","Dates=H","DateFormat=P","Fill=—","Direction=H","UseDPDF=Y")</f>
        <v>-86.602999999999994</v>
      </c>
      <c r="P46" s="13">
        <f>_xll.BDH("ITCI US Equity","PRETAX_INC","FQ3 2022","FQ3 2022","Currency=USD","Period=FQ","BEST_FPERIOD_OVERRIDE=FQ","FILING_STATUS=MR","SCALING_FORMAT=MLN","FA_ADJUSTED=Adjusted","Sort=A","Dates=H","DateFormat=P","Fill=—","Direction=H","UseDPDF=Y")</f>
        <v>-53.506999999999998</v>
      </c>
      <c r="Q46" s="13">
        <f>_xll.BDH("ITCI US Equity","PRETAX_INC","FQ4 2022","FQ4 2022","Currency=USD","Period=FQ","BEST_FPERIOD_OVERRIDE=FQ","FILING_STATUS=MR","SCALING_FORMAT=MLN","FA_ADJUSTED=Adjusted","Sort=A","Dates=H","DateFormat=P","Fill=—","Direction=H","UseDPDF=Y")</f>
        <v>-44.026000000000003</v>
      </c>
      <c r="R46" s="13">
        <f>_xll.BDH("ITCI US Equity","PRETAX_INC","FQ1 2023","FQ1 2023","Currency=USD","Period=FQ","BEST_FPERIOD_OVERRIDE=FQ","FILING_STATUS=MR","SCALING_FORMAT=MLN","FA_ADJUSTED=Adjusted","Sort=A","Dates=H","DateFormat=P","Fill=—","Direction=H","UseDPDF=Y")</f>
        <v>-44.042999999999999</v>
      </c>
      <c r="S46" s="13">
        <f>_xll.BDH("ITCI US Equity","PRETAX_INC","FQ2 2023","FQ2 2023","Currency=USD","Period=FQ","BEST_FPERIOD_OVERRIDE=FQ","FILING_STATUS=MR","SCALING_FORMAT=MLN","FA_ADJUSTED=Adjusted","Sort=A","Dates=H","DateFormat=P","Fill=—","Direction=H","UseDPDF=Y")</f>
        <v>-42.649000000000001</v>
      </c>
      <c r="T46" s="13">
        <f>_xll.BDH("ITCI US Equity","PRETAX_INC","FQ3 2023","FQ3 2023","Currency=USD","Period=FQ","BEST_FPERIOD_OVERRIDE=FQ","FILING_STATUS=MR","SCALING_FORMAT=MLN","FA_ADJUSTED=Adjusted","Sort=A","Dates=H","DateFormat=P","Fill=—","Direction=H","UseDPDF=Y")</f>
        <v>-24.215</v>
      </c>
      <c r="U46" s="13">
        <f>_xll.BDH("ITCI US Equity","PRETAX_INC","FQ4 2023","FQ4 2023","Currency=USD","Period=FQ","BEST_FPERIOD_OVERRIDE=FQ","FILING_STATUS=MR","SCALING_FORMAT=MLN","FA_ADJUSTED=Adjusted","Sort=A","Dates=H","DateFormat=P","Fill=—","Direction=H","UseDPDF=Y")</f>
        <v>-28.131</v>
      </c>
      <c r="V46" s="13">
        <f>_xll.BDH("ITCI US Equity","PRETAX_INC","FQ1 2024","FQ1 2024","Currency=USD","Period=FQ","BEST_FPERIOD_OVERRIDE=FQ","FILING_STATUS=MR","SCALING_FORMAT=MLN","FA_ADJUSTED=Adjusted","Sort=A","Dates=H","DateFormat=P","Fill=—","Direction=H","UseDPDF=Y")</f>
        <v>-14.888</v>
      </c>
      <c r="W46" s="13">
        <f>_xll.BDH("ITCI US Equity","PRETAX_INC","FQ2 2024","FQ2 2024","Currency=USD","Period=FQ","BEST_FPERIOD_OVERRIDE=FQ","FILING_STATUS=MR","SCALING_FORMAT=MLN","FA_ADJUSTED=Adjusted","Sort=A","Dates=H","DateFormat=P","Fill=—","Direction=H","UseDPDF=Y")</f>
        <v>-16.163</v>
      </c>
      <c r="X46" s="13">
        <f>_xll.BDH("ITCI US Equity","PRETAX_INC","FQ3 2024","FQ3 2024","Currency=USD","Period=FQ","BEST_FPERIOD_OVERRIDE=FQ","FILING_STATUS=MR","SCALING_FORMAT=MLN","FA_ADJUSTED=Adjusted","Sort=A","Dates=H","DateFormat=P","Fill=—","Direction=H","UseDPDF=Y")</f>
        <v>-25.95</v>
      </c>
      <c r="Y46" s="13">
        <f>_xll.BDH("ITCI US Equity","PRETAX_INC","FQ4 2024","FQ4 2024","Currency=USD","Period=FQ","BEST_FPERIOD_OVERRIDE=FQ","FILING_STATUS=MR","SCALING_FORMAT=MLN","FA_ADJUSTED=Adjusted","Sort=A","Dates=H","DateFormat=P","Fill=—","Direction=H","UseDPDF=Y")</f>
        <v>-17.202000000000002</v>
      </c>
      <c r="Z46" s="13"/>
      <c r="AA46" s="13"/>
    </row>
    <row r="47" spans="1:27" x14ac:dyDescent="0.25">
      <c r="A47" s="10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25">
      <c r="A48" s="6" t="s">
        <v>158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x14ac:dyDescent="0.25">
      <c r="A49" s="10" t="s">
        <v>130</v>
      </c>
      <c r="B49" s="10" t="s">
        <v>159</v>
      </c>
      <c r="C49" s="13">
        <f>_xll.BDH("ITCI US Equity","BEST_NET_INCOME","FQ2 2019","FQ2 2019","Currency=USD","Period=FQ","BEST_FPERIOD_OVERRIDE=FQ","FILING_STATUS=MR","Sort=A","Dates=H","DateFormat=P","Fill=—","Direction=H","UseDPDF=Y")</f>
        <v>-47.5</v>
      </c>
      <c r="D49" s="13">
        <f>_xll.BDH("ITCI US Equity","BEST_NET_INCOME","FQ3 2019","FQ3 2019","Currency=USD","Period=FQ","BEST_FPERIOD_OVERRIDE=FQ","FILING_STATUS=MR","Sort=A","Dates=H","DateFormat=P","Fill=—","Direction=H","UseDPDF=Y")</f>
        <v>-46.061999999999998</v>
      </c>
      <c r="E49" s="13">
        <f>_xll.BDH("ITCI US Equity","BEST_NET_INCOME","FQ4 2019","FQ4 2019","Currency=USD","Period=FQ","BEST_FPERIOD_OVERRIDE=FQ","FILING_STATUS=MR","Sort=A","Dates=H","DateFormat=P","Fill=—","Direction=H","UseDPDF=Y")</f>
        <v>-45.8</v>
      </c>
      <c r="F49" s="13">
        <f>_xll.BDH("ITCI US Equity","BEST_NET_INCOME","FQ1 2020","FQ1 2020","Currency=USD","Period=FQ","BEST_FPERIOD_OVERRIDE=FQ","FILING_STATUS=MR","Sort=A","Dates=H","DateFormat=P","Fill=—","Direction=H","UseDPDF=Y")</f>
        <v>-60.283000000000001</v>
      </c>
      <c r="G49" s="13">
        <f>_xll.BDH("ITCI US Equity","BEST_NET_INCOME","FQ2 2020","FQ2 2020","Currency=USD","Period=FQ","BEST_FPERIOD_OVERRIDE=FQ","FILING_STATUS=MR","Sort=A","Dates=H","DateFormat=P","Fill=—","Direction=H","UseDPDF=Y")</f>
        <v>-60.686</v>
      </c>
      <c r="H49" s="13">
        <f>_xll.BDH("ITCI US Equity","BEST_NET_INCOME","FQ3 2020","FQ3 2020","Currency=USD","Period=FQ","BEST_FPERIOD_OVERRIDE=FQ","FILING_STATUS=MR","Sort=A","Dates=H","DateFormat=P","Fill=—","Direction=H","UseDPDF=Y")</f>
        <v>-68.099999999999994</v>
      </c>
      <c r="I49" s="13">
        <f>_xll.BDH("ITCI US Equity","BEST_NET_INCOME","FQ4 2020","FQ4 2020","Currency=USD","Period=FQ","BEST_FPERIOD_OVERRIDE=FQ","FILING_STATUS=MR","Sort=A","Dates=H","DateFormat=P","Fill=—","Direction=H","UseDPDF=Y")</f>
        <v>-67.05</v>
      </c>
      <c r="J49" s="13">
        <f>_xll.BDH("ITCI US Equity","BEST_NET_INCOME","FQ1 2021","FQ1 2021","Currency=USD","Period=FQ","BEST_FPERIOD_OVERRIDE=FQ","FILING_STATUS=MR","Sort=A","Dates=H","DateFormat=P","Fill=—","Direction=H","UseDPDF=Y")</f>
        <v>-63.9</v>
      </c>
      <c r="K49" s="13">
        <f>_xll.BDH("ITCI US Equity","BEST_NET_INCOME","FQ2 2021","FQ2 2021","Currency=USD","Period=FQ","BEST_FPERIOD_OVERRIDE=FQ","FILING_STATUS=MR","Sort=A","Dates=H","DateFormat=P","Fill=—","Direction=H","UseDPDF=Y")</f>
        <v>-61.837000000000003</v>
      </c>
      <c r="L49" s="13">
        <f>_xll.BDH("ITCI US Equity","BEST_NET_INCOME","FQ3 2021","FQ3 2021","Currency=USD","Period=FQ","BEST_FPERIOD_OVERRIDE=FQ","FILING_STATUS=MR","Sort=A","Dates=H","DateFormat=P","Fill=—","Direction=H","UseDPDF=Y")</f>
        <v>-72.778000000000006</v>
      </c>
      <c r="M49" s="13">
        <f>_xll.BDH("ITCI US Equity","BEST_NET_INCOME","FQ4 2021","FQ4 2021","Currency=USD","Period=FQ","BEST_FPERIOD_OVERRIDE=FQ","FILING_STATUS=MR","Sort=A","Dates=H","DateFormat=P","Fill=—","Direction=H","UseDPDF=Y")</f>
        <v>-82.611000000000004</v>
      </c>
      <c r="N49" s="13">
        <f>_xll.BDH("ITCI US Equity","BEST_NET_INCOME","FQ1 2022","FQ1 2022","Currency=USD","Period=FQ","BEST_FPERIOD_OVERRIDE=FQ","FILING_STATUS=MR","Sort=A","Dates=H","DateFormat=P","Fill=—","Direction=H","UseDPDF=Y")</f>
        <v>-85.188999999999993</v>
      </c>
      <c r="O49" s="13">
        <f>_xll.BDH("ITCI US Equity","BEST_NET_INCOME","FQ2 2022","FQ2 2022","Currency=USD","Period=FQ","BEST_FPERIOD_OVERRIDE=FQ","FILING_STATUS=MR","Sort=A","Dates=H","DateFormat=P","Fill=—","Direction=H","UseDPDF=Y")</f>
        <v>-71.417000000000002</v>
      </c>
      <c r="P49" s="13">
        <f>_xll.BDH("ITCI US Equity","BEST_NET_INCOME","FQ3 2022","FQ3 2022","Currency=USD","Period=FQ","BEST_FPERIOD_OVERRIDE=FQ","FILING_STATUS=MR","Sort=A","Dates=H","DateFormat=P","Fill=—","Direction=H","UseDPDF=Y")</f>
        <v>-76.418000000000006</v>
      </c>
      <c r="Q49" s="13">
        <f>_xll.BDH("ITCI US Equity","BEST_NET_INCOME","FQ4 2022","FQ4 2022","Currency=USD","Period=FQ","BEST_FPERIOD_OVERRIDE=FQ","FILING_STATUS=MR","Sort=A","Dates=H","DateFormat=P","Fill=—","Direction=H","UseDPDF=Y")</f>
        <v>-56.161999999999999</v>
      </c>
      <c r="R49" s="13">
        <f>_xll.BDH("ITCI US Equity","BEST_NET_INCOME","FQ1 2023","FQ1 2023","Currency=USD","Period=FQ","BEST_FPERIOD_OVERRIDE=FQ","FILING_STATUS=MR","Sort=A","Dates=H","DateFormat=P","Fill=—","Direction=H","UseDPDF=Y")</f>
        <v>-58.308999999999997</v>
      </c>
      <c r="S49" s="13">
        <f>_xll.BDH("ITCI US Equity","BEST_NET_INCOME","FQ2 2023","FQ2 2023","Currency=USD","Period=FQ","BEST_FPERIOD_OVERRIDE=FQ","FILING_STATUS=MR","Sort=A","Dates=H","DateFormat=P","Fill=—","Direction=H","UseDPDF=Y")</f>
        <v>-57.107999999999997</v>
      </c>
      <c r="T49" s="13">
        <f>_xll.BDH("ITCI US Equity","BEST_NET_INCOME","FQ3 2023","FQ3 2023","Currency=USD","Period=FQ","BEST_FPERIOD_OVERRIDE=FQ","FILING_STATUS=MR","Sort=A","Dates=H","DateFormat=P","Fill=—","Direction=H","UseDPDF=Y")</f>
        <v>-55.573</v>
      </c>
      <c r="U49" s="13">
        <f>_xll.BDH("ITCI US Equity","BEST_NET_INCOME","FQ4 2023","FQ4 2023","Currency=USD","Period=FQ","BEST_FPERIOD_OVERRIDE=FQ","FILING_STATUS=MR","Sort=A","Dates=H","DateFormat=P","Fill=—","Direction=H","UseDPDF=Y")</f>
        <v>-43.362000000000002</v>
      </c>
      <c r="V49" s="13">
        <f>_xll.BDH("ITCI US Equity","BEST_NET_INCOME","FQ1 2024","FQ1 2024","Currency=USD","Period=FQ","BEST_FPERIOD_OVERRIDE=FQ","FILING_STATUS=MR","Sort=A","Dates=H","DateFormat=P","Fill=—","Direction=H","UseDPDF=Y")</f>
        <v>-29.591000000000001</v>
      </c>
      <c r="W49" s="13">
        <f>_xll.BDH("ITCI US Equity","BEST_NET_INCOME","FQ2 2024","FQ2 2024","Currency=USD","Period=FQ","BEST_FPERIOD_OVERRIDE=FQ","FILING_STATUS=MR","Sort=A","Dates=H","DateFormat=P","Fill=—","Direction=H","UseDPDF=Y")</f>
        <v>-20.984999999999999</v>
      </c>
      <c r="X49" s="13">
        <f>_xll.BDH("ITCI US Equity","BEST_NET_INCOME","FQ3 2024","FQ3 2024","Currency=USD","Period=FQ","BEST_FPERIOD_OVERRIDE=FQ","FILING_STATUS=MR","Sort=A","Dates=H","DateFormat=P","Fill=—","Direction=H","UseDPDF=Y")</f>
        <v>-20.61</v>
      </c>
      <c r="Y49" s="13">
        <f>_xll.BDH("ITCI US Equity","BEST_NET_INCOME","FQ4 2024","FQ4 2024","Currency=USD","Period=FQ","BEST_FPERIOD_OVERRIDE=FQ","FILING_STATUS=MR","Sort=A","Dates=H","DateFormat=P","Fill=—","Direction=H","UseDPDF=Y")</f>
        <v>-12.164999999999999</v>
      </c>
      <c r="Z49" s="13">
        <v>-11.425000000000001</v>
      </c>
      <c r="AA49" s="13">
        <v>-3.2170000000000001</v>
      </c>
    </row>
    <row r="50" spans="1:27" x14ac:dyDescent="0.25">
      <c r="A50" s="10" t="s">
        <v>132</v>
      </c>
      <c r="B50" s="10" t="s">
        <v>160</v>
      </c>
      <c r="C50" s="13">
        <f>_xll.BDH("ITCI US Equity","IS_COMP_NET_INCOME_ADJUST","FQ2 2019","FQ2 2019","Currency=USD","Period=FQ","BEST_FPERIOD_OVERRIDE=FQ","FILING_STATUS=MR","SCALING_FORMAT=MLN","Sort=A","Dates=H","DateFormat=P","Fill=—","Direction=H","UseDPDF=Y")</f>
        <v>-37.441200000000002</v>
      </c>
      <c r="D50" s="13">
        <f>_xll.BDH("ITCI US Equity","IS_COMP_NET_INCOME_ADJUST","FQ3 2019","FQ3 2019","Currency=USD","Period=FQ","BEST_FPERIOD_OVERRIDE=FQ","FILING_STATUS=MR","SCALING_FORMAT=MLN","Sort=A","Dates=H","DateFormat=P","Fill=—","Direction=H","UseDPDF=Y")</f>
        <v>-34.862400000000001</v>
      </c>
      <c r="E50" s="13">
        <f>_xll.BDH("ITCI US Equity","IS_COMP_NET_INCOME_ADJUST","FQ4 2019","FQ4 2019","Currency=USD","Period=FQ","BEST_FPERIOD_OVERRIDE=FQ","FILING_STATUS=MR","SCALING_FORMAT=MLN","Sort=A","Dates=H","DateFormat=P","Fill=—","Direction=H","UseDPDF=Y")</f>
        <v>-40.582900000000002</v>
      </c>
      <c r="F50" s="13">
        <f>_xll.BDH("ITCI US Equity","IS_COMP_NET_INCOME_ADJUST","FQ1 2020","FQ1 2020","Currency=USD","Period=FQ","BEST_FPERIOD_OVERRIDE=FQ","FILING_STATUS=MR","SCALING_FORMAT=MLN","Sort=A","Dates=H","DateFormat=P","Fill=—","Direction=H","UseDPDF=Y")</f>
        <v>-47.410600000000002</v>
      </c>
      <c r="G50" s="13">
        <f>_xll.BDH("ITCI US Equity","IS_COMP_NET_INCOME_ADJUST","FQ2 2020","FQ2 2020","Currency=USD","Period=FQ","BEST_FPERIOD_OVERRIDE=FQ","FILING_STATUS=MR","SCALING_FORMAT=MLN","Sort=A","Dates=H","DateFormat=P","Fill=—","Direction=H","UseDPDF=Y")</f>
        <v>-63.712299999999999</v>
      </c>
      <c r="H50" s="13">
        <f>_xll.BDH("ITCI US Equity","IS_COMP_NET_INCOME_ADJUST","FQ3 2020","FQ3 2020","Currency=USD","Period=FQ","BEST_FPERIOD_OVERRIDE=FQ","FILING_STATUS=MR","SCALING_FORMAT=MLN","Sort=A","Dates=H","DateFormat=P","Fill=—","Direction=H","UseDPDF=Y")</f>
        <v>-55.183599999999998</v>
      </c>
      <c r="I50" s="13">
        <f>_xll.BDH("ITCI US Equity","IS_COMP_NET_INCOME_ADJUST","FQ4 2020","FQ4 2020","Currency=USD","Period=FQ","BEST_FPERIOD_OVERRIDE=FQ","FILING_STATUS=MR","SCALING_FORMAT=MLN","Sort=A","Dates=H","DateFormat=P","Fill=—","Direction=H","UseDPDF=Y")</f>
        <v>-60.699199999999998</v>
      </c>
      <c r="J50" s="13">
        <f>_xll.BDH("ITCI US Equity","IS_COMP_NET_INCOME_ADJUST","FQ1 2021","FQ1 2021","Currency=USD","Period=FQ","BEST_FPERIOD_OVERRIDE=FQ","FILING_STATUS=MR","SCALING_FORMAT=MLN","Sort=A","Dates=H","DateFormat=P","Fill=—","Direction=H","UseDPDF=Y")</f>
        <v>-52.739899999999999</v>
      </c>
      <c r="K50" s="13">
        <f>_xll.BDH("ITCI US Equity","IS_COMP_NET_INCOME_ADJUST","FQ2 2021","FQ2 2021","Currency=USD","Period=FQ","BEST_FPERIOD_OVERRIDE=FQ","FILING_STATUS=MR","SCALING_FORMAT=MLN","Sort=A","Dates=H","DateFormat=P","Fill=—","Direction=H","UseDPDF=Y")</f>
        <v>-68.743799999999993</v>
      </c>
      <c r="L50" s="13">
        <f>_xll.BDH("ITCI US Equity","IS_COMP_NET_INCOME_ADJUST","FQ3 2021","FQ3 2021","Currency=USD","Period=FQ","BEST_FPERIOD_OVERRIDE=FQ","FILING_STATUS=MR","SCALING_FORMAT=MLN","Sort=A","Dates=H","DateFormat=P","Fill=—","Direction=H","UseDPDF=Y")</f>
        <v>-76.908000000000001</v>
      </c>
      <c r="M50" s="13">
        <f>_xll.BDH("ITCI US Equity","IS_COMP_NET_INCOME_ADJUST","FQ4 2021","FQ4 2021","Currency=USD","Period=FQ","BEST_FPERIOD_OVERRIDE=FQ","FILING_STATUS=MR","SCALING_FORMAT=MLN","Sort=A","Dates=H","DateFormat=P","Fill=—","Direction=H","UseDPDF=Y")</f>
        <v>-85.733900000000006</v>
      </c>
      <c r="N50" s="13">
        <f>_xll.BDH("ITCI US Equity","IS_COMP_NET_INCOME_ADJUST","FQ1 2022","FQ1 2022","Currency=USD","Period=FQ","BEST_FPERIOD_OVERRIDE=FQ","FILING_STATUS=MR","SCALING_FORMAT=MLN","Sort=A","Dates=H","DateFormat=P","Fill=—","Direction=H","UseDPDF=Y")</f>
        <v>-72.119</v>
      </c>
      <c r="O50" s="13">
        <f>_xll.BDH("ITCI US Equity","IS_COMP_NET_INCOME_ADJUST","FQ2 2022","FQ2 2022","Currency=USD","Period=FQ","BEST_FPERIOD_OVERRIDE=FQ","FILING_STATUS=MR","SCALING_FORMAT=MLN","Sort=A","Dates=H","DateFormat=P","Fill=—","Direction=H","UseDPDF=Y")</f>
        <v>-86.602999999999994</v>
      </c>
      <c r="P50" s="13">
        <f>_xll.BDH("ITCI US Equity","IS_COMP_NET_INCOME_ADJUST","FQ3 2022","FQ3 2022","Currency=USD","Period=FQ","BEST_FPERIOD_OVERRIDE=FQ","FILING_STATUS=MR","SCALING_FORMAT=MLN","Sort=A","Dates=H","DateFormat=P","Fill=—","Direction=H","UseDPDF=Y")</f>
        <v>-53.508000000000003</v>
      </c>
      <c r="Q50" s="13">
        <f>_xll.BDH("ITCI US Equity","IS_COMP_NET_INCOME_ADJUST","FQ4 2022","FQ4 2022","Currency=USD","Period=FQ","BEST_FPERIOD_OVERRIDE=FQ","FILING_STATUS=MR","SCALING_FORMAT=MLN","Sort=A","Dates=H","DateFormat=P","Fill=—","Direction=H","UseDPDF=Y")</f>
        <v>-44.026000000000003</v>
      </c>
      <c r="R50" s="13">
        <f>_xll.BDH("ITCI US Equity","IS_COMP_NET_INCOME_ADJUST","FQ1 2023","FQ1 2023","Currency=USD","Period=FQ","BEST_FPERIOD_OVERRIDE=FQ","FILING_STATUS=MR","SCALING_FORMAT=MLN","Sort=A","Dates=H","DateFormat=P","Fill=—","Direction=H","UseDPDF=Y")</f>
        <v>-44.052999999999997</v>
      </c>
      <c r="S50" s="13">
        <f>_xll.BDH("ITCI US Equity","IS_COMP_NET_INCOME_ADJUST","FQ2 2023","FQ2 2023","Currency=USD","Period=FQ","BEST_FPERIOD_OVERRIDE=FQ","FILING_STATUS=MR","SCALING_FORMAT=MLN","Sort=A","Dates=H","DateFormat=P","Fill=—","Direction=H","UseDPDF=Y")</f>
        <v>-42.783999999999999</v>
      </c>
      <c r="T50" s="13">
        <f>_xll.BDH("ITCI US Equity","IS_COMP_NET_INCOME_ADJUST","FQ3 2023","FQ3 2023","Currency=USD","Period=FQ","BEST_FPERIOD_OVERRIDE=FQ","FILING_STATUS=MR","SCALING_FORMAT=MLN","Sort=A","Dates=H","DateFormat=P","Fill=—","Direction=H","UseDPDF=Y")</f>
        <v>-24.257999999999999</v>
      </c>
      <c r="U50" s="13">
        <f>_xll.BDH("ITCI US Equity","IS_COMP_NET_INCOME_ADJUST","FQ4 2023","FQ4 2023","Currency=USD","Period=FQ","BEST_FPERIOD_OVERRIDE=FQ","FILING_STATUS=MR","SCALING_FORMAT=MLN","Sort=A","Dates=H","DateFormat=P","Fill=—","Direction=H","UseDPDF=Y")</f>
        <v>-28.579000000000001</v>
      </c>
      <c r="V50" s="13">
        <f>_xll.BDH("ITCI US Equity","IS_COMP_NET_INCOME_ADJUST","FQ1 2024","FQ1 2024","Currency=USD","Period=FQ","BEST_FPERIOD_OVERRIDE=FQ","FILING_STATUS=MR","SCALING_FORMAT=MLN","Sort=A","Dates=H","DateFormat=P","Fill=—","Direction=H","UseDPDF=Y")</f>
        <v>-15.247</v>
      </c>
      <c r="W50" s="13">
        <f>_xll.BDH("ITCI US Equity","IS_COMP_NET_INCOME_ADJUST","FQ2 2024","FQ2 2024","Currency=USD","Period=FQ","BEST_FPERIOD_OVERRIDE=FQ","FILING_STATUS=MR","SCALING_FORMAT=MLN","Sort=A","Dates=H","DateFormat=P","Fill=—","Direction=H","UseDPDF=Y")</f>
        <v>-16.22</v>
      </c>
      <c r="X50" s="13">
        <f>_xll.BDH("ITCI US Equity","IS_COMP_NET_INCOME_ADJUST","FQ3 2024","FQ3 2024","Currency=USD","Period=FQ","BEST_FPERIOD_OVERRIDE=FQ","FILING_STATUS=MR","SCALING_FORMAT=MLN","Sort=A","Dates=H","DateFormat=P","Fill=—","Direction=H","UseDPDF=Y")</f>
        <v>-26.324000000000002</v>
      </c>
      <c r="Y50" s="13">
        <f>_xll.BDH("ITCI US Equity","IS_COMP_NET_INCOME_ADJUST","FQ4 2024","FQ4 2024","Currency=USD","Period=FQ","BEST_FPERIOD_OVERRIDE=FQ","FILING_STATUS=MR","SCALING_FORMAT=MLN","Sort=A","Dates=H","DateFormat=P","Fill=—","Direction=H","UseDPDF=Y")</f>
        <v>-16.885000000000002</v>
      </c>
      <c r="Z50" s="13"/>
      <c r="AA50" s="13"/>
    </row>
    <row r="51" spans="1:27" x14ac:dyDescent="0.25">
      <c r="A51" s="11" t="s">
        <v>161</v>
      </c>
      <c r="B51" s="11"/>
      <c r="C51" s="25">
        <v>21.176496842105301</v>
      </c>
      <c r="D51" s="25">
        <v>24.314187399591798</v>
      </c>
      <c r="E51" s="25">
        <v>11.3911550218341</v>
      </c>
      <c r="F51" s="25">
        <v>21.353280360964099</v>
      </c>
      <c r="G51" s="25">
        <v>-4.9867481791517001</v>
      </c>
      <c r="H51" s="25">
        <v>18.9667767988253</v>
      </c>
      <c r="I51" s="25">
        <v>9.4717703206562192</v>
      </c>
      <c r="J51" s="25">
        <v>17.464877934272302</v>
      </c>
      <c r="K51" s="25">
        <v>-11.169335511101799</v>
      </c>
      <c r="L51" s="25">
        <v>-5.6747973288631197</v>
      </c>
      <c r="M51" s="25">
        <v>-3.7802919708029101</v>
      </c>
      <c r="N51" s="25">
        <v>15.3423564075174</v>
      </c>
      <c r="O51" s="25">
        <v>-21.263844742848299</v>
      </c>
      <c r="P51" s="25">
        <v>29.979847679866001</v>
      </c>
      <c r="Q51" s="25">
        <v>21.608917061358198</v>
      </c>
      <c r="R51" s="25">
        <v>24.449055891886299</v>
      </c>
      <c r="S51" s="25">
        <v>25.0823002031239</v>
      </c>
      <c r="T51" s="25">
        <v>56.3493063178162</v>
      </c>
      <c r="U51" s="25">
        <v>34.092062174254004</v>
      </c>
      <c r="V51" s="25">
        <v>48.474198235950098</v>
      </c>
      <c r="W51" s="25">
        <v>22.706695258518</v>
      </c>
      <c r="X51" s="25">
        <v>-27.724405628335798</v>
      </c>
      <c r="Y51" s="25">
        <v>-38.799835593917003</v>
      </c>
      <c r="Z51" s="25"/>
      <c r="AA51" s="25"/>
    </row>
    <row r="52" spans="1:27" x14ac:dyDescent="0.25">
      <c r="A52" s="10" t="s">
        <v>135</v>
      </c>
      <c r="B52" s="10" t="s">
        <v>80</v>
      </c>
      <c r="C52" s="13">
        <f>_xll.BDH("ITCI US Equity","EARN_FOR_COMMON","FQ2 2019","FQ2 2019","Currency=USD","Period=FQ","BEST_FPERIOD_OVERRIDE=FQ","FILING_STATUS=MR","SCALING_FORMAT=MLN","FA_ADJUSTED=GAAP","Sort=A","Dates=H","DateFormat=P","Fill=—","Direction=H","UseDPDF=Y")</f>
        <v>-37.441200000000002</v>
      </c>
      <c r="D52" s="13">
        <f>_xll.BDH("ITCI US Equity","EARN_FOR_COMMON","FQ3 2019","FQ3 2019","Currency=USD","Period=FQ","BEST_FPERIOD_OVERRIDE=FQ","FILING_STATUS=MR","SCALING_FORMAT=MLN","FA_ADJUSTED=GAAP","Sort=A","Dates=H","DateFormat=P","Fill=—","Direction=H","UseDPDF=Y")</f>
        <v>-34.862400000000001</v>
      </c>
      <c r="E52" s="13">
        <f>_xll.BDH("ITCI US Equity","EARN_FOR_COMMON","FQ4 2019","FQ4 2019","Currency=USD","Period=FQ","BEST_FPERIOD_OVERRIDE=FQ","FILING_STATUS=MR","SCALING_FORMAT=MLN","FA_ADJUSTED=GAAP","Sort=A","Dates=H","DateFormat=P","Fill=—","Direction=H","UseDPDF=Y")</f>
        <v>-40.582900000000002</v>
      </c>
      <c r="F52" s="13">
        <f>_xll.BDH("ITCI US Equity","EARN_FOR_COMMON","FQ1 2020","FQ1 2020","Currency=USD","Period=FQ","BEST_FPERIOD_OVERRIDE=FQ","FILING_STATUS=MR","SCALING_FORMAT=MLN","FA_ADJUSTED=GAAP","Sort=A","Dates=H","DateFormat=P","Fill=—","Direction=H","UseDPDF=Y")</f>
        <v>-47.410600000000002</v>
      </c>
      <c r="G52" s="13">
        <f>_xll.BDH("ITCI US Equity","EARN_FOR_COMMON","FQ2 2020","FQ2 2020","Currency=USD","Period=FQ","BEST_FPERIOD_OVERRIDE=FQ","FILING_STATUS=MR","SCALING_FORMAT=MLN","FA_ADJUSTED=GAAP","Sort=A","Dates=H","DateFormat=P","Fill=—","Direction=H","UseDPDF=Y")</f>
        <v>-63.712299999999999</v>
      </c>
      <c r="H52" s="13">
        <f>_xll.BDH("ITCI US Equity","EARN_FOR_COMMON","FQ3 2020","FQ3 2020","Currency=USD","Period=FQ","BEST_FPERIOD_OVERRIDE=FQ","FILING_STATUS=MR","SCALING_FORMAT=MLN","FA_ADJUSTED=GAAP","Sort=A","Dates=H","DateFormat=P","Fill=—","Direction=H","UseDPDF=Y")</f>
        <v>-55.183599999999998</v>
      </c>
      <c r="I52" s="13">
        <f>_xll.BDH("ITCI US Equity","EARN_FOR_COMMON","FQ4 2020","FQ4 2020","Currency=USD","Period=FQ","BEST_FPERIOD_OVERRIDE=FQ","FILING_STATUS=MR","SCALING_FORMAT=MLN","FA_ADJUSTED=GAAP","Sort=A","Dates=H","DateFormat=P","Fill=—","Direction=H","UseDPDF=Y")</f>
        <v>-60.699199999999998</v>
      </c>
      <c r="J52" s="13">
        <f>_xll.BDH("ITCI US Equity","EARN_FOR_COMMON","FQ1 2021","FQ1 2021","Currency=USD","Period=FQ","BEST_FPERIOD_OVERRIDE=FQ","FILING_STATUS=MR","SCALING_FORMAT=MLN","FA_ADJUSTED=GAAP","Sort=A","Dates=H","DateFormat=P","Fill=—","Direction=H","UseDPDF=Y")</f>
        <v>-52.739899999999999</v>
      </c>
      <c r="K52" s="13">
        <f>_xll.BDH("ITCI US Equity","EARN_FOR_COMMON","FQ2 2021","FQ2 2021","Currency=USD","Period=FQ","BEST_FPERIOD_OVERRIDE=FQ","FILING_STATUS=MR","SCALING_FORMAT=MLN","FA_ADJUSTED=GAAP","Sort=A","Dates=H","DateFormat=P","Fill=—","Direction=H","UseDPDF=Y")</f>
        <v>-68.743799999999993</v>
      </c>
      <c r="L52" s="13">
        <f>_xll.BDH("ITCI US Equity","EARN_FOR_COMMON","FQ3 2021","FQ3 2021","Currency=USD","Period=FQ","BEST_FPERIOD_OVERRIDE=FQ","FILING_STATUS=MR","SCALING_FORMAT=MLN","FA_ADJUSTED=GAAP","Sort=A","Dates=H","DateFormat=P","Fill=—","Direction=H","UseDPDF=Y")</f>
        <v>-76.908000000000001</v>
      </c>
      <c r="M52" s="13">
        <f>_xll.BDH("ITCI US Equity","EARN_FOR_COMMON","FQ4 2021","FQ4 2021","Currency=USD","Period=FQ","BEST_FPERIOD_OVERRIDE=FQ","FILING_STATUS=MR","SCALING_FORMAT=MLN","FA_ADJUSTED=GAAP","Sort=A","Dates=H","DateFormat=P","Fill=—","Direction=H","UseDPDF=Y")</f>
        <v>-85.733900000000006</v>
      </c>
      <c r="N52" s="13">
        <f>_xll.BDH("ITCI US Equity","EARN_FOR_COMMON","FQ1 2022","FQ1 2022","Currency=USD","Period=FQ","BEST_FPERIOD_OVERRIDE=FQ","FILING_STATUS=MR","SCALING_FORMAT=MLN","FA_ADJUSTED=GAAP","Sort=A","Dates=H","DateFormat=P","Fill=—","Direction=H","UseDPDF=Y")</f>
        <v>-72.119</v>
      </c>
      <c r="O52" s="13">
        <f>_xll.BDH("ITCI US Equity","EARN_FOR_COMMON","FQ2 2022","FQ2 2022","Currency=USD","Period=FQ","BEST_FPERIOD_OVERRIDE=FQ","FILING_STATUS=MR","SCALING_FORMAT=MLN","FA_ADJUSTED=GAAP","Sort=A","Dates=H","DateFormat=P","Fill=—","Direction=H","UseDPDF=Y")</f>
        <v>-86.602999999999994</v>
      </c>
      <c r="P52" s="13">
        <f>_xll.BDH("ITCI US Equity","EARN_FOR_COMMON","FQ3 2022","FQ3 2022","Currency=USD","Period=FQ","BEST_FPERIOD_OVERRIDE=FQ","FILING_STATUS=MR","SCALING_FORMAT=MLN","FA_ADJUSTED=GAAP","Sort=A","Dates=H","DateFormat=P","Fill=—","Direction=H","UseDPDF=Y")</f>
        <v>-53.508000000000003</v>
      </c>
      <c r="Q52" s="13">
        <f>_xll.BDH("ITCI US Equity","EARN_FOR_COMMON","FQ4 2022","FQ4 2022","Currency=USD","Period=FQ","BEST_FPERIOD_OVERRIDE=FQ","FILING_STATUS=MR","SCALING_FORMAT=MLN","FA_ADJUSTED=GAAP","Sort=A","Dates=H","DateFormat=P","Fill=—","Direction=H","UseDPDF=Y")</f>
        <v>-44.026000000000003</v>
      </c>
      <c r="R52" s="13">
        <f>_xll.BDH("ITCI US Equity","EARN_FOR_COMMON","FQ1 2023","FQ1 2023","Currency=USD","Period=FQ","BEST_FPERIOD_OVERRIDE=FQ","FILING_STATUS=MR","SCALING_FORMAT=MLN","FA_ADJUSTED=GAAP","Sort=A","Dates=H","DateFormat=P","Fill=—","Direction=H","UseDPDF=Y")</f>
        <v>-44.052999999999997</v>
      </c>
      <c r="S52" s="13">
        <f>_xll.BDH("ITCI US Equity","EARN_FOR_COMMON","FQ2 2023","FQ2 2023","Currency=USD","Period=FQ","BEST_FPERIOD_OVERRIDE=FQ","FILING_STATUS=MR","SCALING_FORMAT=MLN","FA_ADJUSTED=GAAP","Sort=A","Dates=H","DateFormat=P","Fill=—","Direction=H","UseDPDF=Y")</f>
        <v>-42.783999999999999</v>
      </c>
      <c r="T52" s="13">
        <f>_xll.BDH("ITCI US Equity","EARN_FOR_COMMON","FQ3 2023","FQ3 2023","Currency=USD","Period=FQ","BEST_FPERIOD_OVERRIDE=FQ","FILING_STATUS=MR","SCALING_FORMAT=MLN","FA_ADJUSTED=GAAP","Sort=A","Dates=H","DateFormat=P","Fill=—","Direction=H","UseDPDF=Y")</f>
        <v>-24.257999999999999</v>
      </c>
      <c r="U52" s="13">
        <f>_xll.BDH("ITCI US Equity","EARN_FOR_COMMON","FQ4 2023","FQ4 2023","Currency=USD","Period=FQ","BEST_FPERIOD_OVERRIDE=FQ","FILING_STATUS=MR","SCALING_FORMAT=MLN","FA_ADJUSTED=GAAP","Sort=A","Dates=H","DateFormat=P","Fill=—","Direction=H","UseDPDF=Y")</f>
        <v>-28.579000000000001</v>
      </c>
      <c r="V52" s="13">
        <f>_xll.BDH("ITCI US Equity","EARN_FOR_COMMON","FQ1 2024","FQ1 2024","Currency=USD","Period=FQ","BEST_FPERIOD_OVERRIDE=FQ","FILING_STATUS=MR","SCALING_FORMAT=MLN","FA_ADJUSTED=GAAP","Sort=A","Dates=H","DateFormat=P","Fill=—","Direction=H","UseDPDF=Y")</f>
        <v>-15.247</v>
      </c>
      <c r="W52" s="13">
        <f>_xll.BDH("ITCI US Equity","EARN_FOR_COMMON","FQ2 2024","FQ2 2024","Currency=USD","Period=FQ","BEST_FPERIOD_OVERRIDE=FQ","FILING_STATUS=MR","SCALING_FORMAT=MLN","FA_ADJUSTED=GAAP","Sort=A","Dates=H","DateFormat=P","Fill=—","Direction=H","UseDPDF=Y")</f>
        <v>-16.22</v>
      </c>
      <c r="X52" s="13">
        <f>_xll.BDH("ITCI US Equity","EARN_FOR_COMMON","FQ3 2024","FQ3 2024","Currency=USD","Period=FQ","BEST_FPERIOD_OVERRIDE=FQ","FILING_STATUS=MR","SCALING_FORMAT=MLN","FA_ADJUSTED=GAAP","Sort=A","Dates=H","DateFormat=P","Fill=—","Direction=H","UseDPDF=Y")</f>
        <v>-26.324000000000002</v>
      </c>
      <c r="Y52" s="13">
        <f>_xll.BDH("ITCI US Equity","EARN_FOR_COMMON","FQ4 2024","FQ4 2024","Currency=USD","Period=FQ","BEST_FPERIOD_OVERRIDE=FQ","FILING_STATUS=MR","SCALING_FORMAT=MLN","FA_ADJUSTED=GAAP","Sort=A","Dates=H","DateFormat=P","Fill=—","Direction=H","UseDPDF=Y")</f>
        <v>-16.885000000000002</v>
      </c>
      <c r="Z52" s="13"/>
      <c r="AA52" s="13"/>
    </row>
    <row r="53" spans="1:27" x14ac:dyDescent="0.25">
      <c r="A53" s="10" t="s">
        <v>136</v>
      </c>
      <c r="B53" s="10" t="s">
        <v>80</v>
      </c>
      <c r="C53" s="13">
        <f>_xll.BDH("ITCI US Equity","EARN_FOR_COMMON","FQ2 2019","FQ2 2019","Currency=USD","Period=FQ","BEST_FPERIOD_OVERRIDE=FQ","FILING_STATUS=MR","SCALING_FORMAT=MLN","FA_ADJUSTED=Adjusted","Sort=A","Dates=H","DateFormat=P","Fill=—","Direction=H","UseDPDF=Y")</f>
        <v>-37.441200000000002</v>
      </c>
      <c r="D53" s="13">
        <f>_xll.BDH("ITCI US Equity","EARN_FOR_COMMON","FQ3 2019","FQ3 2019","Currency=USD","Period=FQ","BEST_FPERIOD_OVERRIDE=FQ","FILING_STATUS=MR","SCALING_FORMAT=MLN","FA_ADJUSTED=Adjusted","Sort=A","Dates=H","DateFormat=P","Fill=—","Direction=H","UseDPDF=Y")</f>
        <v>-34.862400000000001</v>
      </c>
      <c r="E53" s="13">
        <f>_xll.BDH("ITCI US Equity","EARN_FOR_COMMON","FQ4 2019","FQ4 2019","Currency=USD","Period=FQ","BEST_FPERIOD_OVERRIDE=FQ","FILING_STATUS=MR","SCALING_FORMAT=MLN","FA_ADJUSTED=Adjusted","Sort=A","Dates=H","DateFormat=P","Fill=—","Direction=H","UseDPDF=Y")</f>
        <v>-40.582900000000002</v>
      </c>
      <c r="F53" s="13">
        <f>_xll.BDH("ITCI US Equity","EARN_FOR_COMMON","FQ1 2020","FQ1 2020","Currency=USD","Period=FQ","BEST_FPERIOD_OVERRIDE=FQ","FILING_STATUS=MR","SCALING_FORMAT=MLN","FA_ADJUSTED=Adjusted","Sort=A","Dates=H","DateFormat=P","Fill=—","Direction=H","UseDPDF=Y")</f>
        <v>-47.410600000000002</v>
      </c>
      <c r="G53" s="13">
        <f>_xll.BDH("ITCI US Equity","EARN_FOR_COMMON","FQ2 2020","FQ2 2020","Currency=USD","Period=FQ","BEST_FPERIOD_OVERRIDE=FQ","FILING_STATUS=MR","SCALING_FORMAT=MLN","FA_ADJUSTED=Adjusted","Sort=A","Dates=H","DateFormat=P","Fill=—","Direction=H","UseDPDF=Y")</f>
        <v>-63.712299999999999</v>
      </c>
      <c r="H53" s="13">
        <f>_xll.BDH("ITCI US Equity","EARN_FOR_COMMON","FQ3 2020","FQ3 2020","Currency=USD","Period=FQ","BEST_FPERIOD_OVERRIDE=FQ","FILING_STATUS=MR","SCALING_FORMAT=MLN","FA_ADJUSTED=Adjusted","Sort=A","Dates=H","DateFormat=P","Fill=—","Direction=H","UseDPDF=Y")</f>
        <v>-55.183599999999998</v>
      </c>
      <c r="I53" s="13">
        <f>_xll.BDH("ITCI US Equity","EARN_FOR_COMMON","FQ4 2020","FQ4 2020","Currency=USD","Period=FQ","BEST_FPERIOD_OVERRIDE=FQ","FILING_STATUS=MR","SCALING_FORMAT=MLN","FA_ADJUSTED=Adjusted","Sort=A","Dates=H","DateFormat=P","Fill=—","Direction=H","UseDPDF=Y")</f>
        <v>-60.699199999999998</v>
      </c>
      <c r="J53" s="13">
        <f>_xll.BDH("ITCI US Equity","EARN_FOR_COMMON","FQ1 2021","FQ1 2021","Currency=USD","Period=FQ","BEST_FPERIOD_OVERRIDE=FQ","FILING_STATUS=MR","SCALING_FORMAT=MLN","FA_ADJUSTED=Adjusted","Sort=A","Dates=H","DateFormat=P","Fill=—","Direction=H","UseDPDF=Y")</f>
        <v>-52.739899999999999</v>
      </c>
      <c r="K53" s="13">
        <f>_xll.BDH("ITCI US Equity","EARN_FOR_COMMON","FQ2 2021","FQ2 2021","Currency=USD","Period=FQ","BEST_FPERIOD_OVERRIDE=FQ","FILING_STATUS=MR","SCALING_FORMAT=MLN","FA_ADJUSTED=Adjusted","Sort=A","Dates=H","DateFormat=P","Fill=—","Direction=H","UseDPDF=Y")</f>
        <v>-68.743799999999993</v>
      </c>
      <c r="L53" s="13">
        <f>_xll.BDH("ITCI US Equity","EARN_FOR_COMMON","FQ3 2021","FQ3 2021","Currency=USD","Period=FQ","BEST_FPERIOD_OVERRIDE=FQ","FILING_STATUS=MR","SCALING_FORMAT=MLN","FA_ADJUSTED=Adjusted","Sort=A","Dates=H","DateFormat=P","Fill=—","Direction=H","UseDPDF=Y")</f>
        <v>-76.908000000000001</v>
      </c>
      <c r="M53" s="13">
        <f>_xll.BDH("ITCI US Equity","EARN_FOR_COMMON","FQ4 2021","FQ4 2021","Currency=USD","Period=FQ","BEST_FPERIOD_OVERRIDE=FQ","FILING_STATUS=MR","SCALING_FORMAT=MLN","FA_ADJUSTED=Adjusted","Sort=A","Dates=H","DateFormat=P","Fill=—","Direction=H","UseDPDF=Y")</f>
        <v>-85.733900000000006</v>
      </c>
      <c r="N53" s="13">
        <f>_xll.BDH("ITCI US Equity","EARN_FOR_COMMON","FQ1 2022","FQ1 2022","Currency=USD","Period=FQ","BEST_FPERIOD_OVERRIDE=FQ","FILING_STATUS=MR","SCALING_FORMAT=MLN","FA_ADJUSTED=Adjusted","Sort=A","Dates=H","DateFormat=P","Fill=—","Direction=H","UseDPDF=Y")</f>
        <v>-72.119</v>
      </c>
      <c r="O53" s="13">
        <f>_xll.BDH("ITCI US Equity","EARN_FOR_COMMON","FQ2 2022","FQ2 2022","Currency=USD","Period=FQ","BEST_FPERIOD_OVERRIDE=FQ","FILING_STATUS=MR","SCALING_FORMAT=MLN","FA_ADJUSTED=Adjusted","Sort=A","Dates=H","DateFormat=P","Fill=—","Direction=H","UseDPDF=Y")</f>
        <v>-86.602999999999994</v>
      </c>
      <c r="P53" s="13">
        <f>_xll.BDH("ITCI US Equity","EARN_FOR_COMMON","FQ3 2022","FQ3 2022","Currency=USD","Period=FQ","BEST_FPERIOD_OVERRIDE=FQ","FILING_STATUS=MR","SCALING_FORMAT=MLN","FA_ADJUSTED=Adjusted","Sort=A","Dates=H","DateFormat=P","Fill=—","Direction=H","UseDPDF=Y")</f>
        <v>-53.508000000000003</v>
      </c>
      <c r="Q53" s="13">
        <f>_xll.BDH("ITCI US Equity","EARN_FOR_COMMON","FQ4 2022","FQ4 2022","Currency=USD","Period=FQ","BEST_FPERIOD_OVERRIDE=FQ","FILING_STATUS=MR","SCALING_FORMAT=MLN","FA_ADJUSTED=Adjusted","Sort=A","Dates=H","DateFormat=P","Fill=—","Direction=H","UseDPDF=Y")</f>
        <v>-44.026000000000003</v>
      </c>
      <c r="R53" s="13">
        <f>_xll.BDH("ITCI US Equity","EARN_FOR_COMMON","FQ1 2023","FQ1 2023","Currency=USD","Period=FQ","BEST_FPERIOD_OVERRIDE=FQ","FILING_STATUS=MR","SCALING_FORMAT=MLN","FA_ADJUSTED=Adjusted","Sort=A","Dates=H","DateFormat=P","Fill=—","Direction=H","UseDPDF=Y")</f>
        <v>-44.052999999999997</v>
      </c>
      <c r="S53" s="13">
        <f>_xll.BDH("ITCI US Equity","EARN_FOR_COMMON","FQ2 2023","FQ2 2023","Currency=USD","Period=FQ","BEST_FPERIOD_OVERRIDE=FQ","FILING_STATUS=MR","SCALING_FORMAT=MLN","FA_ADJUSTED=Adjusted","Sort=A","Dates=H","DateFormat=P","Fill=—","Direction=H","UseDPDF=Y")</f>
        <v>-42.783999999999999</v>
      </c>
      <c r="T53" s="13">
        <f>_xll.BDH("ITCI US Equity","EARN_FOR_COMMON","FQ3 2023","FQ3 2023","Currency=USD","Period=FQ","BEST_FPERIOD_OVERRIDE=FQ","FILING_STATUS=MR","SCALING_FORMAT=MLN","FA_ADJUSTED=Adjusted","Sort=A","Dates=H","DateFormat=P","Fill=—","Direction=H","UseDPDF=Y")</f>
        <v>-24.257999999999999</v>
      </c>
      <c r="U53" s="13">
        <f>_xll.BDH("ITCI US Equity","EARN_FOR_COMMON","FQ4 2023","FQ4 2023","Currency=USD","Period=FQ","BEST_FPERIOD_OVERRIDE=FQ","FILING_STATUS=MR","SCALING_FORMAT=MLN","FA_ADJUSTED=Adjusted","Sort=A","Dates=H","DateFormat=P","Fill=—","Direction=H","UseDPDF=Y")</f>
        <v>-28.579000000000001</v>
      </c>
      <c r="V53" s="13">
        <f>_xll.BDH("ITCI US Equity","EARN_FOR_COMMON","FQ1 2024","FQ1 2024","Currency=USD","Period=FQ","BEST_FPERIOD_OVERRIDE=FQ","FILING_STATUS=MR","SCALING_FORMAT=MLN","FA_ADJUSTED=Adjusted","Sort=A","Dates=H","DateFormat=P","Fill=—","Direction=H","UseDPDF=Y")</f>
        <v>-15.247</v>
      </c>
      <c r="W53" s="13">
        <f>_xll.BDH("ITCI US Equity","EARN_FOR_COMMON","FQ2 2024","FQ2 2024","Currency=USD","Period=FQ","BEST_FPERIOD_OVERRIDE=FQ","FILING_STATUS=MR","SCALING_FORMAT=MLN","FA_ADJUSTED=Adjusted","Sort=A","Dates=H","DateFormat=P","Fill=—","Direction=H","UseDPDF=Y")</f>
        <v>-16.22</v>
      </c>
      <c r="X53" s="13">
        <f>_xll.BDH("ITCI US Equity","EARN_FOR_COMMON","FQ3 2024","FQ3 2024","Currency=USD","Period=FQ","BEST_FPERIOD_OVERRIDE=FQ","FILING_STATUS=MR","SCALING_FORMAT=MLN","FA_ADJUSTED=Adjusted","Sort=A","Dates=H","DateFormat=P","Fill=—","Direction=H","UseDPDF=Y")</f>
        <v>-26.324000000000002</v>
      </c>
      <c r="Y53" s="13">
        <f>_xll.BDH("ITCI US Equity","EARN_FOR_COMMON","FQ4 2024","FQ4 2024","Currency=USD","Period=FQ","BEST_FPERIOD_OVERRIDE=FQ","FILING_STATUS=MR","SCALING_FORMAT=MLN","FA_ADJUSTED=Adjusted","Sort=A","Dates=H","DateFormat=P","Fill=—","Direction=H","UseDPDF=Y")</f>
        <v>-16.885000000000002</v>
      </c>
      <c r="Z53" s="13"/>
      <c r="AA53" s="13"/>
    </row>
    <row r="54" spans="1:27" x14ac:dyDescent="0.25">
      <c r="A54" s="7" t="s">
        <v>90</v>
      </c>
      <c r="B54" s="7"/>
      <c r="C54" s="7" t="s">
        <v>5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Z41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3" width="11.85546875" customWidth="1"/>
    <col min="4" max="4" width="7" customWidth="1"/>
    <col min="5" max="5" width="11.85546875" customWidth="1"/>
    <col min="6" max="6" width="7" customWidth="1"/>
    <col min="7" max="7" width="11.85546875" customWidth="1"/>
    <col min="8" max="8" width="7" customWidth="1"/>
    <col min="9" max="9" width="11.85546875" customWidth="1"/>
    <col min="10" max="10" width="7" customWidth="1"/>
    <col min="11" max="11" width="11.85546875" customWidth="1"/>
    <col min="12" max="12" width="7" customWidth="1"/>
    <col min="13" max="13" width="11.85546875" customWidth="1"/>
    <col min="14" max="14" width="7" customWidth="1"/>
    <col min="15" max="15" width="11.85546875" customWidth="1"/>
    <col min="16" max="16" width="7" customWidth="1"/>
    <col min="17" max="17" width="11.85546875" customWidth="1"/>
    <col min="18" max="18" width="7" customWidth="1"/>
    <col min="19" max="19" width="11.85546875" customWidth="1"/>
    <col min="20" max="20" width="7" customWidth="1"/>
    <col min="21" max="21" width="11.85546875" customWidth="1"/>
    <col min="22" max="22" width="7" customWidth="1"/>
    <col min="23" max="23" width="11.85546875" customWidth="1"/>
    <col min="24" max="24" width="7" customWidth="1"/>
    <col min="25" max="25" width="11.85546875" customWidth="1"/>
    <col min="26" max="26" width="7" customWidth="1"/>
    <col min="27" max="27" width="11.85546875" customWidth="1"/>
    <col min="28" max="28" width="7" customWidth="1"/>
    <col min="29" max="29" width="11.85546875" customWidth="1"/>
    <col min="30" max="30" width="7" customWidth="1"/>
    <col min="31" max="31" width="11.85546875" customWidth="1"/>
    <col min="32" max="32" width="7" customWidth="1"/>
    <col min="33" max="33" width="11.85546875" customWidth="1"/>
    <col min="34" max="34" width="7" customWidth="1"/>
    <col min="35" max="35" width="11.85546875" customWidth="1"/>
    <col min="36" max="36" width="7" customWidth="1"/>
    <col min="37" max="37" width="11.85546875" customWidth="1"/>
    <col min="38" max="38" width="7" customWidth="1"/>
    <col min="39" max="39" width="11.85546875" customWidth="1"/>
    <col min="40" max="40" width="7" customWidth="1"/>
    <col min="41" max="41" width="11.85546875" customWidth="1"/>
    <col min="42" max="42" width="7" customWidth="1"/>
    <col min="43" max="43" width="11.85546875" customWidth="1"/>
    <col min="44" max="44" width="7" customWidth="1"/>
    <col min="45" max="45" width="11.85546875" customWidth="1"/>
    <col min="46" max="46" width="7" customWidth="1"/>
    <col min="47" max="47" width="11.85546875" customWidth="1"/>
    <col min="48" max="48" width="7" customWidth="1"/>
    <col min="49" max="49" width="11.85546875" customWidth="1"/>
    <col min="50" max="50" width="7" customWidth="1"/>
    <col min="51" max="51" width="11.85546875" customWidth="1"/>
    <col min="52" max="52" width="7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20.25" x14ac:dyDescent="0.25">
      <c r="A2" s="8" t="s">
        <v>1300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25">
      <c r="A4" s="3" t="s">
        <v>92</v>
      </c>
      <c r="B4" s="3"/>
      <c r="C4" s="30" t="s">
        <v>93</v>
      </c>
      <c r="D4" s="30"/>
      <c r="E4" s="30" t="s">
        <v>94</v>
      </c>
      <c r="F4" s="30"/>
      <c r="G4" s="30" t="s">
        <v>8</v>
      </c>
      <c r="H4" s="30"/>
      <c r="I4" s="30" t="s">
        <v>9</v>
      </c>
      <c r="J4" s="30"/>
      <c r="K4" s="30" t="s">
        <v>10</v>
      </c>
      <c r="L4" s="30"/>
      <c r="M4" s="30" t="s">
        <v>11</v>
      </c>
      <c r="N4" s="30"/>
      <c r="O4" s="30" t="s">
        <v>12</v>
      </c>
      <c r="P4" s="30"/>
      <c r="Q4" s="30" t="s">
        <v>13</v>
      </c>
      <c r="R4" s="30"/>
      <c r="S4" s="30" t="s">
        <v>14</v>
      </c>
      <c r="T4" s="30"/>
      <c r="U4" s="30" t="s">
        <v>15</v>
      </c>
      <c r="V4" s="30"/>
      <c r="W4" s="30" t="s">
        <v>16</v>
      </c>
      <c r="X4" s="30"/>
      <c r="Y4" s="30" t="s">
        <v>17</v>
      </c>
      <c r="Z4" s="30"/>
      <c r="AA4" s="30" t="s">
        <v>18</v>
      </c>
      <c r="AB4" s="30"/>
      <c r="AC4" s="30" t="s">
        <v>19</v>
      </c>
      <c r="AD4" s="30"/>
      <c r="AE4" s="30" t="s">
        <v>20</v>
      </c>
      <c r="AF4" s="30"/>
      <c r="AG4" s="30" t="s">
        <v>21</v>
      </c>
      <c r="AH4" s="30"/>
      <c r="AI4" s="30" t="s">
        <v>22</v>
      </c>
      <c r="AJ4" s="30"/>
      <c r="AK4" s="30" t="s">
        <v>23</v>
      </c>
      <c r="AL4" s="30"/>
      <c r="AM4" s="30" t="s">
        <v>24</v>
      </c>
      <c r="AN4" s="30"/>
      <c r="AO4" s="30" t="s">
        <v>25</v>
      </c>
      <c r="AP4" s="30"/>
      <c r="AQ4" s="30" t="s">
        <v>26</v>
      </c>
      <c r="AR4" s="30"/>
      <c r="AS4" s="30" t="s">
        <v>27</v>
      </c>
      <c r="AT4" s="30"/>
      <c r="AU4" s="30" t="s">
        <v>28</v>
      </c>
      <c r="AV4" s="30"/>
      <c r="AW4" s="30" t="s">
        <v>29</v>
      </c>
      <c r="AX4" s="30"/>
      <c r="AY4" s="30" t="s">
        <v>30</v>
      </c>
      <c r="AZ4" s="30"/>
    </row>
    <row r="5" spans="1:52" x14ac:dyDescent="0.25">
      <c r="A5" s="9" t="s">
        <v>33</v>
      </c>
      <c r="B5" s="9"/>
      <c r="C5" s="31" t="s">
        <v>95</v>
      </c>
      <c r="D5" s="31"/>
      <c r="E5" s="31" t="s">
        <v>96</v>
      </c>
      <c r="F5" s="31"/>
      <c r="G5" s="31" t="s">
        <v>34</v>
      </c>
      <c r="H5" s="31"/>
      <c r="I5" s="31" t="s">
        <v>35</v>
      </c>
      <c r="J5" s="31"/>
      <c r="K5" s="31" t="s">
        <v>36</v>
      </c>
      <c r="L5" s="31"/>
      <c r="M5" s="31" t="s">
        <v>37</v>
      </c>
      <c r="N5" s="31"/>
      <c r="O5" s="31" t="s">
        <v>38</v>
      </c>
      <c r="P5" s="31"/>
      <c r="Q5" s="31" t="s">
        <v>39</v>
      </c>
      <c r="R5" s="31"/>
      <c r="S5" s="31" t="s">
        <v>40</v>
      </c>
      <c r="T5" s="31"/>
      <c r="U5" s="31" t="s">
        <v>41</v>
      </c>
      <c r="V5" s="31"/>
      <c r="W5" s="31" t="s">
        <v>42</v>
      </c>
      <c r="X5" s="31"/>
      <c r="Y5" s="31" t="s">
        <v>43</v>
      </c>
      <c r="Z5" s="31"/>
      <c r="AA5" s="31" t="s">
        <v>44</v>
      </c>
      <c r="AB5" s="31"/>
      <c r="AC5" s="31" t="s">
        <v>45</v>
      </c>
      <c r="AD5" s="31"/>
      <c r="AE5" s="31" t="s">
        <v>46</v>
      </c>
      <c r="AF5" s="31"/>
      <c r="AG5" s="31" t="s">
        <v>47</v>
      </c>
      <c r="AH5" s="31"/>
      <c r="AI5" s="31" t="s">
        <v>48</v>
      </c>
      <c r="AJ5" s="31"/>
      <c r="AK5" s="31" t="s">
        <v>49</v>
      </c>
      <c r="AL5" s="31"/>
      <c r="AM5" s="31" t="s">
        <v>50</v>
      </c>
      <c r="AN5" s="31"/>
      <c r="AO5" s="31" t="s">
        <v>51</v>
      </c>
      <c r="AP5" s="31"/>
      <c r="AQ5" s="31" t="s">
        <v>52</v>
      </c>
      <c r="AR5" s="31"/>
      <c r="AS5" s="31" t="s">
        <v>53</v>
      </c>
      <c r="AT5" s="31"/>
      <c r="AU5" s="31" t="s">
        <v>54</v>
      </c>
      <c r="AV5" s="31"/>
      <c r="AW5" s="31" t="s">
        <v>55</v>
      </c>
      <c r="AX5" s="31"/>
      <c r="AY5" s="31" t="s">
        <v>56</v>
      </c>
      <c r="AZ5" s="31"/>
    </row>
    <row r="6" spans="1:52" x14ac:dyDescent="0.25">
      <c r="A6" s="6" t="s">
        <v>0</v>
      </c>
      <c r="B6" s="6"/>
      <c r="C6" s="34">
        <v>0</v>
      </c>
      <c r="D6" s="35"/>
      <c r="E6" s="34">
        <v>0</v>
      </c>
      <c r="F6" s="35"/>
      <c r="G6" s="34">
        <v>0</v>
      </c>
      <c r="H6" s="35"/>
      <c r="I6" s="34">
        <v>0</v>
      </c>
      <c r="J6" s="35"/>
      <c r="K6" s="34">
        <v>6.0613E-2</v>
      </c>
      <c r="L6" s="35">
        <v>1</v>
      </c>
      <c r="M6" s="34">
        <v>1.0834790000000001</v>
      </c>
      <c r="N6" s="35">
        <v>1</v>
      </c>
      <c r="O6" s="34">
        <v>1.906636</v>
      </c>
      <c r="P6" s="35">
        <v>1</v>
      </c>
      <c r="Q6" s="34">
        <v>7.3685939999999999</v>
      </c>
      <c r="R6" s="35">
        <v>1</v>
      </c>
      <c r="S6" s="34">
        <v>12.454269999999999</v>
      </c>
      <c r="T6" s="35">
        <v>1</v>
      </c>
      <c r="U6" s="34">
        <v>15.878329000000001</v>
      </c>
      <c r="V6" s="35">
        <v>1</v>
      </c>
      <c r="W6" s="34">
        <v>20.046561000000001</v>
      </c>
      <c r="X6" s="35">
        <v>1</v>
      </c>
      <c r="Y6" s="34">
        <v>22.207201000000001</v>
      </c>
      <c r="Z6" s="35">
        <v>1</v>
      </c>
      <c r="AA6" s="34">
        <v>25.670926000000001</v>
      </c>
      <c r="AB6" s="35">
        <v>1</v>
      </c>
      <c r="AC6" s="34">
        <v>34.996000000000002</v>
      </c>
      <c r="AD6" s="35">
        <v>1</v>
      </c>
      <c r="AE6" s="34">
        <v>55.579000000000001</v>
      </c>
      <c r="AF6" s="35">
        <v>1</v>
      </c>
      <c r="AG6" s="34">
        <v>71.87</v>
      </c>
      <c r="AH6" s="35">
        <v>1</v>
      </c>
      <c r="AI6" s="34">
        <v>8.7869000000000003E-2</v>
      </c>
      <c r="AJ6" s="35">
        <v>1</v>
      </c>
      <c r="AK6" s="34">
        <v>95.305999999999997</v>
      </c>
      <c r="AL6" s="35">
        <v>1</v>
      </c>
      <c r="AM6" s="34">
        <v>0.110792</v>
      </c>
      <c r="AN6" s="35">
        <v>1</v>
      </c>
      <c r="AO6" s="34">
        <v>126.173</v>
      </c>
      <c r="AP6" s="35">
        <v>1</v>
      </c>
      <c r="AQ6" s="34">
        <v>0.13209899999999999</v>
      </c>
      <c r="AR6" s="35">
        <v>1</v>
      </c>
      <c r="AS6" s="34">
        <v>144.86600000000001</v>
      </c>
      <c r="AT6" s="35">
        <v>1</v>
      </c>
      <c r="AU6" s="34">
        <v>161.38800000000001</v>
      </c>
      <c r="AV6" s="35">
        <v>1</v>
      </c>
      <c r="AW6" s="34">
        <v>175.375</v>
      </c>
      <c r="AX6" s="35">
        <v>1</v>
      </c>
      <c r="AY6" s="34">
        <v>0.19922300000000001</v>
      </c>
      <c r="AZ6" s="35">
        <v>1</v>
      </c>
    </row>
    <row r="7" spans="1:52" x14ac:dyDescent="0.25">
      <c r="A7" s="10" t="s">
        <v>1301</v>
      </c>
      <c r="B7" s="10"/>
      <c r="C7" s="32">
        <v>0</v>
      </c>
      <c r="D7" s="33"/>
      <c r="E7" s="32">
        <v>0</v>
      </c>
      <c r="F7" s="33"/>
      <c r="G7" s="32">
        <v>0</v>
      </c>
      <c r="H7" s="33"/>
      <c r="I7" s="32">
        <v>0</v>
      </c>
      <c r="J7" s="33"/>
      <c r="K7" s="32">
        <v>6.0613E-2</v>
      </c>
      <c r="L7" s="33">
        <v>1</v>
      </c>
      <c r="M7" s="32">
        <v>1.0834790000000001</v>
      </c>
      <c r="N7" s="33">
        <v>1</v>
      </c>
      <c r="O7" s="32">
        <v>1.906636</v>
      </c>
      <c r="P7" s="33">
        <v>1</v>
      </c>
      <c r="Q7" s="32">
        <v>7.3685939999999999</v>
      </c>
      <c r="R7" s="33">
        <v>1</v>
      </c>
      <c r="S7" s="32">
        <v>12.454269999999999</v>
      </c>
      <c r="T7" s="33">
        <v>1</v>
      </c>
      <c r="U7" s="32">
        <v>15.878329000000001</v>
      </c>
      <c r="V7" s="33">
        <v>1</v>
      </c>
      <c r="W7" s="32">
        <v>20.046561000000001</v>
      </c>
      <c r="X7" s="33">
        <v>1</v>
      </c>
      <c r="Y7" s="32">
        <v>22.207201000000001</v>
      </c>
      <c r="Z7" s="33">
        <v>1</v>
      </c>
      <c r="AA7" s="32">
        <v>25.670926000000001</v>
      </c>
      <c r="AB7" s="33">
        <v>1</v>
      </c>
      <c r="AC7" s="32">
        <v>34.996000000000002</v>
      </c>
      <c r="AD7" s="33">
        <v>1</v>
      </c>
      <c r="AE7" s="32">
        <v>55.579000000000001</v>
      </c>
      <c r="AF7" s="33">
        <v>1</v>
      </c>
      <c r="AG7" s="32">
        <v>71.87</v>
      </c>
      <c r="AH7" s="33">
        <v>1</v>
      </c>
      <c r="AI7" s="32">
        <v>8.7869000000000003E-2</v>
      </c>
      <c r="AJ7" s="33">
        <v>1</v>
      </c>
      <c r="AK7" s="32">
        <v>95.305999999999997</v>
      </c>
      <c r="AL7" s="33">
        <v>1</v>
      </c>
      <c r="AM7" s="32">
        <v>0.110792</v>
      </c>
      <c r="AN7" s="33">
        <v>1</v>
      </c>
      <c r="AO7" s="32">
        <v>126.173</v>
      </c>
      <c r="AP7" s="33">
        <v>1</v>
      </c>
      <c r="AQ7" s="32">
        <v>0.13209899999999999</v>
      </c>
      <c r="AR7" s="33">
        <v>1</v>
      </c>
      <c r="AS7" s="32">
        <v>144.86600000000001</v>
      </c>
      <c r="AT7" s="33">
        <v>1</v>
      </c>
      <c r="AU7" s="32">
        <v>161.38800000000001</v>
      </c>
      <c r="AV7" s="33">
        <v>1</v>
      </c>
      <c r="AW7" s="32">
        <v>175.375</v>
      </c>
      <c r="AX7" s="33">
        <v>1</v>
      </c>
      <c r="AY7" s="32">
        <v>0.19922300000000001</v>
      </c>
      <c r="AZ7" s="33">
        <v>1</v>
      </c>
    </row>
    <row r="8" spans="1:52" x14ac:dyDescent="0.25">
      <c r="A8" s="6" t="s">
        <v>1302</v>
      </c>
      <c r="B8" s="6"/>
      <c r="C8" s="34" t="s">
        <v>76</v>
      </c>
      <c r="D8" s="35"/>
      <c r="E8" s="34">
        <v>0</v>
      </c>
      <c r="F8" s="35"/>
      <c r="G8" s="34">
        <v>0</v>
      </c>
      <c r="H8" s="35"/>
      <c r="I8" s="34">
        <v>0</v>
      </c>
      <c r="J8" s="35"/>
      <c r="K8" s="34">
        <v>6.0613E-2</v>
      </c>
      <c r="L8" s="35">
        <v>1</v>
      </c>
      <c r="M8" s="34">
        <v>1.0834790000000001</v>
      </c>
      <c r="N8" s="35">
        <v>1</v>
      </c>
      <c r="O8" s="34">
        <v>1.906636</v>
      </c>
      <c r="P8" s="35">
        <v>1</v>
      </c>
      <c r="Q8" s="34">
        <v>7.3685939999999999</v>
      </c>
      <c r="R8" s="35">
        <v>1</v>
      </c>
      <c r="S8" s="34">
        <v>12.454269999999999</v>
      </c>
      <c r="T8" s="35">
        <v>1</v>
      </c>
      <c r="U8" s="34">
        <v>15.878329000000001</v>
      </c>
      <c r="V8" s="35">
        <v>1</v>
      </c>
      <c r="W8" s="34">
        <v>20.046561000000001</v>
      </c>
      <c r="X8" s="35">
        <v>1</v>
      </c>
      <c r="Y8" s="34" t="s">
        <v>76</v>
      </c>
      <c r="Z8" s="35"/>
      <c r="AA8" s="34">
        <v>25.670926000000001</v>
      </c>
      <c r="AB8" s="35">
        <v>1</v>
      </c>
      <c r="AC8" s="34">
        <v>34.996000000000002</v>
      </c>
      <c r="AD8" s="35">
        <v>1</v>
      </c>
      <c r="AE8" s="34">
        <v>55.579000000000001</v>
      </c>
      <c r="AF8" s="35">
        <v>1</v>
      </c>
      <c r="AG8" s="34" t="s">
        <v>76</v>
      </c>
      <c r="AH8" s="35"/>
      <c r="AI8" s="34" t="s">
        <v>76</v>
      </c>
      <c r="AJ8" s="35"/>
      <c r="AK8" s="34">
        <v>95.305999999999997</v>
      </c>
      <c r="AL8" s="35">
        <v>1</v>
      </c>
      <c r="AM8" s="34" t="s">
        <v>76</v>
      </c>
      <c r="AN8" s="35"/>
      <c r="AO8" s="34">
        <v>126.173</v>
      </c>
      <c r="AP8" s="35">
        <v>1</v>
      </c>
      <c r="AQ8" s="34">
        <v>132.09899999999999</v>
      </c>
      <c r="AR8" s="35">
        <v>1</v>
      </c>
      <c r="AS8" s="34" t="s">
        <v>76</v>
      </c>
      <c r="AT8" s="35"/>
      <c r="AU8" s="34">
        <v>161.38800000000001</v>
      </c>
      <c r="AV8" s="35">
        <v>1</v>
      </c>
      <c r="AW8" s="34">
        <v>175.375</v>
      </c>
      <c r="AX8" s="35">
        <v>1</v>
      </c>
      <c r="AY8" s="34" t="s">
        <v>76</v>
      </c>
      <c r="AZ8" s="35"/>
    </row>
    <row r="9" spans="1:52" x14ac:dyDescent="0.25">
      <c r="A9" s="10" t="s">
        <v>1303</v>
      </c>
      <c r="B9" s="10"/>
      <c r="C9" s="32" t="s">
        <v>76</v>
      </c>
      <c r="D9" s="33"/>
      <c r="E9" s="32">
        <v>0</v>
      </c>
      <c r="F9" s="33"/>
      <c r="G9" s="32">
        <v>0</v>
      </c>
      <c r="H9" s="33"/>
      <c r="I9" s="32">
        <v>0</v>
      </c>
      <c r="J9" s="33"/>
      <c r="K9" s="32">
        <v>0</v>
      </c>
      <c r="L9" s="33"/>
      <c r="M9" s="32">
        <v>0.88251599999999997</v>
      </c>
      <c r="N9" s="33">
        <v>0.81452063214884696</v>
      </c>
      <c r="O9" s="32">
        <v>1.8758889999999999</v>
      </c>
      <c r="P9" s="33">
        <v>0.98387369167476102</v>
      </c>
      <c r="Q9" s="32">
        <v>7.3685939999999999</v>
      </c>
      <c r="R9" s="33">
        <v>1</v>
      </c>
      <c r="S9" s="32">
        <v>12.403753999999999</v>
      </c>
      <c r="T9" s="33">
        <v>0.99594388109459597</v>
      </c>
      <c r="U9" s="32">
        <v>15.578905000000001</v>
      </c>
      <c r="V9" s="33">
        <v>0.98114260008090304</v>
      </c>
      <c r="W9" s="32">
        <v>19.006779999999999</v>
      </c>
      <c r="X9" s="33">
        <v>0.94813170199117902</v>
      </c>
      <c r="Y9" s="32" t="s">
        <v>76</v>
      </c>
      <c r="Z9" s="33"/>
      <c r="AA9" s="32">
        <v>25.516026</v>
      </c>
      <c r="AB9" s="33">
        <v>0.99396593640603403</v>
      </c>
      <c r="AC9" s="32">
        <v>34.755000000000003</v>
      </c>
      <c r="AD9" s="33">
        <v>0.99311349868556398</v>
      </c>
      <c r="AE9" s="32">
        <v>55.073999999999998</v>
      </c>
      <c r="AF9" s="33">
        <v>0.99091383436189895</v>
      </c>
      <c r="AG9" s="32" t="s">
        <v>76</v>
      </c>
      <c r="AH9" s="33"/>
      <c r="AI9" s="32" t="s">
        <v>76</v>
      </c>
      <c r="AJ9" s="33"/>
      <c r="AK9" s="32">
        <v>94.730999999999995</v>
      </c>
      <c r="AL9" s="33">
        <v>0.99396680167040896</v>
      </c>
      <c r="AM9" s="32" t="s">
        <v>76</v>
      </c>
      <c r="AN9" s="33"/>
      <c r="AO9" s="32">
        <v>125.81</v>
      </c>
      <c r="AP9" s="33">
        <v>0.99712299778875002</v>
      </c>
      <c r="AQ9" s="32">
        <v>131.506</v>
      </c>
      <c r="AR9" s="33">
        <v>0.99551094255066297</v>
      </c>
      <c r="AS9" s="32" t="s">
        <v>76</v>
      </c>
      <c r="AT9" s="33"/>
      <c r="AU9" s="32">
        <v>161.27600000000001</v>
      </c>
      <c r="AV9" s="33">
        <v>0.99930602027412196</v>
      </c>
      <c r="AW9" s="32">
        <v>175.15899999999999</v>
      </c>
      <c r="AX9" s="33">
        <v>0.99876835352815396</v>
      </c>
      <c r="AY9" s="32" t="s">
        <v>76</v>
      </c>
      <c r="AZ9" s="33"/>
    </row>
    <row r="10" spans="1:52" x14ac:dyDescent="0.25">
      <c r="A10" s="10" t="s">
        <v>1304</v>
      </c>
      <c r="B10" s="10"/>
      <c r="C10" s="32" t="s">
        <v>76</v>
      </c>
      <c r="D10" s="33"/>
      <c r="E10" s="32">
        <v>0</v>
      </c>
      <c r="F10" s="33"/>
      <c r="G10" s="32">
        <v>0</v>
      </c>
      <c r="H10" s="33"/>
      <c r="I10" s="32">
        <v>0</v>
      </c>
      <c r="J10" s="33"/>
      <c r="K10" s="32">
        <v>6.0613E-2</v>
      </c>
      <c r="L10" s="33">
        <v>1</v>
      </c>
      <c r="M10" s="32">
        <v>0.200963</v>
      </c>
      <c r="N10" s="33">
        <v>0.18547936785115399</v>
      </c>
      <c r="O10" s="32">
        <v>3.0747E-2</v>
      </c>
      <c r="P10" s="33">
        <v>1.61263083252388E-2</v>
      </c>
      <c r="Q10" s="32">
        <v>0</v>
      </c>
      <c r="R10" s="33"/>
      <c r="S10" s="32">
        <v>5.0515999999999998E-2</v>
      </c>
      <c r="T10" s="33">
        <v>4.05611890540353E-3</v>
      </c>
      <c r="U10" s="32">
        <v>0.29942400000000002</v>
      </c>
      <c r="V10" s="33">
        <v>1.8857399919097299E-2</v>
      </c>
      <c r="W10" s="32">
        <v>1.0397810000000001</v>
      </c>
      <c r="X10" s="33">
        <v>5.1868298008820597E-2</v>
      </c>
      <c r="Y10" s="32" t="s">
        <v>76</v>
      </c>
      <c r="Z10" s="33"/>
      <c r="AA10" s="32">
        <v>0.15490000000000001</v>
      </c>
      <c r="AB10" s="33">
        <v>6.0340635939661802E-3</v>
      </c>
      <c r="AC10" s="32">
        <v>0.24099999999999999</v>
      </c>
      <c r="AD10" s="33">
        <v>6.8865013144359302E-3</v>
      </c>
      <c r="AE10" s="32">
        <v>0.505</v>
      </c>
      <c r="AF10" s="33">
        <v>9.08616563810072E-3</v>
      </c>
      <c r="AG10" s="32" t="s">
        <v>76</v>
      </c>
      <c r="AH10" s="33"/>
      <c r="AI10" s="32" t="s">
        <v>76</v>
      </c>
      <c r="AJ10" s="33"/>
      <c r="AK10" s="32">
        <v>0.57499999999999996</v>
      </c>
      <c r="AL10" s="33">
        <v>6.0331983295910004E-3</v>
      </c>
      <c r="AM10" s="32" t="s">
        <v>76</v>
      </c>
      <c r="AN10" s="33"/>
      <c r="AO10" s="32">
        <v>0.36299999999999999</v>
      </c>
      <c r="AP10" s="33">
        <v>2.8770022112496298E-3</v>
      </c>
      <c r="AQ10" s="32">
        <v>0.59299999999999997</v>
      </c>
      <c r="AR10" s="33">
        <v>4.4890574493372396E-3</v>
      </c>
      <c r="AS10" s="32" t="s">
        <v>76</v>
      </c>
      <c r="AT10" s="33"/>
      <c r="AU10" s="32">
        <v>0.112</v>
      </c>
      <c r="AV10" s="33">
        <v>6.9397972587800804E-4</v>
      </c>
      <c r="AW10" s="32">
        <v>0.216</v>
      </c>
      <c r="AX10" s="33">
        <v>1.23164647184604E-3</v>
      </c>
      <c r="AY10" s="32" t="s">
        <v>76</v>
      </c>
      <c r="AZ10" s="33"/>
    </row>
    <row r="11" spans="1:52" x14ac:dyDescent="0.25">
      <c r="A11" s="6" t="s">
        <v>2</v>
      </c>
      <c r="B11" s="6"/>
      <c r="C11" s="34" t="s">
        <v>76</v>
      </c>
      <c r="D11" s="35"/>
      <c r="E11" s="34" t="s">
        <v>76</v>
      </c>
      <c r="F11" s="35"/>
      <c r="G11" s="34">
        <v>0</v>
      </c>
      <c r="H11" s="35"/>
      <c r="I11" s="34" t="s">
        <v>76</v>
      </c>
      <c r="J11" s="35"/>
      <c r="K11" s="34" t="s">
        <v>76</v>
      </c>
      <c r="L11" s="35"/>
      <c r="M11" s="34">
        <v>1.014168</v>
      </c>
      <c r="N11" s="35">
        <v>1</v>
      </c>
      <c r="O11" s="34">
        <v>1.778097</v>
      </c>
      <c r="P11" s="35">
        <v>1</v>
      </c>
      <c r="Q11" s="34">
        <v>6.812487</v>
      </c>
      <c r="R11" s="35">
        <v>1</v>
      </c>
      <c r="S11" s="34">
        <v>11.313198</v>
      </c>
      <c r="T11" s="35">
        <v>1</v>
      </c>
      <c r="U11" s="34">
        <v>14.423114</v>
      </c>
      <c r="V11" s="35">
        <v>1</v>
      </c>
      <c r="W11" s="34">
        <v>18.006530000000001</v>
      </c>
      <c r="X11" s="35">
        <v>1</v>
      </c>
      <c r="Y11" s="34">
        <v>20.205886</v>
      </c>
      <c r="Z11" s="35">
        <v>1</v>
      </c>
      <c r="AA11" s="34">
        <v>23.132898000000001</v>
      </c>
      <c r="AB11" s="35">
        <v>1</v>
      </c>
      <c r="AC11" s="34">
        <v>31.841000000000001</v>
      </c>
      <c r="AD11" s="35">
        <v>1</v>
      </c>
      <c r="AE11" s="34">
        <v>50.929000000000002</v>
      </c>
      <c r="AF11" s="35">
        <v>1</v>
      </c>
      <c r="AG11" s="34">
        <v>66.02</v>
      </c>
      <c r="AH11" s="35">
        <v>1</v>
      </c>
      <c r="AI11" s="34">
        <v>8.1081E-2</v>
      </c>
      <c r="AJ11" s="35">
        <v>1</v>
      </c>
      <c r="AK11" s="34">
        <v>88.555000000000007</v>
      </c>
      <c r="AL11" s="35">
        <v>1</v>
      </c>
      <c r="AM11" s="34">
        <v>0.103629</v>
      </c>
      <c r="AN11" s="35">
        <v>1</v>
      </c>
      <c r="AO11" s="34">
        <v>117.044</v>
      </c>
      <c r="AP11" s="35">
        <v>1</v>
      </c>
      <c r="AQ11" s="34">
        <v>0.121397</v>
      </c>
      <c r="AR11" s="35">
        <v>1</v>
      </c>
      <c r="AS11" s="34">
        <v>134.96600000000001</v>
      </c>
      <c r="AT11" s="35">
        <v>1</v>
      </c>
      <c r="AU11" s="34">
        <v>150.03399999999999</v>
      </c>
      <c r="AV11" s="35">
        <v>1</v>
      </c>
      <c r="AW11" s="34">
        <v>160.071</v>
      </c>
      <c r="AX11" s="35">
        <v>1</v>
      </c>
      <c r="AY11" s="34">
        <v>0.178818</v>
      </c>
      <c r="AZ11" s="35">
        <v>1</v>
      </c>
    </row>
    <row r="12" spans="1:52" x14ac:dyDescent="0.25">
      <c r="A12" s="10" t="s">
        <v>1301</v>
      </c>
      <c r="B12" s="10"/>
      <c r="C12" s="32" t="s">
        <v>76</v>
      </c>
      <c r="D12" s="33"/>
      <c r="E12" s="32" t="s">
        <v>76</v>
      </c>
      <c r="F12" s="33"/>
      <c r="G12" s="32">
        <v>0</v>
      </c>
      <c r="H12" s="33"/>
      <c r="I12" s="32" t="s">
        <v>76</v>
      </c>
      <c r="J12" s="33"/>
      <c r="K12" s="32" t="s">
        <v>76</v>
      </c>
      <c r="L12" s="33"/>
      <c r="M12" s="32">
        <v>1.014168</v>
      </c>
      <c r="N12" s="33">
        <v>1</v>
      </c>
      <c r="O12" s="32">
        <v>1.778097</v>
      </c>
      <c r="P12" s="33">
        <v>1</v>
      </c>
      <c r="Q12" s="32">
        <v>6.812487</v>
      </c>
      <c r="R12" s="33">
        <v>1</v>
      </c>
      <c r="S12" s="32">
        <v>11.313198</v>
      </c>
      <c r="T12" s="33">
        <v>1</v>
      </c>
      <c r="U12" s="32">
        <v>14.423114</v>
      </c>
      <c r="V12" s="33">
        <v>1</v>
      </c>
      <c r="W12" s="32">
        <v>18.006530000000001</v>
      </c>
      <c r="X12" s="33">
        <v>1</v>
      </c>
      <c r="Y12" s="32">
        <v>20.205886</v>
      </c>
      <c r="Z12" s="33">
        <v>1</v>
      </c>
      <c r="AA12" s="32">
        <v>23.132898000000001</v>
      </c>
      <c r="AB12" s="33">
        <v>1</v>
      </c>
      <c r="AC12" s="32">
        <v>31.841000000000001</v>
      </c>
      <c r="AD12" s="33">
        <v>1</v>
      </c>
      <c r="AE12" s="32">
        <v>50.929000000000002</v>
      </c>
      <c r="AF12" s="33">
        <v>1</v>
      </c>
      <c r="AG12" s="32">
        <v>66.02</v>
      </c>
      <c r="AH12" s="33">
        <v>1</v>
      </c>
      <c r="AI12" s="32">
        <v>8.1081E-2</v>
      </c>
      <c r="AJ12" s="33">
        <v>1</v>
      </c>
      <c r="AK12" s="32">
        <v>88.555000000000007</v>
      </c>
      <c r="AL12" s="33">
        <v>1</v>
      </c>
      <c r="AM12" s="32">
        <v>0.103629</v>
      </c>
      <c r="AN12" s="33">
        <v>1</v>
      </c>
      <c r="AO12" s="32">
        <v>117.044</v>
      </c>
      <c r="AP12" s="33">
        <v>1</v>
      </c>
      <c r="AQ12" s="32">
        <v>0.121397</v>
      </c>
      <c r="AR12" s="33">
        <v>1</v>
      </c>
      <c r="AS12" s="32">
        <v>134.96600000000001</v>
      </c>
      <c r="AT12" s="33">
        <v>1</v>
      </c>
      <c r="AU12" s="32">
        <v>150.03399999999999</v>
      </c>
      <c r="AV12" s="33">
        <v>1</v>
      </c>
      <c r="AW12" s="32">
        <v>160.071</v>
      </c>
      <c r="AX12" s="33">
        <v>1</v>
      </c>
      <c r="AY12" s="32">
        <v>0.178818</v>
      </c>
      <c r="AZ12" s="33">
        <v>1</v>
      </c>
    </row>
    <row r="13" spans="1:52" x14ac:dyDescent="0.25">
      <c r="A13" s="6" t="s">
        <v>98</v>
      </c>
      <c r="B13" s="6"/>
      <c r="C13" s="34">
        <v>-42.62294</v>
      </c>
      <c r="D13" s="35"/>
      <c r="E13" s="34">
        <v>-36.695839999999997</v>
      </c>
      <c r="F13" s="35"/>
      <c r="G13" s="34">
        <v>-39.171114000000003</v>
      </c>
      <c r="H13" s="35"/>
      <c r="I13" s="34">
        <v>-36.376235999999999</v>
      </c>
      <c r="J13" s="35"/>
      <c r="K13" s="34">
        <v>-41.768659</v>
      </c>
      <c r="L13" s="35"/>
      <c r="M13" s="34">
        <v>-49.085523999999999</v>
      </c>
      <c r="N13" s="35"/>
      <c r="O13" s="34">
        <v>-64.872316999999995</v>
      </c>
      <c r="P13" s="35"/>
      <c r="Q13" s="34">
        <v>-55.936453999999998</v>
      </c>
      <c r="R13" s="35"/>
      <c r="S13" s="34">
        <v>-61.333336000000003</v>
      </c>
      <c r="T13" s="35"/>
      <c r="U13" s="34">
        <v>-53.218693000000002</v>
      </c>
      <c r="V13" s="35"/>
      <c r="W13" s="34">
        <v>-69.141053999999997</v>
      </c>
      <c r="X13" s="35"/>
      <c r="Y13" s="34">
        <v>-77.323824000000002</v>
      </c>
      <c r="Z13" s="35"/>
      <c r="AA13" s="34">
        <v>-86.004553999999999</v>
      </c>
      <c r="AB13" s="35"/>
      <c r="AC13" s="34">
        <v>-72.662000000000006</v>
      </c>
      <c r="AD13" s="35"/>
      <c r="AE13" s="34">
        <v>-87.923000000000002</v>
      </c>
      <c r="AF13" s="35"/>
      <c r="AG13" s="34">
        <v>-55.628999999999998</v>
      </c>
      <c r="AH13" s="35"/>
      <c r="AI13" s="34">
        <v>-4.7412000000000003E-2</v>
      </c>
      <c r="AJ13" s="35"/>
      <c r="AK13" s="34">
        <v>-48.392000000000003</v>
      </c>
      <c r="AL13" s="35"/>
      <c r="AM13" s="34">
        <v>-4.7178999999999999E-2</v>
      </c>
      <c r="AN13" s="35"/>
      <c r="AO13" s="34">
        <v>-29.713000000000001</v>
      </c>
      <c r="AP13" s="35"/>
      <c r="AQ13" s="34">
        <v>-3.4097000000000002E-2</v>
      </c>
      <c r="AR13" s="35"/>
      <c r="AS13" s="34">
        <v>-20.952000000000002</v>
      </c>
      <c r="AT13" s="35"/>
      <c r="AU13" s="34">
        <v>-27.722999999999999</v>
      </c>
      <c r="AV13" s="35"/>
      <c r="AW13" s="34">
        <v>-38.848999999999997</v>
      </c>
      <c r="AX13" s="35"/>
      <c r="AY13" s="34">
        <v>-2.9197000000000001E-2</v>
      </c>
      <c r="AZ13" s="35"/>
    </row>
    <row r="14" spans="1:52" x14ac:dyDescent="0.25">
      <c r="A14" s="10" t="s">
        <v>1301</v>
      </c>
      <c r="B14" s="10"/>
      <c r="C14" s="32">
        <v>-42.62294</v>
      </c>
      <c r="D14" s="33">
        <v>1</v>
      </c>
      <c r="E14" s="32">
        <v>-36.695839999999997</v>
      </c>
      <c r="F14" s="33">
        <v>1</v>
      </c>
      <c r="G14" s="32">
        <v>-39.171114000000003</v>
      </c>
      <c r="H14" s="33">
        <v>1</v>
      </c>
      <c r="I14" s="32">
        <v>-36.376235999999999</v>
      </c>
      <c r="J14" s="33">
        <v>1</v>
      </c>
      <c r="K14" s="32">
        <v>-41.768659</v>
      </c>
      <c r="L14" s="33">
        <v>1</v>
      </c>
      <c r="M14" s="32">
        <v>-49.085523999999999</v>
      </c>
      <c r="N14" s="33">
        <v>1</v>
      </c>
      <c r="O14" s="32">
        <v>-64.872316999999995</v>
      </c>
      <c r="P14" s="33">
        <v>1</v>
      </c>
      <c r="Q14" s="32">
        <v>-55.936453999999998</v>
      </c>
      <c r="R14" s="33">
        <v>1</v>
      </c>
      <c r="S14" s="32">
        <v>-61.333336000000003</v>
      </c>
      <c r="T14" s="33">
        <v>1</v>
      </c>
      <c r="U14" s="32">
        <v>-53.218693000000002</v>
      </c>
      <c r="V14" s="33">
        <v>1</v>
      </c>
      <c r="W14" s="32">
        <v>-69.141053999999997</v>
      </c>
      <c r="X14" s="33">
        <v>1</v>
      </c>
      <c r="Y14" s="32">
        <v>-77.323824000000002</v>
      </c>
      <c r="Z14" s="33">
        <v>1</v>
      </c>
      <c r="AA14" s="32">
        <v>-86.004553999999999</v>
      </c>
      <c r="AB14" s="33">
        <v>1</v>
      </c>
      <c r="AC14" s="32">
        <v>-72.662000000000006</v>
      </c>
      <c r="AD14" s="33">
        <v>1</v>
      </c>
      <c r="AE14" s="32">
        <v>-87.923000000000002</v>
      </c>
      <c r="AF14" s="33">
        <v>1</v>
      </c>
      <c r="AG14" s="32">
        <v>-55.628999999999998</v>
      </c>
      <c r="AH14" s="33">
        <v>1</v>
      </c>
      <c r="AI14" s="32">
        <v>-4.7412000000000003E-2</v>
      </c>
      <c r="AJ14" s="33">
        <v>1</v>
      </c>
      <c r="AK14" s="32">
        <v>-48.392000000000003</v>
      </c>
      <c r="AL14" s="33">
        <v>1</v>
      </c>
      <c r="AM14" s="32">
        <v>-4.7178999999999999E-2</v>
      </c>
      <c r="AN14" s="33">
        <v>1</v>
      </c>
      <c r="AO14" s="32">
        <v>-29.713000000000001</v>
      </c>
      <c r="AP14" s="33">
        <v>1</v>
      </c>
      <c r="AQ14" s="32">
        <v>-3.4097000000000002E-2</v>
      </c>
      <c r="AR14" s="33">
        <v>1</v>
      </c>
      <c r="AS14" s="32">
        <v>-20.952000000000002</v>
      </c>
      <c r="AT14" s="33">
        <v>1</v>
      </c>
      <c r="AU14" s="32">
        <v>-27.722999999999999</v>
      </c>
      <c r="AV14" s="33">
        <v>1</v>
      </c>
      <c r="AW14" s="32">
        <v>-38.848999999999997</v>
      </c>
      <c r="AX14" s="33">
        <v>1</v>
      </c>
      <c r="AY14" s="32">
        <v>-2.9197000000000001E-2</v>
      </c>
      <c r="AZ14" s="33">
        <v>1</v>
      </c>
    </row>
    <row r="15" spans="1:52" x14ac:dyDescent="0.25">
      <c r="A15" s="6" t="s">
        <v>1178</v>
      </c>
      <c r="B15" s="6"/>
      <c r="C15" s="34">
        <v>0</v>
      </c>
      <c r="D15" s="35"/>
      <c r="E15" s="34">
        <v>0</v>
      </c>
      <c r="F15" s="35"/>
      <c r="G15" s="34">
        <v>0</v>
      </c>
      <c r="H15" s="35"/>
      <c r="I15" s="34">
        <v>0</v>
      </c>
      <c r="J15" s="35"/>
      <c r="K15" s="34">
        <v>0</v>
      </c>
      <c r="L15" s="35"/>
      <c r="M15" s="34" t="s">
        <v>76</v>
      </c>
      <c r="N15" s="35"/>
      <c r="O15" s="34">
        <v>0</v>
      </c>
      <c r="P15" s="35"/>
      <c r="Q15" s="34">
        <v>0</v>
      </c>
      <c r="R15" s="35"/>
      <c r="S15" s="34">
        <v>0</v>
      </c>
      <c r="T15" s="35"/>
      <c r="U15" s="34" t="s">
        <v>76</v>
      </c>
      <c r="V15" s="35"/>
      <c r="W15" s="34" t="s">
        <v>76</v>
      </c>
      <c r="X15" s="35"/>
      <c r="Y15" s="34" t="s">
        <v>76</v>
      </c>
      <c r="Z15" s="35"/>
      <c r="AA15" s="34">
        <v>0</v>
      </c>
      <c r="AB15" s="35"/>
      <c r="AC15" s="34" t="s">
        <v>76</v>
      </c>
      <c r="AD15" s="35"/>
      <c r="AE15" s="34" t="s">
        <v>76</v>
      </c>
      <c r="AF15" s="35"/>
      <c r="AG15" s="34" t="s">
        <v>76</v>
      </c>
      <c r="AH15" s="35"/>
      <c r="AI15" s="34">
        <v>0</v>
      </c>
      <c r="AJ15" s="35"/>
      <c r="AK15" s="34" t="s">
        <v>76</v>
      </c>
      <c r="AL15" s="35"/>
      <c r="AM15" s="34" t="s">
        <v>76</v>
      </c>
      <c r="AN15" s="35"/>
      <c r="AO15" s="34" t="s">
        <v>76</v>
      </c>
      <c r="AP15" s="35"/>
      <c r="AQ15" s="34">
        <v>0</v>
      </c>
      <c r="AR15" s="35"/>
      <c r="AS15" s="34" t="s">
        <v>76</v>
      </c>
      <c r="AT15" s="35"/>
      <c r="AU15" s="34" t="s">
        <v>76</v>
      </c>
      <c r="AV15" s="35"/>
      <c r="AW15" s="34" t="s">
        <v>76</v>
      </c>
      <c r="AX15" s="35"/>
      <c r="AY15" s="34">
        <v>0</v>
      </c>
      <c r="AZ15" s="35"/>
    </row>
    <row r="16" spans="1:52" x14ac:dyDescent="0.25">
      <c r="A16" s="10" t="s">
        <v>1301</v>
      </c>
      <c r="B16" s="10"/>
      <c r="C16" s="32">
        <v>0</v>
      </c>
      <c r="D16" s="33"/>
      <c r="E16" s="32">
        <v>0</v>
      </c>
      <c r="F16" s="33"/>
      <c r="G16" s="32">
        <v>0</v>
      </c>
      <c r="H16" s="33"/>
      <c r="I16" s="32">
        <v>0</v>
      </c>
      <c r="J16" s="33"/>
      <c r="K16" s="32">
        <v>0</v>
      </c>
      <c r="L16" s="33"/>
      <c r="M16" s="32" t="s">
        <v>76</v>
      </c>
      <c r="N16" s="33"/>
      <c r="O16" s="32">
        <v>0</v>
      </c>
      <c r="P16" s="33"/>
      <c r="Q16" s="32">
        <v>0</v>
      </c>
      <c r="R16" s="33"/>
      <c r="S16" s="32">
        <v>0</v>
      </c>
      <c r="T16" s="33"/>
      <c r="U16" s="32" t="s">
        <v>76</v>
      </c>
      <c r="V16" s="33"/>
      <c r="W16" s="32" t="s">
        <v>76</v>
      </c>
      <c r="X16" s="33"/>
      <c r="Y16" s="32" t="s">
        <v>76</v>
      </c>
      <c r="Z16" s="33"/>
      <c r="AA16" s="32">
        <v>0</v>
      </c>
      <c r="AB16" s="33"/>
      <c r="AC16" s="32" t="s">
        <v>76</v>
      </c>
      <c r="AD16" s="33"/>
      <c r="AE16" s="32" t="s">
        <v>76</v>
      </c>
      <c r="AF16" s="33"/>
      <c r="AG16" s="32" t="s">
        <v>76</v>
      </c>
      <c r="AH16" s="33"/>
      <c r="AI16" s="32">
        <v>0</v>
      </c>
      <c r="AJ16" s="33"/>
      <c r="AK16" s="32" t="s">
        <v>76</v>
      </c>
      <c r="AL16" s="33"/>
      <c r="AM16" s="32" t="s">
        <v>76</v>
      </c>
      <c r="AN16" s="33"/>
      <c r="AO16" s="32" t="s">
        <v>76</v>
      </c>
      <c r="AP16" s="33"/>
      <c r="AQ16" s="32">
        <v>0</v>
      </c>
      <c r="AR16" s="33"/>
      <c r="AS16" s="32" t="s">
        <v>76</v>
      </c>
      <c r="AT16" s="33"/>
      <c r="AU16" s="32" t="s">
        <v>76</v>
      </c>
      <c r="AV16" s="33"/>
      <c r="AW16" s="32" t="s">
        <v>76</v>
      </c>
      <c r="AX16" s="33"/>
      <c r="AY16" s="32">
        <v>0</v>
      </c>
      <c r="AZ16" s="33"/>
    </row>
    <row r="17" spans="1:52" x14ac:dyDescent="0.25">
      <c r="A17" s="6" t="s">
        <v>401</v>
      </c>
      <c r="B17" s="6"/>
      <c r="C17" s="34">
        <v>1.8749039999999999</v>
      </c>
      <c r="D17" s="35">
        <v>1</v>
      </c>
      <c r="E17" s="34">
        <v>1.860077</v>
      </c>
      <c r="F17" s="35">
        <v>1</v>
      </c>
      <c r="G17" s="34">
        <v>1.7315499999999999</v>
      </c>
      <c r="H17" s="35">
        <v>1</v>
      </c>
      <c r="I17" s="34">
        <v>1.5138370000000001</v>
      </c>
      <c r="J17" s="35">
        <v>1</v>
      </c>
      <c r="K17" s="34">
        <v>1.185808</v>
      </c>
      <c r="L17" s="35">
        <v>1</v>
      </c>
      <c r="M17" s="34">
        <v>1.6782029999999999</v>
      </c>
      <c r="N17" s="35">
        <v>1</v>
      </c>
      <c r="O17" s="34">
        <v>1.160059</v>
      </c>
      <c r="P17" s="35">
        <v>1</v>
      </c>
      <c r="Q17" s="34">
        <v>0.75282899999999997</v>
      </c>
      <c r="R17" s="35">
        <v>1</v>
      </c>
      <c r="S17" s="34">
        <v>0.64439000000000002</v>
      </c>
      <c r="T17" s="35">
        <v>1</v>
      </c>
      <c r="U17" s="34">
        <v>0.48375000000000001</v>
      </c>
      <c r="V17" s="35">
        <v>1</v>
      </c>
      <c r="W17" s="34">
        <v>0.42102800000000001</v>
      </c>
      <c r="X17" s="35">
        <v>1</v>
      </c>
      <c r="Y17" s="34">
        <v>0.39269500000000002</v>
      </c>
      <c r="Z17" s="35">
        <v>1</v>
      </c>
      <c r="AA17" s="34">
        <v>0.270617</v>
      </c>
      <c r="AB17" s="35">
        <v>1</v>
      </c>
      <c r="AC17" s="34">
        <v>0.54800000000000004</v>
      </c>
      <c r="AD17" s="35">
        <v>1</v>
      </c>
      <c r="AE17" s="34">
        <v>1.32</v>
      </c>
      <c r="AF17" s="35">
        <v>1</v>
      </c>
      <c r="AG17" s="34">
        <v>2.1219999999999999</v>
      </c>
      <c r="AH17" s="35">
        <v>1</v>
      </c>
      <c r="AI17" s="34">
        <v>3.3860000000000001E-3</v>
      </c>
      <c r="AJ17" s="35">
        <v>1</v>
      </c>
      <c r="AK17" s="34">
        <v>4.3490000000000002</v>
      </c>
      <c r="AL17" s="35">
        <v>1</v>
      </c>
      <c r="AM17" s="34">
        <v>4.5300000000000002E-3</v>
      </c>
      <c r="AN17" s="35">
        <v>1</v>
      </c>
      <c r="AO17" s="34">
        <v>5.4980000000000002</v>
      </c>
      <c r="AP17" s="35">
        <v>1</v>
      </c>
      <c r="AQ17" s="34">
        <v>5.9659999999999999E-3</v>
      </c>
      <c r="AR17" s="35">
        <v>1</v>
      </c>
      <c r="AS17" s="34">
        <v>6.0640000000000001</v>
      </c>
      <c r="AT17" s="35">
        <v>1</v>
      </c>
      <c r="AU17" s="34">
        <v>11.56</v>
      </c>
      <c r="AV17" s="35">
        <v>1</v>
      </c>
      <c r="AW17" s="34">
        <v>12.898999999999999</v>
      </c>
      <c r="AX17" s="35">
        <v>1</v>
      </c>
      <c r="AY17" s="34">
        <v>1.1995E-2</v>
      </c>
      <c r="AZ17" s="35">
        <v>1</v>
      </c>
    </row>
    <row r="18" spans="1:52" x14ac:dyDescent="0.25">
      <c r="A18" s="10" t="s">
        <v>1301</v>
      </c>
      <c r="B18" s="10"/>
      <c r="C18" s="32">
        <v>1.8749039999999999</v>
      </c>
      <c r="D18" s="33">
        <v>1</v>
      </c>
      <c r="E18" s="32">
        <v>1.860077</v>
      </c>
      <c r="F18" s="33">
        <v>1</v>
      </c>
      <c r="G18" s="32">
        <v>1.7315499999999999</v>
      </c>
      <c r="H18" s="33">
        <v>1</v>
      </c>
      <c r="I18" s="32">
        <v>1.5138370000000001</v>
      </c>
      <c r="J18" s="33">
        <v>1</v>
      </c>
      <c r="K18" s="32">
        <v>1.185808</v>
      </c>
      <c r="L18" s="33">
        <v>1</v>
      </c>
      <c r="M18" s="32">
        <v>1.6782029999999999</v>
      </c>
      <c r="N18" s="33">
        <v>1</v>
      </c>
      <c r="O18" s="32">
        <v>1.160059</v>
      </c>
      <c r="P18" s="33">
        <v>1</v>
      </c>
      <c r="Q18" s="32">
        <v>0.75282899999999997</v>
      </c>
      <c r="R18" s="33">
        <v>1</v>
      </c>
      <c r="S18" s="32">
        <v>0.64439000000000002</v>
      </c>
      <c r="T18" s="33">
        <v>1</v>
      </c>
      <c r="U18" s="32">
        <v>0.48375000000000001</v>
      </c>
      <c r="V18" s="33">
        <v>1</v>
      </c>
      <c r="W18" s="32">
        <v>0.42102800000000001</v>
      </c>
      <c r="X18" s="33">
        <v>1</v>
      </c>
      <c r="Y18" s="32">
        <v>0.39269500000000002</v>
      </c>
      <c r="Z18" s="33">
        <v>1</v>
      </c>
      <c r="AA18" s="32">
        <v>0.270617</v>
      </c>
      <c r="AB18" s="33">
        <v>1</v>
      </c>
      <c r="AC18" s="32">
        <v>0.54800000000000004</v>
      </c>
      <c r="AD18" s="33">
        <v>1</v>
      </c>
      <c r="AE18" s="32">
        <v>1.32</v>
      </c>
      <c r="AF18" s="33">
        <v>1</v>
      </c>
      <c r="AG18" s="32">
        <v>2.1219999999999999</v>
      </c>
      <c r="AH18" s="33">
        <v>1</v>
      </c>
      <c r="AI18" s="32">
        <v>3.3860000000000001E-3</v>
      </c>
      <c r="AJ18" s="33">
        <v>1</v>
      </c>
      <c r="AK18" s="32">
        <v>4.3490000000000002</v>
      </c>
      <c r="AL18" s="33">
        <v>1</v>
      </c>
      <c r="AM18" s="32">
        <v>4.5300000000000002E-3</v>
      </c>
      <c r="AN18" s="33">
        <v>1</v>
      </c>
      <c r="AO18" s="32">
        <v>5.4980000000000002</v>
      </c>
      <c r="AP18" s="33">
        <v>1</v>
      </c>
      <c r="AQ18" s="32">
        <v>5.9659999999999999E-3</v>
      </c>
      <c r="AR18" s="33">
        <v>1</v>
      </c>
      <c r="AS18" s="32">
        <v>6.0640000000000001</v>
      </c>
      <c r="AT18" s="33">
        <v>1</v>
      </c>
      <c r="AU18" s="32">
        <v>11.56</v>
      </c>
      <c r="AV18" s="33">
        <v>1</v>
      </c>
      <c r="AW18" s="32">
        <v>12.898999999999999</v>
      </c>
      <c r="AX18" s="33">
        <v>1</v>
      </c>
      <c r="AY18" s="32">
        <v>1.1995E-2</v>
      </c>
      <c r="AZ18" s="33">
        <v>1</v>
      </c>
    </row>
    <row r="19" spans="1:52" x14ac:dyDescent="0.25">
      <c r="A19" s="6" t="s">
        <v>377</v>
      </c>
      <c r="B19" s="6"/>
      <c r="C19" s="34">
        <v>-40.748035999999999</v>
      </c>
      <c r="D19" s="35"/>
      <c r="E19" s="34">
        <v>-34.835763</v>
      </c>
      <c r="F19" s="35"/>
      <c r="G19" s="34">
        <v>-37.439563999999997</v>
      </c>
      <c r="H19" s="35"/>
      <c r="I19" s="34">
        <v>-34.862399000000003</v>
      </c>
      <c r="J19" s="35"/>
      <c r="K19" s="34">
        <v>-40.582850999999998</v>
      </c>
      <c r="L19" s="35"/>
      <c r="M19" s="34">
        <v>-47.407321000000003</v>
      </c>
      <c r="N19" s="35"/>
      <c r="O19" s="34">
        <v>-63.712257999999999</v>
      </c>
      <c r="P19" s="35"/>
      <c r="Q19" s="34">
        <v>-55.183624999999999</v>
      </c>
      <c r="R19" s="35"/>
      <c r="S19" s="34">
        <v>-60.688946000000001</v>
      </c>
      <c r="T19" s="35"/>
      <c r="U19" s="34">
        <v>-52.734943000000001</v>
      </c>
      <c r="V19" s="35"/>
      <c r="W19" s="34">
        <v>-68.720026000000004</v>
      </c>
      <c r="X19" s="35"/>
      <c r="Y19" s="34">
        <v>-76.931128999999999</v>
      </c>
      <c r="Z19" s="35"/>
      <c r="AA19" s="34">
        <v>-85.733936999999997</v>
      </c>
      <c r="AB19" s="35"/>
      <c r="AC19" s="34">
        <v>-72.114000000000004</v>
      </c>
      <c r="AD19" s="35"/>
      <c r="AE19" s="34">
        <v>-86.602999999999994</v>
      </c>
      <c r="AF19" s="35"/>
      <c r="AG19" s="34">
        <v>-53.506999999999998</v>
      </c>
      <c r="AH19" s="35"/>
      <c r="AI19" s="34">
        <v>-4.4026000000000003E-2</v>
      </c>
      <c r="AJ19" s="35"/>
      <c r="AK19" s="34">
        <v>-44.042999999999999</v>
      </c>
      <c r="AL19" s="35"/>
      <c r="AM19" s="34">
        <v>-4.2648999999999999E-2</v>
      </c>
      <c r="AN19" s="35"/>
      <c r="AO19" s="34">
        <v>-24.215</v>
      </c>
      <c r="AP19" s="35"/>
      <c r="AQ19" s="34">
        <v>-2.8131E-2</v>
      </c>
      <c r="AR19" s="35"/>
      <c r="AS19" s="34">
        <v>-14.888</v>
      </c>
      <c r="AT19" s="35"/>
      <c r="AU19" s="34">
        <v>-16.163</v>
      </c>
      <c r="AV19" s="35"/>
      <c r="AW19" s="34">
        <v>-25.95</v>
      </c>
      <c r="AX19" s="35"/>
      <c r="AY19" s="34">
        <v>-1.7201999999999999E-2</v>
      </c>
      <c r="AZ19" s="35"/>
    </row>
    <row r="20" spans="1:52" x14ac:dyDescent="0.25">
      <c r="A20" s="10" t="s">
        <v>1301</v>
      </c>
      <c r="B20" s="10"/>
      <c r="C20" s="32">
        <v>-40.748035999999999</v>
      </c>
      <c r="D20" s="33">
        <v>1</v>
      </c>
      <c r="E20" s="32">
        <v>-34.835763</v>
      </c>
      <c r="F20" s="33">
        <v>1</v>
      </c>
      <c r="G20" s="32">
        <v>-37.439563999999997</v>
      </c>
      <c r="H20" s="33">
        <v>1</v>
      </c>
      <c r="I20" s="32">
        <v>-34.862399000000003</v>
      </c>
      <c r="J20" s="33">
        <v>1</v>
      </c>
      <c r="K20" s="32">
        <v>-40.582850999999998</v>
      </c>
      <c r="L20" s="33">
        <v>1</v>
      </c>
      <c r="M20" s="32">
        <v>-47.407321000000003</v>
      </c>
      <c r="N20" s="33">
        <v>1</v>
      </c>
      <c r="O20" s="32">
        <v>-63.712257999999999</v>
      </c>
      <c r="P20" s="33">
        <v>1</v>
      </c>
      <c r="Q20" s="32">
        <v>-55.183624999999999</v>
      </c>
      <c r="R20" s="33">
        <v>1</v>
      </c>
      <c r="S20" s="32">
        <v>-60.688946000000001</v>
      </c>
      <c r="T20" s="33">
        <v>1</v>
      </c>
      <c r="U20" s="32">
        <v>-52.734943000000001</v>
      </c>
      <c r="V20" s="33">
        <v>1</v>
      </c>
      <c r="W20" s="32">
        <v>-68.720026000000004</v>
      </c>
      <c r="X20" s="33">
        <v>1</v>
      </c>
      <c r="Y20" s="32">
        <v>-76.931128999999999</v>
      </c>
      <c r="Z20" s="33">
        <v>1</v>
      </c>
      <c r="AA20" s="32">
        <v>-85.733936999999997</v>
      </c>
      <c r="AB20" s="33">
        <v>1</v>
      </c>
      <c r="AC20" s="32">
        <v>-72.114000000000004</v>
      </c>
      <c r="AD20" s="33">
        <v>1</v>
      </c>
      <c r="AE20" s="32">
        <v>-86.602999999999994</v>
      </c>
      <c r="AF20" s="33">
        <v>1</v>
      </c>
      <c r="AG20" s="32">
        <v>-53.506999999999998</v>
      </c>
      <c r="AH20" s="33">
        <v>1</v>
      </c>
      <c r="AI20" s="32">
        <v>-4.4026000000000003E-2</v>
      </c>
      <c r="AJ20" s="33">
        <v>1</v>
      </c>
      <c r="AK20" s="32">
        <v>-44.042999999999999</v>
      </c>
      <c r="AL20" s="33">
        <v>1</v>
      </c>
      <c r="AM20" s="32">
        <v>-4.2648999999999999E-2</v>
      </c>
      <c r="AN20" s="33">
        <v>1</v>
      </c>
      <c r="AO20" s="32">
        <v>-24.215</v>
      </c>
      <c r="AP20" s="33">
        <v>1</v>
      </c>
      <c r="AQ20" s="32">
        <v>-2.8131E-2</v>
      </c>
      <c r="AR20" s="33">
        <v>1</v>
      </c>
      <c r="AS20" s="32">
        <v>-14.888</v>
      </c>
      <c r="AT20" s="33">
        <v>1</v>
      </c>
      <c r="AU20" s="32">
        <v>-16.163</v>
      </c>
      <c r="AV20" s="33">
        <v>1</v>
      </c>
      <c r="AW20" s="32">
        <v>-25.95</v>
      </c>
      <c r="AX20" s="33">
        <v>1</v>
      </c>
      <c r="AY20" s="32">
        <v>-1.7201999999999999E-2</v>
      </c>
      <c r="AZ20" s="33">
        <v>1</v>
      </c>
    </row>
    <row r="21" spans="1:52" x14ac:dyDescent="0.25">
      <c r="A21" s="6" t="s">
        <v>1305</v>
      </c>
      <c r="B21" s="6"/>
      <c r="C21" s="34">
        <v>0</v>
      </c>
      <c r="D21" s="35"/>
      <c r="E21" s="34">
        <v>0</v>
      </c>
      <c r="F21" s="35"/>
      <c r="G21" s="34">
        <v>1.6000000000000001E-3</v>
      </c>
      <c r="H21" s="35">
        <v>1</v>
      </c>
      <c r="I21" s="34">
        <v>0</v>
      </c>
      <c r="J21" s="35"/>
      <c r="K21" s="34">
        <v>0</v>
      </c>
      <c r="L21" s="35"/>
      <c r="M21" s="34">
        <v>3.2810000000000001E-3</v>
      </c>
      <c r="N21" s="35">
        <v>1</v>
      </c>
      <c r="O21" s="34">
        <v>0</v>
      </c>
      <c r="P21" s="35"/>
      <c r="Q21" s="34">
        <v>0</v>
      </c>
      <c r="R21" s="35"/>
      <c r="S21" s="34">
        <v>1.0232E-2</v>
      </c>
      <c r="T21" s="35">
        <v>1</v>
      </c>
      <c r="U21" s="34">
        <v>5.0000000000000001E-3</v>
      </c>
      <c r="V21" s="35">
        <v>1</v>
      </c>
      <c r="W21" s="34">
        <v>2.3755999999999999E-2</v>
      </c>
      <c r="X21" s="35">
        <v>1</v>
      </c>
      <c r="Y21" s="34">
        <v>-2.3125E-2</v>
      </c>
      <c r="Z21" s="35"/>
      <c r="AA21" s="34">
        <v>0</v>
      </c>
      <c r="AB21" s="35"/>
      <c r="AC21" s="34">
        <v>5.0000000000000001E-3</v>
      </c>
      <c r="AD21" s="35">
        <v>1</v>
      </c>
      <c r="AE21" s="34">
        <v>0</v>
      </c>
      <c r="AF21" s="35"/>
      <c r="AG21" s="34">
        <v>1E-3</v>
      </c>
      <c r="AH21" s="35">
        <v>1</v>
      </c>
      <c r="AI21" s="34">
        <v>0</v>
      </c>
      <c r="AJ21" s="35"/>
      <c r="AK21" s="34">
        <v>0.01</v>
      </c>
      <c r="AL21" s="35">
        <v>1</v>
      </c>
      <c r="AM21" s="34">
        <v>1.35E-4</v>
      </c>
      <c r="AN21" s="35">
        <v>1</v>
      </c>
      <c r="AO21" s="34">
        <v>4.2999999999999997E-2</v>
      </c>
      <c r="AP21" s="35">
        <v>1</v>
      </c>
      <c r="AQ21" s="34">
        <v>4.4799999999999999E-4</v>
      </c>
      <c r="AR21" s="35">
        <v>1</v>
      </c>
      <c r="AS21" s="34">
        <v>0.35899999999999999</v>
      </c>
      <c r="AT21" s="35">
        <v>1</v>
      </c>
      <c r="AU21" s="34">
        <v>5.7000000000000002E-2</v>
      </c>
      <c r="AV21" s="35">
        <v>1</v>
      </c>
      <c r="AW21" s="34">
        <v>0.374</v>
      </c>
      <c r="AX21" s="35">
        <v>1</v>
      </c>
      <c r="AY21" s="34">
        <v>-3.1700000000000001E-4</v>
      </c>
      <c r="AZ21" s="35"/>
    </row>
    <row r="22" spans="1:52" x14ac:dyDescent="0.25">
      <c r="A22" s="10" t="s">
        <v>1301</v>
      </c>
      <c r="B22" s="10"/>
      <c r="C22" s="32">
        <v>0</v>
      </c>
      <c r="D22" s="33"/>
      <c r="E22" s="32">
        <v>0</v>
      </c>
      <c r="F22" s="33"/>
      <c r="G22" s="32">
        <v>1.6000000000000001E-3</v>
      </c>
      <c r="H22" s="33">
        <v>1</v>
      </c>
      <c r="I22" s="32">
        <v>0</v>
      </c>
      <c r="J22" s="33"/>
      <c r="K22" s="32">
        <v>0</v>
      </c>
      <c r="L22" s="33"/>
      <c r="M22" s="32">
        <v>3.2810000000000001E-3</v>
      </c>
      <c r="N22" s="33">
        <v>1</v>
      </c>
      <c r="O22" s="32">
        <v>0</v>
      </c>
      <c r="P22" s="33"/>
      <c r="Q22" s="32">
        <v>0</v>
      </c>
      <c r="R22" s="33"/>
      <c r="S22" s="32">
        <v>1.0232E-2</v>
      </c>
      <c r="T22" s="33">
        <v>1</v>
      </c>
      <c r="U22" s="32">
        <v>5.0000000000000001E-3</v>
      </c>
      <c r="V22" s="33">
        <v>1</v>
      </c>
      <c r="W22" s="32">
        <v>2.3755999999999999E-2</v>
      </c>
      <c r="X22" s="33">
        <v>1</v>
      </c>
      <c r="Y22" s="32">
        <v>-2.3125E-2</v>
      </c>
      <c r="Z22" s="33">
        <v>1</v>
      </c>
      <c r="AA22" s="32">
        <v>0</v>
      </c>
      <c r="AB22" s="33"/>
      <c r="AC22" s="32">
        <v>5.0000000000000001E-3</v>
      </c>
      <c r="AD22" s="33">
        <v>1</v>
      </c>
      <c r="AE22" s="32">
        <v>0</v>
      </c>
      <c r="AF22" s="33"/>
      <c r="AG22" s="32">
        <v>1E-3</v>
      </c>
      <c r="AH22" s="33">
        <v>1</v>
      </c>
      <c r="AI22" s="32">
        <v>0</v>
      </c>
      <c r="AJ22" s="33"/>
      <c r="AK22" s="32">
        <v>0.01</v>
      </c>
      <c r="AL22" s="33">
        <v>1</v>
      </c>
      <c r="AM22" s="32">
        <v>1.35E-4</v>
      </c>
      <c r="AN22" s="33">
        <v>1</v>
      </c>
      <c r="AO22" s="32">
        <v>4.2999999999999997E-2</v>
      </c>
      <c r="AP22" s="33">
        <v>1</v>
      </c>
      <c r="AQ22" s="32">
        <v>4.4799999999999999E-4</v>
      </c>
      <c r="AR22" s="33">
        <v>1</v>
      </c>
      <c r="AS22" s="32">
        <v>0.35899999999999999</v>
      </c>
      <c r="AT22" s="33">
        <v>1</v>
      </c>
      <c r="AU22" s="32">
        <v>5.7000000000000002E-2</v>
      </c>
      <c r="AV22" s="33">
        <v>1</v>
      </c>
      <c r="AW22" s="32">
        <v>0.374</v>
      </c>
      <c r="AX22" s="33">
        <v>1</v>
      </c>
      <c r="AY22" s="32">
        <v>-3.1700000000000001E-4</v>
      </c>
      <c r="AZ22" s="33">
        <v>1</v>
      </c>
    </row>
    <row r="23" spans="1:52" x14ac:dyDescent="0.25">
      <c r="A23" s="6" t="s">
        <v>158</v>
      </c>
      <c r="B23" s="6"/>
      <c r="C23" s="34">
        <v>-40.748035999999999</v>
      </c>
      <c r="D23" s="35"/>
      <c r="E23" s="34">
        <v>-34.835763</v>
      </c>
      <c r="F23" s="35"/>
      <c r="G23" s="34">
        <v>-37.441164000000001</v>
      </c>
      <c r="H23" s="35"/>
      <c r="I23" s="34">
        <v>-34.862399000000003</v>
      </c>
      <c r="J23" s="35"/>
      <c r="K23" s="34">
        <v>-40.582850999999998</v>
      </c>
      <c r="L23" s="35"/>
      <c r="M23" s="34">
        <v>-47.410601999999997</v>
      </c>
      <c r="N23" s="35"/>
      <c r="O23" s="34">
        <v>-63.712257999999999</v>
      </c>
      <c r="P23" s="35"/>
      <c r="Q23" s="34">
        <v>-55.183624999999999</v>
      </c>
      <c r="R23" s="35"/>
      <c r="S23" s="34">
        <v>-60.699178000000003</v>
      </c>
      <c r="T23" s="35"/>
      <c r="U23" s="34">
        <v>-52.739942999999997</v>
      </c>
      <c r="V23" s="35"/>
      <c r="W23" s="34">
        <v>-68.743781999999996</v>
      </c>
      <c r="X23" s="35"/>
      <c r="Y23" s="34">
        <v>-76.908004000000005</v>
      </c>
      <c r="Z23" s="35"/>
      <c r="AA23" s="34">
        <v>-85.733936999999997</v>
      </c>
      <c r="AB23" s="35"/>
      <c r="AC23" s="34">
        <v>-72.119</v>
      </c>
      <c r="AD23" s="35"/>
      <c r="AE23" s="34">
        <v>-86.602999999999994</v>
      </c>
      <c r="AF23" s="35"/>
      <c r="AG23" s="34">
        <v>-53.508000000000003</v>
      </c>
      <c r="AH23" s="35"/>
      <c r="AI23" s="34">
        <v>-4.4026000000000003E-2</v>
      </c>
      <c r="AJ23" s="35"/>
      <c r="AK23" s="34">
        <v>-44.052999999999997</v>
      </c>
      <c r="AL23" s="35"/>
      <c r="AM23" s="34">
        <v>-4.2784000000000003E-2</v>
      </c>
      <c r="AN23" s="35"/>
      <c r="AO23" s="34">
        <v>-24.257999999999999</v>
      </c>
      <c r="AP23" s="35"/>
      <c r="AQ23" s="34">
        <v>-2.8579E-2</v>
      </c>
      <c r="AR23" s="35"/>
      <c r="AS23" s="34">
        <v>-15.247</v>
      </c>
      <c r="AT23" s="35"/>
      <c r="AU23" s="34">
        <v>-16.22</v>
      </c>
      <c r="AV23" s="35"/>
      <c r="AW23" s="34">
        <v>-26.324000000000002</v>
      </c>
      <c r="AX23" s="35"/>
      <c r="AY23" s="34">
        <v>-1.6885000000000001E-2</v>
      </c>
      <c r="AZ23" s="35"/>
    </row>
    <row r="24" spans="1:52" x14ac:dyDescent="0.25">
      <c r="A24" s="10" t="s">
        <v>1301</v>
      </c>
      <c r="B24" s="10"/>
      <c r="C24" s="32">
        <v>-40.748035999999999</v>
      </c>
      <c r="D24" s="33">
        <v>1</v>
      </c>
      <c r="E24" s="32">
        <v>-34.835763</v>
      </c>
      <c r="F24" s="33">
        <v>1</v>
      </c>
      <c r="G24" s="32">
        <v>-37.441164000000001</v>
      </c>
      <c r="H24" s="33">
        <v>1</v>
      </c>
      <c r="I24" s="32">
        <v>-34.862399000000003</v>
      </c>
      <c r="J24" s="33">
        <v>1</v>
      </c>
      <c r="K24" s="32">
        <v>-40.582850999999998</v>
      </c>
      <c r="L24" s="33">
        <v>1</v>
      </c>
      <c r="M24" s="32">
        <v>-47.410601999999997</v>
      </c>
      <c r="N24" s="33">
        <v>1</v>
      </c>
      <c r="O24" s="32">
        <v>-63.712257999999999</v>
      </c>
      <c r="P24" s="33">
        <v>1</v>
      </c>
      <c r="Q24" s="32">
        <v>-55.183624999999999</v>
      </c>
      <c r="R24" s="33">
        <v>1</v>
      </c>
      <c r="S24" s="32">
        <v>-60.699178000000003</v>
      </c>
      <c r="T24" s="33">
        <v>1</v>
      </c>
      <c r="U24" s="32">
        <v>-52.739942999999997</v>
      </c>
      <c r="V24" s="33">
        <v>1</v>
      </c>
      <c r="W24" s="32">
        <v>-68.743781999999996</v>
      </c>
      <c r="X24" s="33">
        <v>1</v>
      </c>
      <c r="Y24" s="32">
        <v>-76.908004000000005</v>
      </c>
      <c r="Z24" s="33">
        <v>1</v>
      </c>
      <c r="AA24" s="32">
        <v>-85.733936999999997</v>
      </c>
      <c r="AB24" s="33">
        <v>1</v>
      </c>
      <c r="AC24" s="32">
        <v>-72.119</v>
      </c>
      <c r="AD24" s="33">
        <v>1</v>
      </c>
      <c r="AE24" s="32">
        <v>-86.602999999999994</v>
      </c>
      <c r="AF24" s="33">
        <v>1</v>
      </c>
      <c r="AG24" s="32">
        <v>-53.508000000000003</v>
      </c>
      <c r="AH24" s="33">
        <v>1</v>
      </c>
      <c r="AI24" s="32">
        <v>-4.4026000000000003E-2</v>
      </c>
      <c r="AJ24" s="33">
        <v>1</v>
      </c>
      <c r="AK24" s="32">
        <v>-44.052999999999997</v>
      </c>
      <c r="AL24" s="33">
        <v>1</v>
      </c>
      <c r="AM24" s="32">
        <v>-4.2784000000000003E-2</v>
      </c>
      <c r="AN24" s="33">
        <v>1</v>
      </c>
      <c r="AO24" s="32">
        <v>-24.257999999999999</v>
      </c>
      <c r="AP24" s="33">
        <v>1</v>
      </c>
      <c r="AQ24" s="32">
        <v>-2.8579E-2</v>
      </c>
      <c r="AR24" s="33">
        <v>1</v>
      </c>
      <c r="AS24" s="32">
        <v>-15.247</v>
      </c>
      <c r="AT24" s="33">
        <v>1</v>
      </c>
      <c r="AU24" s="32">
        <v>-16.22</v>
      </c>
      <c r="AV24" s="33">
        <v>1</v>
      </c>
      <c r="AW24" s="32">
        <v>-26.324000000000002</v>
      </c>
      <c r="AX24" s="33">
        <v>1</v>
      </c>
      <c r="AY24" s="32">
        <v>-1.6885000000000001E-2</v>
      </c>
      <c r="AZ24" s="33">
        <v>1</v>
      </c>
    </row>
    <row r="25" spans="1:52" x14ac:dyDescent="0.25">
      <c r="A25" s="6" t="s">
        <v>1306</v>
      </c>
      <c r="B25" s="6"/>
      <c r="C25" s="34">
        <v>1.1597660000000001</v>
      </c>
      <c r="D25" s="35">
        <v>1</v>
      </c>
      <c r="E25" s="34">
        <v>21.229886</v>
      </c>
      <c r="F25" s="35">
        <v>1</v>
      </c>
      <c r="G25" s="34">
        <v>20.905415000000001</v>
      </c>
      <c r="H25" s="35">
        <v>1</v>
      </c>
      <c r="I25" s="34">
        <v>20.715411</v>
      </c>
      <c r="J25" s="35">
        <v>1</v>
      </c>
      <c r="K25" s="34">
        <v>20.511814000000001</v>
      </c>
      <c r="L25" s="35">
        <v>1</v>
      </c>
      <c r="M25" s="34">
        <v>20.184132999999999</v>
      </c>
      <c r="N25" s="35">
        <v>1</v>
      </c>
      <c r="O25" s="34">
        <v>22.271362</v>
      </c>
      <c r="P25" s="35">
        <v>1</v>
      </c>
      <c r="Q25" s="34">
        <v>26.341719000000001</v>
      </c>
      <c r="R25" s="35">
        <v>1</v>
      </c>
      <c r="S25" s="34">
        <v>26.323108000000001</v>
      </c>
      <c r="T25" s="35">
        <v>1</v>
      </c>
      <c r="U25" s="34">
        <v>25.302040999999999</v>
      </c>
      <c r="V25" s="35">
        <v>1</v>
      </c>
      <c r="W25" s="34">
        <v>24.307334000000001</v>
      </c>
      <c r="X25" s="35">
        <v>1</v>
      </c>
      <c r="Y25" s="34">
        <v>23.646985000000001</v>
      </c>
      <c r="Z25" s="35">
        <v>1</v>
      </c>
      <c r="AA25" s="34">
        <v>22.555181999999999</v>
      </c>
      <c r="AB25" s="35">
        <v>1</v>
      </c>
      <c r="AC25" s="34">
        <v>20.152000000000001</v>
      </c>
      <c r="AD25" s="35">
        <v>1</v>
      </c>
      <c r="AE25" s="34">
        <v>22.614000000000001</v>
      </c>
      <c r="AF25" s="35">
        <v>1</v>
      </c>
      <c r="AG25" s="34">
        <v>22.157</v>
      </c>
      <c r="AH25" s="35">
        <v>1</v>
      </c>
      <c r="AI25" s="34">
        <v>1.6736999999999998E-2</v>
      </c>
      <c r="AJ25" s="35">
        <v>1</v>
      </c>
      <c r="AK25" s="34">
        <v>15.978</v>
      </c>
      <c r="AL25" s="35">
        <v>1</v>
      </c>
      <c r="AM25" s="34">
        <v>1.5443E-2</v>
      </c>
      <c r="AN25" s="35">
        <v>1</v>
      </c>
      <c r="AO25" s="34">
        <v>15.153</v>
      </c>
      <c r="AP25" s="35">
        <v>1</v>
      </c>
      <c r="AQ25" s="34">
        <v>1.4581999999999999E-2</v>
      </c>
      <c r="AR25" s="35">
        <v>1</v>
      </c>
      <c r="AS25" s="34">
        <v>14.003</v>
      </c>
      <c r="AT25" s="35">
        <v>1</v>
      </c>
      <c r="AU25" s="34">
        <v>15.952</v>
      </c>
      <c r="AV25" s="35">
        <v>1</v>
      </c>
      <c r="AW25" s="34">
        <v>16.015999999999998</v>
      </c>
      <c r="AX25" s="35">
        <v>1</v>
      </c>
      <c r="AY25" s="34">
        <v>1.4896E-2</v>
      </c>
      <c r="AZ25" s="35">
        <v>1</v>
      </c>
    </row>
    <row r="26" spans="1:52" x14ac:dyDescent="0.25">
      <c r="A26" s="10" t="s">
        <v>1301</v>
      </c>
      <c r="B26" s="10"/>
      <c r="C26" s="32">
        <v>1.1597660000000001</v>
      </c>
      <c r="D26" s="33">
        <v>1</v>
      </c>
      <c r="E26" s="32">
        <v>21.229886</v>
      </c>
      <c r="F26" s="33">
        <v>1</v>
      </c>
      <c r="G26" s="32">
        <v>20.905415000000001</v>
      </c>
      <c r="H26" s="33">
        <v>1</v>
      </c>
      <c r="I26" s="32">
        <v>20.715411</v>
      </c>
      <c r="J26" s="33">
        <v>1</v>
      </c>
      <c r="K26" s="32">
        <v>20.511814000000001</v>
      </c>
      <c r="L26" s="33">
        <v>1</v>
      </c>
      <c r="M26" s="32">
        <v>20.184132999999999</v>
      </c>
      <c r="N26" s="33">
        <v>1</v>
      </c>
      <c r="O26" s="32">
        <v>22.271362</v>
      </c>
      <c r="P26" s="33">
        <v>1</v>
      </c>
      <c r="Q26" s="32">
        <v>26.341719000000001</v>
      </c>
      <c r="R26" s="33">
        <v>1</v>
      </c>
      <c r="S26" s="32">
        <v>26.323108000000001</v>
      </c>
      <c r="T26" s="33">
        <v>1</v>
      </c>
      <c r="U26" s="32">
        <v>25.302040999999999</v>
      </c>
      <c r="V26" s="33">
        <v>1</v>
      </c>
      <c r="W26" s="32">
        <v>24.307334000000001</v>
      </c>
      <c r="X26" s="33">
        <v>1</v>
      </c>
      <c r="Y26" s="32">
        <v>23.646985000000001</v>
      </c>
      <c r="Z26" s="33">
        <v>1</v>
      </c>
      <c r="AA26" s="32">
        <v>22.555181999999999</v>
      </c>
      <c r="AB26" s="33">
        <v>1</v>
      </c>
      <c r="AC26" s="32">
        <v>20.152000000000001</v>
      </c>
      <c r="AD26" s="33">
        <v>1</v>
      </c>
      <c r="AE26" s="32">
        <v>22.614000000000001</v>
      </c>
      <c r="AF26" s="33">
        <v>1</v>
      </c>
      <c r="AG26" s="32">
        <v>22.157</v>
      </c>
      <c r="AH26" s="33">
        <v>1</v>
      </c>
      <c r="AI26" s="32">
        <v>1.6736999999999998E-2</v>
      </c>
      <c r="AJ26" s="33">
        <v>1</v>
      </c>
      <c r="AK26" s="32">
        <v>15.978</v>
      </c>
      <c r="AL26" s="33">
        <v>1</v>
      </c>
      <c r="AM26" s="32">
        <v>1.5443E-2</v>
      </c>
      <c r="AN26" s="33">
        <v>1</v>
      </c>
      <c r="AO26" s="32">
        <v>15.153</v>
      </c>
      <c r="AP26" s="33">
        <v>1</v>
      </c>
      <c r="AQ26" s="32">
        <v>1.4581999999999999E-2</v>
      </c>
      <c r="AR26" s="33">
        <v>1</v>
      </c>
      <c r="AS26" s="32">
        <v>14.003</v>
      </c>
      <c r="AT26" s="33">
        <v>1</v>
      </c>
      <c r="AU26" s="32">
        <v>15.952</v>
      </c>
      <c r="AV26" s="33">
        <v>1</v>
      </c>
      <c r="AW26" s="32">
        <v>16.015999999999998</v>
      </c>
      <c r="AX26" s="33">
        <v>1</v>
      </c>
      <c r="AY26" s="32">
        <v>1.4896E-2</v>
      </c>
      <c r="AZ26" s="33">
        <v>1</v>
      </c>
    </row>
    <row r="27" spans="1:52" x14ac:dyDescent="0.25">
      <c r="A27" s="6" t="s">
        <v>1307</v>
      </c>
      <c r="B27" s="6"/>
      <c r="C27" s="34">
        <v>0</v>
      </c>
      <c r="D27" s="35"/>
      <c r="E27" s="34" t="s">
        <v>76</v>
      </c>
      <c r="F27" s="35"/>
      <c r="G27" s="34" t="s">
        <v>76</v>
      </c>
      <c r="H27" s="35"/>
      <c r="I27" s="34">
        <v>0</v>
      </c>
      <c r="J27" s="35"/>
      <c r="K27" s="34">
        <v>0</v>
      </c>
      <c r="L27" s="35"/>
      <c r="M27" s="34" t="s">
        <v>76</v>
      </c>
      <c r="N27" s="35"/>
      <c r="O27" s="34" t="s">
        <v>76</v>
      </c>
      <c r="P27" s="35"/>
      <c r="Q27" s="34" t="s">
        <v>76</v>
      </c>
      <c r="R27" s="35"/>
      <c r="S27" s="34">
        <v>0</v>
      </c>
      <c r="T27" s="35"/>
      <c r="U27" s="34" t="s">
        <v>76</v>
      </c>
      <c r="V27" s="35"/>
      <c r="W27" s="34" t="s">
        <v>76</v>
      </c>
      <c r="X27" s="35"/>
      <c r="Y27" s="34" t="s">
        <v>76</v>
      </c>
      <c r="Z27" s="35"/>
      <c r="AA27" s="34">
        <v>0</v>
      </c>
      <c r="AB27" s="35"/>
      <c r="AC27" s="34" t="s">
        <v>76</v>
      </c>
      <c r="AD27" s="35"/>
      <c r="AE27" s="34" t="s">
        <v>76</v>
      </c>
      <c r="AF27" s="35"/>
      <c r="AG27" s="34" t="s">
        <v>76</v>
      </c>
      <c r="AH27" s="35"/>
      <c r="AI27" s="34">
        <v>0</v>
      </c>
      <c r="AJ27" s="35"/>
      <c r="AK27" s="34" t="s">
        <v>76</v>
      </c>
      <c r="AL27" s="35"/>
      <c r="AM27" s="34" t="s">
        <v>76</v>
      </c>
      <c r="AN27" s="35"/>
      <c r="AO27" s="34" t="s">
        <v>76</v>
      </c>
      <c r="AP27" s="35"/>
      <c r="AQ27" s="34">
        <v>0</v>
      </c>
      <c r="AR27" s="35"/>
      <c r="AS27" s="34" t="s">
        <v>76</v>
      </c>
      <c r="AT27" s="35"/>
      <c r="AU27" s="34" t="s">
        <v>76</v>
      </c>
      <c r="AV27" s="35"/>
      <c r="AW27" s="34" t="s">
        <v>76</v>
      </c>
      <c r="AX27" s="35"/>
      <c r="AY27" s="34">
        <v>0</v>
      </c>
      <c r="AZ27" s="35"/>
    </row>
    <row r="28" spans="1:52" x14ac:dyDescent="0.25">
      <c r="A28" s="10" t="s">
        <v>1301</v>
      </c>
      <c r="B28" s="10"/>
      <c r="C28" s="32">
        <v>0</v>
      </c>
      <c r="D28" s="33"/>
      <c r="E28" s="32" t="s">
        <v>76</v>
      </c>
      <c r="F28" s="33"/>
      <c r="G28" s="32" t="s">
        <v>76</v>
      </c>
      <c r="H28" s="33"/>
      <c r="I28" s="32">
        <v>0</v>
      </c>
      <c r="J28" s="33"/>
      <c r="K28" s="32">
        <v>0</v>
      </c>
      <c r="L28" s="33"/>
      <c r="M28" s="32" t="s">
        <v>76</v>
      </c>
      <c r="N28" s="33"/>
      <c r="O28" s="32" t="s">
        <v>76</v>
      </c>
      <c r="P28" s="33"/>
      <c r="Q28" s="32" t="s">
        <v>76</v>
      </c>
      <c r="R28" s="33"/>
      <c r="S28" s="32">
        <v>0</v>
      </c>
      <c r="T28" s="33"/>
      <c r="U28" s="32" t="s">
        <v>76</v>
      </c>
      <c r="V28" s="33"/>
      <c r="W28" s="32" t="s">
        <v>76</v>
      </c>
      <c r="X28" s="33"/>
      <c r="Y28" s="32" t="s">
        <v>76</v>
      </c>
      <c r="Z28" s="33"/>
      <c r="AA28" s="32">
        <v>0</v>
      </c>
      <c r="AB28" s="33"/>
      <c r="AC28" s="32" t="s">
        <v>76</v>
      </c>
      <c r="AD28" s="33"/>
      <c r="AE28" s="32" t="s">
        <v>76</v>
      </c>
      <c r="AF28" s="33"/>
      <c r="AG28" s="32" t="s">
        <v>76</v>
      </c>
      <c r="AH28" s="33"/>
      <c r="AI28" s="32">
        <v>0</v>
      </c>
      <c r="AJ28" s="33"/>
      <c r="AK28" s="32" t="s">
        <v>76</v>
      </c>
      <c r="AL28" s="33"/>
      <c r="AM28" s="32" t="s">
        <v>76</v>
      </c>
      <c r="AN28" s="33"/>
      <c r="AO28" s="32" t="s">
        <v>76</v>
      </c>
      <c r="AP28" s="33"/>
      <c r="AQ28" s="32">
        <v>0</v>
      </c>
      <c r="AR28" s="33"/>
      <c r="AS28" s="32" t="s">
        <v>76</v>
      </c>
      <c r="AT28" s="33"/>
      <c r="AU28" s="32" t="s">
        <v>76</v>
      </c>
      <c r="AV28" s="33"/>
      <c r="AW28" s="32" t="s">
        <v>76</v>
      </c>
      <c r="AX28" s="33"/>
      <c r="AY28" s="32">
        <v>0</v>
      </c>
      <c r="AZ28" s="33"/>
    </row>
    <row r="29" spans="1:52" x14ac:dyDescent="0.25">
      <c r="A29" s="6" t="s">
        <v>1308</v>
      </c>
      <c r="B29" s="6"/>
      <c r="C29" s="34">
        <v>357.20649800000001</v>
      </c>
      <c r="D29" s="35">
        <v>1</v>
      </c>
      <c r="E29" s="34">
        <v>342.97281700000002</v>
      </c>
      <c r="F29" s="35">
        <v>1</v>
      </c>
      <c r="G29" s="34">
        <v>309.86261400000001</v>
      </c>
      <c r="H29" s="35">
        <v>1</v>
      </c>
      <c r="I29" s="34">
        <v>280.52303000000001</v>
      </c>
      <c r="J29" s="35">
        <v>1</v>
      </c>
      <c r="K29" s="34">
        <v>251.186476</v>
      </c>
      <c r="L29" s="35">
        <v>1</v>
      </c>
      <c r="M29" s="34">
        <v>481.24271700000003</v>
      </c>
      <c r="N29" s="35">
        <v>1</v>
      </c>
      <c r="O29" s="34">
        <v>440.93082399999997</v>
      </c>
      <c r="P29" s="35">
        <v>1</v>
      </c>
      <c r="Q29" s="34">
        <v>771.29380900000001</v>
      </c>
      <c r="R29" s="35">
        <v>1</v>
      </c>
      <c r="S29" s="34">
        <v>717.31367399999999</v>
      </c>
      <c r="T29" s="35">
        <v>1</v>
      </c>
      <c r="U29" s="34">
        <v>674.48856799999999</v>
      </c>
      <c r="V29" s="35">
        <v>1</v>
      </c>
      <c r="W29" s="34">
        <v>625.69666199999995</v>
      </c>
      <c r="X29" s="35">
        <v>1</v>
      </c>
      <c r="Y29" s="34">
        <v>556.97573399999999</v>
      </c>
      <c r="Z29" s="35">
        <v>1</v>
      </c>
      <c r="AA29" s="34">
        <v>489.92209600000001</v>
      </c>
      <c r="AB29" s="35">
        <v>1</v>
      </c>
      <c r="AC29" s="34">
        <v>868.58</v>
      </c>
      <c r="AD29" s="35">
        <v>1</v>
      </c>
      <c r="AE29" s="34">
        <v>811.90599999999995</v>
      </c>
      <c r="AF29" s="35">
        <v>1</v>
      </c>
      <c r="AG29" s="34">
        <v>781.99900000000002</v>
      </c>
      <c r="AH29" s="35">
        <v>1</v>
      </c>
      <c r="AI29" s="34">
        <v>0.75478000000000001</v>
      </c>
      <c r="AJ29" s="35">
        <v>1</v>
      </c>
      <c r="AK29" s="34">
        <v>722.15800000000002</v>
      </c>
      <c r="AL29" s="35">
        <v>1</v>
      </c>
      <c r="AM29" s="34">
        <v>0.71360199999999996</v>
      </c>
      <c r="AN29" s="35">
        <v>1</v>
      </c>
      <c r="AO29" s="34">
        <v>717.66399999999999</v>
      </c>
      <c r="AP29" s="35">
        <v>1</v>
      </c>
      <c r="AQ29" s="34">
        <v>0.72829500000000003</v>
      </c>
      <c r="AR29" s="35">
        <v>1</v>
      </c>
      <c r="AS29" s="34">
        <v>747.03599999999994</v>
      </c>
      <c r="AT29" s="35">
        <v>1</v>
      </c>
      <c r="AU29" s="34">
        <v>1320.5039999999999</v>
      </c>
      <c r="AV29" s="35">
        <v>1</v>
      </c>
      <c r="AW29" s="34">
        <v>1324.4449999999999</v>
      </c>
      <c r="AX29" s="35">
        <v>1</v>
      </c>
      <c r="AY29" s="34">
        <v>1.3669119999999999</v>
      </c>
      <c r="AZ29" s="35">
        <v>1</v>
      </c>
    </row>
    <row r="30" spans="1:52" x14ac:dyDescent="0.25">
      <c r="A30" s="10" t="s">
        <v>1301</v>
      </c>
      <c r="B30" s="10"/>
      <c r="C30" s="32">
        <v>357.20649800000001</v>
      </c>
      <c r="D30" s="33">
        <v>1</v>
      </c>
      <c r="E30" s="32">
        <v>342.97281700000002</v>
      </c>
      <c r="F30" s="33">
        <v>1</v>
      </c>
      <c r="G30" s="32">
        <v>309.86261400000001</v>
      </c>
      <c r="H30" s="33">
        <v>1</v>
      </c>
      <c r="I30" s="32">
        <v>280.52303000000001</v>
      </c>
      <c r="J30" s="33">
        <v>1</v>
      </c>
      <c r="K30" s="32">
        <v>251.186476</v>
      </c>
      <c r="L30" s="33">
        <v>1</v>
      </c>
      <c r="M30" s="32">
        <v>481.24271700000003</v>
      </c>
      <c r="N30" s="33">
        <v>1</v>
      </c>
      <c r="O30" s="32">
        <v>440.93082399999997</v>
      </c>
      <c r="P30" s="33">
        <v>1</v>
      </c>
      <c r="Q30" s="32">
        <v>771.29380900000001</v>
      </c>
      <c r="R30" s="33">
        <v>1</v>
      </c>
      <c r="S30" s="32">
        <v>717.31367399999999</v>
      </c>
      <c r="T30" s="33">
        <v>1</v>
      </c>
      <c r="U30" s="32">
        <v>674.48856799999999</v>
      </c>
      <c r="V30" s="33">
        <v>1</v>
      </c>
      <c r="W30" s="32">
        <v>625.69666199999995</v>
      </c>
      <c r="X30" s="33">
        <v>1</v>
      </c>
      <c r="Y30" s="32">
        <v>556.97573399999999</v>
      </c>
      <c r="Z30" s="33">
        <v>1</v>
      </c>
      <c r="AA30" s="32">
        <v>489.92209600000001</v>
      </c>
      <c r="AB30" s="33">
        <v>1</v>
      </c>
      <c r="AC30" s="32">
        <v>868.58</v>
      </c>
      <c r="AD30" s="33">
        <v>1</v>
      </c>
      <c r="AE30" s="32">
        <v>811.90599999999995</v>
      </c>
      <c r="AF30" s="33">
        <v>1</v>
      </c>
      <c r="AG30" s="32">
        <v>781.99900000000002</v>
      </c>
      <c r="AH30" s="33">
        <v>1</v>
      </c>
      <c r="AI30" s="32">
        <v>0.75478000000000001</v>
      </c>
      <c r="AJ30" s="33">
        <v>1</v>
      </c>
      <c r="AK30" s="32">
        <v>722.15800000000002</v>
      </c>
      <c r="AL30" s="33">
        <v>1</v>
      </c>
      <c r="AM30" s="32">
        <v>0.71360199999999996</v>
      </c>
      <c r="AN30" s="33">
        <v>1</v>
      </c>
      <c r="AO30" s="32">
        <v>717.66399999999999</v>
      </c>
      <c r="AP30" s="33">
        <v>1</v>
      </c>
      <c r="AQ30" s="32">
        <v>0.72829500000000003</v>
      </c>
      <c r="AR30" s="33">
        <v>1</v>
      </c>
      <c r="AS30" s="32">
        <v>747.03599999999994</v>
      </c>
      <c r="AT30" s="33">
        <v>1</v>
      </c>
      <c r="AU30" s="32">
        <v>1320.5039999999999</v>
      </c>
      <c r="AV30" s="33">
        <v>1</v>
      </c>
      <c r="AW30" s="32">
        <v>1324.4449999999999</v>
      </c>
      <c r="AX30" s="33">
        <v>1</v>
      </c>
      <c r="AY30" s="32">
        <v>1.3669119999999999</v>
      </c>
      <c r="AZ30" s="33">
        <v>1</v>
      </c>
    </row>
    <row r="31" spans="1:52" x14ac:dyDescent="0.25">
      <c r="A31" s="6" t="s">
        <v>1309</v>
      </c>
      <c r="B31" s="6"/>
      <c r="C31" s="34">
        <v>39.491616999999998</v>
      </c>
      <c r="D31" s="35">
        <v>1</v>
      </c>
      <c r="E31" s="34">
        <v>54.35839</v>
      </c>
      <c r="F31" s="35">
        <v>1</v>
      </c>
      <c r="G31" s="34">
        <v>53.094251999999997</v>
      </c>
      <c r="H31" s="35">
        <v>1</v>
      </c>
      <c r="I31" s="34">
        <v>53.642744999999998</v>
      </c>
      <c r="J31" s="35">
        <v>1</v>
      </c>
      <c r="K31" s="34">
        <v>56.179205000000003</v>
      </c>
      <c r="L31" s="35">
        <v>1</v>
      </c>
      <c r="M31" s="34">
        <v>50.794387</v>
      </c>
      <c r="N31" s="35">
        <v>1</v>
      </c>
      <c r="O31" s="34">
        <v>61.400956000000001</v>
      </c>
      <c r="P31" s="35">
        <v>1</v>
      </c>
      <c r="Q31" s="34">
        <v>61.898274000000001</v>
      </c>
      <c r="R31" s="35">
        <v>1</v>
      </c>
      <c r="S31" s="34">
        <v>60.453569999999999</v>
      </c>
      <c r="T31" s="35">
        <v>1</v>
      </c>
      <c r="U31" s="34">
        <v>62.338810000000002</v>
      </c>
      <c r="V31" s="35">
        <v>1</v>
      </c>
      <c r="W31" s="34">
        <v>72.110787999999999</v>
      </c>
      <c r="X31" s="35">
        <v>1</v>
      </c>
      <c r="Y31" s="34">
        <v>70.219481000000002</v>
      </c>
      <c r="Z31" s="35">
        <v>1</v>
      </c>
      <c r="AA31" s="34">
        <v>72.031420999999995</v>
      </c>
      <c r="AB31" s="35">
        <v>1</v>
      </c>
      <c r="AC31" s="34">
        <v>75.83</v>
      </c>
      <c r="AD31" s="35">
        <v>1</v>
      </c>
      <c r="AE31" s="34">
        <v>89.709000000000003</v>
      </c>
      <c r="AF31" s="35">
        <v>1</v>
      </c>
      <c r="AG31" s="34">
        <v>96.576999999999998</v>
      </c>
      <c r="AH31" s="35">
        <v>1</v>
      </c>
      <c r="AI31" s="34">
        <v>9.8710000000000006E-2</v>
      </c>
      <c r="AJ31" s="35">
        <v>1</v>
      </c>
      <c r="AK31" s="34">
        <v>94.548000000000002</v>
      </c>
      <c r="AL31" s="35">
        <v>1</v>
      </c>
      <c r="AM31" s="34">
        <v>0.106512</v>
      </c>
      <c r="AN31" s="35">
        <v>1</v>
      </c>
      <c r="AO31" s="34">
        <v>116.983</v>
      </c>
      <c r="AP31" s="35">
        <v>1</v>
      </c>
      <c r="AQ31" s="34">
        <v>0.13687099999999999</v>
      </c>
      <c r="AR31" s="35">
        <v>1</v>
      </c>
      <c r="AS31" s="34">
        <v>147.53800000000001</v>
      </c>
      <c r="AT31" s="35">
        <v>1</v>
      </c>
      <c r="AU31" s="34">
        <v>175.892</v>
      </c>
      <c r="AV31" s="35">
        <v>1</v>
      </c>
      <c r="AW31" s="34">
        <v>179.619</v>
      </c>
      <c r="AX31" s="35">
        <v>1</v>
      </c>
      <c r="AY31" s="34">
        <v>0.21845200000000001</v>
      </c>
      <c r="AZ31" s="35">
        <v>1</v>
      </c>
    </row>
    <row r="32" spans="1:52" x14ac:dyDescent="0.25">
      <c r="A32" s="10" t="s">
        <v>1301</v>
      </c>
      <c r="B32" s="10"/>
      <c r="C32" s="32">
        <v>39.491616999999998</v>
      </c>
      <c r="D32" s="33">
        <v>1</v>
      </c>
      <c r="E32" s="32">
        <v>54.35839</v>
      </c>
      <c r="F32" s="33">
        <v>1</v>
      </c>
      <c r="G32" s="32">
        <v>53.094251999999997</v>
      </c>
      <c r="H32" s="33">
        <v>1</v>
      </c>
      <c r="I32" s="32">
        <v>53.642744999999998</v>
      </c>
      <c r="J32" s="33">
        <v>1</v>
      </c>
      <c r="K32" s="32">
        <v>56.179205000000003</v>
      </c>
      <c r="L32" s="33">
        <v>1</v>
      </c>
      <c r="M32" s="32">
        <v>50.794387</v>
      </c>
      <c r="N32" s="33">
        <v>1</v>
      </c>
      <c r="O32" s="32">
        <v>61.400956000000001</v>
      </c>
      <c r="P32" s="33">
        <v>1</v>
      </c>
      <c r="Q32" s="32">
        <v>61.898274000000001</v>
      </c>
      <c r="R32" s="33">
        <v>1</v>
      </c>
      <c r="S32" s="32">
        <v>60.453569999999999</v>
      </c>
      <c r="T32" s="33">
        <v>1</v>
      </c>
      <c r="U32" s="32">
        <v>62.338810000000002</v>
      </c>
      <c r="V32" s="33">
        <v>1</v>
      </c>
      <c r="W32" s="32">
        <v>72.110787999999999</v>
      </c>
      <c r="X32" s="33">
        <v>1</v>
      </c>
      <c r="Y32" s="32">
        <v>70.219481000000002</v>
      </c>
      <c r="Z32" s="33">
        <v>1</v>
      </c>
      <c r="AA32" s="32">
        <v>72.031420999999995</v>
      </c>
      <c r="AB32" s="33">
        <v>1</v>
      </c>
      <c r="AC32" s="32">
        <v>75.83</v>
      </c>
      <c r="AD32" s="33">
        <v>1</v>
      </c>
      <c r="AE32" s="32">
        <v>89.709000000000003</v>
      </c>
      <c r="AF32" s="33">
        <v>1</v>
      </c>
      <c r="AG32" s="32">
        <v>96.576999999999998</v>
      </c>
      <c r="AH32" s="33">
        <v>1</v>
      </c>
      <c r="AI32" s="32">
        <v>9.8710000000000006E-2</v>
      </c>
      <c r="AJ32" s="33">
        <v>1</v>
      </c>
      <c r="AK32" s="32">
        <v>94.548000000000002</v>
      </c>
      <c r="AL32" s="33">
        <v>1</v>
      </c>
      <c r="AM32" s="32">
        <v>0.106512</v>
      </c>
      <c r="AN32" s="33">
        <v>1</v>
      </c>
      <c r="AO32" s="32">
        <v>116.983</v>
      </c>
      <c r="AP32" s="33">
        <v>1</v>
      </c>
      <c r="AQ32" s="32">
        <v>0.13687099999999999</v>
      </c>
      <c r="AR32" s="33">
        <v>1</v>
      </c>
      <c r="AS32" s="32">
        <v>147.53800000000001</v>
      </c>
      <c r="AT32" s="33">
        <v>1</v>
      </c>
      <c r="AU32" s="32">
        <v>175.892</v>
      </c>
      <c r="AV32" s="33">
        <v>1</v>
      </c>
      <c r="AW32" s="32">
        <v>179.619</v>
      </c>
      <c r="AX32" s="33">
        <v>1</v>
      </c>
      <c r="AY32" s="32">
        <v>0.21845200000000001</v>
      </c>
      <c r="AZ32" s="33">
        <v>1</v>
      </c>
    </row>
    <row r="33" spans="1:52" x14ac:dyDescent="0.25">
      <c r="A33" s="6" t="s">
        <v>1310</v>
      </c>
      <c r="B33" s="6"/>
      <c r="C33" s="34">
        <v>9.5466999999999996E-2</v>
      </c>
      <c r="D33" s="35">
        <v>1</v>
      </c>
      <c r="E33" s="34">
        <v>0.101353</v>
      </c>
      <c r="F33" s="35">
        <v>1</v>
      </c>
      <c r="G33" s="34">
        <v>0.105056</v>
      </c>
      <c r="H33" s="35">
        <v>1</v>
      </c>
      <c r="I33" s="34">
        <v>0.129052</v>
      </c>
      <c r="J33" s="35">
        <v>1</v>
      </c>
      <c r="K33" s="34">
        <v>0.14166000000000001</v>
      </c>
      <c r="L33" s="35">
        <v>1</v>
      </c>
      <c r="M33" s="34">
        <v>0.14880199999999999</v>
      </c>
      <c r="N33" s="35">
        <v>1</v>
      </c>
      <c r="O33" s="34">
        <v>0.1323</v>
      </c>
      <c r="P33" s="35">
        <v>1</v>
      </c>
      <c r="Q33" s="34">
        <v>0.121044</v>
      </c>
      <c r="R33" s="35">
        <v>1</v>
      </c>
      <c r="S33" s="34">
        <v>0.125972</v>
      </c>
      <c r="T33" s="35">
        <v>1</v>
      </c>
      <c r="U33" s="34">
        <v>0.12700800000000001</v>
      </c>
      <c r="V33" s="35">
        <v>1</v>
      </c>
      <c r="W33" s="34">
        <v>0.125581</v>
      </c>
      <c r="X33" s="35">
        <v>1</v>
      </c>
      <c r="Y33" s="34">
        <v>0.13394500000000001</v>
      </c>
      <c r="Z33" s="35">
        <v>1</v>
      </c>
      <c r="AA33" s="34">
        <v>0.14682600000000001</v>
      </c>
      <c r="AB33" s="35">
        <v>1</v>
      </c>
      <c r="AC33" s="34">
        <v>0.17100000000000001</v>
      </c>
      <c r="AD33" s="35">
        <v>1</v>
      </c>
      <c r="AE33" s="34">
        <v>0.17199999999999999</v>
      </c>
      <c r="AF33" s="35">
        <v>1</v>
      </c>
      <c r="AG33" s="34">
        <v>0.17</v>
      </c>
      <c r="AH33" s="35">
        <v>1</v>
      </c>
      <c r="AI33" s="34">
        <v>0.14299999999999999</v>
      </c>
      <c r="AJ33" s="35">
        <v>1</v>
      </c>
      <c r="AK33" s="34">
        <v>0.13400000000000001</v>
      </c>
      <c r="AL33" s="35">
        <v>1</v>
      </c>
      <c r="AM33" s="34">
        <v>0.123</v>
      </c>
      <c r="AN33" s="35">
        <v>1</v>
      </c>
      <c r="AO33" s="34">
        <v>0.13500000000000001</v>
      </c>
      <c r="AP33" s="35">
        <v>1</v>
      </c>
      <c r="AQ33" s="34">
        <v>0.13600000000000001</v>
      </c>
      <c r="AR33" s="35">
        <v>1</v>
      </c>
      <c r="AS33" s="34">
        <v>0.13200000000000001</v>
      </c>
      <c r="AT33" s="35">
        <v>1</v>
      </c>
      <c r="AU33" s="34">
        <v>0.129</v>
      </c>
      <c r="AV33" s="35">
        <v>1</v>
      </c>
      <c r="AW33" s="34">
        <v>0.13800000000000001</v>
      </c>
      <c r="AX33" s="35">
        <v>1</v>
      </c>
      <c r="AY33" s="34">
        <v>0.109</v>
      </c>
      <c r="AZ33" s="35">
        <v>1</v>
      </c>
    </row>
    <row r="34" spans="1:52" x14ac:dyDescent="0.25">
      <c r="A34" s="10" t="s">
        <v>1301</v>
      </c>
      <c r="B34" s="10"/>
      <c r="C34" s="32">
        <v>9.5466999999999996E-2</v>
      </c>
      <c r="D34" s="33">
        <v>1</v>
      </c>
      <c r="E34" s="32">
        <v>0.101353</v>
      </c>
      <c r="F34" s="33">
        <v>1</v>
      </c>
      <c r="G34" s="32">
        <v>0.105056</v>
      </c>
      <c r="H34" s="33">
        <v>1</v>
      </c>
      <c r="I34" s="32">
        <v>0.129052</v>
      </c>
      <c r="J34" s="33">
        <v>1</v>
      </c>
      <c r="K34" s="32">
        <v>0.14166000000000001</v>
      </c>
      <c r="L34" s="33">
        <v>1</v>
      </c>
      <c r="M34" s="32">
        <v>0.14880199999999999</v>
      </c>
      <c r="N34" s="33">
        <v>1</v>
      </c>
      <c r="O34" s="32">
        <v>0.1323</v>
      </c>
      <c r="P34" s="33">
        <v>1</v>
      </c>
      <c r="Q34" s="32">
        <v>0.121044</v>
      </c>
      <c r="R34" s="33">
        <v>1</v>
      </c>
      <c r="S34" s="32">
        <v>0.125972</v>
      </c>
      <c r="T34" s="33">
        <v>1</v>
      </c>
      <c r="U34" s="32">
        <v>0.12700800000000001</v>
      </c>
      <c r="V34" s="33">
        <v>1</v>
      </c>
      <c r="W34" s="32">
        <v>0.125581</v>
      </c>
      <c r="X34" s="33">
        <v>1</v>
      </c>
      <c r="Y34" s="32">
        <v>0.13394500000000001</v>
      </c>
      <c r="Z34" s="33">
        <v>1</v>
      </c>
      <c r="AA34" s="32">
        <v>0.14682600000000001</v>
      </c>
      <c r="AB34" s="33">
        <v>1</v>
      </c>
      <c r="AC34" s="32">
        <v>0.17100000000000001</v>
      </c>
      <c r="AD34" s="33">
        <v>1</v>
      </c>
      <c r="AE34" s="32">
        <v>0.17199999999999999</v>
      </c>
      <c r="AF34" s="33">
        <v>1</v>
      </c>
      <c r="AG34" s="32">
        <v>0.17</v>
      </c>
      <c r="AH34" s="33">
        <v>1</v>
      </c>
      <c r="AI34" s="32">
        <v>0.14299999999999999</v>
      </c>
      <c r="AJ34" s="33">
        <v>1</v>
      </c>
      <c r="AK34" s="32">
        <v>0.13400000000000001</v>
      </c>
      <c r="AL34" s="33">
        <v>1</v>
      </c>
      <c r="AM34" s="32">
        <v>0.123</v>
      </c>
      <c r="AN34" s="33">
        <v>1</v>
      </c>
      <c r="AO34" s="32">
        <v>0.13500000000000001</v>
      </c>
      <c r="AP34" s="33">
        <v>1</v>
      </c>
      <c r="AQ34" s="32">
        <v>0.13600000000000001</v>
      </c>
      <c r="AR34" s="33">
        <v>1</v>
      </c>
      <c r="AS34" s="32">
        <v>0.13200000000000001</v>
      </c>
      <c r="AT34" s="33">
        <v>1</v>
      </c>
      <c r="AU34" s="32">
        <v>0.129</v>
      </c>
      <c r="AV34" s="33">
        <v>1</v>
      </c>
      <c r="AW34" s="32">
        <v>0.13800000000000001</v>
      </c>
      <c r="AX34" s="33">
        <v>1</v>
      </c>
      <c r="AY34" s="32">
        <v>0.109</v>
      </c>
      <c r="AZ34" s="33">
        <v>1</v>
      </c>
    </row>
    <row r="35" spans="1:52" x14ac:dyDescent="0.25">
      <c r="A35" s="6" t="s">
        <v>1022</v>
      </c>
      <c r="B35" s="6"/>
      <c r="C35" s="34">
        <v>9.5466999999999996E-2</v>
      </c>
      <c r="D35" s="35">
        <v>1</v>
      </c>
      <c r="E35" s="34">
        <v>0.101353</v>
      </c>
      <c r="F35" s="35">
        <v>1</v>
      </c>
      <c r="G35" s="34">
        <v>0.105056</v>
      </c>
      <c r="H35" s="35">
        <v>1</v>
      </c>
      <c r="I35" s="34">
        <v>0.129052</v>
      </c>
      <c r="J35" s="35">
        <v>1</v>
      </c>
      <c r="K35" s="34">
        <v>0.14166000000000001</v>
      </c>
      <c r="L35" s="35">
        <v>1</v>
      </c>
      <c r="M35" s="34">
        <v>0.14880199999999999</v>
      </c>
      <c r="N35" s="35">
        <v>1</v>
      </c>
      <c r="O35" s="34">
        <v>0.1323</v>
      </c>
      <c r="P35" s="35">
        <v>1</v>
      </c>
      <c r="Q35" s="34">
        <v>0.121044</v>
      </c>
      <c r="R35" s="35">
        <v>1</v>
      </c>
      <c r="S35" s="34">
        <v>0.125972</v>
      </c>
      <c r="T35" s="35">
        <v>1</v>
      </c>
      <c r="U35" s="34">
        <v>0.12700800000000001</v>
      </c>
      <c r="V35" s="35">
        <v>1</v>
      </c>
      <c r="W35" s="34">
        <v>0.125581</v>
      </c>
      <c r="X35" s="35">
        <v>1</v>
      </c>
      <c r="Y35" s="34">
        <v>0.13394500000000001</v>
      </c>
      <c r="Z35" s="35">
        <v>1</v>
      </c>
      <c r="AA35" s="34">
        <v>0.14682600000000001</v>
      </c>
      <c r="AB35" s="35">
        <v>1</v>
      </c>
      <c r="AC35" s="34">
        <v>0.17100000000000001</v>
      </c>
      <c r="AD35" s="35">
        <v>1</v>
      </c>
      <c r="AE35" s="34">
        <v>0.17199999999999999</v>
      </c>
      <c r="AF35" s="35">
        <v>1</v>
      </c>
      <c r="AG35" s="34">
        <v>0.17</v>
      </c>
      <c r="AH35" s="35">
        <v>1</v>
      </c>
      <c r="AI35" s="34">
        <v>1.4300000000000001E-4</v>
      </c>
      <c r="AJ35" s="35">
        <v>1</v>
      </c>
      <c r="AK35" s="34">
        <v>0.13400000000000001</v>
      </c>
      <c r="AL35" s="35">
        <v>1</v>
      </c>
      <c r="AM35" s="34">
        <v>1.2300000000000001E-4</v>
      </c>
      <c r="AN35" s="35">
        <v>1</v>
      </c>
      <c r="AO35" s="34">
        <v>0.13500000000000001</v>
      </c>
      <c r="AP35" s="35">
        <v>1</v>
      </c>
      <c r="AQ35" s="34">
        <v>1.36E-4</v>
      </c>
      <c r="AR35" s="35">
        <v>1</v>
      </c>
      <c r="AS35" s="34">
        <v>0.13200000000000001</v>
      </c>
      <c r="AT35" s="35">
        <v>1</v>
      </c>
      <c r="AU35" s="34">
        <v>0.129</v>
      </c>
      <c r="AV35" s="35">
        <v>1</v>
      </c>
      <c r="AW35" s="34">
        <v>0.13800000000000001</v>
      </c>
      <c r="AX35" s="35">
        <v>1</v>
      </c>
      <c r="AY35" s="34">
        <v>1.0900000000000001E-4</v>
      </c>
      <c r="AZ35" s="35">
        <v>1</v>
      </c>
    </row>
    <row r="36" spans="1:52" x14ac:dyDescent="0.25">
      <c r="A36" s="10" t="s">
        <v>1301</v>
      </c>
      <c r="B36" s="10"/>
      <c r="C36" s="32">
        <v>9.5466999999999996E-2</v>
      </c>
      <c r="D36" s="33">
        <v>1</v>
      </c>
      <c r="E36" s="32">
        <v>0.101353</v>
      </c>
      <c r="F36" s="33">
        <v>1</v>
      </c>
      <c r="G36" s="32">
        <v>0.105056</v>
      </c>
      <c r="H36" s="33">
        <v>1</v>
      </c>
      <c r="I36" s="32">
        <v>0.129052</v>
      </c>
      <c r="J36" s="33">
        <v>1</v>
      </c>
      <c r="K36" s="32">
        <v>0.14166000000000001</v>
      </c>
      <c r="L36" s="33">
        <v>1</v>
      </c>
      <c r="M36" s="32">
        <v>0.14880199999999999</v>
      </c>
      <c r="N36" s="33">
        <v>1</v>
      </c>
      <c r="O36" s="32">
        <v>0.1323</v>
      </c>
      <c r="P36" s="33">
        <v>1</v>
      </c>
      <c r="Q36" s="32">
        <v>0.121044</v>
      </c>
      <c r="R36" s="33">
        <v>1</v>
      </c>
      <c r="S36" s="32">
        <v>0.125972</v>
      </c>
      <c r="T36" s="33">
        <v>1</v>
      </c>
      <c r="U36" s="32">
        <v>0.12700800000000001</v>
      </c>
      <c r="V36" s="33">
        <v>1</v>
      </c>
      <c r="W36" s="32">
        <v>0.125581</v>
      </c>
      <c r="X36" s="33">
        <v>1</v>
      </c>
      <c r="Y36" s="32">
        <v>0.13394500000000001</v>
      </c>
      <c r="Z36" s="33">
        <v>1</v>
      </c>
      <c r="AA36" s="32">
        <v>0.14682600000000001</v>
      </c>
      <c r="AB36" s="33">
        <v>1</v>
      </c>
      <c r="AC36" s="32">
        <v>0.17100000000000001</v>
      </c>
      <c r="AD36" s="33">
        <v>1</v>
      </c>
      <c r="AE36" s="32">
        <v>0.17199999999999999</v>
      </c>
      <c r="AF36" s="33">
        <v>1</v>
      </c>
      <c r="AG36" s="32">
        <v>0.17</v>
      </c>
      <c r="AH36" s="33">
        <v>1</v>
      </c>
      <c r="AI36" s="32">
        <v>1.4300000000000001E-4</v>
      </c>
      <c r="AJ36" s="33">
        <v>1</v>
      </c>
      <c r="AK36" s="32">
        <v>0.13400000000000001</v>
      </c>
      <c r="AL36" s="33">
        <v>1</v>
      </c>
      <c r="AM36" s="32">
        <v>1.2300000000000001E-4</v>
      </c>
      <c r="AN36" s="33">
        <v>1</v>
      </c>
      <c r="AO36" s="32">
        <v>0.13500000000000001</v>
      </c>
      <c r="AP36" s="33">
        <v>1</v>
      </c>
      <c r="AQ36" s="32">
        <v>1.36E-4</v>
      </c>
      <c r="AR36" s="33">
        <v>1</v>
      </c>
      <c r="AS36" s="32">
        <v>0.13200000000000001</v>
      </c>
      <c r="AT36" s="33">
        <v>1</v>
      </c>
      <c r="AU36" s="32">
        <v>0.129</v>
      </c>
      <c r="AV36" s="33">
        <v>1</v>
      </c>
      <c r="AW36" s="32">
        <v>0.13800000000000001</v>
      </c>
      <c r="AX36" s="33">
        <v>1</v>
      </c>
      <c r="AY36" s="32">
        <v>1.0900000000000001E-4</v>
      </c>
      <c r="AZ36" s="33">
        <v>1</v>
      </c>
    </row>
    <row r="37" spans="1:52" x14ac:dyDescent="0.25">
      <c r="A37" s="6" t="s">
        <v>1311</v>
      </c>
      <c r="B37" s="6"/>
      <c r="C37" s="34">
        <v>33.605629</v>
      </c>
      <c r="D37" s="35">
        <v>1</v>
      </c>
      <c r="E37" s="34">
        <v>24.990856000000001</v>
      </c>
      <c r="F37" s="35">
        <v>1</v>
      </c>
      <c r="G37" s="34">
        <v>23.728000000000002</v>
      </c>
      <c r="H37" s="35">
        <v>1</v>
      </c>
      <c r="I37" s="34">
        <v>21.339791999999999</v>
      </c>
      <c r="J37" s="35">
        <v>1</v>
      </c>
      <c r="K37" s="34">
        <v>19.065725</v>
      </c>
      <c r="L37" s="35">
        <v>1</v>
      </c>
      <c r="M37" s="34">
        <v>16.003326000000001</v>
      </c>
      <c r="N37" s="35">
        <v>1</v>
      </c>
      <c r="O37" s="34">
        <v>25.204857000000001</v>
      </c>
      <c r="P37" s="35">
        <v>1</v>
      </c>
      <c r="Q37" s="34">
        <v>10.275368</v>
      </c>
      <c r="R37" s="35">
        <v>1</v>
      </c>
      <c r="S37" s="34">
        <v>14.298586</v>
      </c>
      <c r="T37" s="35">
        <v>1</v>
      </c>
      <c r="U37" s="34">
        <v>15.058</v>
      </c>
      <c r="V37" s="35">
        <v>1</v>
      </c>
      <c r="W37" s="34">
        <v>17.296420000000001</v>
      </c>
      <c r="X37" s="35">
        <v>1</v>
      </c>
      <c r="Y37" s="34">
        <v>27.031825000000001</v>
      </c>
      <c r="Z37" s="35">
        <v>1</v>
      </c>
      <c r="AA37" s="34">
        <v>29.459099999999999</v>
      </c>
      <c r="AB37" s="35">
        <v>1</v>
      </c>
      <c r="AC37" s="34">
        <v>29.042999999999999</v>
      </c>
      <c r="AD37" s="35">
        <v>1</v>
      </c>
      <c r="AE37" s="34">
        <v>38.536000000000001</v>
      </c>
      <c r="AF37" s="35">
        <v>1</v>
      </c>
      <c r="AG37" s="34">
        <v>33.274000000000001</v>
      </c>
      <c r="AH37" s="35">
        <v>1</v>
      </c>
      <c r="AI37" s="34">
        <v>3.3862000000000003E-2</v>
      </c>
      <c r="AJ37" s="35">
        <v>1</v>
      </c>
      <c r="AK37" s="34">
        <v>38.024000000000001</v>
      </c>
      <c r="AL37" s="35">
        <v>1</v>
      </c>
      <c r="AM37" s="34">
        <v>4.9793999999999998E-2</v>
      </c>
      <c r="AN37" s="35">
        <v>1</v>
      </c>
      <c r="AO37" s="34">
        <v>41.55</v>
      </c>
      <c r="AP37" s="35">
        <v>1</v>
      </c>
      <c r="AQ37" s="34">
        <v>5.0774E-2</v>
      </c>
      <c r="AR37" s="35">
        <v>1</v>
      </c>
      <c r="AS37" s="34">
        <v>42.832999999999998</v>
      </c>
      <c r="AT37" s="35">
        <v>1</v>
      </c>
      <c r="AU37" s="34">
        <v>56.183</v>
      </c>
      <c r="AV37" s="35">
        <v>1</v>
      </c>
      <c r="AW37" s="34">
        <v>66.819000000000003</v>
      </c>
      <c r="AX37" s="35">
        <v>1</v>
      </c>
      <c r="AY37" s="34">
        <v>7.0286000000000001E-2</v>
      </c>
      <c r="AZ37" s="35">
        <v>1</v>
      </c>
    </row>
    <row r="38" spans="1:52" x14ac:dyDescent="0.25">
      <c r="A38" s="10" t="s">
        <v>1301</v>
      </c>
      <c r="B38" s="10"/>
      <c r="C38" s="32">
        <v>33.605629</v>
      </c>
      <c r="D38" s="33">
        <v>1</v>
      </c>
      <c r="E38" s="32">
        <v>24.990856000000001</v>
      </c>
      <c r="F38" s="33">
        <v>1</v>
      </c>
      <c r="G38" s="32">
        <v>23.728000000000002</v>
      </c>
      <c r="H38" s="33">
        <v>1</v>
      </c>
      <c r="I38" s="32">
        <v>21.339791999999999</v>
      </c>
      <c r="J38" s="33">
        <v>1</v>
      </c>
      <c r="K38" s="32">
        <v>19.065725</v>
      </c>
      <c r="L38" s="33">
        <v>1</v>
      </c>
      <c r="M38" s="32">
        <v>16.003326000000001</v>
      </c>
      <c r="N38" s="33">
        <v>1</v>
      </c>
      <c r="O38" s="32">
        <v>25.204857000000001</v>
      </c>
      <c r="P38" s="33">
        <v>1</v>
      </c>
      <c r="Q38" s="32">
        <v>10.275368</v>
      </c>
      <c r="R38" s="33">
        <v>1</v>
      </c>
      <c r="S38" s="32">
        <v>14.298586</v>
      </c>
      <c r="T38" s="33">
        <v>1</v>
      </c>
      <c r="U38" s="32">
        <v>15.058</v>
      </c>
      <c r="V38" s="33">
        <v>1</v>
      </c>
      <c r="W38" s="32">
        <v>17.296420000000001</v>
      </c>
      <c r="X38" s="33">
        <v>1</v>
      </c>
      <c r="Y38" s="32">
        <v>27.031825000000001</v>
      </c>
      <c r="Z38" s="33">
        <v>1</v>
      </c>
      <c r="AA38" s="32">
        <v>29.459099999999999</v>
      </c>
      <c r="AB38" s="33">
        <v>1</v>
      </c>
      <c r="AC38" s="32">
        <v>29.042999999999999</v>
      </c>
      <c r="AD38" s="33">
        <v>1</v>
      </c>
      <c r="AE38" s="32">
        <v>38.536000000000001</v>
      </c>
      <c r="AF38" s="33">
        <v>1</v>
      </c>
      <c r="AG38" s="32">
        <v>33.274000000000001</v>
      </c>
      <c r="AH38" s="33">
        <v>1</v>
      </c>
      <c r="AI38" s="32">
        <v>3.3862000000000003E-2</v>
      </c>
      <c r="AJ38" s="33">
        <v>1</v>
      </c>
      <c r="AK38" s="32">
        <v>38.024000000000001</v>
      </c>
      <c r="AL38" s="33">
        <v>1</v>
      </c>
      <c r="AM38" s="32">
        <v>4.9793999999999998E-2</v>
      </c>
      <c r="AN38" s="33">
        <v>1</v>
      </c>
      <c r="AO38" s="32">
        <v>41.55</v>
      </c>
      <c r="AP38" s="33">
        <v>1</v>
      </c>
      <c r="AQ38" s="32">
        <v>5.0774E-2</v>
      </c>
      <c r="AR38" s="33">
        <v>1</v>
      </c>
      <c r="AS38" s="32">
        <v>42.832999999999998</v>
      </c>
      <c r="AT38" s="33">
        <v>1</v>
      </c>
      <c r="AU38" s="32">
        <v>56.183</v>
      </c>
      <c r="AV38" s="33">
        <v>1</v>
      </c>
      <c r="AW38" s="32">
        <v>66.819000000000003</v>
      </c>
      <c r="AX38" s="33">
        <v>1</v>
      </c>
      <c r="AY38" s="32">
        <v>7.0286000000000001E-2</v>
      </c>
      <c r="AZ38" s="33">
        <v>1</v>
      </c>
    </row>
    <row r="39" spans="1:52" x14ac:dyDescent="0.25">
      <c r="A39" s="6" t="s">
        <v>86</v>
      </c>
      <c r="B39" s="6"/>
      <c r="C39" s="34">
        <v>-5.8753E-2</v>
      </c>
      <c r="D39" s="35"/>
      <c r="E39" s="34">
        <v>-6.7193000000000003E-2</v>
      </c>
      <c r="F39" s="35"/>
      <c r="G39" s="34">
        <v>-1.0623830000000001</v>
      </c>
      <c r="H39" s="35"/>
      <c r="I39" s="34">
        <v>-0.221112</v>
      </c>
      <c r="J39" s="35"/>
      <c r="K39" s="34">
        <v>-0.70039499999999999</v>
      </c>
      <c r="L39" s="35"/>
      <c r="M39" s="34">
        <v>-2.2048999999999999E-2</v>
      </c>
      <c r="N39" s="35"/>
      <c r="O39" s="34">
        <v>0</v>
      </c>
      <c r="P39" s="35"/>
      <c r="Q39" s="34">
        <v>-0.169909</v>
      </c>
      <c r="R39" s="35"/>
      <c r="S39" s="34">
        <v>-7.4765999999999999E-2</v>
      </c>
      <c r="T39" s="35"/>
      <c r="U39" s="34">
        <v>0</v>
      </c>
      <c r="V39" s="35"/>
      <c r="W39" s="34">
        <v>-1.5244000000000001E-2</v>
      </c>
      <c r="X39" s="35"/>
      <c r="Y39" s="34">
        <v>-0.30925200000000003</v>
      </c>
      <c r="Z39" s="35"/>
      <c r="AA39" s="34">
        <v>-1.242E-3</v>
      </c>
      <c r="AB39" s="35"/>
      <c r="AC39" s="34">
        <v>-0.56599999999999995</v>
      </c>
      <c r="AD39" s="35"/>
      <c r="AE39" s="34">
        <v>-0.123</v>
      </c>
      <c r="AF39" s="35"/>
      <c r="AG39" s="34">
        <v>-0.11700000000000001</v>
      </c>
      <c r="AH39" s="35"/>
      <c r="AI39" s="34">
        <v>0</v>
      </c>
      <c r="AJ39" s="35"/>
      <c r="AK39" s="34">
        <v>0</v>
      </c>
      <c r="AL39" s="35"/>
      <c r="AM39" s="34">
        <v>0</v>
      </c>
      <c r="AN39" s="35"/>
      <c r="AO39" s="34">
        <v>-0.26800000000000002</v>
      </c>
      <c r="AP39" s="35"/>
      <c r="AQ39" s="34">
        <v>-1E-3</v>
      </c>
      <c r="AR39" s="35"/>
      <c r="AS39" s="34">
        <v>0</v>
      </c>
      <c r="AT39" s="35"/>
      <c r="AU39" s="34">
        <v>-5.2999999999999999E-2</v>
      </c>
      <c r="AV39" s="35"/>
      <c r="AW39" s="34">
        <v>-0.69599999999999995</v>
      </c>
      <c r="AX39" s="35"/>
      <c r="AY39" s="34">
        <v>-3.2200000000000002E-4</v>
      </c>
      <c r="AZ39" s="35"/>
    </row>
    <row r="40" spans="1:52" x14ac:dyDescent="0.25">
      <c r="A40" s="10" t="s">
        <v>1301</v>
      </c>
      <c r="B40" s="10"/>
      <c r="C40" s="32">
        <v>-5.8753E-2</v>
      </c>
      <c r="D40" s="33">
        <v>1</v>
      </c>
      <c r="E40" s="32">
        <v>-6.7193000000000003E-2</v>
      </c>
      <c r="F40" s="33">
        <v>1</v>
      </c>
      <c r="G40" s="32">
        <v>-1.0623830000000001</v>
      </c>
      <c r="H40" s="33">
        <v>1</v>
      </c>
      <c r="I40" s="32">
        <v>-0.221112</v>
      </c>
      <c r="J40" s="33">
        <v>1</v>
      </c>
      <c r="K40" s="32">
        <v>-0.70039499999999999</v>
      </c>
      <c r="L40" s="33">
        <v>1</v>
      </c>
      <c r="M40" s="32">
        <v>-2.2048999999999999E-2</v>
      </c>
      <c r="N40" s="33">
        <v>1</v>
      </c>
      <c r="O40" s="32">
        <v>0</v>
      </c>
      <c r="P40" s="33"/>
      <c r="Q40" s="32">
        <v>-0.169909</v>
      </c>
      <c r="R40" s="33">
        <v>1</v>
      </c>
      <c r="S40" s="32">
        <v>-7.4765999999999999E-2</v>
      </c>
      <c r="T40" s="33">
        <v>1</v>
      </c>
      <c r="U40" s="32">
        <v>0</v>
      </c>
      <c r="V40" s="33"/>
      <c r="W40" s="32">
        <v>-1.5244000000000001E-2</v>
      </c>
      <c r="X40" s="33">
        <v>1</v>
      </c>
      <c r="Y40" s="32">
        <v>-0.30925200000000003</v>
      </c>
      <c r="Z40" s="33">
        <v>1</v>
      </c>
      <c r="AA40" s="32">
        <v>-1.242E-3</v>
      </c>
      <c r="AB40" s="33">
        <v>1</v>
      </c>
      <c r="AC40" s="32">
        <v>-0.56599999999999995</v>
      </c>
      <c r="AD40" s="33">
        <v>1</v>
      </c>
      <c r="AE40" s="32">
        <v>-0.123</v>
      </c>
      <c r="AF40" s="33">
        <v>1</v>
      </c>
      <c r="AG40" s="32">
        <v>-0.11700000000000001</v>
      </c>
      <c r="AH40" s="33">
        <v>1</v>
      </c>
      <c r="AI40" s="32">
        <v>0</v>
      </c>
      <c r="AJ40" s="33"/>
      <c r="AK40" s="32">
        <v>0</v>
      </c>
      <c r="AL40" s="33"/>
      <c r="AM40" s="32">
        <v>0</v>
      </c>
      <c r="AN40" s="33"/>
      <c r="AO40" s="32">
        <v>-0.26800000000000002</v>
      </c>
      <c r="AP40" s="33">
        <v>1</v>
      </c>
      <c r="AQ40" s="32">
        <v>-1E-3</v>
      </c>
      <c r="AR40" s="33">
        <v>1</v>
      </c>
      <c r="AS40" s="32">
        <v>0</v>
      </c>
      <c r="AT40" s="33"/>
      <c r="AU40" s="32">
        <v>-5.2999999999999999E-2</v>
      </c>
      <c r="AV40" s="33">
        <v>1</v>
      </c>
      <c r="AW40" s="32">
        <v>-0.69599999999999995</v>
      </c>
      <c r="AX40" s="33">
        <v>1</v>
      </c>
      <c r="AY40" s="32">
        <v>-3.2200000000000002E-4</v>
      </c>
      <c r="AZ40" s="33">
        <v>1</v>
      </c>
    </row>
    <row r="41" spans="1:52" x14ac:dyDescent="0.25">
      <c r="A41" s="7" t="s">
        <v>90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Z38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3" width="11.85546875" customWidth="1"/>
    <col min="4" max="4" width="7" customWidth="1"/>
    <col min="5" max="5" width="11.85546875" customWidth="1"/>
    <col min="6" max="6" width="7" customWidth="1"/>
    <col min="7" max="7" width="11.85546875" customWidth="1"/>
    <col min="8" max="8" width="7" customWidth="1"/>
    <col min="9" max="9" width="11.85546875" customWidth="1"/>
    <col min="10" max="10" width="7" customWidth="1"/>
    <col min="11" max="11" width="11.85546875" customWidth="1"/>
    <col min="12" max="12" width="7" customWidth="1"/>
    <col min="13" max="13" width="11.85546875" customWidth="1"/>
    <col min="14" max="14" width="7" customWidth="1"/>
    <col min="15" max="15" width="11.85546875" customWidth="1"/>
    <col min="16" max="16" width="7" customWidth="1"/>
    <col min="17" max="17" width="11.85546875" customWidth="1"/>
    <col min="18" max="18" width="7" customWidth="1"/>
    <col min="19" max="19" width="11.85546875" customWidth="1"/>
    <col min="20" max="20" width="7" customWidth="1"/>
    <col min="21" max="21" width="11.85546875" customWidth="1"/>
    <col min="22" max="22" width="7" customWidth="1"/>
    <col min="23" max="23" width="11.85546875" customWidth="1"/>
    <col min="24" max="24" width="7" customWidth="1"/>
    <col min="25" max="25" width="11.85546875" customWidth="1"/>
    <col min="26" max="26" width="7" customWidth="1"/>
    <col min="27" max="27" width="11.85546875" customWidth="1"/>
    <col min="28" max="28" width="7" customWidth="1"/>
    <col min="29" max="29" width="11.85546875" customWidth="1"/>
    <col min="30" max="30" width="7" customWidth="1"/>
    <col min="31" max="31" width="11.85546875" customWidth="1"/>
    <col min="32" max="32" width="7" customWidth="1"/>
    <col min="33" max="33" width="11.85546875" customWidth="1"/>
    <col min="34" max="34" width="7" customWidth="1"/>
    <col min="35" max="35" width="11.85546875" customWidth="1"/>
    <col min="36" max="36" width="7" customWidth="1"/>
    <col min="37" max="37" width="11.85546875" customWidth="1"/>
    <col min="38" max="38" width="7" customWidth="1"/>
    <col min="39" max="39" width="11.85546875" customWidth="1"/>
    <col min="40" max="40" width="7" customWidth="1"/>
    <col min="41" max="41" width="11.85546875" customWidth="1"/>
    <col min="42" max="42" width="7" customWidth="1"/>
    <col min="43" max="43" width="11.85546875" customWidth="1"/>
    <col min="44" max="44" width="7" customWidth="1"/>
    <col min="45" max="45" width="11.85546875" customWidth="1"/>
    <col min="46" max="46" width="7" customWidth="1"/>
    <col min="47" max="47" width="11.85546875" customWidth="1"/>
    <col min="48" max="48" width="7" customWidth="1"/>
    <col min="49" max="49" width="11.85546875" customWidth="1"/>
    <col min="50" max="50" width="7" customWidth="1"/>
    <col min="51" max="51" width="11.85546875" customWidth="1"/>
    <col min="52" max="52" width="7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20.25" x14ac:dyDescent="0.25">
      <c r="A2" s="8" t="s">
        <v>1312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25">
      <c r="A4" s="3" t="s">
        <v>92</v>
      </c>
      <c r="B4" s="3"/>
      <c r="C4" s="30" t="s">
        <v>93</v>
      </c>
      <c r="D4" s="30"/>
      <c r="E4" s="30" t="s">
        <v>94</v>
      </c>
      <c r="F4" s="30"/>
      <c r="G4" s="30" t="s">
        <v>8</v>
      </c>
      <c r="H4" s="30"/>
      <c r="I4" s="30" t="s">
        <v>9</v>
      </c>
      <c r="J4" s="30"/>
      <c r="K4" s="30" t="s">
        <v>10</v>
      </c>
      <c r="L4" s="30"/>
      <c r="M4" s="30" t="s">
        <v>11</v>
      </c>
      <c r="N4" s="30"/>
      <c r="O4" s="30" t="s">
        <v>12</v>
      </c>
      <c r="P4" s="30"/>
      <c r="Q4" s="30" t="s">
        <v>13</v>
      </c>
      <c r="R4" s="30"/>
      <c r="S4" s="30" t="s">
        <v>14</v>
      </c>
      <c r="T4" s="30"/>
      <c r="U4" s="30" t="s">
        <v>15</v>
      </c>
      <c r="V4" s="30"/>
      <c r="W4" s="30" t="s">
        <v>16</v>
      </c>
      <c r="X4" s="30"/>
      <c r="Y4" s="30" t="s">
        <v>17</v>
      </c>
      <c r="Z4" s="30"/>
      <c r="AA4" s="30" t="s">
        <v>18</v>
      </c>
      <c r="AB4" s="30"/>
      <c r="AC4" s="30" t="s">
        <v>19</v>
      </c>
      <c r="AD4" s="30"/>
      <c r="AE4" s="30" t="s">
        <v>20</v>
      </c>
      <c r="AF4" s="30"/>
      <c r="AG4" s="30" t="s">
        <v>21</v>
      </c>
      <c r="AH4" s="30"/>
      <c r="AI4" s="30" t="s">
        <v>22</v>
      </c>
      <c r="AJ4" s="30"/>
      <c r="AK4" s="30" t="s">
        <v>23</v>
      </c>
      <c r="AL4" s="30"/>
      <c r="AM4" s="30" t="s">
        <v>24</v>
      </c>
      <c r="AN4" s="30"/>
      <c r="AO4" s="30" t="s">
        <v>25</v>
      </c>
      <c r="AP4" s="30"/>
      <c r="AQ4" s="30" t="s">
        <v>26</v>
      </c>
      <c r="AR4" s="30"/>
      <c r="AS4" s="30" t="s">
        <v>27</v>
      </c>
      <c r="AT4" s="30"/>
      <c r="AU4" s="30" t="s">
        <v>28</v>
      </c>
      <c r="AV4" s="30"/>
      <c r="AW4" s="30" t="s">
        <v>29</v>
      </c>
      <c r="AX4" s="30"/>
      <c r="AY4" s="30" t="s">
        <v>30</v>
      </c>
      <c r="AZ4" s="30"/>
    </row>
    <row r="5" spans="1:52" x14ac:dyDescent="0.25">
      <c r="A5" s="9" t="s">
        <v>33</v>
      </c>
      <c r="B5" s="9"/>
      <c r="C5" s="31" t="s">
        <v>95</v>
      </c>
      <c r="D5" s="31"/>
      <c r="E5" s="31" t="s">
        <v>96</v>
      </c>
      <c r="F5" s="31"/>
      <c r="G5" s="31" t="s">
        <v>34</v>
      </c>
      <c r="H5" s="31"/>
      <c r="I5" s="31" t="s">
        <v>35</v>
      </c>
      <c r="J5" s="31"/>
      <c r="K5" s="31" t="s">
        <v>36</v>
      </c>
      <c r="L5" s="31"/>
      <c r="M5" s="31" t="s">
        <v>37</v>
      </c>
      <c r="N5" s="31"/>
      <c r="O5" s="31" t="s">
        <v>38</v>
      </c>
      <c r="P5" s="31"/>
      <c r="Q5" s="31" t="s">
        <v>39</v>
      </c>
      <c r="R5" s="31"/>
      <c r="S5" s="31" t="s">
        <v>40</v>
      </c>
      <c r="T5" s="31"/>
      <c r="U5" s="31" t="s">
        <v>41</v>
      </c>
      <c r="V5" s="31"/>
      <c r="W5" s="31" t="s">
        <v>42</v>
      </c>
      <c r="X5" s="31"/>
      <c r="Y5" s="31" t="s">
        <v>43</v>
      </c>
      <c r="Z5" s="31"/>
      <c r="AA5" s="31" t="s">
        <v>44</v>
      </c>
      <c r="AB5" s="31"/>
      <c r="AC5" s="31" t="s">
        <v>45</v>
      </c>
      <c r="AD5" s="31"/>
      <c r="AE5" s="31" t="s">
        <v>46</v>
      </c>
      <c r="AF5" s="31"/>
      <c r="AG5" s="31" t="s">
        <v>47</v>
      </c>
      <c r="AH5" s="31"/>
      <c r="AI5" s="31" t="s">
        <v>48</v>
      </c>
      <c r="AJ5" s="31"/>
      <c r="AK5" s="31" t="s">
        <v>49</v>
      </c>
      <c r="AL5" s="31"/>
      <c r="AM5" s="31" t="s">
        <v>50</v>
      </c>
      <c r="AN5" s="31"/>
      <c r="AO5" s="31" t="s">
        <v>51</v>
      </c>
      <c r="AP5" s="31"/>
      <c r="AQ5" s="31" t="s">
        <v>52</v>
      </c>
      <c r="AR5" s="31"/>
      <c r="AS5" s="31" t="s">
        <v>53</v>
      </c>
      <c r="AT5" s="31"/>
      <c r="AU5" s="31" t="s">
        <v>54</v>
      </c>
      <c r="AV5" s="31"/>
      <c r="AW5" s="31" t="s">
        <v>55</v>
      </c>
      <c r="AX5" s="31"/>
      <c r="AY5" s="31" t="s">
        <v>56</v>
      </c>
      <c r="AZ5" s="31"/>
    </row>
    <row r="6" spans="1:52" x14ac:dyDescent="0.25">
      <c r="A6" s="6" t="s">
        <v>0</v>
      </c>
      <c r="B6" s="6"/>
      <c r="C6" s="34">
        <v>0</v>
      </c>
      <c r="D6" s="35"/>
      <c r="E6" s="34">
        <v>0</v>
      </c>
      <c r="F6" s="35"/>
      <c r="G6" s="34">
        <v>0</v>
      </c>
      <c r="H6" s="35"/>
      <c r="I6" s="34">
        <v>0</v>
      </c>
      <c r="J6" s="35"/>
      <c r="K6" s="34">
        <v>6.0613E-2</v>
      </c>
      <c r="L6" s="35">
        <v>1</v>
      </c>
      <c r="M6" s="34">
        <v>1.0834790000000001</v>
      </c>
      <c r="N6" s="35">
        <v>1</v>
      </c>
      <c r="O6" s="34">
        <v>1.906636</v>
      </c>
      <c r="P6" s="35">
        <v>1</v>
      </c>
      <c r="Q6" s="34">
        <v>7.3685939999999999</v>
      </c>
      <c r="R6" s="35">
        <v>1</v>
      </c>
      <c r="S6" s="34">
        <v>12.454269999999999</v>
      </c>
      <c r="T6" s="35">
        <v>1</v>
      </c>
      <c r="U6" s="34">
        <v>15.878329000000001</v>
      </c>
      <c r="V6" s="35">
        <v>1</v>
      </c>
      <c r="W6" s="34">
        <v>20.046561000000001</v>
      </c>
      <c r="X6" s="35">
        <v>1</v>
      </c>
      <c r="Y6" s="34">
        <v>22.207201000000001</v>
      </c>
      <c r="Z6" s="35">
        <v>1</v>
      </c>
      <c r="AA6" s="34">
        <v>25.670926000000001</v>
      </c>
      <c r="AB6" s="35">
        <v>1</v>
      </c>
      <c r="AC6" s="34">
        <v>34.996000000000002</v>
      </c>
      <c r="AD6" s="35">
        <v>1</v>
      </c>
      <c r="AE6" s="34">
        <v>55.579000000000001</v>
      </c>
      <c r="AF6" s="35">
        <v>1</v>
      </c>
      <c r="AG6" s="34">
        <v>71.87</v>
      </c>
      <c r="AH6" s="35">
        <v>1</v>
      </c>
      <c r="AI6" s="34">
        <v>8.7869000000000003E-2</v>
      </c>
      <c r="AJ6" s="35">
        <v>1</v>
      </c>
      <c r="AK6" s="34">
        <v>95.305999999999997</v>
      </c>
      <c r="AL6" s="35">
        <v>1</v>
      </c>
      <c r="AM6" s="34">
        <v>0.110792</v>
      </c>
      <c r="AN6" s="35">
        <v>1</v>
      </c>
      <c r="AO6" s="34">
        <v>126.173</v>
      </c>
      <c r="AP6" s="35">
        <v>1</v>
      </c>
      <c r="AQ6" s="34">
        <v>0.13209899999999999</v>
      </c>
      <c r="AR6" s="35">
        <v>1</v>
      </c>
      <c r="AS6" s="34">
        <v>144.86600000000001</v>
      </c>
      <c r="AT6" s="35">
        <v>1</v>
      </c>
      <c r="AU6" s="34">
        <v>161.38800000000001</v>
      </c>
      <c r="AV6" s="35">
        <v>1</v>
      </c>
      <c r="AW6" s="34">
        <v>175.375</v>
      </c>
      <c r="AX6" s="35">
        <v>1</v>
      </c>
      <c r="AY6" s="34">
        <v>0.19922300000000001</v>
      </c>
      <c r="AZ6" s="35">
        <v>1</v>
      </c>
    </row>
    <row r="7" spans="1:52" x14ac:dyDescent="0.25">
      <c r="A7" s="10" t="s">
        <v>1313</v>
      </c>
      <c r="B7" s="10"/>
      <c r="C7" s="32">
        <v>0</v>
      </c>
      <c r="D7" s="33"/>
      <c r="E7" s="32">
        <v>0</v>
      </c>
      <c r="F7" s="33"/>
      <c r="G7" s="32">
        <v>0</v>
      </c>
      <c r="H7" s="33"/>
      <c r="I7" s="32">
        <v>0</v>
      </c>
      <c r="J7" s="33"/>
      <c r="K7" s="32">
        <v>6.0613E-2</v>
      </c>
      <c r="L7" s="33">
        <v>1</v>
      </c>
      <c r="M7" s="32">
        <v>1.0834790000000001</v>
      </c>
      <c r="N7" s="33">
        <v>1</v>
      </c>
      <c r="O7" s="32">
        <v>1.906636</v>
      </c>
      <c r="P7" s="33">
        <v>1</v>
      </c>
      <c r="Q7" s="32">
        <v>7.3685939999999999</v>
      </c>
      <c r="R7" s="33">
        <v>1</v>
      </c>
      <c r="S7" s="32">
        <v>12.454269999999999</v>
      </c>
      <c r="T7" s="33">
        <v>1</v>
      </c>
      <c r="U7" s="32">
        <v>15.878329000000001</v>
      </c>
      <c r="V7" s="33">
        <v>1</v>
      </c>
      <c r="W7" s="32">
        <v>20.046561000000001</v>
      </c>
      <c r="X7" s="33">
        <v>1</v>
      </c>
      <c r="Y7" s="32">
        <v>22.207201000000001</v>
      </c>
      <c r="Z7" s="33">
        <v>1</v>
      </c>
      <c r="AA7" s="32">
        <v>25.670926000000001</v>
      </c>
      <c r="AB7" s="33">
        <v>1</v>
      </c>
      <c r="AC7" s="32">
        <v>34.996000000000002</v>
      </c>
      <c r="AD7" s="33">
        <v>1</v>
      </c>
      <c r="AE7" s="32">
        <v>55.579000000000001</v>
      </c>
      <c r="AF7" s="33">
        <v>1</v>
      </c>
      <c r="AG7" s="32">
        <v>71.87</v>
      </c>
      <c r="AH7" s="33">
        <v>1</v>
      </c>
      <c r="AI7" s="32">
        <v>8.7869000000000003E-2</v>
      </c>
      <c r="AJ7" s="33">
        <v>1</v>
      </c>
      <c r="AK7" s="32">
        <v>95.305999999999997</v>
      </c>
      <c r="AL7" s="33">
        <v>1</v>
      </c>
      <c r="AM7" s="32">
        <v>0.110792</v>
      </c>
      <c r="AN7" s="33">
        <v>1</v>
      </c>
      <c r="AO7" s="32">
        <v>126.173</v>
      </c>
      <c r="AP7" s="33">
        <v>1</v>
      </c>
      <c r="AQ7" s="32">
        <v>0.13209899999999999</v>
      </c>
      <c r="AR7" s="33">
        <v>1</v>
      </c>
      <c r="AS7" s="32">
        <v>144.86600000000001</v>
      </c>
      <c r="AT7" s="33">
        <v>1</v>
      </c>
      <c r="AU7" s="32">
        <v>161.38800000000001</v>
      </c>
      <c r="AV7" s="33">
        <v>1</v>
      </c>
      <c r="AW7" s="32">
        <v>175.375</v>
      </c>
      <c r="AX7" s="33">
        <v>1</v>
      </c>
      <c r="AY7" s="32">
        <v>0.19922300000000001</v>
      </c>
      <c r="AZ7" s="33">
        <v>1</v>
      </c>
    </row>
    <row r="8" spans="1:52" x14ac:dyDescent="0.25">
      <c r="A8" s="6" t="s">
        <v>2</v>
      </c>
      <c r="B8" s="6"/>
      <c r="C8" s="34" t="s">
        <v>76</v>
      </c>
      <c r="D8" s="35"/>
      <c r="E8" s="34" t="s">
        <v>76</v>
      </c>
      <c r="F8" s="35"/>
      <c r="G8" s="34">
        <v>0</v>
      </c>
      <c r="H8" s="35"/>
      <c r="I8" s="34" t="s">
        <v>76</v>
      </c>
      <c r="J8" s="35"/>
      <c r="K8" s="34" t="s">
        <v>76</v>
      </c>
      <c r="L8" s="35"/>
      <c r="M8" s="34">
        <v>1.014168</v>
      </c>
      <c r="N8" s="35">
        <v>1</v>
      </c>
      <c r="O8" s="34">
        <v>1.778097</v>
      </c>
      <c r="P8" s="35">
        <v>1</v>
      </c>
      <c r="Q8" s="34">
        <v>6.812487</v>
      </c>
      <c r="R8" s="35">
        <v>1</v>
      </c>
      <c r="S8" s="34">
        <v>11.313198</v>
      </c>
      <c r="T8" s="35">
        <v>1</v>
      </c>
      <c r="U8" s="34">
        <v>14.423114</v>
      </c>
      <c r="V8" s="35">
        <v>1</v>
      </c>
      <c r="W8" s="34">
        <v>18.006530000000001</v>
      </c>
      <c r="X8" s="35">
        <v>1</v>
      </c>
      <c r="Y8" s="34">
        <v>20.205886</v>
      </c>
      <c r="Z8" s="35">
        <v>1</v>
      </c>
      <c r="AA8" s="34">
        <v>23.132898000000001</v>
      </c>
      <c r="AB8" s="35">
        <v>1</v>
      </c>
      <c r="AC8" s="34">
        <v>31.841000000000001</v>
      </c>
      <c r="AD8" s="35">
        <v>1</v>
      </c>
      <c r="AE8" s="34">
        <v>50.929000000000002</v>
      </c>
      <c r="AF8" s="35">
        <v>1</v>
      </c>
      <c r="AG8" s="34">
        <v>66.02</v>
      </c>
      <c r="AH8" s="35">
        <v>1</v>
      </c>
      <c r="AI8" s="34">
        <v>8.1081E-2</v>
      </c>
      <c r="AJ8" s="35">
        <v>1</v>
      </c>
      <c r="AK8" s="34">
        <v>88.555000000000007</v>
      </c>
      <c r="AL8" s="35">
        <v>1</v>
      </c>
      <c r="AM8" s="34">
        <v>0.103629</v>
      </c>
      <c r="AN8" s="35">
        <v>1</v>
      </c>
      <c r="AO8" s="34">
        <v>117.044</v>
      </c>
      <c r="AP8" s="35">
        <v>1</v>
      </c>
      <c r="AQ8" s="34">
        <v>0.121397</v>
      </c>
      <c r="AR8" s="35">
        <v>1</v>
      </c>
      <c r="AS8" s="34">
        <v>134.96600000000001</v>
      </c>
      <c r="AT8" s="35">
        <v>1</v>
      </c>
      <c r="AU8" s="34">
        <v>150.03399999999999</v>
      </c>
      <c r="AV8" s="35">
        <v>1</v>
      </c>
      <c r="AW8" s="34">
        <v>160.071</v>
      </c>
      <c r="AX8" s="35">
        <v>1</v>
      </c>
      <c r="AY8" s="34">
        <v>0.178818</v>
      </c>
      <c r="AZ8" s="35">
        <v>1</v>
      </c>
    </row>
    <row r="9" spans="1:52" x14ac:dyDescent="0.25">
      <c r="A9" s="10" t="s">
        <v>1313</v>
      </c>
      <c r="B9" s="10"/>
      <c r="C9" s="32" t="s">
        <v>76</v>
      </c>
      <c r="D9" s="33"/>
      <c r="E9" s="32" t="s">
        <v>76</v>
      </c>
      <c r="F9" s="33"/>
      <c r="G9" s="32">
        <v>0</v>
      </c>
      <c r="H9" s="33"/>
      <c r="I9" s="32" t="s">
        <v>76</v>
      </c>
      <c r="J9" s="33"/>
      <c r="K9" s="32" t="s">
        <v>76</v>
      </c>
      <c r="L9" s="33"/>
      <c r="M9" s="32">
        <v>1.014168</v>
      </c>
      <c r="N9" s="33">
        <v>1</v>
      </c>
      <c r="O9" s="32">
        <v>1.778097</v>
      </c>
      <c r="P9" s="33">
        <v>1</v>
      </c>
      <c r="Q9" s="32">
        <v>6.812487</v>
      </c>
      <c r="R9" s="33">
        <v>1</v>
      </c>
      <c r="S9" s="32">
        <v>11.313198</v>
      </c>
      <c r="T9" s="33">
        <v>1</v>
      </c>
      <c r="U9" s="32">
        <v>14.423114</v>
      </c>
      <c r="V9" s="33">
        <v>1</v>
      </c>
      <c r="W9" s="32">
        <v>18.006530000000001</v>
      </c>
      <c r="X9" s="33">
        <v>1</v>
      </c>
      <c r="Y9" s="32">
        <v>20.205886</v>
      </c>
      <c r="Z9" s="33">
        <v>1</v>
      </c>
      <c r="AA9" s="32">
        <v>23.132898000000001</v>
      </c>
      <c r="AB9" s="33">
        <v>1</v>
      </c>
      <c r="AC9" s="32">
        <v>31.841000000000001</v>
      </c>
      <c r="AD9" s="33">
        <v>1</v>
      </c>
      <c r="AE9" s="32">
        <v>50.929000000000002</v>
      </c>
      <c r="AF9" s="33">
        <v>1</v>
      </c>
      <c r="AG9" s="32">
        <v>66.02</v>
      </c>
      <c r="AH9" s="33">
        <v>1</v>
      </c>
      <c r="AI9" s="32">
        <v>8.1081E-2</v>
      </c>
      <c r="AJ9" s="33">
        <v>1</v>
      </c>
      <c r="AK9" s="32">
        <v>88.555000000000007</v>
      </c>
      <c r="AL9" s="33">
        <v>1</v>
      </c>
      <c r="AM9" s="32">
        <v>0.103629</v>
      </c>
      <c r="AN9" s="33">
        <v>1</v>
      </c>
      <c r="AO9" s="32">
        <v>117.044</v>
      </c>
      <c r="AP9" s="33">
        <v>1</v>
      </c>
      <c r="AQ9" s="32">
        <v>0.121397</v>
      </c>
      <c r="AR9" s="33">
        <v>1</v>
      </c>
      <c r="AS9" s="32">
        <v>134.96600000000001</v>
      </c>
      <c r="AT9" s="33">
        <v>1</v>
      </c>
      <c r="AU9" s="32">
        <v>150.03399999999999</v>
      </c>
      <c r="AV9" s="33">
        <v>1</v>
      </c>
      <c r="AW9" s="32">
        <v>160.071</v>
      </c>
      <c r="AX9" s="33">
        <v>1</v>
      </c>
      <c r="AY9" s="32">
        <v>0.178818</v>
      </c>
      <c r="AZ9" s="33">
        <v>1</v>
      </c>
    </row>
    <row r="10" spans="1:52" x14ac:dyDescent="0.25">
      <c r="A10" s="6" t="s">
        <v>98</v>
      </c>
      <c r="B10" s="6"/>
      <c r="C10" s="34">
        <v>-42.62294</v>
      </c>
      <c r="D10" s="35"/>
      <c r="E10" s="34">
        <v>-36.695839999999997</v>
      </c>
      <c r="F10" s="35"/>
      <c r="G10" s="34">
        <v>-39.171114000000003</v>
      </c>
      <c r="H10" s="35"/>
      <c r="I10" s="34">
        <v>-36.376235999999999</v>
      </c>
      <c r="J10" s="35"/>
      <c r="K10" s="34">
        <v>-41.768659</v>
      </c>
      <c r="L10" s="35"/>
      <c r="M10" s="34">
        <v>-49.085523999999999</v>
      </c>
      <c r="N10" s="35"/>
      <c r="O10" s="34">
        <v>-64.872316999999995</v>
      </c>
      <c r="P10" s="35"/>
      <c r="Q10" s="34">
        <v>-55.936453999999998</v>
      </c>
      <c r="R10" s="35"/>
      <c r="S10" s="34">
        <v>-61.333336000000003</v>
      </c>
      <c r="T10" s="35"/>
      <c r="U10" s="34">
        <v>-53.218693000000002</v>
      </c>
      <c r="V10" s="35"/>
      <c r="W10" s="34">
        <v>-69.141053999999997</v>
      </c>
      <c r="X10" s="35"/>
      <c r="Y10" s="34">
        <v>-77.323824000000002</v>
      </c>
      <c r="Z10" s="35"/>
      <c r="AA10" s="34">
        <v>-86.004553999999999</v>
      </c>
      <c r="AB10" s="35"/>
      <c r="AC10" s="34">
        <v>-72.662000000000006</v>
      </c>
      <c r="AD10" s="35"/>
      <c r="AE10" s="34">
        <v>-87.923000000000002</v>
      </c>
      <c r="AF10" s="35"/>
      <c r="AG10" s="34">
        <v>-55.628999999999998</v>
      </c>
      <c r="AH10" s="35"/>
      <c r="AI10" s="34">
        <v>-4.7412000000000003E-2</v>
      </c>
      <c r="AJ10" s="35"/>
      <c r="AK10" s="34">
        <v>-48.392000000000003</v>
      </c>
      <c r="AL10" s="35"/>
      <c r="AM10" s="34">
        <v>-4.7178999999999999E-2</v>
      </c>
      <c r="AN10" s="35"/>
      <c r="AO10" s="34">
        <v>-29.713000000000001</v>
      </c>
      <c r="AP10" s="35"/>
      <c r="AQ10" s="34">
        <v>-3.4097000000000002E-2</v>
      </c>
      <c r="AR10" s="35"/>
      <c r="AS10" s="34">
        <v>-20.952000000000002</v>
      </c>
      <c r="AT10" s="35"/>
      <c r="AU10" s="34">
        <v>-27.722999999999999</v>
      </c>
      <c r="AV10" s="35"/>
      <c r="AW10" s="34">
        <v>-38.848999999999997</v>
      </c>
      <c r="AX10" s="35"/>
      <c r="AY10" s="34">
        <v>-2.9197000000000001E-2</v>
      </c>
      <c r="AZ10" s="35"/>
    </row>
    <row r="11" spans="1:52" x14ac:dyDescent="0.25">
      <c r="A11" s="10" t="s">
        <v>1313</v>
      </c>
      <c r="B11" s="10"/>
      <c r="C11" s="32">
        <v>-42.62294</v>
      </c>
      <c r="D11" s="33">
        <v>1</v>
      </c>
      <c r="E11" s="32">
        <v>-36.695839999999997</v>
      </c>
      <c r="F11" s="33">
        <v>1</v>
      </c>
      <c r="G11" s="32">
        <v>-39.171114000000003</v>
      </c>
      <c r="H11" s="33">
        <v>1</v>
      </c>
      <c r="I11" s="32">
        <v>-36.376235999999999</v>
      </c>
      <c r="J11" s="33">
        <v>1</v>
      </c>
      <c r="K11" s="32">
        <v>-41.768659</v>
      </c>
      <c r="L11" s="33">
        <v>1</v>
      </c>
      <c r="M11" s="32">
        <v>-49.085523999999999</v>
      </c>
      <c r="N11" s="33">
        <v>1</v>
      </c>
      <c r="O11" s="32">
        <v>-64.872316999999995</v>
      </c>
      <c r="P11" s="33">
        <v>1</v>
      </c>
      <c r="Q11" s="32">
        <v>-55.936453999999998</v>
      </c>
      <c r="R11" s="33">
        <v>1</v>
      </c>
      <c r="S11" s="32">
        <v>-61.333336000000003</v>
      </c>
      <c r="T11" s="33">
        <v>1</v>
      </c>
      <c r="U11" s="32">
        <v>-53.218693000000002</v>
      </c>
      <c r="V11" s="33">
        <v>1</v>
      </c>
      <c r="W11" s="32">
        <v>-69.141053999999997</v>
      </c>
      <c r="X11" s="33">
        <v>1</v>
      </c>
      <c r="Y11" s="32">
        <v>-77.323824000000002</v>
      </c>
      <c r="Z11" s="33">
        <v>1</v>
      </c>
      <c r="AA11" s="32">
        <v>-86.004553999999999</v>
      </c>
      <c r="AB11" s="33">
        <v>1</v>
      </c>
      <c r="AC11" s="32">
        <v>-72.662000000000006</v>
      </c>
      <c r="AD11" s="33">
        <v>1</v>
      </c>
      <c r="AE11" s="32">
        <v>-87.923000000000002</v>
      </c>
      <c r="AF11" s="33">
        <v>1</v>
      </c>
      <c r="AG11" s="32">
        <v>-55.628999999999998</v>
      </c>
      <c r="AH11" s="33">
        <v>1</v>
      </c>
      <c r="AI11" s="32">
        <v>-4.7412000000000003E-2</v>
      </c>
      <c r="AJ11" s="33">
        <v>1</v>
      </c>
      <c r="AK11" s="32">
        <v>-48.392000000000003</v>
      </c>
      <c r="AL11" s="33">
        <v>1</v>
      </c>
      <c r="AM11" s="32">
        <v>-4.7178999999999999E-2</v>
      </c>
      <c r="AN11" s="33">
        <v>1</v>
      </c>
      <c r="AO11" s="32">
        <v>-29.713000000000001</v>
      </c>
      <c r="AP11" s="33">
        <v>1</v>
      </c>
      <c r="AQ11" s="32">
        <v>-3.4097000000000002E-2</v>
      </c>
      <c r="AR11" s="33">
        <v>1</v>
      </c>
      <c r="AS11" s="32">
        <v>-20.952000000000002</v>
      </c>
      <c r="AT11" s="33">
        <v>1</v>
      </c>
      <c r="AU11" s="32">
        <v>-27.722999999999999</v>
      </c>
      <c r="AV11" s="33">
        <v>1</v>
      </c>
      <c r="AW11" s="32">
        <v>-38.848999999999997</v>
      </c>
      <c r="AX11" s="33">
        <v>1</v>
      </c>
      <c r="AY11" s="32">
        <v>-2.9197000000000001E-2</v>
      </c>
      <c r="AZ11" s="33">
        <v>1</v>
      </c>
    </row>
    <row r="12" spans="1:52" x14ac:dyDescent="0.25">
      <c r="A12" s="6" t="s">
        <v>1178</v>
      </c>
      <c r="B12" s="6"/>
      <c r="C12" s="34">
        <v>0</v>
      </c>
      <c r="D12" s="35"/>
      <c r="E12" s="34">
        <v>0</v>
      </c>
      <c r="F12" s="35"/>
      <c r="G12" s="34">
        <v>0</v>
      </c>
      <c r="H12" s="35"/>
      <c r="I12" s="34">
        <v>0</v>
      </c>
      <c r="J12" s="35"/>
      <c r="K12" s="34">
        <v>0</v>
      </c>
      <c r="L12" s="35"/>
      <c r="M12" s="34" t="s">
        <v>76</v>
      </c>
      <c r="N12" s="35"/>
      <c r="O12" s="34">
        <v>0</v>
      </c>
      <c r="P12" s="35"/>
      <c r="Q12" s="34">
        <v>0</v>
      </c>
      <c r="R12" s="35"/>
      <c r="S12" s="34">
        <v>0</v>
      </c>
      <c r="T12" s="35"/>
      <c r="U12" s="34" t="s">
        <v>76</v>
      </c>
      <c r="V12" s="35"/>
      <c r="W12" s="34" t="s">
        <v>76</v>
      </c>
      <c r="X12" s="35"/>
      <c r="Y12" s="34" t="s">
        <v>76</v>
      </c>
      <c r="Z12" s="35"/>
      <c r="AA12" s="34">
        <v>0</v>
      </c>
      <c r="AB12" s="35"/>
      <c r="AC12" s="34" t="s">
        <v>76</v>
      </c>
      <c r="AD12" s="35"/>
      <c r="AE12" s="34" t="s">
        <v>76</v>
      </c>
      <c r="AF12" s="35"/>
      <c r="AG12" s="34" t="s">
        <v>76</v>
      </c>
      <c r="AH12" s="35"/>
      <c r="AI12" s="34">
        <v>0</v>
      </c>
      <c r="AJ12" s="35"/>
      <c r="AK12" s="34" t="s">
        <v>76</v>
      </c>
      <c r="AL12" s="35"/>
      <c r="AM12" s="34" t="s">
        <v>76</v>
      </c>
      <c r="AN12" s="35"/>
      <c r="AO12" s="34" t="s">
        <v>76</v>
      </c>
      <c r="AP12" s="35"/>
      <c r="AQ12" s="34">
        <v>0</v>
      </c>
      <c r="AR12" s="35"/>
      <c r="AS12" s="34" t="s">
        <v>76</v>
      </c>
      <c r="AT12" s="35"/>
      <c r="AU12" s="34" t="s">
        <v>76</v>
      </c>
      <c r="AV12" s="35"/>
      <c r="AW12" s="34" t="s">
        <v>76</v>
      </c>
      <c r="AX12" s="35"/>
      <c r="AY12" s="34">
        <v>0</v>
      </c>
      <c r="AZ12" s="35"/>
    </row>
    <row r="13" spans="1:52" x14ac:dyDescent="0.25">
      <c r="A13" s="10" t="s">
        <v>1313</v>
      </c>
      <c r="B13" s="10"/>
      <c r="C13" s="32">
        <v>0</v>
      </c>
      <c r="D13" s="33"/>
      <c r="E13" s="32">
        <v>0</v>
      </c>
      <c r="F13" s="33"/>
      <c r="G13" s="32">
        <v>0</v>
      </c>
      <c r="H13" s="33"/>
      <c r="I13" s="32">
        <v>0</v>
      </c>
      <c r="J13" s="33"/>
      <c r="K13" s="32">
        <v>0</v>
      </c>
      <c r="L13" s="33"/>
      <c r="M13" s="32" t="s">
        <v>76</v>
      </c>
      <c r="N13" s="33"/>
      <c r="O13" s="32">
        <v>0</v>
      </c>
      <c r="P13" s="33"/>
      <c r="Q13" s="32">
        <v>0</v>
      </c>
      <c r="R13" s="33"/>
      <c r="S13" s="32">
        <v>0</v>
      </c>
      <c r="T13" s="33"/>
      <c r="U13" s="32" t="s">
        <v>76</v>
      </c>
      <c r="V13" s="33"/>
      <c r="W13" s="32" t="s">
        <v>76</v>
      </c>
      <c r="X13" s="33"/>
      <c r="Y13" s="32" t="s">
        <v>76</v>
      </c>
      <c r="Z13" s="33"/>
      <c r="AA13" s="32">
        <v>0</v>
      </c>
      <c r="AB13" s="33"/>
      <c r="AC13" s="32" t="s">
        <v>76</v>
      </c>
      <c r="AD13" s="33"/>
      <c r="AE13" s="32" t="s">
        <v>76</v>
      </c>
      <c r="AF13" s="33"/>
      <c r="AG13" s="32" t="s">
        <v>76</v>
      </c>
      <c r="AH13" s="33"/>
      <c r="AI13" s="32">
        <v>0</v>
      </c>
      <c r="AJ13" s="33"/>
      <c r="AK13" s="32" t="s">
        <v>76</v>
      </c>
      <c r="AL13" s="33"/>
      <c r="AM13" s="32" t="s">
        <v>76</v>
      </c>
      <c r="AN13" s="33"/>
      <c r="AO13" s="32" t="s">
        <v>76</v>
      </c>
      <c r="AP13" s="33"/>
      <c r="AQ13" s="32">
        <v>0</v>
      </c>
      <c r="AR13" s="33"/>
      <c r="AS13" s="32" t="s">
        <v>76</v>
      </c>
      <c r="AT13" s="33"/>
      <c r="AU13" s="32" t="s">
        <v>76</v>
      </c>
      <c r="AV13" s="33"/>
      <c r="AW13" s="32" t="s">
        <v>76</v>
      </c>
      <c r="AX13" s="33"/>
      <c r="AY13" s="32">
        <v>0</v>
      </c>
      <c r="AZ13" s="33"/>
    </row>
    <row r="14" spans="1:52" x14ac:dyDescent="0.25">
      <c r="A14" s="6" t="s">
        <v>401</v>
      </c>
      <c r="B14" s="6"/>
      <c r="C14" s="34">
        <v>1.8749039999999999</v>
      </c>
      <c r="D14" s="35">
        <v>1</v>
      </c>
      <c r="E14" s="34">
        <v>1.860077</v>
      </c>
      <c r="F14" s="35">
        <v>1</v>
      </c>
      <c r="G14" s="34">
        <v>1.7315499999999999</v>
      </c>
      <c r="H14" s="35">
        <v>1</v>
      </c>
      <c r="I14" s="34">
        <v>1.5138370000000001</v>
      </c>
      <c r="J14" s="35">
        <v>1</v>
      </c>
      <c r="K14" s="34">
        <v>1.185808</v>
      </c>
      <c r="L14" s="35">
        <v>1</v>
      </c>
      <c r="M14" s="34">
        <v>1.6782029999999999</v>
      </c>
      <c r="N14" s="35">
        <v>1</v>
      </c>
      <c r="O14" s="34">
        <v>1.160059</v>
      </c>
      <c r="P14" s="35">
        <v>1</v>
      </c>
      <c r="Q14" s="34">
        <v>0.75282899999999997</v>
      </c>
      <c r="R14" s="35">
        <v>1</v>
      </c>
      <c r="S14" s="34">
        <v>0.64439000000000002</v>
      </c>
      <c r="T14" s="35">
        <v>1</v>
      </c>
      <c r="U14" s="34">
        <v>0.48375000000000001</v>
      </c>
      <c r="V14" s="35">
        <v>1</v>
      </c>
      <c r="W14" s="34">
        <v>0.42102800000000001</v>
      </c>
      <c r="X14" s="35">
        <v>1</v>
      </c>
      <c r="Y14" s="34">
        <v>0.39269500000000002</v>
      </c>
      <c r="Z14" s="35">
        <v>1</v>
      </c>
      <c r="AA14" s="34">
        <v>0.270617</v>
      </c>
      <c r="AB14" s="35">
        <v>1</v>
      </c>
      <c r="AC14" s="34">
        <v>0.54800000000000004</v>
      </c>
      <c r="AD14" s="35">
        <v>1</v>
      </c>
      <c r="AE14" s="34">
        <v>1.32</v>
      </c>
      <c r="AF14" s="35">
        <v>1</v>
      </c>
      <c r="AG14" s="34">
        <v>2.1219999999999999</v>
      </c>
      <c r="AH14" s="35">
        <v>1</v>
      </c>
      <c r="AI14" s="34">
        <v>3.3860000000000001E-3</v>
      </c>
      <c r="AJ14" s="35">
        <v>1</v>
      </c>
      <c r="AK14" s="34">
        <v>4.3490000000000002</v>
      </c>
      <c r="AL14" s="35">
        <v>1</v>
      </c>
      <c r="AM14" s="34">
        <v>4.5300000000000002E-3</v>
      </c>
      <c r="AN14" s="35">
        <v>1</v>
      </c>
      <c r="AO14" s="34">
        <v>5.4980000000000002</v>
      </c>
      <c r="AP14" s="35">
        <v>1</v>
      </c>
      <c r="AQ14" s="34">
        <v>5.9659999999999999E-3</v>
      </c>
      <c r="AR14" s="35">
        <v>1</v>
      </c>
      <c r="AS14" s="34">
        <v>6.0640000000000001</v>
      </c>
      <c r="AT14" s="35">
        <v>1</v>
      </c>
      <c r="AU14" s="34">
        <v>11.56</v>
      </c>
      <c r="AV14" s="35">
        <v>1</v>
      </c>
      <c r="AW14" s="34">
        <v>12.898999999999999</v>
      </c>
      <c r="AX14" s="35">
        <v>1</v>
      </c>
      <c r="AY14" s="34">
        <v>1.1995E-2</v>
      </c>
      <c r="AZ14" s="35">
        <v>1</v>
      </c>
    </row>
    <row r="15" spans="1:52" x14ac:dyDescent="0.25">
      <c r="A15" s="10" t="s">
        <v>1313</v>
      </c>
      <c r="B15" s="10"/>
      <c r="C15" s="32">
        <v>1.8749039999999999</v>
      </c>
      <c r="D15" s="33">
        <v>1</v>
      </c>
      <c r="E15" s="32">
        <v>1.860077</v>
      </c>
      <c r="F15" s="33">
        <v>1</v>
      </c>
      <c r="G15" s="32">
        <v>1.7315499999999999</v>
      </c>
      <c r="H15" s="33">
        <v>1</v>
      </c>
      <c r="I15" s="32">
        <v>1.5138370000000001</v>
      </c>
      <c r="J15" s="33">
        <v>1</v>
      </c>
      <c r="K15" s="32">
        <v>1.185808</v>
      </c>
      <c r="L15" s="33">
        <v>1</v>
      </c>
      <c r="M15" s="32">
        <v>1.6782029999999999</v>
      </c>
      <c r="N15" s="33">
        <v>1</v>
      </c>
      <c r="O15" s="32">
        <v>1.160059</v>
      </c>
      <c r="P15" s="33">
        <v>1</v>
      </c>
      <c r="Q15" s="32">
        <v>0.75282899999999997</v>
      </c>
      <c r="R15" s="33">
        <v>1</v>
      </c>
      <c r="S15" s="32">
        <v>0.64439000000000002</v>
      </c>
      <c r="T15" s="33">
        <v>1</v>
      </c>
      <c r="U15" s="32">
        <v>0.48375000000000001</v>
      </c>
      <c r="V15" s="33">
        <v>1</v>
      </c>
      <c r="W15" s="32">
        <v>0.42102800000000001</v>
      </c>
      <c r="X15" s="33">
        <v>1</v>
      </c>
      <c r="Y15" s="32">
        <v>0.39269500000000002</v>
      </c>
      <c r="Z15" s="33">
        <v>1</v>
      </c>
      <c r="AA15" s="32">
        <v>0.270617</v>
      </c>
      <c r="AB15" s="33">
        <v>1</v>
      </c>
      <c r="AC15" s="32">
        <v>0.54800000000000004</v>
      </c>
      <c r="AD15" s="33">
        <v>1</v>
      </c>
      <c r="AE15" s="32">
        <v>1.32</v>
      </c>
      <c r="AF15" s="33">
        <v>1</v>
      </c>
      <c r="AG15" s="32">
        <v>2.1219999999999999</v>
      </c>
      <c r="AH15" s="33">
        <v>1</v>
      </c>
      <c r="AI15" s="32">
        <v>3.3860000000000001E-3</v>
      </c>
      <c r="AJ15" s="33">
        <v>1</v>
      </c>
      <c r="AK15" s="32">
        <v>4.3490000000000002</v>
      </c>
      <c r="AL15" s="33">
        <v>1</v>
      </c>
      <c r="AM15" s="32">
        <v>4.5300000000000002E-3</v>
      </c>
      <c r="AN15" s="33">
        <v>1</v>
      </c>
      <c r="AO15" s="32">
        <v>5.4980000000000002</v>
      </c>
      <c r="AP15" s="33">
        <v>1</v>
      </c>
      <c r="AQ15" s="32">
        <v>5.9659999999999999E-3</v>
      </c>
      <c r="AR15" s="33">
        <v>1</v>
      </c>
      <c r="AS15" s="32">
        <v>6.0640000000000001</v>
      </c>
      <c r="AT15" s="33">
        <v>1</v>
      </c>
      <c r="AU15" s="32">
        <v>11.56</v>
      </c>
      <c r="AV15" s="33">
        <v>1</v>
      </c>
      <c r="AW15" s="32">
        <v>12.898999999999999</v>
      </c>
      <c r="AX15" s="33">
        <v>1</v>
      </c>
      <c r="AY15" s="32">
        <v>1.1995E-2</v>
      </c>
      <c r="AZ15" s="33">
        <v>1</v>
      </c>
    </row>
    <row r="16" spans="1:52" x14ac:dyDescent="0.25">
      <c r="A16" s="6" t="s">
        <v>377</v>
      </c>
      <c r="B16" s="6"/>
      <c r="C16" s="34">
        <v>-40.748035999999999</v>
      </c>
      <c r="D16" s="35"/>
      <c r="E16" s="34">
        <v>-34.835763</v>
      </c>
      <c r="F16" s="35"/>
      <c r="G16" s="34">
        <v>-37.439563999999997</v>
      </c>
      <c r="H16" s="35"/>
      <c r="I16" s="34">
        <v>-34.862399000000003</v>
      </c>
      <c r="J16" s="35"/>
      <c r="K16" s="34">
        <v>-40.582850999999998</v>
      </c>
      <c r="L16" s="35"/>
      <c r="M16" s="34">
        <v>-47.407321000000003</v>
      </c>
      <c r="N16" s="35"/>
      <c r="O16" s="34">
        <v>-63.712257999999999</v>
      </c>
      <c r="P16" s="35"/>
      <c r="Q16" s="34">
        <v>-55.183624999999999</v>
      </c>
      <c r="R16" s="35"/>
      <c r="S16" s="34">
        <v>-60.688946000000001</v>
      </c>
      <c r="T16" s="35"/>
      <c r="U16" s="34">
        <v>-52.734943000000001</v>
      </c>
      <c r="V16" s="35"/>
      <c r="W16" s="34">
        <v>-68.720026000000004</v>
      </c>
      <c r="X16" s="35"/>
      <c r="Y16" s="34">
        <v>-76.931128999999999</v>
      </c>
      <c r="Z16" s="35"/>
      <c r="AA16" s="34">
        <v>-85.733936999999997</v>
      </c>
      <c r="AB16" s="35"/>
      <c r="AC16" s="34">
        <v>-72.114000000000004</v>
      </c>
      <c r="AD16" s="35"/>
      <c r="AE16" s="34">
        <v>-86.602999999999994</v>
      </c>
      <c r="AF16" s="35"/>
      <c r="AG16" s="34">
        <v>-53.506999999999998</v>
      </c>
      <c r="AH16" s="35"/>
      <c r="AI16" s="34">
        <v>-4.4026000000000003E-2</v>
      </c>
      <c r="AJ16" s="35"/>
      <c r="AK16" s="34">
        <v>-44.042999999999999</v>
      </c>
      <c r="AL16" s="35"/>
      <c r="AM16" s="34">
        <v>-4.2648999999999999E-2</v>
      </c>
      <c r="AN16" s="35"/>
      <c r="AO16" s="34">
        <v>-24.215</v>
      </c>
      <c r="AP16" s="35"/>
      <c r="AQ16" s="34">
        <v>-2.8131E-2</v>
      </c>
      <c r="AR16" s="35"/>
      <c r="AS16" s="34">
        <v>-14.888</v>
      </c>
      <c r="AT16" s="35"/>
      <c r="AU16" s="34">
        <v>-16.163</v>
      </c>
      <c r="AV16" s="35"/>
      <c r="AW16" s="34">
        <v>-25.95</v>
      </c>
      <c r="AX16" s="35"/>
      <c r="AY16" s="34">
        <v>-1.7201999999999999E-2</v>
      </c>
      <c r="AZ16" s="35"/>
    </row>
    <row r="17" spans="1:52" x14ac:dyDescent="0.25">
      <c r="A17" s="10" t="s">
        <v>1313</v>
      </c>
      <c r="B17" s="10"/>
      <c r="C17" s="32">
        <v>-40.748035999999999</v>
      </c>
      <c r="D17" s="33">
        <v>1</v>
      </c>
      <c r="E17" s="32">
        <v>-34.835763</v>
      </c>
      <c r="F17" s="33">
        <v>1</v>
      </c>
      <c r="G17" s="32">
        <v>-37.439563999999997</v>
      </c>
      <c r="H17" s="33">
        <v>1</v>
      </c>
      <c r="I17" s="32">
        <v>-34.862399000000003</v>
      </c>
      <c r="J17" s="33">
        <v>1</v>
      </c>
      <c r="K17" s="32">
        <v>-40.582850999999998</v>
      </c>
      <c r="L17" s="33">
        <v>1</v>
      </c>
      <c r="M17" s="32">
        <v>-47.407321000000003</v>
      </c>
      <c r="N17" s="33">
        <v>1</v>
      </c>
      <c r="O17" s="32">
        <v>-63.712257999999999</v>
      </c>
      <c r="P17" s="33">
        <v>1</v>
      </c>
      <c r="Q17" s="32">
        <v>-55.183624999999999</v>
      </c>
      <c r="R17" s="33">
        <v>1</v>
      </c>
      <c r="S17" s="32">
        <v>-60.688946000000001</v>
      </c>
      <c r="T17" s="33">
        <v>1</v>
      </c>
      <c r="U17" s="32">
        <v>-52.734943000000001</v>
      </c>
      <c r="V17" s="33">
        <v>1</v>
      </c>
      <c r="W17" s="32">
        <v>-68.720026000000004</v>
      </c>
      <c r="X17" s="33">
        <v>1</v>
      </c>
      <c r="Y17" s="32">
        <v>-76.931128999999999</v>
      </c>
      <c r="Z17" s="33">
        <v>1</v>
      </c>
      <c r="AA17" s="32">
        <v>-85.733936999999997</v>
      </c>
      <c r="AB17" s="33">
        <v>1</v>
      </c>
      <c r="AC17" s="32">
        <v>-72.114000000000004</v>
      </c>
      <c r="AD17" s="33">
        <v>1</v>
      </c>
      <c r="AE17" s="32">
        <v>-86.602999999999994</v>
      </c>
      <c r="AF17" s="33">
        <v>1</v>
      </c>
      <c r="AG17" s="32">
        <v>-53.506999999999998</v>
      </c>
      <c r="AH17" s="33">
        <v>1</v>
      </c>
      <c r="AI17" s="32">
        <v>-4.4026000000000003E-2</v>
      </c>
      <c r="AJ17" s="33">
        <v>1</v>
      </c>
      <c r="AK17" s="32">
        <v>-44.042999999999999</v>
      </c>
      <c r="AL17" s="33">
        <v>1</v>
      </c>
      <c r="AM17" s="32">
        <v>-4.2648999999999999E-2</v>
      </c>
      <c r="AN17" s="33">
        <v>1</v>
      </c>
      <c r="AO17" s="32">
        <v>-24.215</v>
      </c>
      <c r="AP17" s="33">
        <v>1</v>
      </c>
      <c r="AQ17" s="32">
        <v>-2.8131E-2</v>
      </c>
      <c r="AR17" s="33">
        <v>1</v>
      </c>
      <c r="AS17" s="32">
        <v>-14.888</v>
      </c>
      <c r="AT17" s="33">
        <v>1</v>
      </c>
      <c r="AU17" s="32">
        <v>-16.163</v>
      </c>
      <c r="AV17" s="33">
        <v>1</v>
      </c>
      <c r="AW17" s="32">
        <v>-25.95</v>
      </c>
      <c r="AX17" s="33">
        <v>1</v>
      </c>
      <c r="AY17" s="32">
        <v>-1.7201999999999999E-2</v>
      </c>
      <c r="AZ17" s="33">
        <v>1</v>
      </c>
    </row>
    <row r="18" spans="1:52" x14ac:dyDescent="0.25">
      <c r="A18" s="6" t="s">
        <v>1305</v>
      </c>
      <c r="B18" s="6"/>
      <c r="C18" s="34">
        <v>0</v>
      </c>
      <c r="D18" s="35"/>
      <c r="E18" s="34">
        <v>0</v>
      </c>
      <c r="F18" s="35"/>
      <c r="G18" s="34">
        <v>1.6000000000000001E-3</v>
      </c>
      <c r="H18" s="35">
        <v>1</v>
      </c>
      <c r="I18" s="34">
        <v>0</v>
      </c>
      <c r="J18" s="35"/>
      <c r="K18" s="34">
        <v>0</v>
      </c>
      <c r="L18" s="35"/>
      <c r="M18" s="34">
        <v>3.2810000000000001E-3</v>
      </c>
      <c r="N18" s="35">
        <v>1</v>
      </c>
      <c r="O18" s="34">
        <v>0</v>
      </c>
      <c r="P18" s="35"/>
      <c r="Q18" s="34">
        <v>0</v>
      </c>
      <c r="R18" s="35"/>
      <c r="S18" s="34">
        <v>1.0232E-2</v>
      </c>
      <c r="T18" s="35">
        <v>1</v>
      </c>
      <c r="U18" s="34">
        <v>5.0000000000000001E-3</v>
      </c>
      <c r="V18" s="35">
        <v>1</v>
      </c>
      <c r="W18" s="34">
        <v>2.3755999999999999E-2</v>
      </c>
      <c r="X18" s="35">
        <v>1</v>
      </c>
      <c r="Y18" s="34">
        <v>-2.3125E-2</v>
      </c>
      <c r="Z18" s="35"/>
      <c r="AA18" s="34">
        <v>0</v>
      </c>
      <c r="AB18" s="35"/>
      <c r="AC18" s="34">
        <v>5.0000000000000001E-3</v>
      </c>
      <c r="AD18" s="35">
        <v>1</v>
      </c>
      <c r="AE18" s="34">
        <v>0</v>
      </c>
      <c r="AF18" s="35"/>
      <c r="AG18" s="34">
        <v>1E-3</v>
      </c>
      <c r="AH18" s="35">
        <v>1</v>
      </c>
      <c r="AI18" s="34">
        <v>0</v>
      </c>
      <c r="AJ18" s="35"/>
      <c r="AK18" s="34">
        <v>0.01</v>
      </c>
      <c r="AL18" s="35">
        <v>1</v>
      </c>
      <c r="AM18" s="34">
        <v>1.35E-4</v>
      </c>
      <c r="AN18" s="35">
        <v>1</v>
      </c>
      <c r="AO18" s="34">
        <v>4.2999999999999997E-2</v>
      </c>
      <c r="AP18" s="35">
        <v>1</v>
      </c>
      <c r="AQ18" s="34">
        <v>4.4799999999999999E-4</v>
      </c>
      <c r="AR18" s="35">
        <v>1</v>
      </c>
      <c r="AS18" s="34">
        <v>0.35899999999999999</v>
      </c>
      <c r="AT18" s="35">
        <v>1</v>
      </c>
      <c r="AU18" s="34">
        <v>5.7000000000000002E-2</v>
      </c>
      <c r="AV18" s="35">
        <v>1</v>
      </c>
      <c r="AW18" s="34">
        <v>0.374</v>
      </c>
      <c r="AX18" s="35">
        <v>1</v>
      </c>
      <c r="AY18" s="34">
        <v>-3.1700000000000001E-4</v>
      </c>
      <c r="AZ18" s="35"/>
    </row>
    <row r="19" spans="1:52" x14ac:dyDescent="0.25">
      <c r="A19" s="10" t="s">
        <v>1313</v>
      </c>
      <c r="B19" s="10"/>
      <c r="C19" s="32">
        <v>0</v>
      </c>
      <c r="D19" s="33"/>
      <c r="E19" s="32">
        <v>0</v>
      </c>
      <c r="F19" s="33"/>
      <c r="G19" s="32">
        <v>1.6000000000000001E-3</v>
      </c>
      <c r="H19" s="33">
        <v>1</v>
      </c>
      <c r="I19" s="32">
        <v>0</v>
      </c>
      <c r="J19" s="33"/>
      <c r="K19" s="32">
        <v>0</v>
      </c>
      <c r="L19" s="33"/>
      <c r="M19" s="32">
        <v>3.2810000000000001E-3</v>
      </c>
      <c r="N19" s="33">
        <v>1</v>
      </c>
      <c r="O19" s="32">
        <v>0</v>
      </c>
      <c r="P19" s="33"/>
      <c r="Q19" s="32">
        <v>0</v>
      </c>
      <c r="R19" s="33"/>
      <c r="S19" s="32">
        <v>1.0232E-2</v>
      </c>
      <c r="T19" s="33">
        <v>1</v>
      </c>
      <c r="U19" s="32">
        <v>5.0000000000000001E-3</v>
      </c>
      <c r="V19" s="33">
        <v>1</v>
      </c>
      <c r="W19" s="32">
        <v>2.3755999999999999E-2</v>
      </c>
      <c r="X19" s="33">
        <v>1</v>
      </c>
      <c r="Y19" s="32">
        <v>-2.3125E-2</v>
      </c>
      <c r="Z19" s="33">
        <v>1</v>
      </c>
      <c r="AA19" s="32">
        <v>0</v>
      </c>
      <c r="AB19" s="33"/>
      <c r="AC19" s="32">
        <v>5.0000000000000001E-3</v>
      </c>
      <c r="AD19" s="33">
        <v>1</v>
      </c>
      <c r="AE19" s="32">
        <v>0</v>
      </c>
      <c r="AF19" s="33"/>
      <c r="AG19" s="32">
        <v>1E-3</v>
      </c>
      <c r="AH19" s="33">
        <v>1</v>
      </c>
      <c r="AI19" s="32">
        <v>0</v>
      </c>
      <c r="AJ19" s="33"/>
      <c r="AK19" s="32">
        <v>0.01</v>
      </c>
      <c r="AL19" s="33">
        <v>1</v>
      </c>
      <c r="AM19" s="32">
        <v>1.35E-4</v>
      </c>
      <c r="AN19" s="33">
        <v>1</v>
      </c>
      <c r="AO19" s="32">
        <v>4.2999999999999997E-2</v>
      </c>
      <c r="AP19" s="33">
        <v>1</v>
      </c>
      <c r="AQ19" s="32">
        <v>4.4799999999999999E-4</v>
      </c>
      <c r="AR19" s="33">
        <v>1</v>
      </c>
      <c r="AS19" s="32">
        <v>0.35899999999999999</v>
      </c>
      <c r="AT19" s="33">
        <v>1</v>
      </c>
      <c r="AU19" s="32">
        <v>5.7000000000000002E-2</v>
      </c>
      <c r="AV19" s="33">
        <v>1</v>
      </c>
      <c r="AW19" s="32">
        <v>0.374</v>
      </c>
      <c r="AX19" s="33">
        <v>1</v>
      </c>
      <c r="AY19" s="32">
        <v>-3.1700000000000001E-4</v>
      </c>
      <c r="AZ19" s="33">
        <v>1</v>
      </c>
    </row>
    <row r="20" spans="1:52" x14ac:dyDescent="0.25">
      <c r="A20" s="6" t="s">
        <v>158</v>
      </c>
      <c r="B20" s="6"/>
      <c r="C20" s="34">
        <v>-40.748035999999999</v>
      </c>
      <c r="D20" s="35"/>
      <c r="E20" s="34">
        <v>-34.835763</v>
      </c>
      <c r="F20" s="35"/>
      <c r="G20" s="34">
        <v>-37.441164000000001</v>
      </c>
      <c r="H20" s="35"/>
      <c r="I20" s="34">
        <v>-34.862399000000003</v>
      </c>
      <c r="J20" s="35"/>
      <c r="K20" s="34">
        <v>-40.582850999999998</v>
      </c>
      <c r="L20" s="35"/>
      <c r="M20" s="34">
        <v>-47.410601999999997</v>
      </c>
      <c r="N20" s="35"/>
      <c r="O20" s="34">
        <v>-63.712257999999999</v>
      </c>
      <c r="P20" s="35"/>
      <c r="Q20" s="34">
        <v>-55.183624999999999</v>
      </c>
      <c r="R20" s="35"/>
      <c r="S20" s="34">
        <v>-60.699178000000003</v>
      </c>
      <c r="T20" s="35"/>
      <c r="U20" s="34">
        <v>-52.739942999999997</v>
      </c>
      <c r="V20" s="35"/>
      <c r="W20" s="34">
        <v>-68.743781999999996</v>
      </c>
      <c r="X20" s="35"/>
      <c r="Y20" s="34">
        <v>-76.908004000000005</v>
      </c>
      <c r="Z20" s="35"/>
      <c r="AA20" s="34">
        <v>-85.733936999999997</v>
      </c>
      <c r="AB20" s="35"/>
      <c r="AC20" s="34">
        <v>-72.119</v>
      </c>
      <c r="AD20" s="35"/>
      <c r="AE20" s="34">
        <v>-86.602999999999994</v>
      </c>
      <c r="AF20" s="35"/>
      <c r="AG20" s="34">
        <v>-53.508000000000003</v>
      </c>
      <c r="AH20" s="35"/>
      <c r="AI20" s="34">
        <v>-4.4026000000000003E-2</v>
      </c>
      <c r="AJ20" s="35"/>
      <c r="AK20" s="34">
        <v>-44.052999999999997</v>
      </c>
      <c r="AL20" s="35"/>
      <c r="AM20" s="34">
        <v>-4.2784000000000003E-2</v>
      </c>
      <c r="AN20" s="35"/>
      <c r="AO20" s="34">
        <v>-24.257999999999999</v>
      </c>
      <c r="AP20" s="35"/>
      <c r="AQ20" s="34">
        <v>-2.8579E-2</v>
      </c>
      <c r="AR20" s="35"/>
      <c r="AS20" s="34">
        <v>-15.247</v>
      </c>
      <c r="AT20" s="35"/>
      <c r="AU20" s="34">
        <v>-16.22</v>
      </c>
      <c r="AV20" s="35"/>
      <c r="AW20" s="34">
        <v>-26.324000000000002</v>
      </c>
      <c r="AX20" s="35"/>
      <c r="AY20" s="34">
        <v>-1.6885000000000001E-2</v>
      </c>
      <c r="AZ20" s="35"/>
    </row>
    <row r="21" spans="1:52" x14ac:dyDescent="0.25">
      <c r="A21" s="10" t="s">
        <v>1313</v>
      </c>
      <c r="B21" s="10"/>
      <c r="C21" s="32">
        <v>-40.748035999999999</v>
      </c>
      <c r="D21" s="33">
        <v>1</v>
      </c>
      <c r="E21" s="32">
        <v>-34.835763</v>
      </c>
      <c r="F21" s="33">
        <v>1</v>
      </c>
      <c r="G21" s="32">
        <v>-37.441164000000001</v>
      </c>
      <c r="H21" s="33">
        <v>1</v>
      </c>
      <c r="I21" s="32">
        <v>-34.862399000000003</v>
      </c>
      <c r="J21" s="33">
        <v>1</v>
      </c>
      <c r="K21" s="32">
        <v>-40.582850999999998</v>
      </c>
      <c r="L21" s="33">
        <v>1</v>
      </c>
      <c r="M21" s="32">
        <v>-47.410601999999997</v>
      </c>
      <c r="N21" s="33">
        <v>1</v>
      </c>
      <c r="O21" s="32">
        <v>-63.712257999999999</v>
      </c>
      <c r="P21" s="33">
        <v>1</v>
      </c>
      <c r="Q21" s="32">
        <v>-55.183624999999999</v>
      </c>
      <c r="R21" s="33">
        <v>1</v>
      </c>
      <c r="S21" s="32">
        <v>-60.699178000000003</v>
      </c>
      <c r="T21" s="33">
        <v>1</v>
      </c>
      <c r="U21" s="32">
        <v>-52.739942999999997</v>
      </c>
      <c r="V21" s="33">
        <v>1</v>
      </c>
      <c r="W21" s="32">
        <v>-68.743781999999996</v>
      </c>
      <c r="X21" s="33">
        <v>1</v>
      </c>
      <c r="Y21" s="32">
        <v>-76.908004000000005</v>
      </c>
      <c r="Z21" s="33">
        <v>1</v>
      </c>
      <c r="AA21" s="32">
        <v>-85.733936999999997</v>
      </c>
      <c r="AB21" s="33">
        <v>1</v>
      </c>
      <c r="AC21" s="32">
        <v>-72.119</v>
      </c>
      <c r="AD21" s="33">
        <v>1</v>
      </c>
      <c r="AE21" s="32">
        <v>-86.602999999999994</v>
      </c>
      <c r="AF21" s="33">
        <v>1</v>
      </c>
      <c r="AG21" s="32">
        <v>-53.508000000000003</v>
      </c>
      <c r="AH21" s="33">
        <v>1</v>
      </c>
      <c r="AI21" s="32">
        <v>-4.4026000000000003E-2</v>
      </c>
      <c r="AJ21" s="33">
        <v>1</v>
      </c>
      <c r="AK21" s="32">
        <v>-44.052999999999997</v>
      </c>
      <c r="AL21" s="33">
        <v>1</v>
      </c>
      <c r="AM21" s="32">
        <v>-4.2784000000000003E-2</v>
      </c>
      <c r="AN21" s="33">
        <v>1</v>
      </c>
      <c r="AO21" s="32">
        <v>-24.257999999999999</v>
      </c>
      <c r="AP21" s="33">
        <v>1</v>
      </c>
      <c r="AQ21" s="32">
        <v>-2.8579E-2</v>
      </c>
      <c r="AR21" s="33">
        <v>1</v>
      </c>
      <c r="AS21" s="32">
        <v>-15.247</v>
      </c>
      <c r="AT21" s="33">
        <v>1</v>
      </c>
      <c r="AU21" s="32">
        <v>-16.22</v>
      </c>
      <c r="AV21" s="33">
        <v>1</v>
      </c>
      <c r="AW21" s="32">
        <v>-26.324000000000002</v>
      </c>
      <c r="AX21" s="33">
        <v>1</v>
      </c>
      <c r="AY21" s="32">
        <v>-1.6885000000000001E-2</v>
      </c>
      <c r="AZ21" s="33">
        <v>1</v>
      </c>
    </row>
    <row r="22" spans="1:52" x14ac:dyDescent="0.25">
      <c r="A22" s="6" t="s">
        <v>1306</v>
      </c>
      <c r="B22" s="6"/>
      <c r="C22" s="34">
        <v>1.1597660000000001</v>
      </c>
      <c r="D22" s="35">
        <v>1</v>
      </c>
      <c r="E22" s="34">
        <v>21.229886</v>
      </c>
      <c r="F22" s="35">
        <v>1</v>
      </c>
      <c r="G22" s="34">
        <v>20.905415000000001</v>
      </c>
      <c r="H22" s="35">
        <v>1</v>
      </c>
      <c r="I22" s="34">
        <v>20.715411</v>
      </c>
      <c r="J22" s="35">
        <v>1</v>
      </c>
      <c r="K22" s="34">
        <v>20.511814000000001</v>
      </c>
      <c r="L22" s="35">
        <v>1</v>
      </c>
      <c r="M22" s="34">
        <v>20.184132999999999</v>
      </c>
      <c r="N22" s="35">
        <v>1</v>
      </c>
      <c r="O22" s="34">
        <v>22.271362</v>
      </c>
      <c r="P22" s="35">
        <v>1</v>
      </c>
      <c r="Q22" s="34">
        <v>26.341719000000001</v>
      </c>
      <c r="R22" s="35">
        <v>1</v>
      </c>
      <c r="S22" s="34">
        <v>26.323108000000001</v>
      </c>
      <c r="T22" s="35">
        <v>1</v>
      </c>
      <c r="U22" s="34">
        <v>25.302040999999999</v>
      </c>
      <c r="V22" s="35">
        <v>1</v>
      </c>
      <c r="W22" s="34">
        <v>24.307334000000001</v>
      </c>
      <c r="X22" s="35">
        <v>1</v>
      </c>
      <c r="Y22" s="34">
        <v>23.646985000000001</v>
      </c>
      <c r="Z22" s="35">
        <v>1</v>
      </c>
      <c r="AA22" s="34">
        <v>22.555181999999999</v>
      </c>
      <c r="AB22" s="35">
        <v>1</v>
      </c>
      <c r="AC22" s="34">
        <v>20.152000000000001</v>
      </c>
      <c r="AD22" s="35">
        <v>1</v>
      </c>
      <c r="AE22" s="34">
        <v>22.614000000000001</v>
      </c>
      <c r="AF22" s="35">
        <v>1</v>
      </c>
      <c r="AG22" s="34">
        <v>22.157</v>
      </c>
      <c r="AH22" s="35">
        <v>1</v>
      </c>
      <c r="AI22" s="34">
        <v>1.6736999999999998E-2</v>
      </c>
      <c r="AJ22" s="35">
        <v>1</v>
      </c>
      <c r="AK22" s="34">
        <v>15.978</v>
      </c>
      <c r="AL22" s="35">
        <v>1</v>
      </c>
      <c r="AM22" s="34">
        <v>1.5443E-2</v>
      </c>
      <c r="AN22" s="35">
        <v>1</v>
      </c>
      <c r="AO22" s="34">
        <v>15.153</v>
      </c>
      <c r="AP22" s="35">
        <v>1</v>
      </c>
      <c r="AQ22" s="34">
        <v>1.4581999999999999E-2</v>
      </c>
      <c r="AR22" s="35">
        <v>1</v>
      </c>
      <c r="AS22" s="34">
        <v>14.003</v>
      </c>
      <c r="AT22" s="35">
        <v>1</v>
      </c>
      <c r="AU22" s="34">
        <v>15.952</v>
      </c>
      <c r="AV22" s="35">
        <v>1</v>
      </c>
      <c r="AW22" s="34">
        <v>16.015999999999998</v>
      </c>
      <c r="AX22" s="35">
        <v>1</v>
      </c>
      <c r="AY22" s="34">
        <v>1.4896E-2</v>
      </c>
      <c r="AZ22" s="35">
        <v>1</v>
      </c>
    </row>
    <row r="23" spans="1:52" x14ac:dyDescent="0.25">
      <c r="A23" s="10" t="s">
        <v>1313</v>
      </c>
      <c r="B23" s="10"/>
      <c r="C23" s="32">
        <v>1.1597660000000001</v>
      </c>
      <c r="D23" s="33">
        <v>1</v>
      </c>
      <c r="E23" s="32">
        <v>21.229886</v>
      </c>
      <c r="F23" s="33">
        <v>1</v>
      </c>
      <c r="G23" s="32">
        <v>20.905415000000001</v>
      </c>
      <c r="H23" s="33">
        <v>1</v>
      </c>
      <c r="I23" s="32">
        <v>20.715411</v>
      </c>
      <c r="J23" s="33">
        <v>1</v>
      </c>
      <c r="K23" s="32">
        <v>20.511814000000001</v>
      </c>
      <c r="L23" s="33">
        <v>1</v>
      </c>
      <c r="M23" s="32">
        <v>20.184132999999999</v>
      </c>
      <c r="N23" s="33">
        <v>1</v>
      </c>
      <c r="O23" s="32">
        <v>22.271362</v>
      </c>
      <c r="P23" s="33">
        <v>1</v>
      </c>
      <c r="Q23" s="32">
        <v>26.341719000000001</v>
      </c>
      <c r="R23" s="33">
        <v>1</v>
      </c>
      <c r="S23" s="32">
        <v>26.323108000000001</v>
      </c>
      <c r="T23" s="33">
        <v>1</v>
      </c>
      <c r="U23" s="32">
        <v>25.302040999999999</v>
      </c>
      <c r="V23" s="33">
        <v>1</v>
      </c>
      <c r="W23" s="32">
        <v>24.307334000000001</v>
      </c>
      <c r="X23" s="33">
        <v>1</v>
      </c>
      <c r="Y23" s="32">
        <v>23.646985000000001</v>
      </c>
      <c r="Z23" s="33">
        <v>1</v>
      </c>
      <c r="AA23" s="32">
        <v>22.555181999999999</v>
      </c>
      <c r="AB23" s="33">
        <v>1</v>
      </c>
      <c r="AC23" s="32">
        <v>20.152000000000001</v>
      </c>
      <c r="AD23" s="33">
        <v>1</v>
      </c>
      <c r="AE23" s="32">
        <v>22.614000000000001</v>
      </c>
      <c r="AF23" s="33">
        <v>1</v>
      </c>
      <c r="AG23" s="32">
        <v>22.157</v>
      </c>
      <c r="AH23" s="33">
        <v>1</v>
      </c>
      <c r="AI23" s="32">
        <v>1.6736999999999998E-2</v>
      </c>
      <c r="AJ23" s="33">
        <v>1</v>
      </c>
      <c r="AK23" s="32">
        <v>15.978</v>
      </c>
      <c r="AL23" s="33">
        <v>1</v>
      </c>
      <c r="AM23" s="32">
        <v>1.5443E-2</v>
      </c>
      <c r="AN23" s="33">
        <v>1</v>
      </c>
      <c r="AO23" s="32">
        <v>15.153</v>
      </c>
      <c r="AP23" s="33">
        <v>1</v>
      </c>
      <c r="AQ23" s="32">
        <v>1.4581999999999999E-2</v>
      </c>
      <c r="AR23" s="33">
        <v>1</v>
      </c>
      <c r="AS23" s="32">
        <v>14.003</v>
      </c>
      <c r="AT23" s="33">
        <v>1</v>
      </c>
      <c r="AU23" s="32">
        <v>15.952</v>
      </c>
      <c r="AV23" s="33">
        <v>1</v>
      </c>
      <c r="AW23" s="32">
        <v>16.015999999999998</v>
      </c>
      <c r="AX23" s="33">
        <v>1</v>
      </c>
      <c r="AY23" s="32">
        <v>1.4896E-2</v>
      </c>
      <c r="AZ23" s="33">
        <v>1</v>
      </c>
    </row>
    <row r="24" spans="1:52" x14ac:dyDescent="0.25">
      <c r="A24" s="6" t="s">
        <v>1307</v>
      </c>
      <c r="B24" s="6"/>
      <c r="C24" s="34">
        <v>0</v>
      </c>
      <c r="D24" s="35"/>
      <c r="E24" s="34" t="s">
        <v>76</v>
      </c>
      <c r="F24" s="35"/>
      <c r="G24" s="34" t="s">
        <v>76</v>
      </c>
      <c r="H24" s="35"/>
      <c r="I24" s="34">
        <v>0</v>
      </c>
      <c r="J24" s="35"/>
      <c r="K24" s="34">
        <v>0</v>
      </c>
      <c r="L24" s="35"/>
      <c r="M24" s="34" t="s">
        <v>76</v>
      </c>
      <c r="N24" s="35"/>
      <c r="O24" s="34" t="s">
        <v>76</v>
      </c>
      <c r="P24" s="35"/>
      <c r="Q24" s="34" t="s">
        <v>76</v>
      </c>
      <c r="R24" s="35"/>
      <c r="S24" s="34">
        <v>0</v>
      </c>
      <c r="T24" s="35"/>
      <c r="U24" s="34" t="s">
        <v>76</v>
      </c>
      <c r="V24" s="35"/>
      <c r="W24" s="34" t="s">
        <v>76</v>
      </c>
      <c r="X24" s="35"/>
      <c r="Y24" s="34" t="s">
        <v>76</v>
      </c>
      <c r="Z24" s="35"/>
      <c r="AA24" s="34">
        <v>0</v>
      </c>
      <c r="AB24" s="35"/>
      <c r="AC24" s="34" t="s">
        <v>76</v>
      </c>
      <c r="AD24" s="35"/>
      <c r="AE24" s="34" t="s">
        <v>76</v>
      </c>
      <c r="AF24" s="35"/>
      <c r="AG24" s="34" t="s">
        <v>76</v>
      </c>
      <c r="AH24" s="35"/>
      <c r="AI24" s="34">
        <v>0</v>
      </c>
      <c r="AJ24" s="35"/>
      <c r="AK24" s="34" t="s">
        <v>76</v>
      </c>
      <c r="AL24" s="35"/>
      <c r="AM24" s="34" t="s">
        <v>76</v>
      </c>
      <c r="AN24" s="35"/>
      <c r="AO24" s="34" t="s">
        <v>76</v>
      </c>
      <c r="AP24" s="35"/>
      <c r="AQ24" s="34">
        <v>0</v>
      </c>
      <c r="AR24" s="35"/>
      <c r="AS24" s="34" t="s">
        <v>76</v>
      </c>
      <c r="AT24" s="35"/>
      <c r="AU24" s="34" t="s">
        <v>76</v>
      </c>
      <c r="AV24" s="35"/>
      <c r="AW24" s="34" t="s">
        <v>76</v>
      </c>
      <c r="AX24" s="35"/>
      <c r="AY24" s="34">
        <v>0</v>
      </c>
      <c r="AZ24" s="35"/>
    </row>
    <row r="25" spans="1:52" x14ac:dyDescent="0.25">
      <c r="A25" s="10" t="s">
        <v>1313</v>
      </c>
      <c r="B25" s="10"/>
      <c r="C25" s="32">
        <v>0</v>
      </c>
      <c r="D25" s="33"/>
      <c r="E25" s="32" t="s">
        <v>76</v>
      </c>
      <c r="F25" s="33"/>
      <c r="G25" s="32" t="s">
        <v>76</v>
      </c>
      <c r="H25" s="33"/>
      <c r="I25" s="32">
        <v>0</v>
      </c>
      <c r="J25" s="33"/>
      <c r="K25" s="32">
        <v>0</v>
      </c>
      <c r="L25" s="33"/>
      <c r="M25" s="32" t="s">
        <v>76</v>
      </c>
      <c r="N25" s="33"/>
      <c r="O25" s="32" t="s">
        <v>76</v>
      </c>
      <c r="P25" s="33"/>
      <c r="Q25" s="32" t="s">
        <v>76</v>
      </c>
      <c r="R25" s="33"/>
      <c r="S25" s="32">
        <v>0</v>
      </c>
      <c r="T25" s="33"/>
      <c r="U25" s="32" t="s">
        <v>76</v>
      </c>
      <c r="V25" s="33"/>
      <c r="W25" s="32" t="s">
        <v>76</v>
      </c>
      <c r="X25" s="33"/>
      <c r="Y25" s="32" t="s">
        <v>76</v>
      </c>
      <c r="Z25" s="33"/>
      <c r="AA25" s="32">
        <v>0</v>
      </c>
      <c r="AB25" s="33"/>
      <c r="AC25" s="32" t="s">
        <v>76</v>
      </c>
      <c r="AD25" s="33"/>
      <c r="AE25" s="32" t="s">
        <v>76</v>
      </c>
      <c r="AF25" s="33"/>
      <c r="AG25" s="32" t="s">
        <v>76</v>
      </c>
      <c r="AH25" s="33"/>
      <c r="AI25" s="32">
        <v>0</v>
      </c>
      <c r="AJ25" s="33"/>
      <c r="AK25" s="32" t="s">
        <v>76</v>
      </c>
      <c r="AL25" s="33"/>
      <c r="AM25" s="32" t="s">
        <v>76</v>
      </c>
      <c r="AN25" s="33"/>
      <c r="AO25" s="32" t="s">
        <v>76</v>
      </c>
      <c r="AP25" s="33"/>
      <c r="AQ25" s="32">
        <v>0</v>
      </c>
      <c r="AR25" s="33"/>
      <c r="AS25" s="32" t="s">
        <v>76</v>
      </c>
      <c r="AT25" s="33"/>
      <c r="AU25" s="32" t="s">
        <v>76</v>
      </c>
      <c r="AV25" s="33"/>
      <c r="AW25" s="32" t="s">
        <v>76</v>
      </c>
      <c r="AX25" s="33"/>
      <c r="AY25" s="32">
        <v>0</v>
      </c>
      <c r="AZ25" s="33"/>
    </row>
    <row r="26" spans="1:52" x14ac:dyDescent="0.25">
      <c r="A26" s="6" t="s">
        <v>1308</v>
      </c>
      <c r="B26" s="6"/>
      <c r="C26" s="34">
        <v>357.20649800000001</v>
      </c>
      <c r="D26" s="35">
        <v>1</v>
      </c>
      <c r="E26" s="34">
        <v>342.97281700000002</v>
      </c>
      <c r="F26" s="35">
        <v>1</v>
      </c>
      <c r="G26" s="34">
        <v>309.86261400000001</v>
      </c>
      <c r="H26" s="35">
        <v>1</v>
      </c>
      <c r="I26" s="34">
        <v>280.52303000000001</v>
      </c>
      <c r="J26" s="35">
        <v>1</v>
      </c>
      <c r="K26" s="34">
        <v>251.186476</v>
      </c>
      <c r="L26" s="35">
        <v>1</v>
      </c>
      <c r="M26" s="34">
        <v>481.24271700000003</v>
      </c>
      <c r="N26" s="35">
        <v>1</v>
      </c>
      <c r="O26" s="34">
        <v>440.93082399999997</v>
      </c>
      <c r="P26" s="35">
        <v>1</v>
      </c>
      <c r="Q26" s="34">
        <v>771.29380900000001</v>
      </c>
      <c r="R26" s="35">
        <v>1</v>
      </c>
      <c r="S26" s="34">
        <v>717.31367399999999</v>
      </c>
      <c r="T26" s="35">
        <v>1</v>
      </c>
      <c r="U26" s="34">
        <v>674.48856799999999</v>
      </c>
      <c r="V26" s="35">
        <v>1</v>
      </c>
      <c r="W26" s="34">
        <v>625.69666199999995</v>
      </c>
      <c r="X26" s="35">
        <v>1</v>
      </c>
      <c r="Y26" s="34">
        <v>556.97573399999999</v>
      </c>
      <c r="Z26" s="35">
        <v>1</v>
      </c>
      <c r="AA26" s="34">
        <v>489.92209600000001</v>
      </c>
      <c r="AB26" s="35">
        <v>1</v>
      </c>
      <c r="AC26" s="34">
        <v>868.58</v>
      </c>
      <c r="AD26" s="35">
        <v>1</v>
      </c>
      <c r="AE26" s="34">
        <v>811.90599999999995</v>
      </c>
      <c r="AF26" s="35">
        <v>1</v>
      </c>
      <c r="AG26" s="34">
        <v>781.99900000000002</v>
      </c>
      <c r="AH26" s="35">
        <v>1</v>
      </c>
      <c r="AI26" s="34">
        <v>0.75478000000000001</v>
      </c>
      <c r="AJ26" s="35">
        <v>1</v>
      </c>
      <c r="AK26" s="34">
        <v>722.15800000000002</v>
      </c>
      <c r="AL26" s="35">
        <v>1</v>
      </c>
      <c r="AM26" s="34">
        <v>0.71360199999999996</v>
      </c>
      <c r="AN26" s="35">
        <v>1</v>
      </c>
      <c r="AO26" s="34">
        <v>717.66399999999999</v>
      </c>
      <c r="AP26" s="35">
        <v>1</v>
      </c>
      <c r="AQ26" s="34">
        <v>0.72829500000000003</v>
      </c>
      <c r="AR26" s="35">
        <v>1</v>
      </c>
      <c r="AS26" s="34">
        <v>747.03599999999994</v>
      </c>
      <c r="AT26" s="35">
        <v>1</v>
      </c>
      <c r="AU26" s="34">
        <v>1320.5039999999999</v>
      </c>
      <c r="AV26" s="35">
        <v>1</v>
      </c>
      <c r="AW26" s="34">
        <v>1324.4449999999999</v>
      </c>
      <c r="AX26" s="35">
        <v>1</v>
      </c>
      <c r="AY26" s="34">
        <v>1.3669119999999999</v>
      </c>
      <c r="AZ26" s="35">
        <v>1</v>
      </c>
    </row>
    <row r="27" spans="1:52" x14ac:dyDescent="0.25">
      <c r="A27" s="10" t="s">
        <v>1313</v>
      </c>
      <c r="B27" s="10"/>
      <c r="C27" s="32">
        <v>357.20649800000001</v>
      </c>
      <c r="D27" s="33">
        <v>1</v>
      </c>
      <c r="E27" s="32">
        <v>342.97281700000002</v>
      </c>
      <c r="F27" s="33">
        <v>1</v>
      </c>
      <c r="G27" s="32">
        <v>309.86261400000001</v>
      </c>
      <c r="H27" s="33">
        <v>1</v>
      </c>
      <c r="I27" s="32">
        <v>280.52303000000001</v>
      </c>
      <c r="J27" s="33">
        <v>1</v>
      </c>
      <c r="K27" s="32">
        <v>251.186476</v>
      </c>
      <c r="L27" s="33">
        <v>1</v>
      </c>
      <c r="M27" s="32">
        <v>481.24271700000003</v>
      </c>
      <c r="N27" s="33">
        <v>1</v>
      </c>
      <c r="O27" s="32">
        <v>440.93082399999997</v>
      </c>
      <c r="P27" s="33">
        <v>1</v>
      </c>
      <c r="Q27" s="32">
        <v>771.29380900000001</v>
      </c>
      <c r="R27" s="33">
        <v>1</v>
      </c>
      <c r="S27" s="32">
        <v>717.31367399999999</v>
      </c>
      <c r="T27" s="33">
        <v>1</v>
      </c>
      <c r="U27" s="32">
        <v>674.48856799999999</v>
      </c>
      <c r="V27" s="33">
        <v>1</v>
      </c>
      <c r="W27" s="32">
        <v>625.69666199999995</v>
      </c>
      <c r="X27" s="33">
        <v>1</v>
      </c>
      <c r="Y27" s="32">
        <v>556.97573399999999</v>
      </c>
      <c r="Z27" s="33">
        <v>1</v>
      </c>
      <c r="AA27" s="32">
        <v>489.92209600000001</v>
      </c>
      <c r="AB27" s="33">
        <v>1</v>
      </c>
      <c r="AC27" s="32">
        <v>868.58</v>
      </c>
      <c r="AD27" s="33">
        <v>1</v>
      </c>
      <c r="AE27" s="32">
        <v>811.90599999999995</v>
      </c>
      <c r="AF27" s="33">
        <v>1</v>
      </c>
      <c r="AG27" s="32">
        <v>781.99900000000002</v>
      </c>
      <c r="AH27" s="33">
        <v>1</v>
      </c>
      <c r="AI27" s="32">
        <v>0.75478000000000001</v>
      </c>
      <c r="AJ27" s="33">
        <v>1</v>
      </c>
      <c r="AK27" s="32">
        <v>722.15800000000002</v>
      </c>
      <c r="AL27" s="33">
        <v>1</v>
      </c>
      <c r="AM27" s="32">
        <v>0.71360199999999996</v>
      </c>
      <c r="AN27" s="33">
        <v>1</v>
      </c>
      <c r="AO27" s="32">
        <v>717.66399999999999</v>
      </c>
      <c r="AP27" s="33">
        <v>1</v>
      </c>
      <c r="AQ27" s="32">
        <v>0.72829500000000003</v>
      </c>
      <c r="AR27" s="33">
        <v>1</v>
      </c>
      <c r="AS27" s="32">
        <v>747.03599999999994</v>
      </c>
      <c r="AT27" s="33">
        <v>1</v>
      </c>
      <c r="AU27" s="32">
        <v>1320.5039999999999</v>
      </c>
      <c r="AV27" s="33">
        <v>1</v>
      </c>
      <c r="AW27" s="32">
        <v>1324.4449999999999</v>
      </c>
      <c r="AX27" s="33">
        <v>1</v>
      </c>
      <c r="AY27" s="32">
        <v>1.3669119999999999</v>
      </c>
      <c r="AZ27" s="33">
        <v>1</v>
      </c>
    </row>
    <row r="28" spans="1:52" x14ac:dyDescent="0.25">
      <c r="A28" s="6" t="s">
        <v>1309</v>
      </c>
      <c r="B28" s="6"/>
      <c r="C28" s="34">
        <v>39.491616999999998</v>
      </c>
      <c r="D28" s="35">
        <v>1</v>
      </c>
      <c r="E28" s="34">
        <v>54.35839</v>
      </c>
      <c r="F28" s="35">
        <v>1</v>
      </c>
      <c r="G28" s="34">
        <v>53.094251999999997</v>
      </c>
      <c r="H28" s="35">
        <v>1</v>
      </c>
      <c r="I28" s="34">
        <v>53.642744999999998</v>
      </c>
      <c r="J28" s="35">
        <v>1</v>
      </c>
      <c r="K28" s="34">
        <v>56.179205000000003</v>
      </c>
      <c r="L28" s="35">
        <v>1</v>
      </c>
      <c r="M28" s="34">
        <v>50.794387</v>
      </c>
      <c r="N28" s="35">
        <v>1</v>
      </c>
      <c r="O28" s="34">
        <v>61.400956000000001</v>
      </c>
      <c r="P28" s="35">
        <v>1</v>
      </c>
      <c r="Q28" s="34">
        <v>61.898274000000001</v>
      </c>
      <c r="R28" s="35">
        <v>1</v>
      </c>
      <c r="S28" s="34">
        <v>60.453569999999999</v>
      </c>
      <c r="T28" s="35">
        <v>1</v>
      </c>
      <c r="U28" s="34">
        <v>62.338810000000002</v>
      </c>
      <c r="V28" s="35">
        <v>1</v>
      </c>
      <c r="W28" s="34">
        <v>72.110787999999999</v>
      </c>
      <c r="X28" s="35">
        <v>1</v>
      </c>
      <c r="Y28" s="34">
        <v>70.219481000000002</v>
      </c>
      <c r="Z28" s="35">
        <v>1</v>
      </c>
      <c r="AA28" s="34">
        <v>72.031420999999995</v>
      </c>
      <c r="AB28" s="35">
        <v>1</v>
      </c>
      <c r="AC28" s="34">
        <v>75.83</v>
      </c>
      <c r="AD28" s="35">
        <v>1</v>
      </c>
      <c r="AE28" s="34">
        <v>89.709000000000003</v>
      </c>
      <c r="AF28" s="35">
        <v>1</v>
      </c>
      <c r="AG28" s="34">
        <v>96.576999999999998</v>
      </c>
      <c r="AH28" s="35">
        <v>1</v>
      </c>
      <c r="AI28" s="34">
        <v>9.8710000000000006E-2</v>
      </c>
      <c r="AJ28" s="35">
        <v>1</v>
      </c>
      <c r="AK28" s="34">
        <v>94.548000000000002</v>
      </c>
      <c r="AL28" s="35">
        <v>1</v>
      </c>
      <c r="AM28" s="34">
        <v>0.106512</v>
      </c>
      <c r="AN28" s="35">
        <v>1</v>
      </c>
      <c r="AO28" s="34">
        <v>116.983</v>
      </c>
      <c r="AP28" s="35">
        <v>1</v>
      </c>
      <c r="AQ28" s="34">
        <v>0.13687099999999999</v>
      </c>
      <c r="AR28" s="35">
        <v>1</v>
      </c>
      <c r="AS28" s="34">
        <v>147.53800000000001</v>
      </c>
      <c r="AT28" s="35">
        <v>1</v>
      </c>
      <c r="AU28" s="34">
        <v>175.892</v>
      </c>
      <c r="AV28" s="35">
        <v>1</v>
      </c>
      <c r="AW28" s="34">
        <v>179.619</v>
      </c>
      <c r="AX28" s="35">
        <v>1</v>
      </c>
      <c r="AY28" s="34">
        <v>0.21845200000000001</v>
      </c>
      <c r="AZ28" s="35">
        <v>1</v>
      </c>
    </row>
    <row r="29" spans="1:52" x14ac:dyDescent="0.25">
      <c r="A29" s="10" t="s">
        <v>1313</v>
      </c>
      <c r="B29" s="10"/>
      <c r="C29" s="32">
        <v>39.491616999999998</v>
      </c>
      <c r="D29" s="33">
        <v>1</v>
      </c>
      <c r="E29" s="32">
        <v>54.35839</v>
      </c>
      <c r="F29" s="33">
        <v>1</v>
      </c>
      <c r="G29" s="32">
        <v>53.094251999999997</v>
      </c>
      <c r="H29" s="33">
        <v>1</v>
      </c>
      <c r="I29" s="32">
        <v>53.642744999999998</v>
      </c>
      <c r="J29" s="33">
        <v>1</v>
      </c>
      <c r="K29" s="32">
        <v>56.179205000000003</v>
      </c>
      <c r="L29" s="33">
        <v>1</v>
      </c>
      <c r="M29" s="32">
        <v>50.794387</v>
      </c>
      <c r="N29" s="33">
        <v>1</v>
      </c>
      <c r="O29" s="32">
        <v>61.400956000000001</v>
      </c>
      <c r="P29" s="33">
        <v>1</v>
      </c>
      <c r="Q29" s="32">
        <v>61.898274000000001</v>
      </c>
      <c r="R29" s="33">
        <v>1</v>
      </c>
      <c r="S29" s="32">
        <v>60.453569999999999</v>
      </c>
      <c r="T29" s="33">
        <v>1</v>
      </c>
      <c r="U29" s="32">
        <v>62.338810000000002</v>
      </c>
      <c r="V29" s="33">
        <v>1</v>
      </c>
      <c r="W29" s="32">
        <v>72.110787999999999</v>
      </c>
      <c r="X29" s="33">
        <v>1</v>
      </c>
      <c r="Y29" s="32">
        <v>70.219481000000002</v>
      </c>
      <c r="Z29" s="33">
        <v>1</v>
      </c>
      <c r="AA29" s="32">
        <v>72.031420999999995</v>
      </c>
      <c r="AB29" s="33">
        <v>1</v>
      </c>
      <c r="AC29" s="32">
        <v>75.83</v>
      </c>
      <c r="AD29" s="33">
        <v>1</v>
      </c>
      <c r="AE29" s="32">
        <v>89.709000000000003</v>
      </c>
      <c r="AF29" s="33">
        <v>1</v>
      </c>
      <c r="AG29" s="32">
        <v>96.576999999999998</v>
      </c>
      <c r="AH29" s="33">
        <v>1</v>
      </c>
      <c r="AI29" s="32">
        <v>9.8710000000000006E-2</v>
      </c>
      <c r="AJ29" s="33">
        <v>1</v>
      </c>
      <c r="AK29" s="32">
        <v>94.548000000000002</v>
      </c>
      <c r="AL29" s="33">
        <v>1</v>
      </c>
      <c r="AM29" s="32">
        <v>0.106512</v>
      </c>
      <c r="AN29" s="33">
        <v>1</v>
      </c>
      <c r="AO29" s="32">
        <v>116.983</v>
      </c>
      <c r="AP29" s="33">
        <v>1</v>
      </c>
      <c r="AQ29" s="32">
        <v>0.13687099999999999</v>
      </c>
      <c r="AR29" s="33">
        <v>1</v>
      </c>
      <c r="AS29" s="32">
        <v>147.53800000000001</v>
      </c>
      <c r="AT29" s="33">
        <v>1</v>
      </c>
      <c r="AU29" s="32">
        <v>175.892</v>
      </c>
      <c r="AV29" s="33">
        <v>1</v>
      </c>
      <c r="AW29" s="32">
        <v>179.619</v>
      </c>
      <c r="AX29" s="33">
        <v>1</v>
      </c>
      <c r="AY29" s="32">
        <v>0.21845200000000001</v>
      </c>
      <c r="AZ29" s="33">
        <v>1</v>
      </c>
    </row>
    <row r="30" spans="1:52" x14ac:dyDescent="0.25">
      <c r="A30" s="6" t="s">
        <v>1310</v>
      </c>
      <c r="B30" s="6"/>
      <c r="C30" s="34">
        <v>9.5466999999999996E-2</v>
      </c>
      <c r="D30" s="35">
        <v>1</v>
      </c>
      <c r="E30" s="34">
        <v>0.101353</v>
      </c>
      <c r="F30" s="35">
        <v>1</v>
      </c>
      <c r="G30" s="34">
        <v>0.105056</v>
      </c>
      <c r="H30" s="35">
        <v>1</v>
      </c>
      <c r="I30" s="34">
        <v>0.129052</v>
      </c>
      <c r="J30" s="35">
        <v>1</v>
      </c>
      <c r="K30" s="34">
        <v>0.14166000000000001</v>
      </c>
      <c r="L30" s="35">
        <v>1</v>
      </c>
      <c r="M30" s="34">
        <v>0.14880199999999999</v>
      </c>
      <c r="N30" s="35">
        <v>1</v>
      </c>
      <c r="O30" s="34">
        <v>0.1323</v>
      </c>
      <c r="P30" s="35">
        <v>1</v>
      </c>
      <c r="Q30" s="34">
        <v>0.121044</v>
      </c>
      <c r="R30" s="35">
        <v>1</v>
      </c>
      <c r="S30" s="34">
        <v>0.125972</v>
      </c>
      <c r="T30" s="35">
        <v>1</v>
      </c>
      <c r="U30" s="34">
        <v>0.12700800000000001</v>
      </c>
      <c r="V30" s="35">
        <v>1</v>
      </c>
      <c r="W30" s="34">
        <v>0.125581</v>
      </c>
      <c r="X30" s="35">
        <v>1</v>
      </c>
      <c r="Y30" s="34">
        <v>0.13394500000000001</v>
      </c>
      <c r="Z30" s="35">
        <v>1</v>
      </c>
      <c r="AA30" s="34">
        <v>0.14682600000000001</v>
      </c>
      <c r="AB30" s="35">
        <v>1</v>
      </c>
      <c r="AC30" s="34">
        <v>0.17100000000000001</v>
      </c>
      <c r="AD30" s="35">
        <v>1</v>
      </c>
      <c r="AE30" s="34">
        <v>0.17199999999999999</v>
      </c>
      <c r="AF30" s="35">
        <v>1</v>
      </c>
      <c r="AG30" s="34">
        <v>0.17</v>
      </c>
      <c r="AH30" s="35">
        <v>1</v>
      </c>
      <c r="AI30" s="34">
        <v>0.14299999999999999</v>
      </c>
      <c r="AJ30" s="35">
        <v>1</v>
      </c>
      <c r="AK30" s="34">
        <v>0.13400000000000001</v>
      </c>
      <c r="AL30" s="35">
        <v>1</v>
      </c>
      <c r="AM30" s="34">
        <v>0.123</v>
      </c>
      <c r="AN30" s="35">
        <v>1</v>
      </c>
      <c r="AO30" s="34">
        <v>0.13500000000000001</v>
      </c>
      <c r="AP30" s="35">
        <v>1</v>
      </c>
      <c r="AQ30" s="34">
        <v>0.13600000000000001</v>
      </c>
      <c r="AR30" s="35">
        <v>1</v>
      </c>
      <c r="AS30" s="34">
        <v>0.13200000000000001</v>
      </c>
      <c r="AT30" s="35">
        <v>1</v>
      </c>
      <c r="AU30" s="34">
        <v>0.129</v>
      </c>
      <c r="AV30" s="35">
        <v>1</v>
      </c>
      <c r="AW30" s="34">
        <v>0.13800000000000001</v>
      </c>
      <c r="AX30" s="35">
        <v>1</v>
      </c>
      <c r="AY30" s="34">
        <v>0.109</v>
      </c>
      <c r="AZ30" s="35">
        <v>1</v>
      </c>
    </row>
    <row r="31" spans="1:52" x14ac:dyDescent="0.25">
      <c r="A31" s="10" t="s">
        <v>1313</v>
      </c>
      <c r="B31" s="10"/>
      <c r="C31" s="32">
        <v>9.5466999999999996E-2</v>
      </c>
      <c r="D31" s="33">
        <v>1</v>
      </c>
      <c r="E31" s="32">
        <v>0.101353</v>
      </c>
      <c r="F31" s="33">
        <v>1</v>
      </c>
      <c r="G31" s="32">
        <v>0.105056</v>
      </c>
      <c r="H31" s="33">
        <v>1</v>
      </c>
      <c r="I31" s="32">
        <v>0.129052</v>
      </c>
      <c r="J31" s="33">
        <v>1</v>
      </c>
      <c r="K31" s="32">
        <v>0.14166000000000001</v>
      </c>
      <c r="L31" s="33">
        <v>1</v>
      </c>
      <c r="M31" s="32">
        <v>0.14880199999999999</v>
      </c>
      <c r="N31" s="33">
        <v>1</v>
      </c>
      <c r="O31" s="32">
        <v>0.1323</v>
      </c>
      <c r="P31" s="33">
        <v>1</v>
      </c>
      <c r="Q31" s="32">
        <v>0.121044</v>
      </c>
      <c r="R31" s="33">
        <v>1</v>
      </c>
      <c r="S31" s="32">
        <v>0.125972</v>
      </c>
      <c r="T31" s="33">
        <v>1</v>
      </c>
      <c r="U31" s="32">
        <v>0.12700800000000001</v>
      </c>
      <c r="V31" s="33">
        <v>1</v>
      </c>
      <c r="W31" s="32">
        <v>0.125581</v>
      </c>
      <c r="X31" s="33">
        <v>1</v>
      </c>
      <c r="Y31" s="32">
        <v>0.13394500000000001</v>
      </c>
      <c r="Z31" s="33">
        <v>1</v>
      </c>
      <c r="AA31" s="32">
        <v>0.14682600000000001</v>
      </c>
      <c r="AB31" s="33">
        <v>1</v>
      </c>
      <c r="AC31" s="32">
        <v>0.17100000000000001</v>
      </c>
      <c r="AD31" s="33">
        <v>1</v>
      </c>
      <c r="AE31" s="32">
        <v>0.17199999999999999</v>
      </c>
      <c r="AF31" s="33">
        <v>1</v>
      </c>
      <c r="AG31" s="32">
        <v>0.17</v>
      </c>
      <c r="AH31" s="33">
        <v>1</v>
      </c>
      <c r="AI31" s="32">
        <v>0.14299999999999999</v>
      </c>
      <c r="AJ31" s="33">
        <v>1</v>
      </c>
      <c r="AK31" s="32">
        <v>0.13400000000000001</v>
      </c>
      <c r="AL31" s="33">
        <v>1</v>
      </c>
      <c r="AM31" s="32">
        <v>0.123</v>
      </c>
      <c r="AN31" s="33">
        <v>1</v>
      </c>
      <c r="AO31" s="32">
        <v>0.13500000000000001</v>
      </c>
      <c r="AP31" s="33">
        <v>1</v>
      </c>
      <c r="AQ31" s="32">
        <v>0.13600000000000001</v>
      </c>
      <c r="AR31" s="33">
        <v>1</v>
      </c>
      <c r="AS31" s="32">
        <v>0.13200000000000001</v>
      </c>
      <c r="AT31" s="33">
        <v>1</v>
      </c>
      <c r="AU31" s="32">
        <v>0.129</v>
      </c>
      <c r="AV31" s="33">
        <v>1</v>
      </c>
      <c r="AW31" s="32">
        <v>0.13800000000000001</v>
      </c>
      <c r="AX31" s="33">
        <v>1</v>
      </c>
      <c r="AY31" s="32">
        <v>0.109</v>
      </c>
      <c r="AZ31" s="33">
        <v>1</v>
      </c>
    </row>
    <row r="32" spans="1:52" x14ac:dyDescent="0.25">
      <c r="A32" s="6" t="s">
        <v>1022</v>
      </c>
      <c r="B32" s="6"/>
      <c r="C32" s="34">
        <v>9.5466999999999996E-2</v>
      </c>
      <c r="D32" s="35">
        <v>1</v>
      </c>
      <c r="E32" s="34">
        <v>0.101353</v>
      </c>
      <c r="F32" s="35">
        <v>1</v>
      </c>
      <c r="G32" s="34">
        <v>0.105056</v>
      </c>
      <c r="H32" s="35">
        <v>1</v>
      </c>
      <c r="I32" s="34">
        <v>0.129052</v>
      </c>
      <c r="J32" s="35">
        <v>1</v>
      </c>
      <c r="K32" s="34">
        <v>0.14166000000000001</v>
      </c>
      <c r="L32" s="35">
        <v>1</v>
      </c>
      <c r="M32" s="34">
        <v>0.14880199999999999</v>
      </c>
      <c r="N32" s="35">
        <v>1</v>
      </c>
      <c r="O32" s="34">
        <v>0.1323</v>
      </c>
      <c r="P32" s="35">
        <v>1</v>
      </c>
      <c r="Q32" s="34">
        <v>0.121044</v>
      </c>
      <c r="R32" s="35">
        <v>1</v>
      </c>
      <c r="S32" s="34">
        <v>0.125972</v>
      </c>
      <c r="T32" s="35">
        <v>1</v>
      </c>
      <c r="U32" s="34">
        <v>0.12700800000000001</v>
      </c>
      <c r="V32" s="35">
        <v>1</v>
      </c>
      <c r="W32" s="34">
        <v>0.125581</v>
      </c>
      <c r="X32" s="35">
        <v>1</v>
      </c>
      <c r="Y32" s="34">
        <v>0.13394500000000001</v>
      </c>
      <c r="Z32" s="35">
        <v>1</v>
      </c>
      <c r="AA32" s="34">
        <v>0.14682600000000001</v>
      </c>
      <c r="AB32" s="35">
        <v>1</v>
      </c>
      <c r="AC32" s="34">
        <v>0.17100000000000001</v>
      </c>
      <c r="AD32" s="35">
        <v>1</v>
      </c>
      <c r="AE32" s="34">
        <v>0.17199999999999999</v>
      </c>
      <c r="AF32" s="35">
        <v>1</v>
      </c>
      <c r="AG32" s="34">
        <v>0.17</v>
      </c>
      <c r="AH32" s="35">
        <v>1</v>
      </c>
      <c r="AI32" s="34">
        <v>1.4300000000000001E-4</v>
      </c>
      <c r="AJ32" s="35">
        <v>1</v>
      </c>
      <c r="AK32" s="34">
        <v>0.13400000000000001</v>
      </c>
      <c r="AL32" s="35">
        <v>1</v>
      </c>
      <c r="AM32" s="34">
        <v>1.2300000000000001E-4</v>
      </c>
      <c r="AN32" s="35">
        <v>1</v>
      </c>
      <c r="AO32" s="34">
        <v>0.13500000000000001</v>
      </c>
      <c r="AP32" s="35">
        <v>1</v>
      </c>
      <c r="AQ32" s="34">
        <v>1.36E-4</v>
      </c>
      <c r="AR32" s="35">
        <v>1</v>
      </c>
      <c r="AS32" s="34">
        <v>0.13200000000000001</v>
      </c>
      <c r="AT32" s="35">
        <v>1</v>
      </c>
      <c r="AU32" s="34">
        <v>0.129</v>
      </c>
      <c r="AV32" s="35">
        <v>1</v>
      </c>
      <c r="AW32" s="34">
        <v>0.13800000000000001</v>
      </c>
      <c r="AX32" s="35">
        <v>1</v>
      </c>
      <c r="AY32" s="34">
        <v>1.0900000000000001E-4</v>
      </c>
      <c r="AZ32" s="35">
        <v>1</v>
      </c>
    </row>
    <row r="33" spans="1:52" x14ac:dyDescent="0.25">
      <c r="A33" s="10" t="s">
        <v>1313</v>
      </c>
      <c r="B33" s="10"/>
      <c r="C33" s="32">
        <v>9.5466999999999996E-2</v>
      </c>
      <c r="D33" s="33">
        <v>1</v>
      </c>
      <c r="E33" s="32">
        <v>0.101353</v>
      </c>
      <c r="F33" s="33">
        <v>1</v>
      </c>
      <c r="G33" s="32">
        <v>0.105056</v>
      </c>
      <c r="H33" s="33">
        <v>1</v>
      </c>
      <c r="I33" s="32">
        <v>0.129052</v>
      </c>
      <c r="J33" s="33">
        <v>1</v>
      </c>
      <c r="K33" s="32">
        <v>0.14166000000000001</v>
      </c>
      <c r="L33" s="33">
        <v>1</v>
      </c>
      <c r="M33" s="32">
        <v>0.14880199999999999</v>
      </c>
      <c r="N33" s="33">
        <v>1</v>
      </c>
      <c r="O33" s="32">
        <v>0.1323</v>
      </c>
      <c r="P33" s="33">
        <v>1</v>
      </c>
      <c r="Q33" s="32">
        <v>0.121044</v>
      </c>
      <c r="R33" s="33">
        <v>1</v>
      </c>
      <c r="S33" s="32">
        <v>0.125972</v>
      </c>
      <c r="T33" s="33">
        <v>1</v>
      </c>
      <c r="U33" s="32">
        <v>0.12700800000000001</v>
      </c>
      <c r="V33" s="33">
        <v>1</v>
      </c>
      <c r="W33" s="32">
        <v>0.125581</v>
      </c>
      <c r="X33" s="33">
        <v>1</v>
      </c>
      <c r="Y33" s="32">
        <v>0.13394500000000001</v>
      </c>
      <c r="Z33" s="33">
        <v>1</v>
      </c>
      <c r="AA33" s="32">
        <v>0.14682600000000001</v>
      </c>
      <c r="AB33" s="33">
        <v>1</v>
      </c>
      <c r="AC33" s="32">
        <v>0.17100000000000001</v>
      </c>
      <c r="AD33" s="33">
        <v>1</v>
      </c>
      <c r="AE33" s="32">
        <v>0.17199999999999999</v>
      </c>
      <c r="AF33" s="33">
        <v>1</v>
      </c>
      <c r="AG33" s="32">
        <v>0.17</v>
      </c>
      <c r="AH33" s="33">
        <v>1</v>
      </c>
      <c r="AI33" s="32">
        <v>1.4300000000000001E-4</v>
      </c>
      <c r="AJ33" s="33">
        <v>1</v>
      </c>
      <c r="AK33" s="32">
        <v>0.13400000000000001</v>
      </c>
      <c r="AL33" s="33">
        <v>1</v>
      </c>
      <c r="AM33" s="32">
        <v>1.2300000000000001E-4</v>
      </c>
      <c r="AN33" s="33">
        <v>1</v>
      </c>
      <c r="AO33" s="32">
        <v>0.13500000000000001</v>
      </c>
      <c r="AP33" s="33">
        <v>1</v>
      </c>
      <c r="AQ33" s="32">
        <v>1.36E-4</v>
      </c>
      <c r="AR33" s="33">
        <v>1</v>
      </c>
      <c r="AS33" s="32">
        <v>0.13200000000000001</v>
      </c>
      <c r="AT33" s="33">
        <v>1</v>
      </c>
      <c r="AU33" s="32">
        <v>0.129</v>
      </c>
      <c r="AV33" s="33">
        <v>1</v>
      </c>
      <c r="AW33" s="32">
        <v>0.13800000000000001</v>
      </c>
      <c r="AX33" s="33">
        <v>1</v>
      </c>
      <c r="AY33" s="32">
        <v>1.0900000000000001E-4</v>
      </c>
      <c r="AZ33" s="33">
        <v>1</v>
      </c>
    </row>
    <row r="34" spans="1:52" x14ac:dyDescent="0.25">
      <c r="A34" s="6" t="s">
        <v>1311</v>
      </c>
      <c r="B34" s="6"/>
      <c r="C34" s="34">
        <v>33.605629</v>
      </c>
      <c r="D34" s="35">
        <v>1</v>
      </c>
      <c r="E34" s="34">
        <v>24.990856000000001</v>
      </c>
      <c r="F34" s="35">
        <v>1</v>
      </c>
      <c r="G34" s="34">
        <v>23.728000000000002</v>
      </c>
      <c r="H34" s="35">
        <v>1</v>
      </c>
      <c r="I34" s="34">
        <v>21.339791999999999</v>
      </c>
      <c r="J34" s="35">
        <v>1</v>
      </c>
      <c r="K34" s="34">
        <v>19.065725</v>
      </c>
      <c r="L34" s="35">
        <v>1</v>
      </c>
      <c r="M34" s="34">
        <v>16.003326000000001</v>
      </c>
      <c r="N34" s="35">
        <v>1</v>
      </c>
      <c r="O34" s="34">
        <v>25.204857000000001</v>
      </c>
      <c r="P34" s="35">
        <v>1</v>
      </c>
      <c r="Q34" s="34">
        <v>10.275368</v>
      </c>
      <c r="R34" s="35">
        <v>1</v>
      </c>
      <c r="S34" s="34">
        <v>14.298586</v>
      </c>
      <c r="T34" s="35">
        <v>1</v>
      </c>
      <c r="U34" s="34">
        <v>15.058</v>
      </c>
      <c r="V34" s="35">
        <v>1</v>
      </c>
      <c r="W34" s="34">
        <v>17.296420000000001</v>
      </c>
      <c r="X34" s="35">
        <v>1</v>
      </c>
      <c r="Y34" s="34">
        <v>27.031825000000001</v>
      </c>
      <c r="Z34" s="35">
        <v>1</v>
      </c>
      <c r="AA34" s="34">
        <v>29.459099999999999</v>
      </c>
      <c r="AB34" s="35">
        <v>1</v>
      </c>
      <c r="AC34" s="34">
        <v>29.042999999999999</v>
      </c>
      <c r="AD34" s="35">
        <v>1</v>
      </c>
      <c r="AE34" s="34">
        <v>38.536000000000001</v>
      </c>
      <c r="AF34" s="35">
        <v>1</v>
      </c>
      <c r="AG34" s="34">
        <v>33.274000000000001</v>
      </c>
      <c r="AH34" s="35">
        <v>1</v>
      </c>
      <c r="AI34" s="34">
        <v>3.3862000000000003E-2</v>
      </c>
      <c r="AJ34" s="35">
        <v>1</v>
      </c>
      <c r="AK34" s="34">
        <v>38.024000000000001</v>
      </c>
      <c r="AL34" s="35">
        <v>1</v>
      </c>
      <c r="AM34" s="34">
        <v>4.9793999999999998E-2</v>
      </c>
      <c r="AN34" s="35">
        <v>1</v>
      </c>
      <c r="AO34" s="34">
        <v>41.55</v>
      </c>
      <c r="AP34" s="35">
        <v>1</v>
      </c>
      <c r="AQ34" s="34">
        <v>5.0774E-2</v>
      </c>
      <c r="AR34" s="35">
        <v>1</v>
      </c>
      <c r="AS34" s="34">
        <v>42.832999999999998</v>
      </c>
      <c r="AT34" s="35">
        <v>1</v>
      </c>
      <c r="AU34" s="34">
        <v>56.183</v>
      </c>
      <c r="AV34" s="35">
        <v>1</v>
      </c>
      <c r="AW34" s="34">
        <v>66.819000000000003</v>
      </c>
      <c r="AX34" s="35">
        <v>1</v>
      </c>
      <c r="AY34" s="34">
        <v>7.0286000000000001E-2</v>
      </c>
      <c r="AZ34" s="35">
        <v>1</v>
      </c>
    </row>
    <row r="35" spans="1:52" x14ac:dyDescent="0.25">
      <c r="A35" s="10" t="s">
        <v>1313</v>
      </c>
      <c r="B35" s="10"/>
      <c r="C35" s="32">
        <v>33.605629</v>
      </c>
      <c r="D35" s="33">
        <v>1</v>
      </c>
      <c r="E35" s="32">
        <v>24.990856000000001</v>
      </c>
      <c r="F35" s="33">
        <v>1</v>
      </c>
      <c r="G35" s="32">
        <v>23.728000000000002</v>
      </c>
      <c r="H35" s="33">
        <v>1</v>
      </c>
      <c r="I35" s="32">
        <v>21.339791999999999</v>
      </c>
      <c r="J35" s="33">
        <v>1</v>
      </c>
      <c r="K35" s="32">
        <v>19.065725</v>
      </c>
      <c r="L35" s="33">
        <v>1</v>
      </c>
      <c r="M35" s="32">
        <v>16.003326000000001</v>
      </c>
      <c r="N35" s="33">
        <v>1</v>
      </c>
      <c r="O35" s="32">
        <v>25.204857000000001</v>
      </c>
      <c r="P35" s="33">
        <v>1</v>
      </c>
      <c r="Q35" s="32">
        <v>10.275368</v>
      </c>
      <c r="R35" s="33">
        <v>1</v>
      </c>
      <c r="S35" s="32">
        <v>14.298586</v>
      </c>
      <c r="T35" s="33">
        <v>1</v>
      </c>
      <c r="U35" s="32">
        <v>15.058</v>
      </c>
      <c r="V35" s="33">
        <v>1</v>
      </c>
      <c r="W35" s="32">
        <v>17.296420000000001</v>
      </c>
      <c r="X35" s="33">
        <v>1</v>
      </c>
      <c r="Y35" s="32">
        <v>27.031825000000001</v>
      </c>
      <c r="Z35" s="33">
        <v>1</v>
      </c>
      <c r="AA35" s="32">
        <v>29.459099999999999</v>
      </c>
      <c r="AB35" s="33">
        <v>1</v>
      </c>
      <c r="AC35" s="32">
        <v>29.042999999999999</v>
      </c>
      <c r="AD35" s="33">
        <v>1</v>
      </c>
      <c r="AE35" s="32">
        <v>38.536000000000001</v>
      </c>
      <c r="AF35" s="33">
        <v>1</v>
      </c>
      <c r="AG35" s="32">
        <v>33.274000000000001</v>
      </c>
      <c r="AH35" s="33">
        <v>1</v>
      </c>
      <c r="AI35" s="32">
        <v>3.3862000000000003E-2</v>
      </c>
      <c r="AJ35" s="33">
        <v>1</v>
      </c>
      <c r="AK35" s="32">
        <v>38.024000000000001</v>
      </c>
      <c r="AL35" s="33">
        <v>1</v>
      </c>
      <c r="AM35" s="32">
        <v>4.9793999999999998E-2</v>
      </c>
      <c r="AN35" s="33">
        <v>1</v>
      </c>
      <c r="AO35" s="32">
        <v>41.55</v>
      </c>
      <c r="AP35" s="33">
        <v>1</v>
      </c>
      <c r="AQ35" s="32">
        <v>5.0774E-2</v>
      </c>
      <c r="AR35" s="33">
        <v>1</v>
      </c>
      <c r="AS35" s="32">
        <v>42.832999999999998</v>
      </c>
      <c r="AT35" s="33">
        <v>1</v>
      </c>
      <c r="AU35" s="32">
        <v>56.183</v>
      </c>
      <c r="AV35" s="33">
        <v>1</v>
      </c>
      <c r="AW35" s="32">
        <v>66.819000000000003</v>
      </c>
      <c r="AX35" s="33">
        <v>1</v>
      </c>
      <c r="AY35" s="32">
        <v>7.0286000000000001E-2</v>
      </c>
      <c r="AZ35" s="33">
        <v>1</v>
      </c>
    </row>
    <row r="36" spans="1:52" x14ac:dyDescent="0.25">
      <c r="A36" s="6" t="s">
        <v>86</v>
      </c>
      <c r="B36" s="6"/>
      <c r="C36" s="34">
        <v>-5.8753E-2</v>
      </c>
      <c r="D36" s="35"/>
      <c r="E36" s="34">
        <v>-6.7193000000000003E-2</v>
      </c>
      <c r="F36" s="35"/>
      <c r="G36" s="34">
        <v>-1.0623830000000001</v>
      </c>
      <c r="H36" s="35"/>
      <c r="I36" s="34">
        <v>-0.221112</v>
      </c>
      <c r="J36" s="35"/>
      <c r="K36" s="34">
        <v>-0.70039499999999999</v>
      </c>
      <c r="L36" s="35"/>
      <c r="M36" s="34">
        <v>-2.2048999999999999E-2</v>
      </c>
      <c r="N36" s="35"/>
      <c r="O36" s="34">
        <v>0</v>
      </c>
      <c r="P36" s="35"/>
      <c r="Q36" s="34">
        <v>-0.169909</v>
      </c>
      <c r="R36" s="35"/>
      <c r="S36" s="34">
        <v>-7.4765999999999999E-2</v>
      </c>
      <c r="T36" s="35"/>
      <c r="U36" s="34">
        <v>0</v>
      </c>
      <c r="V36" s="35"/>
      <c r="W36" s="34">
        <v>-1.5244000000000001E-2</v>
      </c>
      <c r="X36" s="35"/>
      <c r="Y36" s="34">
        <v>-0.30925200000000003</v>
      </c>
      <c r="Z36" s="35"/>
      <c r="AA36" s="34">
        <v>-1.242E-3</v>
      </c>
      <c r="AB36" s="35"/>
      <c r="AC36" s="34">
        <v>-0.56599999999999995</v>
      </c>
      <c r="AD36" s="35"/>
      <c r="AE36" s="34">
        <v>-0.123</v>
      </c>
      <c r="AF36" s="35"/>
      <c r="AG36" s="34">
        <v>-0.11700000000000001</v>
      </c>
      <c r="AH36" s="35"/>
      <c r="AI36" s="34">
        <v>0</v>
      </c>
      <c r="AJ36" s="35"/>
      <c r="AK36" s="34">
        <v>0</v>
      </c>
      <c r="AL36" s="35"/>
      <c r="AM36" s="34">
        <v>0</v>
      </c>
      <c r="AN36" s="35"/>
      <c r="AO36" s="34">
        <v>-0.26800000000000002</v>
      </c>
      <c r="AP36" s="35"/>
      <c r="AQ36" s="34">
        <v>-1E-3</v>
      </c>
      <c r="AR36" s="35"/>
      <c r="AS36" s="34">
        <v>0</v>
      </c>
      <c r="AT36" s="35"/>
      <c r="AU36" s="34">
        <v>-5.2999999999999999E-2</v>
      </c>
      <c r="AV36" s="35"/>
      <c r="AW36" s="34">
        <v>-0.69599999999999995</v>
      </c>
      <c r="AX36" s="35"/>
      <c r="AY36" s="34">
        <v>-3.2200000000000002E-4</v>
      </c>
      <c r="AZ36" s="35"/>
    </row>
    <row r="37" spans="1:52" x14ac:dyDescent="0.25">
      <c r="A37" s="10" t="s">
        <v>1313</v>
      </c>
      <c r="B37" s="10"/>
      <c r="C37" s="32">
        <v>-5.8753E-2</v>
      </c>
      <c r="D37" s="33">
        <v>1</v>
      </c>
      <c r="E37" s="32">
        <v>-6.7193000000000003E-2</v>
      </c>
      <c r="F37" s="33">
        <v>1</v>
      </c>
      <c r="G37" s="32">
        <v>-1.0623830000000001</v>
      </c>
      <c r="H37" s="33">
        <v>1</v>
      </c>
      <c r="I37" s="32">
        <v>-0.221112</v>
      </c>
      <c r="J37" s="33">
        <v>1</v>
      </c>
      <c r="K37" s="32">
        <v>-0.70039499999999999</v>
      </c>
      <c r="L37" s="33">
        <v>1</v>
      </c>
      <c r="M37" s="32">
        <v>-2.2048999999999999E-2</v>
      </c>
      <c r="N37" s="33">
        <v>1</v>
      </c>
      <c r="O37" s="32">
        <v>0</v>
      </c>
      <c r="P37" s="33"/>
      <c r="Q37" s="32">
        <v>-0.169909</v>
      </c>
      <c r="R37" s="33">
        <v>1</v>
      </c>
      <c r="S37" s="32">
        <v>-7.4765999999999999E-2</v>
      </c>
      <c r="T37" s="33">
        <v>1</v>
      </c>
      <c r="U37" s="32">
        <v>0</v>
      </c>
      <c r="V37" s="33"/>
      <c r="W37" s="32">
        <v>-1.5244000000000001E-2</v>
      </c>
      <c r="X37" s="33">
        <v>1</v>
      </c>
      <c r="Y37" s="32">
        <v>-0.30925200000000003</v>
      </c>
      <c r="Z37" s="33">
        <v>1</v>
      </c>
      <c r="AA37" s="32">
        <v>-1.242E-3</v>
      </c>
      <c r="AB37" s="33">
        <v>1</v>
      </c>
      <c r="AC37" s="32">
        <v>-0.56599999999999995</v>
      </c>
      <c r="AD37" s="33">
        <v>1</v>
      </c>
      <c r="AE37" s="32">
        <v>-0.123</v>
      </c>
      <c r="AF37" s="33">
        <v>1</v>
      </c>
      <c r="AG37" s="32">
        <v>-0.11700000000000001</v>
      </c>
      <c r="AH37" s="33">
        <v>1</v>
      </c>
      <c r="AI37" s="32">
        <v>0</v>
      </c>
      <c r="AJ37" s="33"/>
      <c r="AK37" s="32">
        <v>0</v>
      </c>
      <c r="AL37" s="33"/>
      <c r="AM37" s="32">
        <v>0</v>
      </c>
      <c r="AN37" s="33"/>
      <c r="AO37" s="32">
        <v>-0.26800000000000002</v>
      </c>
      <c r="AP37" s="33">
        <v>1</v>
      </c>
      <c r="AQ37" s="32">
        <v>-1E-3</v>
      </c>
      <c r="AR37" s="33">
        <v>1</v>
      </c>
      <c r="AS37" s="32">
        <v>0</v>
      </c>
      <c r="AT37" s="33"/>
      <c r="AU37" s="32">
        <v>-5.2999999999999999E-2</v>
      </c>
      <c r="AV37" s="33">
        <v>1</v>
      </c>
      <c r="AW37" s="32">
        <v>-0.69599999999999995</v>
      </c>
      <c r="AX37" s="33">
        <v>1</v>
      </c>
      <c r="AY37" s="32">
        <v>-3.2200000000000002E-4</v>
      </c>
      <c r="AZ37" s="33">
        <v>1</v>
      </c>
    </row>
    <row r="38" spans="1:52" x14ac:dyDescent="0.25">
      <c r="A38" s="7" t="s">
        <v>90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27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1314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6" t="s">
        <v>1315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1316</v>
      </c>
      <c r="B7" s="10"/>
      <c r="C7" s="13">
        <v>0</v>
      </c>
      <c r="D7" s="13">
        <v>0</v>
      </c>
      <c r="E7" s="13">
        <v>0</v>
      </c>
      <c r="F7" s="13">
        <v>0</v>
      </c>
      <c r="G7" s="13">
        <v>6.0613E-2</v>
      </c>
      <c r="H7" s="13">
        <v>1.0834790000000001</v>
      </c>
      <c r="I7" s="13">
        <v>1.906636</v>
      </c>
      <c r="J7" s="13">
        <v>7.3685939999999999</v>
      </c>
      <c r="K7" s="13">
        <v>12.454269999999999</v>
      </c>
      <c r="L7" s="13">
        <v>15.878329000000001</v>
      </c>
      <c r="M7" s="13">
        <v>20.046561000000001</v>
      </c>
      <c r="N7" s="13">
        <v>22.207201000000001</v>
      </c>
      <c r="O7" s="13">
        <v>25.670926000000001</v>
      </c>
      <c r="P7" s="13">
        <v>34.996000000000002</v>
      </c>
      <c r="Q7" s="13">
        <v>55.579000000000001</v>
      </c>
      <c r="R7" s="13">
        <v>71.87</v>
      </c>
      <c r="S7" s="13">
        <v>8.7869000000000003E-2</v>
      </c>
      <c r="T7" s="13">
        <v>95.305999999999997</v>
      </c>
      <c r="U7" s="13">
        <v>0.110792</v>
      </c>
      <c r="V7" s="13">
        <v>126.173</v>
      </c>
      <c r="W7" s="13">
        <v>0.13209899999999999</v>
      </c>
      <c r="X7" s="13">
        <v>144.86600000000001</v>
      </c>
      <c r="Y7" s="13">
        <v>161.38800000000001</v>
      </c>
      <c r="Z7" s="13">
        <v>175.375</v>
      </c>
      <c r="AA7" s="13">
        <v>0.19922300000000001</v>
      </c>
    </row>
    <row r="8" spans="1:27" x14ac:dyDescent="0.25">
      <c r="A8" s="10" t="s">
        <v>1317</v>
      </c>
      <c r="B8" s="10"/>
      <c r="C8" s="13">
        <v>-42.62294</v>
      </c>
      <c r="D8" s="13">
        <v>-36.695839999999997</v>
      </c>
      <c r="E8" s="13">
        <v>-39.171114000000003</v>
      </c>
      <c r="F8" s="13">
        <v>-36.376235999999999</v>
      </c>
      <c r="G8" s="13">
        <v>-41.768659</v>
      </c>
      <c r="H8" s="13">
        <v>-49.085523999999999</v>
      </c>
      <c r="I8" s="13">
        <v>-64.872316999999995</v>
      </c>
      <c r="J8" s="13">
        <v>-55.936453999999998</v>
      </c>
      <c r="K8" s="13">
        <v>-61.333336000000003</v>
      </c>
      <c r="L8" s="13">
        <v>-53.218693000000002</v>
      </c>
      <c r="M8" s="13">
        <v>-69.141053999999997</v>
      </c>
      <c r="N8" s="13">
        <v>-77.323824000000002</v>
      </c>
      <c r="O8" s="13">
        <v>-86.004553999999999</v>
      </c>
      <c r="P8" s="13">
        <v>-72.662000000000006</v>
      </c>
      <c r="Q8" s="13">
        <v>-87.923000000000002</v>
      </c>
      <c r="R8" s="13">
        <v>-55.628999999999998</v>
      </c>
      <c r="S8" s="13">
        <v>-4.7412000000000003E-2</v>
      </c>
      <c r="T8" s="13">
        <v>-48.392000000000003</v>
      </c>
      <c r="U8" s="13">
        <v>-4.7178999999999999E-2</v>
      </c>
      <c r="V8" s="13">
        <v>-29.713000000000001</v>
      </c>
      <c r="W8" s="13">
        <v>-3.4097000000000002E-2</v>
      </c>
      <c r="X8" s="13">
        <v>-20.952000000000002</v>
      </c>
      <c r="Y8" s="13">
        <v>-27.722999999999999</v>
      </c>
      <c r="Z8" s="13">
        <v>-38.848999999999997</v>
      </c>
      <c r="AA8" s="13">
        <v>-2.9197000000000001E-2</v>
      </c>
    </row>
    <row r="9" spans="1:27" x14ac:dyDescent="0.25">
      <c r="A9" s="10" t="s">
        <v>1318</v>
      </c>
      <c r="B9" s="10"/>
      <c r="C9" s="13">
        <v>357.20649800000001</v>
      </c>
      <c r="D9" s="13">
        <v>342.97281700000002</v>
      </c>
      <c r="E9" s="13">
        <v>309.86261400000001</v>
      </c>
      <c r="F9" s="13">
        <v>280.52303000000001</v>
      </c>
      <c r="G9" s="13">
        <v>251.186476</v>
      </c>
      <c r="H9" s="13">
        <v>481.24271700000003</v>
      </c>
      <c r="I9" s="13">
        <v>440.93082399999997</v>
      </c>
      <c r="J9" s="13">
        <v>771.29380900000001</v>
      </c>
      <c r="K9" s="13">
        <v>717.31367399999999</v>
      </c>
      <c r="L9" s="13">
        <v>674.48856799999999</v>
      </c>
      <c r="M9" s="13">
        <v>625.69666199999995</v>
      </c>
      <c r="N9" s="13">
        <v>556.97573399999999</v>
      </c>
      <c r="O9" s="13">
        <v>489.92209600000001</v>
      </c>
      <c r="P9" s="13">
        <v>868.58</v>
      </c>
      <c r="Q9" s="13">
        <v>811.90599999999995</v>
      </c>
      <c r="R9" s="13">
        <v>781.99900000000002</v>
      </c>
      <c r="S9" s="13">
        <v>0.75478000000000001</v>
      </c>
      <c r="T9" s="13">
        <v>722.15800000000002</v>
      </c>
      <c r="U9" s="13">
        <v>0.71360199999999996</v>
      </c>
      <c r="V9" s="13">
        <v>717.66399999999999</v>
      </c>
      <c r="W9" s="13">
        <v>0.72829500000000003</v>
      </c>
      <c r="X9" s="13">
        <v>747.03599999999994</v>
      </c>
      <c r="Y9" s="13">
        <v>1320.5039999999999</v>
      </c>
      <c r="Z9" s="13">
        <v>1324.4449999999999</v>
      </c>
      <c r="AA9" s="13">
        <v>1.3669119999999999</v>
      </c>
    </row>
    <row r="10" spans="1:27" x14ac:dyDescent="0.25">
      <c r="A10" s="10" t="s">
        <v>1319</v>
      </c>
      <c r="B10" s="10"/>
      <c r="C10" s="13">
        <v>9.5466999999999996E-2</v>
      </c>
      <c r="D10" s="13">
        <v>0.101353</v>
      </c>
      <c r="E10" s="13">
        <v>0.105056</v>
      </c>
      <c r="F10" s="13">
        <v>0.129052</v>
      </c>
      <c r="G10" s="13">
        <v>0.14166000000000001</v>
      </c>
      <c r="H10" s="13">
        <v>0.14880199999999999</v>
      </c>
      <c r="I10" s="13">
        <v>0.1323</v>
      </c>
      <c r="J10" s="13">
        <v>0.121044</v>
      </c>
      <c r="K10" s="13">
        <v>0.125972</v>
      </c>
      <c r="L10" s="13">
        <v>0.12700800000000001</v>
      </c>
      <c r="M10" s="13">
        <v>0.125581</v>
      </c>
      <c r="N10" s="13">
        <v>0.13394500000000001</v>
      </c>
      <c r="O10" s="13">
        <v>0.14682600000000001</v>
      </c>
      <c r="P10" s="13">
        <v>0.17100000000000001</v>
      </c>
      <c r="Q10" s="13">
        <v>0.17199999999999999</v>
      </c>
      <c r="R10" s="13">
        <v>0.17</v>
      </c>
      <c r="S10" s="13">
        <v>0.14299999999999999</v>
      </c>
      <c r="T10" s="13">
        <v>0.13400000000000001</v>
      </c>
      <c r="U10" s="13">
        <v>0.123</v>
      </c>
      <c r="V10" s="13">
        <v>0.13500000000000001</v>
      </c>
      <c r="W10" s="13">
        <v>0.13600000000000001</v>
      </c>
      <c r="X10" s="13">
        <v>0.13200000000000001</v>
      </c>
      <c r="Y10" s="13">
        <v>0.129</v>
      </c>
      <c r="Z10" s="13">
        <v>0.13800000000000001</v>
      </c>
      <c r="AA10" s="13">
        <v>0.109</v>
      </c>
    </row>
    <row r="11" spans="1:27" x14ac:dyDescent="0.25">
      <c r="A11" s="10" t="s">
        <v>1320</v>
      </c>
      <c r="B11" s="10"/>
      <c r="C11" s="13">
        <v>-5.8753E-2</v>
      </c>
      <c r="D11" s="13">
        <v>-6.7193000000000003E-2</v>
      </c>
      <c r="E11" s="13">
        <v>-1.0623830000000001</v>
      </c>
      <c r="F11" s="13">
        <v>-0.221112</v>
      </c>
      <c r="G11" s="13">
        <v>-0.70039499999999999</v>
      </c>
      <c r="H11" s="13">
        <v>-2.2048999999999999E-2</v>
      </c>
      <c r="I11" s="13">
        <v>0</v>
      </c>
      <c r="J11" s="13">
        <v>-0.169909</v>
      </c>
      <c r="K11" s="13">
        <v>-7.4765999999999999E-2</v>
      </c>
      <c r="L11" s="13">
        <v>0</v>
      </c>
      <c r="M11" s="13">
        <v>-1.5244000000000001E-2</v>
      </c>
      <c r="N11" s="13">
        <v>-0.30925200000000003</v>
      </c>
      <c r="O11" s="13">
        <v>-1.242E-3</v>
      </c>
      <c r="P11" s="13">
        <v>-0.56599999999999995</v>
      </c>
      <c r="Q11" s="13">
        <v>-0.123</v>
      </c>
      <c r="R11" s="13">
        <v>-0.11700000000000001</v>
      </c>
      <c r="S11" s="13">
        <v>0</v>
      </c>
      <c r="T11" s="13">
        <v>0</v>
      </c>
      <c r="U11" s="13">
        <v>0</v>
      </c>
      <c r="V11" s="13">
        <v>-0.26800000000000002</v>
      </c>
      <c r="W11" s="13">
        <v>-1E-3</v>
      </c>
      <c r="X11" s="13">
        <v>0</v>
      </c>
      <c r="Y11" s="13">
        <v>-5.2999999999999999E-2</v>
      </c>
      <c r="Z11" s="13">
        <v>-0.69599999999999995</v>
      </c>
      <c r="AA11" s="13">
        <v>-3.2200000000000002E-4</v>
      </c>
    </row>
    <row r="12" spans="1:27" x14ac:dyDescent="0.25">
      <c r="A12" s="10" t="s">
        <v>1321</v>
      </c>
      <c r="B12" s="10"/>
      <c r="C12" s="13">
        <v>1.1597660000000001</v>
      </c>
      <c r="D12" s="13">
        <v>21.229886</v>
      </c>
      <c r="E12" s="13">
        <v>20.905415000000001</v>
      </c>
      <c r="F12" s="13">
        <v>20.715411</v>
      </c>
      <c r="G12" s="13">
        <v>20.511814000000001</v>
      </c>
      <c r="H12" s="13">
        <v>20.184132999999999</v>
      </c>
      <c r="I12" s="13">
        <v>22.271362</v>
      </c>
      <c r="J12" s="13">
        <v>26.341719000000001</v>
      </c>
      <c r="K12" s="13">
        <v>26.323108000000001</v>
      </c>
      <c r="L12" s="13">
        <v>25.302040999999999</v>
      </c>
      <c r="M12" s="13">
        <v>24.307334000000001</v>
      </c>
      <c r="N12" s="13">
        <v>23.646985000000001</v>
      </c>
      <c r="O12" s="13">
        <v>22.555181999999999</v>
      </c>
      <c r="P12" s="13">
        <v>20.152000000000001</v>
      </c>
      <c r="Q12" s="13">
        <v>22.614000000000001</v>
      </c>
      <c r="R12" s="13">
        <v>22.157</v>
      </c>
      <c r="S12" s="13">
        <v>1.6736999999999998E-2</v>
      </c>
      <c r="T12" s="13">
        <v>15.978</v>
      </c>
      <c r="U12" s="13">
        <v>1.5443E-2</v>
      </c>
      <c r="V12" s="13">
        <v>15.153</v>
      </c>
      <c r="W12" s="13">
        <v>1.4581999999999999E-2</v>
      </c>
      <c r="X12" s="13">
        <v>14.003</v>
      </c>
      <c r="Y12" s="13">
        <v>15.952</v>
      </c>
      <c r="Z12" s="13">
        <v>16.015999999999998</v>
      </c>
      <c r="AA12" s="13">
        <v>1.4896E-2</v>
      </c>
    </row>
    <row r="13" spans="1:27" x14ac:dyDescent="0.25">
      <c r="A13" s="10" t="s">
        <v>1322</v>
      </c>
      <c r="B13" s="10"/>
      <c r="C13" s="13">
        <v>39.491616999999998</v>
      </c>
      <c r="D13" s="13">
        <v>54.35839</v>
      </c>
      <c r="E13" s="13">
        <v>53.094251999999997</v>
      </c>
      <c r="F13" s="13">
        <v>53.642744999999998</v>
      </c>
      <c r="G13" s="13">
        <v>56.179205000000003</v>
      </c>
      <c r="H13" s="13">
        <v>50.794387</v>
      </c>
      <c r="I13" s="13">
        <v>61.400956000000001</v>
      </c>
      <c r="J13" s="13">
        <v>61.898274000000001</v>
      </c>
      <c r="K13" s="13">
        <v>60.453569999999999</v>
      </c>
      <c r="L13" s="13">
        <v>62.338810000000002</v>
      </c>
      <c r="M13" s="13">
        <v>72.110787999999999</v>
      </c>
      <c r="N13" s="13">
        <v>70.219481000000002</v>
      </c>
      <c r="O13" s="13">
        <v>72.031420999999995</v>
      </c>
      <c r="P13" s="13">
        <v>75.83</v>
      </c>
      <c r="Q13" s="13">
        <v>89.709000000000003</v>
      </c>
      <c r="R13" s="13">
        <v>96.576999999999998</v>
      </c>
      <c r="S13" s="13">
        <v>9.8710000000000006E-2</v>
      </c>
      <c r="T13" s="13">
        <v>94.548000000000002</v>
      </c>
      <c r="U13" s="13">
        <v>0.106512</v>
      </c>
      <c r="V13" s="13">
        <v>116.983</v>
      </c>
      <c r="W13" s="13">
        <v>0.13687099999999999</v>
      </c>
      <c r="X13" s="13">
        <v>147.53800000000001</v>
      </c>
      <c r="Y13" s="13">
        <v>175.892</v>
      </c>
      <c r="Z13" s="13">
        <v>179.619</v>
      </c>
      <c r="AA13" s="13">
        <v>0.21845200000000001</v>
      </c>
    </row>
    <row r="14" spans="1:27" x14ac:dyDescent="0.25">
      <c r="A14" s="10" t="s">
        <v>1323</v>
      </c>
      <c r="B14" s="10"/>
      <c r="C14" s="13">
        <v>0</v>
      </c>
      <c r="D14" s="13" t="s">
        <v>76</v>
      </c>
      <c r="E14" s="13" t="s">
        <v>76</v>
      </c>
      <c r="F14" s="13">
        <v>0</v>
      </c>
      <c r="G14" s="13">
        <v>0</v>
      </c>
      <c r="H14" s="13" t="s">
        <v>76</v>
      </c>
      <c r="I14" s="13" t="s">
        <v>76</v>
      </c>
      <c r="J14" s="13" t="s">
        <v>76</v>
      </c>
      <c r="K14" s="13">
        <v>0</v>
      </c>
      <c r="L14" s="13" t="s">
        <v>76</v>
      </c>
      <c r="M14" s="13" t="s">
        <v>76</v>
      </c>
      <c r="N14" s="13" t="s">
        <v>76</v>
      </c>
      <c r="O14" s="13">
        <v>0</v>
      </c>
      <c r="P14" s="13" t="s">
        <v>76</v>
      </c>
      <c r="Q14" s="13" t="s">
        <v>76</v>
      </c>
      <c r="R14" s="13" t="s">
        <v>76</v>
      </c>
      <c r="S14" s="13">
        <v>0</v>
      </c>
      <c r="T14" s="13" t="s">
        <v>76</v>
      </c>
      <c r="U14" s="13" t="s">
        <v>76</v>
      </c>
      <c r="V14" s="13" t="s">
        <v>76</v>
      </c>
      <c r="W14" s="13">
        <v>0</v>
      </c>
      <c r="X14" s="13" t="s">
        <v>76</v>
      </c>
      <c r="Y14" s="13" t="s">
        <v>76</v>
      </c>
      <c r="Z14" s="13" t="s">
        <v>76</v>
      </c>
      <c r="AA14" s="13">
        <v>0</v>
      </c>
    </row>
    <row r="15" spans="1:27" x14ac:dyDescent="0.25">
      <c r="A15" s="10" t="s">
        <v>1324</v>
      </c>
      <c r="B15" s="10"/>
      <c r="C15" s="13">
        <v>-40.748035999999999</v>
      </c>
      <c r="D15" s="13">
        <v>-34.835763</v>
      </c>
      <c r="E15" s="13">
        <v>-37.441164000000001</v>
      </c>
      <c r="F15" s="13">
        <v>-34.862399000000003</v>
      </c>
      <c r="G15" s="13">
        <v>-40.582850999999998</v>
      </c>
      <c r="H15" s="13">
        <v>-47.410601999999997</v>
      </c>
      <c r="I15" s="13">
        <v>-63.712257999999999</v>
      </c>
      <c r="J15" s="13">
        <v>-55.183624999999999</v>
      </c>
      <c r="K15" s="13">
        <v>-60.699178000000003</v>
      </c>
      <c r="L15" s="13">
        <v>-52.739942999999997</v>
      </c>
      <c r="M15" s="13">
        <v>-68.743781999999996</v>
      </c>
      <c r="N15" s="13">
        <v>-76.908004000000005</v>
      </c>
      <c r="O15" s="13">
        <v>-85.733936999999997</v>
      </c>
      <c r="P15" s="13">
        <v>-72.119</v>
      </c>
      <c r="Q15" s="13">
        <v>-86.602999999999994</v>
      </c>
      <c r="R15" s="13">
        <v>-53.508000000000003</v>
      </c>
      <c r="S15" s="13">
        <v>-4.4026000000000003E-2</v>
      </c>
      <c r="T15" s="13">
        <v>-44.052999999999997</v>
      </c>
      <c r="U15" s="13">
        <v>-4.2784000000000003E-2</v>
      </c>
      <c r="V15" s="13">
        <v>-24.257999999999999</v>
      </c>
      <c r="W15" s="13">
        <v>-2.8579E-2</v>
      </c>
      <c r="X15" s="13">
        <v>-15.247</v>
      </c>
      <c r="Y15" s="13">
        <v>-16.22</v>
      </c>
      <c r="Z15" s="13">
        <v>-26.324000000000002</v>
      </c>
      <c r="AA15" s="13">
        <v>-1.6885000000000001E-2</v>
      </c>
    </row>
    <row r="16" spans="1:27" x14ac:dyDescent="0.25">
      <c r="A16" s="10" t="s">
        <v>1325</v>
      </c>
      <c r="B16" s="10"/>
      <c r="C16" s="13" t="s">
        <v>76</v>
      </c>
      <c r="D16" s="13" t="s">
        <v>76</v>
      </c>
      <c r="E16" s="13">
        <v>0</v>
      </c>
      <c r="F16" s="13" t="s">
        <v>76</v>
      </c>
      <c r="G16" s="13" t="s">
        <v>76</v>
      </c>
      <c r="H16" s="13">
        <v>1.014168</v>
      </c>
      <c r="I16" s="13">
        <v>1.778097</v>
      </c>
      <c r="J16" s="13">
        <v>6.812487</v>
      </c>
      <c r="K16" s="13">
        <v>11.313198</v>
      </c>
      <c r="L16" s="13">
        <v>14.423114</v>
      </c>
      <c r="M16" s="13">
        <v>18.006530000000001</v>
      </c>
      <c r="N16" s="13">
        <v>20.205886</v>
      </c>
      <c r="O16" s="13">
        <v>23.132898000000001</v>
      </c>
      <c r="P16" s="13">
        <v>31.841000000000001</v>
      </c>
      <c r="Q16" s="13">
        <v>50.929000000000002</v>
      </c>
      <c r="R16" s="13">
        <v>66.02</v>
      </c>
      <c r="S16" s="13">
        <v>8.1081E-2</v>
      </c>
      <c r="T16" s="13">
        <v>88.555000000000007</v>
      </c>
      <c r="U16" s="13">
        <v>0.103629</v>
      </c>
      <c r="V16" s="13">
        <v>117.044</v>
      </c>
      <c r="W16" s="13">
        <v>0.121397</v>
      </c>
      <c r="X16" s="13">
        <v>134.96600000000001</v>
      </c>
      <c r="Y16" s="13">
        <v>150.03399999999999</v>
      </c>
      <c r="Z16" s="13">
        <v>160.071</v>
      </c>
      <c r="AA16" s="13">
        <v>0.178818</v>
      </c>
    </row>
    <row r="17" spans="1:27" x14ac:dyDescent="0.25">
      <c r="A17" s="10" t="s">
        <v>1326</v>
      </c>
      <c r="B17" s="10"/>
      <c r="C17" s="13">
        <v>9.5466999999999996E-2</v>
      </c>
      <c r="D17" s="13">
        <v>0.101353</v>
      </c>
      <c r="E17" s="13">
        <v>0.105056</v>
      </c>
      <c r="F17" s="13">
        <v>0.129052</v>
      </c>
      <c r="G17" s="13">
        <v>0.14166000000000001</v>
      </c>
      <c r="H17" s="13">
        <v>0.14880199999999999</v>
      </c>
      <c r="I17" s="13">
        <v>0.1323</v>
      </c>
      <c r="J17" s="13">
        <v>0.121044</v>
      </c>
      <c r="K17" s="13">
        <v>0.125972</v>
      </c>
      <c r="L17" s="13">
        <v>0.12700800000000001</v>
      </c>
      <c r="M17" s="13">
        <v>0.125581</v>
      </c>
      <c r="N17" s="13">
        <v>0.13394500000000001</v>
      </c>
      <c r="O17" s="13">
        <v>0.14682600000000001</v>
      </c>
      <c r="P17" s="13">
        <v>0.17100000000000001</v>
      </c>
      <c r="Q17" s="13">
        <v>0.17199999999999999</v>
      </c>
      <c r="R17" s="13">
        <v>0.17</v>
      </c>
      <c r="S17" s="13">
        <v>1.4300000000000001E-4</v>
      </c>
      <c r="T17" s="13">
        <v>0.13400000000000001</v>
      </c>
      <c r="U17" s="13">
        <v>1.2300000000000001E-4</v>
      </c>
      <c r="V17" s="13">
        <v>0.13500000000000001</v>
      </c>
      <c r="W17" s="13">
        <v>1.36E-4</v>
      </c>
      <c r="X17" s="13">
        <v>0.13200000000000001</v>
      </c>
      <c r="Y17" s="13">
        <v>0.129</v>
      </c>
      <c r="Z17" s="13">
        <v>0.13800000000000001</v>
      </c>
      <c r="AA17" s="13">
        <v>1.0900000000000001E-4</v>
      </c>
    </row>
    <row r="18" spans="1:27" x14ac:dyDescent="0.25">
      <c r="A18" s="10" t="s">
        <v>1327</v>
      </c>
      <c r="B18" s="10"/>
      <c r="C18" s="13">
        <v>-40.748035999999999</v>
      </c>
      <c r="D18" s="13">
        <v>-34.835763</v>
      </c>
      <c r="E18" s="13">
        <v>-37.439563999999997</v>
      </c>
      <c r="F18" s="13">
        <v>-34.862399000000003</v>
      </c>
      <c r="G18" s="13">
        <v>-40.582850999999998</v>
      </c>
      <c r="H18" s="13">
        <v>-47.407321000000003</v>
      </c>
      <c r="I18" s="13">
        <v>-63.712257999999999</v>
      </c>
      <c r="J18" s="13">
        <v>-55.183624999999999</v>
      </c>
      <c r="K18" s="13">
        <v>-60.688946000000001</v>
      </c>
      <c r="L18" s="13">
        <v>-52.734943000000001</v>
      </c>
      <c r="M18" s="13">
        <v>-68.720026000000004</v>
      </c>
      <c r="N18" s="13">
        <v>-76.931128999999999</v>
      </c>
      <c r="O18" s="13">
        <v>-85.733936999999997</v>
      </c>
      <c r="P18" s="13">
        <v>-72.114000000000004</v>
      </c>
      <c r="Q18" s="13">
        <v>-86.602999999999994</v>
      </c>
      <c r="R18" s="13">
        <v>-53.506999999999998</v>
      </c>
      <c r="S18" s="13">
        <v>-4.4026000000000003E-2</v>
      </c>
      <c r="T18" s="13">
        <v>-44.042999999999999</v>
      </c>
      <c r="U18" s="13">
        <v>-4.2648999999999999E-2</v>
      </c>
      <c r="V18" s="13">
        <v>-24.215</v>
      </c>
      <c r="W18" s="13">
        <v>-2.8131E-2</v>
      </c>
      <c r="X18" s="13">
        <v>-14.888</v>
      </c>
      <c r="Y18" s="13">
        <v>-16.163</v>
      </c>
      <c r="Z18" s="13">
        <v>-25.95</v>
      </c>
      <c r="AA18" s="13">
        <v>-1.7201999999999999E-2</v>
      </c>
    </row>
    <row r="19" spans="1:27" x14ac:dyDescent="0.25">
      <c r="A19" s="10" t="s">
        <v>1328</v>
      </c>
      <c r="B19" s="10"/>
      <c r="C19" s="13">
        <v>33.605629</v>
      </c>
      <c r="D19" s="13">
        <v>24.990856000000001</v>
      </c>
      <c r="E19" s="13">
        <v>23.728000000000002</v>
      </c>
      <c r="F19" s="13">
        <v>21.339791999999999</v>
      </c>
      <c r="G19" s="13">
        <v>19.065725</v>
      </c>
      <c r="H19" s="13">
        <v>16.003326000000001</v>
      </c>
      <c r="I19" s="13">
        <v>25.204857000000001</v>
      </c>
      <c r="J19" s="13">
        <v>10.275368</v>
      </c>
      <c r="K19" s="13">
        <v>14.298586</v>
      </c>
      <c r="L19" s="13">
        <v>15.058</v>
      </c>
      <c r="M19" s="13">
        <v>17.296420000000001</v>
      </c>
      <c r="N19" s="13">
        <v>27.031825000000001</v>
      </c>
      <c r="O19" s="13">
        <v>29.459099999999999</v>
      </c>
      <c r="P19" s="13">
        <v>29.042999999999999</v>
      </c>
      <c r="Q19" s="13">
        <v>38.536000000000001</v>
      </c>
      <c r="R19" s="13">
        <v>33.274000000000001</v>
      </c>
      <c r="S19" s="13">
        <v>3.3862000000000003E-2</v>
      </c>
      <c r="T19" s="13">
        <v>38.024000000000001</v>
      </c>
      <c r="U19" s="13">
        <v>4.9793999999999998E-2</v>
      </c>
      <c r="V19" s="13">
        <v>41.55</v>
      </c>
      <c r="W19" s="13">
        <v>5.0774E-2</v>
      </c>
      <c r="X19" s="13">
        <v>42.832999999999998</v>
      </c>
      <c r="Y19" s="13">
        <v>56.183</v>
      </c>
      <c r="Z19" s="13">
        <v>66.819000000000003</v>
      </c>
      <c r="AA19" s="13">
        <v>7.0286000000000001E-2</v>
      </c>
    </row>
    <row r="20" spans="1:27" x14ac:dyDescent="0.25">
      <c r="A20" s="10" t="s">
        <v>1329</v>
      </c>
      <c r="B20" s="10"/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 t="s">
        <v>76</v>
      </c>
      <c r="I20" s="13">
        <v>0</v>
      </c>
      <c r="J20" s="13">
        <v>0</v>
      </c>
      <c r="K20" s="13">
        <v>0</v>
      </c>
      <c r="L20" s="13" t="s">
        <v>76</v>
      </c>
      <c r="M20" s="13" t="s">
        <v>76</v>
      </c>
      <c r="N20" s="13" t="s">
        <v>76</v>
      </c>
      <c r="O20" s="13">
        <v>0</v>
      </c>
      <c r="P20" s="13" t="s">
        <v>76</v>
      </c>
      <c r="Q20" s="13" t="s">
        <v>76</v>
      </c>
      <c r="R20" s="13" t="s">
        <v>76</v>
      </c>
      <c r="S20" s="13">
        <v>0</v>
      </c>
      <c r="T20" s="13" t="s">
        <v>76</v>
      </c>
      <c r="U20" s="13" t="s">
        <v>76</v>
      </c>
      <c r="V20" s="13" t="s">
        <v>76</v>
      </c>
      <c r="W20" s="13">
        <v>0</v>
      </c>
      <c r="X20" s="13" t="s">
        <v>76</v>
      </c>
      <c r="Y20" s="13" t="s">
        <v>76</v>
      </c>
      <c r="Z20" s="13" t="s">
        <v>76</v>
      </c>
      <c r="AA20" s="13">
        <v>0</v>
      </c>
    </row>
    <row r="21" spans="1:27" x14ac:dyDescent="0.25">
      <c r="A21" s="10" t="s">
        <v>1330</v>
      </c>
      <c r="B21" s="10"/>
      <c r="C21" s="13">
        <v>1.8749039999999999</v>
      </c>
      <c r="D21" s="13">
        <v>1.860077</v>
      </c>
      <c r="E21" s="13">
        <v>1.7315499999999999</v>
      </c>
      <c r="F21" s="13">
        <v>1.5138370000000001</v>
      </c>
      <c r="G21" s="13">
        <v>1.185808</v>
      </c>
      <c r="H21" s="13">
        <v>1.6782029999999999</v>
      </c>
      <c r="I21" s="13">
        <v>1.160059</v>
      </c>
      <c r="J21" s="13">
        <v>0.75282899999999997</v>
      </c>
      <c r="K21" s="13">
        <v>0.64439000000000002</v>
      </c>
      <c r="L21" s="13">
        <v>0.48375000000000001</v>
      </c>
      <c r="M21" s="13">
        <v>0.42102800000000001</v>
      </c>
      <c r="N21" s="13">
        <v>0.39269500000000002</v>
      </c>
      <c r="O21" s="13">
        <v>0.270617</v>
      </c>
      <c r="P21" s="13">
        <v>0.54800000000000004</v>
      </c>
      <c r="Q21" s="13">
        <v>1.32</v>
      </c>
      <c r="R21" s="13">
        <v>2.1219999999999999</v>
      </c>
      <c r="S21" s="13">
        <v>3.3860000000000001E-3</v>
      </c>
      <c r="T21" s="13">
        <v>4.3490000000000002</v>
      </c>
      <c r="U21" s="13">
        <v>4.5300000000000002E-3</v>
      </c>
      <c r="V21" s="13">
        <v>5.4980000000000002</v>
      </c>
      <c r="W21" s="13">
        <v>5.9659999999999999E-3</v>
      </c>
      <c r="X21" s="13">
        <v>6.0640000000000001</v>
      </c>
      <c r="Y21" s="13">
        <v>11.56</v>
      </c>
      <c r="Z21" s="13">
        <v>12.898999999999999</v>
      </c>
      <c r="AA21" s="13">
        <v>1.1995E-2</v>
      </c>
    </row>
    <row r="22" spans="1:27" x14ac:dyDescent="0.25">
      <c r="A22" s="10" t="s">
        <v>1331</v>
      </c>
      <c r="B22" s="10"/>
      <c r="C22" s="13">
        <v>0</v>
      </c>
      <c r="D22" s="13">
        <v>0</v>
      </c>
      <c r="E22" s="13">
        <v>1.6000000000000001E-3</v>
      </c>
      <c r="F22" s="13">
        <v>0</v>
      </c>
      <c r="G22" s="13">
        <v>0</v>
      </c>
      <c r="H22" s="13">
        <v>3.2810000000000001E-3</v>
      </c>
      <c r="I22" s="13">
        <v>0</v>
      </c>
      <c r="J22" s="13">
        <v>0</v>
      </c>
      <c r="K22" s="13">
        <v>1.0232E-2</v>
      </c>
      <c r="L22" s="13">
        <v>5.0000000000000001E-3</v>
      </c>
      <c r="M22" s="13">
        <v>2.3755999999999999E-2</v>
      </c>
      <c r="N22" s="13">
        <v>-2.3125E-2</v>
      </c>
      <c r="O22" s="13">
        <v>0</v>
      </c>
      <c r="P22" s="13">
        <v>5.0000000000000001E-3</v>
      </c>
      <c r="Q22" s="13">
        <v>0</v>
      </c>
      <c r="R22" s="13">
        <v>1E-3</v>
      </c>
      <c r="S22" s="13">
        <v>0</v>
      </c>
      <c r="T22" s="13">
        <v>0.01</v>
      </c>
      <c r="U22" s="13">
        <v>1.35E-4</v>
      </c>
      <c r="V22" s="13">
        <v>4.2999999999999997E-2</v>
      </c>
      <c r="W22" s="13">
        <v>4.4799999999999999E-4</v>
      </c>
      <c r="X22" s="13">
        <v>0.35899999999999999</v>
      </c>
      <c r="Y22" s="13">
        <v>5.7000000000000002E-2</v>
      </c>
      <c r="Z22" s="13">
        <v>0.374</v>
      </c>
      <c r="AA22" s="13">
        <v>-3.1700000000000001E-4</v>
      </c>
    </row>
    <row r="23" spans="1:27" x14ac:dyDescent="0.25">
      <c r="A23" s="6" t="s">
        <v>1332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 x14ac:dyDescent="0.25">
      <c r="A24" s="10" t="s">
        <v>1333</v>
      </c>
      <c r="B24" s="10"/>
      <c r="C24" s="13" t="s">
        <v>76</v>
      </c>
      <c r="D24" s="13">
        <v>0</v>
      </c>
      <c r="E24" s="13">
        <v>0</v>
      </c>
      <c r="F24" s="13">
        <v>0</v>
      </c>
      <c r="G24" s="13">
        <v>6.0613E-2</v>
      </c>
      <c r="H24" s="13">
        <v>0.200963</v>
      </c>
      <c r="I24" s="13">
        <v>3.0747E-2</v>
      </c>
      <c r="J24" s="13">
        <v>0</v>
      </c>
      <c r="K24" s="13">
        <v>5.0515999999999998E-2</v>
      </c>
      <c r="L24" s="13">
        <v>0.29942400000000002</v>
      </c>
      <c r="M24" s="13">
        <v>1.0397810000000001</v>
      </c>
      <c r="N24" s="13" t="s">
        <v>76</v>
      </c>
      <c r="O24" s="13">
        <v>0.15490000000000001</v>
      </c>
      <c r="P24" s="13">
        <v>0.24099999999999999</v>
      </c>
      <c r="Q24" s="13">
        <v>0.505</v>
      </c>
      <c r="R24" s="13" t="s">
        <v>76</v>
      </c>
      <c r="S24" s="13" t="s">
        <v>76</v>
      </c>
      <c r="T24" s="13">
        <v>0.57499999999999996</v>
      </c>
      <c r="U24" s="13" t="s">
        <v>76</v>
      </c>
      <c r="V24" s="13">
        <v>0.36299999999999999</v>
      </c>
      <c r="W24" s="13">
        <v>0.59299999999999997</v>
      </c>
      <c r="X24" s="13" t="s">
        <v>76</v>
      </c>
      <c r="Y24" s="13">
        <v>0.112</v>
      </c>
      <c r="Z24" s="13">
        <v>0.216</v>
      </c>
      <c r="AA24" s="13" t="s">
        <v>76</v>
      </c>
    </row>
    <row r="25" spans="1:27" x14ac:dyDescent="0.25">
      <c r="A25" s="6" t="s">
        <v>1334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 x14ac:dyDescent="0.25">
      <c r="A26" s="10" t="s">
        <v>1333</v>
      </c>
      <c r="B26" s="10"/>
      <c r="C26" s="13" t="s">
        <v>76</v>
      </c>
      <c r="D26" s="13">
        <v>0</v>
      </c>
      <c r="E26" s="13">
        <v>0</v>
      </c>
      <c r="F26" s="13">
        <v>0</v>
      </c>
      <c r="G26" s="13">
        <v>0</v>
      </c>
      <c r="H26" s="13">
        <v>0.88251599999999997</v>
      </c>
      <c r="I26" s="13">
        <v>1.8758889999999999</v>
      </c>
      <c r="J26" s="13">
        <v>7.3685939999999999</v>
      </c>
      <c r="K26" s="13">
        <v>12.403753999999999</v>
      </c>
      <c r="L26" s="13">
        <v>15.578905000000001</v>
      </c>
      <c r="M26" s="13">
        <v>19.006779999999999</v>
      </c>
      <c r="N26" s="13" t="s">
        <v>76</v>
      </c>
      <c r="O26" s="13">
        <v>25.516026</v>
      </c>
      <c r="P26" s="13">
        <v>34.755000000000003</v>
      </c>
      <c r="Q26" s="13">
        <v>55.073999999999998</v>
      </c>
      <c r="R26" s="13" t="s">
        <v>76</v>
      </c>
      <c r="S26" s="13" t="s">
        <v>76</v>
      </c>
      <c r="T26" s="13">
        <v>94.730999999999995</v>
      </c>
      <c r="U26" s="13" t="s">
        <v>76</v>
      </c>
      <c r="V26" s="13">
        <v>125.81</v>
      </c>
      <c r="W26" s="13">
        <v>131.506</v>
      </c>
      <c r="X26" s="13" t="s">
        <v>76</v>
      </c>
      <c r="Y26" s="13">
        <v>161.27600000000001</v>
      </c>
      <c r="Z26" s="13">
        <v>175.15899999999999</v>
      </c>
      <c r="AA26" s="13" t="s">
        <v>76</v>
      </c>
    </row>
    <row r="27" spans="1:27" x14ac:dyDescent="0.25">
      <c r="A27" s="7" t="s">
        <v>90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47"/>
  <sheetViews>
    <sheetView tabSelected="1" workbookViewId="0">
      <selection activeCell="T14" sqref="T14"/>
    </sheetView>
  </sheetViews>
  <sheetFormatPr defaultRowHeight="15" x14ac:dyDescent="0.25"/>
  <cols>
    <col min="1" max="1" width="35.140625" customWidth="1"/>
    <col min="2" max="2" width="0" hidden="1" customWidth="1"/>
    <col min="3" max="16" width="11.85546875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0.25" x14ac:dyDescent="0.25">
      <c r="A2" s="8" t="s">
        <v>1335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3" t="s">
        <v>92</v>
      </c>
      <c r="B4" s="3"/>
      <c r="C4" s="4" t="s">
        <v>1336</v>
      </c>
      <c r="D4" s="4" t="s">
        <v>1337</v>
      </c>
      <c r="E4" s="4" t="s">
        <v>1338</v>
      </c>
      <c r="F4" s="4" t="s">
        <v>1339</v>
      </c>
      <c r="G4" s="4" t="s">
        <v>1340</v>
      </c>
      <c r="H4" s="4" t="s">
        <v>1341</v>
      </c>
      <c r="I4" s="4" t="s">
        <v>1342</v>
      </c>
      <c r="J4" s="4" t="s">
        <v>1343</v>
      </c>
      <c r="K4" s="4" t="s">
        <v>1344</v>
      </c>
      <c r="L4" s="4" t="s">
        <v>1345</v>
      </c>
      <c r="M4" s="4" t="s">
        <v>1346</v>
      </c>
      <c r="N4" s="4" t="s">
        <v>1347</v>
      </c>
      <c r="O4" s="4" t="s">
        <v>1348</v>
      </c>
      <c r="P4" s="4" t="s">
        <v>1349</v>
      </c>
    </row>
    <row r="5" spans="1:16" x14ac:dyDescent="0.25">
      <c r="A5" s="9" t="s">
        <v>33</v>
      </c>
      <c r="B5" s="9"/>
      <c r="C5" s="5" t="s">
        <v>1350</v>
      </c>
      <c r="D5" s="5" t="s">
        <v>1351</v>
      </c>
      <c r="E5" s="5" t="s">
        <v>1352</v>
      </c>
      <c r="F5" s="5" t="s">
        <v>1353</v>
      </c>
      <c r="G5" s="5" t="s">
        <v>1354</v>
      </c>
      <c r="H5" s="5" t="s">
        <v>1355</v>
      </c>
      <c r="I5" s="5" t="s">
        <v>1356</v>
      </c>
      <c r="J5" s="5" t="s">
        <v>95</v>
      </c>
      <c r="K5" s="5" t="s">
        <v>36</v>
      </c>
      <c r="L5" s="5" t="s">
        <v>40</v>
      </c>
      <c r="M5" s="5" t="s">
        <v>44</v>
      </c>
      <c r="N5" s="5" t="s">
        <v>48</v>
      </c>
      <c r="O5" s="5" t="s">
        <v>52</v>
      </c>
      <c r="P5" s="5" t="s">
        <v>56</v>
      </c>
    </row>
    <row r="6" spans="1:16" x14ac:dyDescent="0.25">
      <c r="A6" s="10" t="s">
        <v>1357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6" x14ac:dyDescent="0.25">
      <c r="A7" s="10" t="s">
        <v>1358</v>
      </c>
      <c r="B7" s="10" t="s">
        <v>1359</v>
      </c>
      <c r="C7" s="14" t="str">
        <f>_xll.BDH("ITCI US Equity","ESG_DISCLOSURE_SCORE","FY 2011","FY 2011","Currency=USD","Period=FQ","BEST_FPERIOD_OVERRIDE=FQ","FILING_STATUS=MR","Sort=A","Dates=H","DateFormat=P","Fill=—","Direction=H","UseDPDF=Y")</f>
        <v>—</v>
      </c>
      <c r="D7" s="14" t="str">
        <f>_xll.BDH("ITCI US Equity","ESG_DISCLOSURE_SCORE","FY 2012","FY 2012","Currency=USD","Period=FQ","BEST_FPERIOD_OVERRIDE=FQ","FILING_STATUS=MR","Sort=A","Dates=H","DateFormat=P","Fill=—","Direction=H","UseDPDF=Y")</f>
        <v>—</v>
      </c>
      <c r="E7" s="14" t="str">
        <f>_xll.BDH("ITCI US Equity","ESG_DISCLOSURE_SCORE","FY 2013","FY 2013","Currency=USD","Period=FQ","BEST_FPERIOD_OVERRIDE=FQ","FILING_STATUS=MR","Sort=A","Dates=H","DateFormat=P","Fill=—","Direction=H","UseDPDF=Y")</f>
        <v>—</v>
      </c>
      <c r="F7" s="14" t="str">
        <f>_xll.BDH("ITCI US Equity","ESG_DISCLOSURE_SCORE","FY 2014","FY 2014","Currency=USD","Period=FQ","BEST_FPERIOD_OVERRIDE=FQ","FILING_STATUS=MR","Sort=A","Dates=H","DateFormat=P","Fill=—","Direction=H","UseDPDF=Y")</f>
        <v>—</v>
      </c>
      <c r="G7" s="14" t="str">
        <f>_xll.BDH("ITCI US Equity","ESG_DISCLOSURE_SCORE","FY 2015","FY 2015","Currency=USD","Period=FQ","BEST_FPERIOD_OVERRIDE=FQ","FILING_STATUS=MR","Sort=A","Dates=H","DateFormat=P","Fill=—","Direction=H","UseDPDF=Y")</f>
        <v>—</v>
      </c>
      <c r="H7" s="14" t="str">
        <f>_xll.BDH("ITCI US Equity","ESG_DISCLOSURE_SCORE","FY 2016","FY 2016","Currency=USD","Period=FQ","BEST_FPERIOD_OVERRIDE=FQ","FILING_STATUS=MR","Sort=A","Dates=H","DateFormat=P","Fill=—","Direction=H","UseDPDF=Y")</f>
        <v>—</v>
      </c>
      <c r="I7" s="14" t="str">
        <f>_xll.BDH("ITCI US Equity","ESG_DISCLOSURE_SCORE","FY 2017","FY 2017","Currency=USD","Period=FQ","BEST_FPERIOD_OVERRIDE=FQ","FILING_STATUS=MR","Sort=A","Dates=H","DateFormat=P","Fill=—","Direction=H","UseDPDF=Y")</f>
        <v>—</v>
      </c>
      <c r="J7" s="14" t="str">
        <f>_xll.BDH("ITCI US Equity","ESG_DISCLOSURE_SCORE","FY 2018","FY 2018","Currency=USD","Period=FQ","BEST_FPERIOD_OVERRIDE=FQ","FILING_STATUS=MR","Sort=A","Dates=H","DateFormat=P","Fill=—","Direction=H","UseDPDF=Y")</f>
        <v>—</v>
      </c>
      <c r="K7" s="14" t="str">
        <f>_xll.BDH("ITCI US Equity","ESG_DISCLOSURE_SCORE","FY 2019","FY 2019","Currency=USD","Period=FQ","BEST_FPERIOD_OVERRIDE=FQ","FILING_STATUS=MR","Sort=A","Dates=H","DateFormat=P","Fill=—","Direction=H","UseDPDF=Y")</f>
        <v>—</v>
      </c>
      <c r="L7" s="14" t="str">
        <f>_xll.BDH("ITCI US Equity","ESG_DISCLOSURE_SCORE","FY 2020","FY 2020","Currency=USD","Period=FQ","BEST_FPERIOD_OVERRIDE=FQ","FILING_STATUS=MR","Sort=A","Dates=H","DateFormat=P","Fill=—","Direction=H","UseDPDF=Y")</f>
        <v>—</v>
      </c>
      <c r="M7" s="14" t="str">
        <f>_xll.BDH("ITCI US Equity","ESG_DISCLOSURE_SCORE","FY 2021","FY 2021","Currency=USD","Period=FQ","BEST_FPERIOD_OVERRIDE=FQ","FILING_STATUS=MR","Sort=A","Dates=H","DateFormat=P","Fill=—","Direction=H","UseDPDF=Y")</f>
        <v>—</v>
      </c>
      <c r="N7" s="14" t="str">
        <f>_xll.BDH("ITCI US Equity","ESG_DISCLOSURE_SCORE","FY 2022","FY 2022","Currency=USD","Period=FQ","BEST_FPERIOD_OVERRIDE=FQ","FILING_STATUS=MR","Sort=A","Dates=H","DateFormat=P","Fill=—","Direction=H","UseDPDF=Y")</f>
        <v>—</v>
      </c>
      <c r="O7" s="14" t="str">
        <f>_xll.BDH("ITCI US Equity","ESG_DISCLOSURE_SCORE","FY 2023","FY 2023","Currency=USD","Period=FQ","BEST_FPERIOD_OVERRIDE=FQ","FILING_STATUS=MR","Sort=A","Dates=H","DateFormat=P","Fill=—","Direction=H","UseDPDF=Y")</f>
        <v>—</v>
      </c>
      <c r="P7" s="14" t="str">
        <f>_xll.BDH("ITCI US Equity","ESG_DISCLOSURE_SCORE","FY 2024","FY 2024","Currency=USD","Period=FQ","BEST_FPERIOD_OVERRIDE=FQ","FILING_STATUS=MR","Sort=A","Dates=H","DateFormat=P","Fill=—","Direction=H","UseDPDF=Y")</f>
        <v>—</v>
      </c>
    </row>
    <row r="8" spans="1:16" x14ac:dyDescent="0.25">
      <c r="A8" s="10" t="s">
        <v>1360</v>
      </c>
      <c r="B8" s="10" t="s">
        <v>1361</v>
      </c>
      <c r="C8" s="14" t="str">
        <f>_xll.BDH("ITCI US Equity","ENVIRON_DISCLOSURE_SCORE","FY 2011","FY 2011","Currency=USD","Period=FQ","BEST_FPERIOD_OVERRIDE=FQ","FILING_STATUS=MR","Sort=A","Dates=H","DateFormat=P","Fill=—","Direction=H","UseDPDF=Y")</f>
        <v>—</v>
      </c>
      <c r="D8" s="14" t="str">
        <f>_xll.BDH("ITCI US Equity","ENVIRON_DISCLOSURE_SCORE","FY 2012","FY 2012","Currency=USD","Period=FQ","BEST_FPERIOD_OVERRIDE=FQ","FILING_STATUS=MR","Sort=A","Dates=H","DateFormat=P","Fill=—","Direction=H","UseDPDF=Y")</f>
        <v>—</v>
      </c>
      <c r="E8" s="14" t="str">
        <f>_xll.BDH("ITCI US Equity","ENVIRON_DISCLOSURE_SCORE","FY 2013","FY 2013","Currency=USD","Period=FQ","BEST_FPERIOD_OVERRIDE=FQ","FILING_STATUS=MR","Sort=A","Dates=H","DateFormat=P","Fill=—","Direction=H","UseDPDF=Y")</f>
        <v>—</v>
      </c>
      <c r="F8" s="14" t="str">
        <f>_xll.BDH("ITCI US Equity","ENVIRON_DISCLOSURE_SCORE","FY 2014","FY 2014","Currency=USD","Period=FQ","BEST_FPERIOD_OVERRIDE=FQ","FILING_STATUS=MR","Sort=A","Dates=H","DateFormat=P","Fill=—","Direction=H","UseDPDF=Y")</f>
        <v>—</v>
      </c>
      <c r="G8" s="14" t="str">
        <f>_xll.BDH("ITCI US Equity","ENVIRON_DISCLOSURE_SCORE","FY 2015","FY 2015","Currency=USD","Period=FQ","BEST_FPERIOD_OVERRIDE=FQ","FILING_STATUS=MR","Sort=A","Dates=H","DateFormat=P","Fill=—","Direction=H","UseDPDF=Y")</f>
        <v>—</v>
      </c>
      <c r="H8" s="14" t="str">
        <f>_xll.BDH("ITCI US Equity","ENVIRON_DISCLOSURE_SCORE","FY 2016","FY 2016","Currency=USD","Period=FQ","BEST_FPERIOD_OVERRIDE=FQ","FILING_STATUS=MR","Sort=A","Dates=H","DateFormat=P","Fill=—","Direction=H","UseDPDF=Y")</f>
        <v>—</v>
      </c>
      <c r="I8" s="14" t="str">
        <f>_xll.BDH("ITCI US Equity","ENVIRON_DISCLOSURE_SCORE","FY 2017","FY 2017","Currency=USD","Period=FQ","BEST_FPERIOD_OVERRIDE=FQ","FILING_STATUS=MR","Sort=A","Dates=H","DateFormat=P","Fill=—","Direction=H","UseDPDF=Y")</f>
        <v>—</v>
      </c>
      <c r="J8" s="14" t="str">
        <f>_xll.BDH("ITCI US Equity","ENVIRON_DISCLOSURE_SCORE","FY 2018","FY 2018","Currency=USD","Period=FQ","BEST_FPERIOD_OVERRIDE=FQ","FILING_STATUS=MR","Sort=A","Dates=H","DateFormat=P","Fill=—","Direction=H","UseDPDF=Y")</f>
        <v>—</v>
      </c>
      <c r="K8" s="14" t="str">
        <f>_xll.BDH("ITCI US Equity","ENVIRON_DISCLOSURE_SCORE","FY 2019","FY 2019","Currency=USD","Period=FQ","BEST_FPERIOD_OVERRIDE=FQ","FILING_STATUS=MR","Sort=A","Dates=H","DateFormat=P","Fill=—","Direction=H","UseDPDF=Y")</f>
        <v>—</v>
      </c>
      <c r="L8" s="14" t="str">
        <f>_xll.BDH("ITCI US Equity","ENVIRON_DISCLOSURE_SCORE","FY 2020","FY 2020","Currency=USD","Period=FQ","BEST_FPERIOD_OVERRIDE=FQ","FILING_STATUS=MR","Sort=A","Dates=H","DateFormat=P","Fill=—","Direction=H","UseDPDF=Y")</f>
        <v>—</v>
      </c>
      <c r="M8" s="14" t="str">
        <f>_xll.BDH("ITCI US Equity","ENVIRON_DISCLOSURE_SCORE","FY 2021","FY 2021","Currency=USD","Period=FQ","BEST_FPERIOD_OVERRIDE=FQ","FILING_STATUS=MR","Sort=A","Dates=H","DateFormat=P","Fill=—","Direction=H","UseDPDF=Y")</f>
        <v>—</v>
      </c>
      <c r="N8" s="14" t="str">
        <f>_xll.BDH("ITCI US Equity","ENVIRON_DISCLOSURE_SCORE","FY 2022","FY 2022","Currency=USD","Period=FQ","BEST_FPERIOD_OVERRIDE=FQ","FILING_STATUS=MR","Sort=A","Dates=H","DateFormat=P","Fill=—","Direction=H","UseDPDF=Y")</f>
        <v>—</v>
      </c>
      <c r="O8" s="14" t="str">
        <f>_xll.BDH("ITCI US Equity","ENVIRON_DISCLOSURE_SCORE","FY 2023","FY 2023","Currency=USD","Period=FQ","BEST_FPERIOD_OVERRIDE=FQ","FILING_STATUS=MR","Sort=A","Dates=H","DateFormat=P","Fill=—","Direction=H","UseDPDF=Y")</f>
        <v>—</v>
      </c>
      <c r="P8" s="14" t="str">
        <f>_xll.BDH("ITCI US Equity","ENVIRON_DISCLOSURE_SCORE","FY 2024","FY 2024","Currency=USD","Period=FQ","BEST_FPERIOD_OVERRIDE=FQ","FILING_STATUS=MR","Sort=A","Dates=H","DateFormat=P","Fill=—","Direction=H","UseDPDF=Y")</f>
        <v>—</v>
      </c>
    </row>
    <row r="9" spans="1:16" x14ac:dyDescent="0.25">
      <c r="A9" s="10" t="s">
        <v>1362</v>
      </c>
      <c r="B9" s="10" t="s">
        <v>1363</v>
      </c>
      <c r="C9" s="14" t="str">
        <f>_xll.BDH("ITCI US Equity","SOCIAL_DISCLOSURE_SCORE","FY 2011","FY 2011","Currency=USD","Period=FQ","BEST_FPERIOD_OVERRIDE=FQ","FILING_STATUS=MR","Sort=A","Dates=H","DateFormat=P","Fill=—","Direction=H","UseDPDF=Y")</f>
        <v>—</v>
      </c>
      <c r="D9" s="14" t="str">
        <f>_xll.BDH("ITCI US Equity","SOCIAL_DISCLOSURE_SCORE","FY 2012","FY 2012","Currency=USD","Period=FQ","BEST_FPERIOD_OVERRIDE=FQ","FILING_STATUS=MR","Sort=A","Dates=H","DateFormat=P","Fill=—","Direction=H","UseDPDF=Y")</f>
        <v>—</v>
      </c>
      <c r="E9" s="14" t="str">
        <f>_xll.BDH("ITCI US Equity","SOCIAL_DISCLOSURE_SCORE","FY 2013","FY 2013","Currency=USD","Period=FQ","BEST_FPERIOD_OVERRIDE=FQ","FILING_STATUS=MR","Sort=A","Dates=H","DateFormat=P","Fill=—","Direction=H","UseDPDF=Y")</f>
        <v>—</v>
      </c>
      <c r="F9" s="14" t="str">
        <f>_xll.BDH("ITCI US Equity","SOCIAL_DISCLOSURE_SCORE","FY 2014","FY 2014","Currency=USD","Period=FQ","BEST_FPERIOD_OVERRIDE=FQ","FILING_STATUS=MR","Sort=A","Dates=H","DateFormat=P","Fill=—","Direction=H","UseDPDF=Y")</f>
        <v>—</v>
      </c>
      <c r="G9" s="14" t="str">
        <f>_xll.BDH("ITCI US Equity","SOCIAL_DISCLOSURE_SCORE","FY 2015","FY 2015","Currency=USD","Period=FQ","BEST_FPERIOD_OVERRIDE=FQ","FILING_STATUS=MR","Sort=A","Dates=H","DateFormat=P","Fill=—","Direction=H","UseDPDF=Y")</f>
        <v>—</v>
      </c>
      <c r="H9" s="14" t="str">
        <f>_xll.BDH("ITCI US Equity","SOCIAL_DISCLOSURE_SCORE","FY 2016","FY 2016","Currency=USD","Period=FQ","BEST_FPERIOD_OVERRIDE=FQ","FILING_STATUS=MR","Sort=A","Dates=H","DateFormat=P","Fill=—","Direction=H","UseDPDF=Y")</f>
        <v>—</v>
      </c>
      <c r="I9" s="14" t="str">
        <f>_xll.BDH("ITCI US Equity","SOCIAL_DISCLOSURE_SCORE","FY 2017","FY 2017","Currency=USD","Period=FQ","BEST_FPERIOD_OVERRIDE=FQ","FILING_STATUS=MR","Sort=A","Dates=H","DateFormat=P","Fill=—","Direction=H","UseDPDF=Y")</f>
        <v>—</v>
      </c>
      <c r="J9" s="14" t="str">
        <f>_xll.BDH("ITCI US Equity","SOCIAL_DISCLOSURE_SCORE","FY 2018","FY 2018","Currency=USD","Period=FQ","BEST_FPERIOD_OVERRIDE=FQ","FILING_STATUS=MR","Sort=A","Dates=H","DateFormat=P","Fill=—","Direction=H","UseDPDF=Y")</f>
        <v>—</v>
      </c>
      <c r="K9" s="14" t="str">
        <f>_xll.BDH("ITCI US Equity","SOCIAL_DISCLOSURE_SCORE","FY 2019","FY 2019","Currency=USD","Period=FQ","BEST_FPERIOD_OVERRIDE=FQ","FILING_STATUS=MR","Sort=A","Dates=H","DateFormat=P","Fill=—","Direction=H","UseDPDF=Y")</f>
        <v>—</v>
      </c>
      <c r="L9" s="14" t="str">
        <f>_xll.BDH("ITCI US Equity","SOCIAL_DISCLOSURE_SCORE","FY 2020","FY 2020","Currency=USD","Period=FQ","BEST_FPERIOD_OVERRIDE=FQ","FILING_STATUS=MR","Sort=A","Dates=H","DateFormat=P","Fill=—","Direction=H","UseDPDF=Y")</f>
        <v>—</v>
      </c>
      <c r="M9" s="14" t="str">
        <f>_xll.BDH("ITCI US Equity","SOCIAL_DISCLOSURE_SCORE","FY 2021","FY 2021","Currency=USD","Period=FQ","BEST_FPERIOD_OVERRIDE=FQ","FILING_STATUS=MR","Sort=A","Dates=H","DateFormat=P","Fill=—","Direction=H","UseDPDF=Y")</f>
        <v>—</v>
      </c>
      <c r="N9" s="14" t="str">
        <f>_xll.BDH("ITCI US Equity","SOCIAL_DISCLOSURE_SCORE","FY 2022","FY 2022","Currency=USD","Period=FQ","BEST_FPERIOD_OVERRIDE=FQ","FILING_STATUS=MR","Sort=A","Dates=H","DateFormat=P","Fill=—","Direction=H","UseDPDF=Y")</f>
        <v>—</v>
      </c>
      <c r="O9" s="14" t="str">
        <f>_xll.BDH("ITCI US Equity","SOCIAL_DISCLOSURE_SCORE","FY 2023","FY 2023","Currency=USD","Period=FQ","BEST_FPERIOD_OVERRIDE=FQ","FILING_STATUS=MR","Sort=A","Dates=H","DateFormat=P","Fill=—","Direction=H","UseDPDF=Y")</f>
        <v>—</v>
      </c>
      <c r="P9" s="14" t="str">
        <f>_xll.BDH("ITCI US Equity","SOCIAL_DISCLOSURE_SCORE","FY 2024","FY 2024","Currency=USD","Period=FQ","BEST_FPERIOD_OVERRIDE=FQ","FILING_STATUS=MR","Sort=A","Dates=H","DateFormat=P","Fill=—","Direction=H","UseDPDF=Y")</f>
        <v>—</v>
      </c>
    </row>
    <row r="10" spans="1:16" x14ac:dyDescent="0.25">
      <c r="A10" s="10" t="s">
        <v>1364</v>
      </c>
      <c r="B10" s="10" t="s">
        <v>1365</v>
      </c>
      <c r="C10" s="14" t="str">
        <f>_xll.BDH("ITCI US Equity","GOVNCE_DISCLOSURE_SCORE","FY 2011","FY 2011","Currency=USD","Period=FQ","BEST_FPERIOD_OVERRIDE=FQ","FILING_STATUS=MR","Sort=A","Dates=H","DateFormat=P","Fill=—","Direction=H","UseDPDF=Y")</f>
        <v>—</v>
      </c>
      <c r="D10" s="14" t="str">
        <f>_xll.BDH("ITCI US Equity","GOVNCE_DISCLOSURE_SCORE","FY 2012","FY 2012","Currency=USD","Period=FQ","BEST_FPERIOD_OVERRIDE=FQ","FILING_STATUS=MR","Sort=A","Dates=H","DateFormat=P","Fill=—","Direction=H","UseDPDF=Y")</f>
        <v>—</v>
      </c>
      <c r="E10" s="14" t="str">
        <f>_xll.BDH("ITCI US Equity","GOVNCE_DISCLOSURE_SCORE","FY 2013","FY 2013","Currency=USD","Period=FQ","BEST_FPERIOD_OVERRIDE=FQ","FILING_STATUS=MR","Sort=A","Dates=H","DateFormat=P","Fill=—","Direction=H","UseDPDF=Y")</f>
        <v>—</v>
      </c>
      <c r="F10" s="14" t="str">
        <f>_xll.BDH("ITCI US Equity","GOVNCE_DISCLOSURE_SCORE","FY 2014","FY 2014","Currency=USD","Period=FQ","BEST_FPERIOD_OVERRIDE=FQ","FILING_STATUS=MR","Sort=A","Dates=H","DateFormat=P","Fill=—","Direction=H","UseDPDF=Y")</f>
        <v>—</v>
      </c>
      <c r="G10" s="14" t="str">
        <f>_xll.BDH("ITCI US Equity","GOVNCE_DISCLOSURE_SCORE","FY 2015","FY 2015","Currency=USD","Period=FQ","BEST_FPERIOD_OVERRIDE=FQ","FILING_STATUS=MR","Sort=A","Dates=H","DateFormat=P","Fill=—","Direction=H","UseDPDF=Y")</f>
        <v>—</v>
      </c>
      <c r="H10" s="14" t="str">
        <f>_xll.BDH("ITCI US Equity","GOVNCE_DISCLOSURE_SCORE","FY 2016","FY 2016","Currency=USD","Period=FQ","BEST_FPERIOD_OVERRIDE=FQ","FILING_STATUS=MR","Sort=A","Dates=H","DateFormat=P","Fill=—","Direction=H","UseDPDF=Y")</f>
        <v>—</v>
      </c>
      <c r="I10" s="14" t="str">
        <f>_xll.BDH("ITCI US Equity","GOVNCE_DISCLOSURE_SCORE","FY 2017","FY 2017","Currency=USD","Period=FQ","BEST_FPERIOD_OVERRIDE=FQ","FILING_STATUS=MR","Sort=A","Dates=H","DateFormat=P","Fill=—","Direction=H","UseDPDF=Y")</f>
        <v>—</v>
      </c>
      <c r="J10" s="14" t="str">
        <f>_xll.BDH("ITCI US Equity","GOVNCE_DISCLOSURE_SCORE","FY 2018","FY 2018","Currency=USD","Period=FQ","BEST_FPERIOD_OVERRIDE=FQ","FILING_STATUS=MR","Sort=A","Dates=H","DateFormat=P","Fill=—","Direction=H","UseDPDF=Y")</f>
        <v>—</v>
      </c>
      <c r="K10" s="14" t="str">
        <f>_xll.BDH("ITCI US Equity","GOVNCE_DISCLOSURE_SCORE","FY 2019","FY 2019","Currency=USD","Period=FQ","BEST_FPERIOD_OVERRIDE=FQ","FILING_STATUS=MR","Sort=A","Dates=H","DateFormat=P","Fill=—","Direction=H","UseDPDF=Y")</f>
        <v>—</v>
      </c>
      <c r="L10" s="14" t="str">
        <f>_xll.BDH("ITCI US Equity","GOVNCE_DISCLOSURE_SCORE","FY 2020","FY 2020","Currency=USD","Period=FQ","BEST_FPERIOD_OVERRIDE=FQ","FILING_STATUS=MR","Sort=A","Dates=H","DateFormat=P","Fill=—","Direction=H","UseDPDF=Y")</f>
        <v>—</v>
      </c>
      <c r="M10" s="14" t="str">
        <f>_xll.BDH("ITCI US Equity","GOVNCE_DISCLOSURE_SCORE","FY 2021","FY 2021","Currency=USD","Period=FQ","BEST_FPERIOD_OVERRIDE=FQ","FILING_STATUS=MR","Sort=A","Dates=H","DateFormat=P","Fill=—","Direction=H","UseDPDF=Y")</f>
        <v>—</v>
      </c>
      <c r="N10" s="14" t="str">
        <f>_xll.BDH("ITCI US Equity","GOVNCE_DISCLOSURE_SCORE","FY 2022","FY 2022","Currency=USD","Period=FQ","BEST_FPERIOD_OVERRIDE=FQ","FILING_STATUS=MR","Sort=A","Dates=H","DateFormat=P","Fill=—","Direction=H","UseDPDF=Y")</f>
        <v>—</v>
      </c>
      <c r="O10" s="14" t="str">
        <f>_xll.BDH("ITCI US Equity","GOVNCE_DISCLOSURE_SCORE","FY 2023","FY 2023","Currency=USD","Period=FQ","BEST_FPERIOD_OVERRIDE=FQ","FILING_STATUS=MR","Sort=A","Dates=H","DateFormat=P","Fill=—","Direction=H","UseDPDF=Y")</f>
        <v>—</v>
      </c>
      <c r="P10" s="14" t="str">
        <f>_xll.BDH("ITCI US Equity","GOVNCE_DISCLOSURE_SCORE","FY 2024","FY 2024","Currency=USD","Period=FQ","BEST_FPERIOD_OVERRIDE=FQ","FILING_STATUS=MR","Sort=A","Dates=H","DateFormat=P","Fill=—","Direction=H","UseDPDF=Y")</f>
        <v>—</v>
      </c>
    </row>
    <row r="11" spans="1:16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16" x14ac:dyDescent="0.25">
      <c r="A12" s="6" t="s">
        <v>1366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x14ac:dyDescent="0.25">
      <c r="A13" s="10" t="s">
        <v>1367</v>
      </c>
      <c r="B13" s="10" t="s">
        <v>1368</v>
      </c>
      <c r="C13" s="14" t="str">
        <f>_xll.BDH("ITCI US Equity","GHG_SCOPE_1_INTENSITY_PER_SALES","FY 2011","FY 2011","Currency=USD","Period=FQ","BEST_FPERIOD_OVERRIDE=FQ","FILING_STATUS=MR","FA_ADJUSTED=GAAP","Sort=A","Dates=H","DateFormat=P","Fill=—","Direction=H","UseDPDF=Y")</f>
        <v>—</v>
      </c>
      <c r="D13" s="14" t="str">
        <f>_xll.BDH("ITCI US Equity","GHG_SCOPE_1_INTENSITY_PER_SALES","FY 2012","FY 2012","Currency=USD","Period=FQ","BEST_FPERIOD_OVERRIDE=FQ","FILING_STATUS=MR","FA_ADJUSTED=GAAP","Sort=A","Dates=H","DateFormat=P","Fill=—","Direction=H","UseDPDF=Y")</f>
        <v>—</v>
      </c>
      <c r="E13" s="14" t="str">
        <f>_xll.BDH("ITCI US Equity","GHG_SCOPE_1_INTENSITY_PER_SALES","FY 2013","FY 2013","Currency=USD","Period=FQ","BEST_FPERIOD_OVERRIDE=FQ","FILING_STATUS=MR","FA_ADJUSTED=GAAP","Sort=A","Dates=H","DateFormat=P","Fill=—","Direction=H","UseDPDF=Y")</f>
        <v>—</v>
      </c>
      <c r="F13" s="14" t="str">
        <f>_xll.BDH("ITCI US Equity","GHG_SCOPE_1_INTENSITY_PER_SALES","FY 2014","FY 2014","Currency=USD","Period=FQ","BEST_FPERIOD_OVERRIDE=FQ","FILING_STATUS=MR","FA_ADJUSTED=GAAP","Sort=A","Dates=H","DateFormat=P","Fill=—","Direction=H","UseDPDF=Y")</f>
        <v>—</v>
      </c>
      <c r="G13" s="14" t="str">
        <f>_xll.BDH("ITCI US Equity","GHG_SCOPE_1_INTENSITY_PER_SALES","FY 2015","FY 2015","Currency=USD","Period=FQ","BEST_FPERIOD_OVERRIDE=FQ","FILING_STATUS=MR","FA_ADJUSTED=GAAP","Sort=A","Dates=H","DateFormat=P","Fill=—","Direction=H","UseDPDF=Y")</f>
        <v>—</v>
      </c>
      <c r="H13" s="14" t="str">
        <f>_xll.BDH("ITCI US Equity","GHG_SCOPE_1_INTENSITY_PER_SALES","FY 2016","FY 2016","Currency=USD","Period=FQ","BEST_FPERIOD_OVERRIDE=FQ","FILING_STATUS=MR","FA_ADJUSTED=GAAP","Sort=A","Dates=H","DateFormat=P","Fill=—","Direction=H","UseDPDF=Y")</f>
        <v>—</v>
      </c>
      <c r="I13" s="14" t="str">
        <f>_xll.BDH("ITCI US Equity","GHG_SCOPE_1_INTENSITY_PER_SALES","FY 2017","FY 2017","Currency=USD","Period=FQ","BEST_FPERIOD_OVERRIDE=FQ","FILING_STATUS=MR","FA_ADJUSTED=GAAP","Sort=A","Dates=H","DateFormat=P","Fill=—","Direction=H","UseDPDF=Y")</f>
        <v>—</v>
      </c>
      <c r="J13" s="14" t="str">
        <f>_xll.BDH("ITCI US Equity","GHG_SCOPE_1_INTENSITY_PER_SALES","FY 2018","FY 2018","Currency=USD","Period=FQ","BEST_FPERIOD_OVERRIDE=FQ","FILING_STATUS=MR","FA_ADJUSTED=GAAP","Sort=A","Dates=H","DateFormat=P","Fill=—","Direction=H","UseDPDF=Y")</f>
        <v>—</v>
      </c>
      <c r="K13" s="14" t="str">
        <f>_xll.BDH("ITCI US Equity","GHG_SCOPE_1_INTENSITY_PER_SALES","FY 2019","FY 2019","Currency=USD","Period=FQ","BEST_FPERIOD_OVERRIDE=FQ","FILING_STATUS=MR","FA_ADJUSTED=GAAP","Sort=A","Dates=H","DateFormat=P","Fill=—","Direction=H","UseDPDF=Y")</f>
        <v>—</v>
      </c>
      <c r="L13" s="14" t="str">
        <f>_xll.BDH("ITCI US Equity","GHG_SCOPE_1_INTENSITY_PER_SALES","FY 2020","FY 2020","Currency=USD","Period=FQ","BEST_FPERIOD_OVERRIDE=FQ","FILING_STATUS=MR","FA_ADJUSTED=GAAP","Sort=A","Dates=H","DateFormat=P","Fill=—","Direction=H","UseDPDF=Y")</f>
        <v>—</v>
      </c>
      <c r="M13" s="14" t="str">
        <f>_xll.BDH("ITCI US Equity","GHG_SCOPE_1_INTENSITY_PER_SALES","FY 2021","FY 2021","Currency=USD","Period=FQ","BEST_FPERIOD_OVERRIDE=FQ","FILING_STATUS=MR","FA_ADJUSTED=GAAP","Sort=A","Dates=H","DateFormat=P","Fill=—","Direction=H","UseDPDF=Y")</f>
        <v>—</v>
      </c>
      <c r="N13" s="14" t="str">
        <f>_xll.BDH("ITCI US Equity","GHG_SCOPE_1_INTENSITY_PER_SALES","FY 2022","FY 2022","Currency=USD","Period=FQ","BEST_FPERIOD_OVERRIDE=FQ","FILING_STATUS=MR","FA_ADJUSTED=GAAP","Sort=A","Dates=H","DateFormat=P","Fill=—","Direction=H","UseDPDF=Y")</f>
        <v>—</v>
      </c>
      <c r="O13" s="14" t="str">
        <f>_xll.BDH("ITCI US Equity","GHG_SCOPE_1_INTENSITY_PER_SALES","FY 2023","FY 2023","Currency=USD","Period=FQ","BEST_FPERIOD_OVERRIDE=FQ","FILING_STATUS=MR","FA_ADJUSTED=GAAP","Sort=A","Dates=H","DateFormat=P","Fill=—","Direction=H","UseDPDF=Y")</f>
        <v>—</v>
      </c>
      <c r="P13" s="14" t="str">
        <f>_xll.BDH("ITCI US Equity","GHG_SCOPE_1_INTENSITY_PER_SALES","FY 2024","FY 2024","Currency=USD","Period=FQ","BEST_FPERIOD_OVERRIDE=FQ","FILING_STATUS=MR","FA_ADJUSTED=GAAP","Sort=A","Dates=H","DateFormat=P","Fill=—","Direction=H","UseDPDF=Y")</f>
        <v>—</v>
      </c>
    </row>
    <row r="14" spans="1:16" x14ac:dyDescent="0.25">
      <c r="A14" s="10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16" x14ac:dyDescent="0.25">
      <c r="A15" s="6" t="s">
        <v>1369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x14ac:dyDescent="0.25">
      <c r="A16" s="10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6" t="s">
        <v>1370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 x14ac:dyDescent="0.25">
      <c r="A18" s="10" t="s">
        <v>1371</v>
      </c>
      <c r="B18" s="10" t="s">
        <v>1372</v>
      </c>
      <c r="C18" s="14" t="str">
        <f>_xll.BDH("ITCI US Equity","ENERGY_INTENSITY_PER_SALES","FY 2011","FY 2011","Currency=USD","Period=FQ","BEST_FPERIOD_OVERRIDE=FQ","FILING_STATUS=MR","FA_ADJUSTED=GAAP","Sort=A","Dates=H","DateFormat=P","Fill=—","Direction=H","UseDPDF=Y")</f>
        <v>—</v>
      </c>
      <c r="D18" s="14" t="str">
        <f>_xll.BDH("ITCI US Equity","ENERGY_INTENSITY_PER_SALES","FY 2012","FY 2012","Currency=USD","Period=FQ","BEST_FPERIOD_OVERRIDE=FQ","FILING_STATUS=MR","FA_ADJUSTED=GAAP","Sort=A","Dates=H","DateFormat=P","Fill=—","Direction=H","UseDPDF=Y")</f>
        <v>—</v>
      </c>
      <c r="E18" s="14" t="str">
        <f>_xll.BDH("ITCI US Equity","ENERGY_INTENSITY_PER_SALES","FY 2013","FY 2013","Currency=USD","Period=FQ","BEST_FPERIOD_OVERRIDE=FQ","FILING_STATUS=MR","FA_ADJUSTED=GAAP","Sort=A","Dates=H","DateFormat=P","Fill=—","Direction=H","UseDPDF=Y")</f>
        <v>—</v>
      </c>
      <c r="F18" s="14" t="str">
        <f>_xll.BDH("ITCI US Equity","ENERGY_INTENSITY_PER_SALES","FY 2014","FY 2014","Currency=USD","Period=FQ","BEST_FPERIOD_OVERRIDE=FQ","FILING_STATUS=MR","FA_ADJUSTED=GAAP","Sort=A","Dates=H","DateFormat=P","Fill=—","Direction=H","UseDPDF=Y")</f>
        <v>—</v>
      </c>
      <c r="G18" s="14" t="str">
        <f>_xll.BDH("ITCI US Equity","ENERGY_INTENSITY_PER_SALES","FY 2015","FY 2015","Currency=USD","Period=FQ","BEST_FPERIOD_OVERRIDE=FQ","FILING_STATUS=MR","FA_ADJUSTED=GAAP","Sort=A","Dates=H","DateFormat=P","Fill=—","Direction=H","UseDPDF=Y")</f>
        <v>—</v>
      </c>
      <c r="H18" s="14" t="str">
        <f>_xll.BDH("ITCI US Equity","ENERGY_INTENSITY_PER_SALES","FY 2016","FY 2016","Currency=USD","Period=FQ","BEST_FPERIOD_OVERRIDE=FQ","FILING_STATUS=MR","FA_ADJUSTED=GAAP","Sort=A","Dates=H","DateFormat=P","Fill=—","Direction=H","UseDPDF=Y")</f>
        <v>—</v>
      </c>
      <c r="I18" s="14" t="str">
        <f>_xll.BDH("ITCI US Equity","ENERGY_INTENSITY_PER_SALES","FY 2017","FY 2017","Currency=USD","Period=FQ","BEST_FPERIOD_OVERRIDE=FQ","FILING_STATUS=MR","FA_ADJUSTED=GAAP","Sort=A","Dates=H","DateFormat=P","Fill=—","Direction=H","UseDPDF=Y")</f>
        <v>—</v>
      </c>
      <c r="J18" s="14" t="str">
        <f>_xll.BDH("ITCI US Equity","ENERGY_INTENSITY_PER_SALES","FY 2018","FY 2018","Currency=USD","Period=FQ","BEST_FPERIOD_OVERRIDE=FQ","FILING_STATUS=MR","FA_ADJUSTED=GAAP","Sort=A","Dates=H","DateFormat=P","Fill=—","Direction=H","UseDPDF=Y")</f>
        <v>—</v>
      </c>
      <c r="K18" s="14" t="str">
        <f>_xll.BDH("ITCI US Equity","ENERGY_INTENSITY_PER_SALES","FY 2019","FY 2019","Currency=USD","Period=FQ","BEST_FPERIOD_OVERRIDE=FQ","FILING_STATUS=MR","FA_ADJUSTED=GAAP","Sort=A","Dates=H","DateFormat=P","Fill=—","Direction=H","UseDPDF=Y")</f>
        <v>—</v>
      </c>
      <c r="L18" s="14" t="str">
        <f>_xll.BDH("ITCI US Equity","ENERGY_INTENSITY_PER_SALES","FY 2020","FY 2020","Currency=USD","Period=FQ","BEST_FPERIOD_OVERRIDE=FQ","FILING_STATUS=MR","FA_ADJUSTED=GAAP","Sort=A","Dates=H","DateFormat=P","Fill=—","Direction=H","UseDPDF=Y")</f>
        <v>—</v>
      </c>
      <c r="M18" s="14" t="str">
        <f>_xll.BDH("ITCI US Equity","ENERGY_INTENSITY_PER_SALES","FY 2021","FY 2021","Currency=USD","Period=FQ","BEST_FPERIOD_OVERRIDE=FQ","FILING_STATUS=MR","FA_ADJUSTED=GAAP","Sort=A","Dates=H","DateFormat=P","Fill=—","Direction=H","UseDPDF=Y")</f>
        <v>—</v>
      </c>
      <c r="N18" s="14" t="str">
        <f>_xll.BDH("ITCI US Equity","ENERGY_INTENSITY_PER_SALES","FY 2022","FY 2022","Currency=USD","Period=FQ","BEST_FPERIOD_OVERRIDE=FQ","FILING_STATUS=MR","FA_ADJUSTED=GAAP","Sort=A","Dates=H","DateFormat=P","Fill=—","Direction=H","UseDPDF=Y")</f>
        <v>—</v>
      </c>
      <c r="O18" s="14" t="str">
        <f>_xll.BDH("ITCI US Equity","ENERGY_INTENSITY_PER_SALES","FY 2023","FY 2023","Currency=USD","Period=FQ","BEST_FPERIOD_OVERRIDE=FQ","FILING_STATUS=MR","FA_ADJUSTED=GAAP","Sort=A","Dates=H","DateFormat=P","Fill=—","Direction=H","UseDPDF=Y")</f>
        <v>—</v>
      </c>
      <c r="P18" s="14" t="str">
        <f>_xll.BDH("ITCI US Equity","ENERGY_INTENSITY_PER_SALES","FY 2024","FY 2024","Currency=USD","Period=FQ","BEST_FPERIOD_OVERRIDE=FQ","FILING_STATUS=MR","FA_ADJUSTED=GAAP","Sort=A","Dates=H","DateFormat=P","Fill=—","Direction=H","UseDPDF=Y")</f>
        <v>—</v>
      </c>
    </row>
    <row r="19" spans="1:16" x14ac:dyDescent="0.25">
      <c r="A19" s="10" t="s">
        <v>1373</v>
      </c>
      <c r="B19" s="10" t="s">
        <v>1374</v>
      </c>
      <c r="C19" s="14" t="str">
        <f>_xll.BDH("ITCI US Equity","ENERGY_INTENSITY_PER_EMPLOYEE","FY 2011","FY 2011","Currency=USD","Period=FQ","BEST_FPERIOD_OVERRIDE=FQ","FILING_STATUS=MR","Sort=A","Dates=H","DateFormat=P","Fill=—","Direction=H","UseDPDF=Y")</f>
        <v>—</v>
      </c>
      <c r="D19" s="14" t="str">
        <f>_xll.BDH("ITCI US Equity","ENERGY_INTENSITY_PER_EMPLOYEE","FY 2012","FY 2012","Currency=USD","Period=FQ","BEST_FPERIOD_OVERRIDE=FQ","FILING_STATUS=MR","Sort=A","Dates=H","DateFormat=P","Fill=—","Direction=H","UseDPDF=Y")</f>
        <v>—</v>
      </c>
      <c r="E19" s="14" t="str">
        <f>_xll.BDH("ITCI US Equity","ENERGY_INTENSITY_PER_EMPLOYEE","FY 2013","FY 2013","Currency=USD","Period=FQ","BEST_FPERIOD_OVERRIDE=FQ","FILING_STATUS=MR","Sort=A","Dates=H","DateFormat=P","Fill=—","Direction=H","UseDPDF=Y")</f>
        <v>—</v>
      </c>
      <c r="F19" s="14" t="str">
        <f>_xll.BDH("ITCI US Equity","ENERGY_INTENSITY_PER_EMPLOYEE","FY 2014","FY 2014","Currency=USD","Period=FQ","BEST_FPERIOD_OVERRIDE=FQ","FILING_STATUS=MR","Sort=A","Dates=H","DateFormat=P","Fill=—","Direction=H","UseDPDF=Y")</f>
        <v>—</v>
      </c>
      <c r="G19" s="14" t="str">
        <f>_xll.BDH("ITCI US Equity","ENERGY_INTENSITY_PER_EMPLOYEE","FY 2015","FY 2015","Currency=USD","Period=FQ","BEST_FPERIOD_OVERRIDE=FQ","FILING_STATUS=MR","Sort=A","Dates=H","DateFormat=P","Fill=—","Direction=H","UseDPDF=Y")</f>
        <v>—</v>
      </c>
      <c r="H19" s="14" t="str">
        <f>_xll.BDH("ITCI US Equity","ENERGY_INTENSITY_PER_EMPLOYEE","FY 2016","FY 2016","Currency=USD","Period=FQ","BEST_FPERIOD_OVERRIDE=FQ","FILING_STATUS=MR","Sort=A","Dates=H","DateFormat=P","Fill=—","Direction=H","UseDPDF=Y")</f>
        <v>—</v>
      </c>
      <c r="I19" s="14" t="str">
        <f>_xll.BDH("ITCI US Equity","ENERGY_INTENSITY_PER_EMPLOYEE","FY 2017","FY 2017","Currency=USD","Period=FQ","BEST_FPERIOD_OVERRIDE=FQ","FILING_STATUS=MR","Sort=A","Dates=H","DateFormat=P","Fill=—","Direction=H","UseDPDF=Y")</f>
        <v>—</v>
      </c>
      <c r="J19" s="14" t="str">
        <f>_xll.BDH("ITCI US Equity","ENERGY_INTENSITY_PER_EMPLOYEE","FY 2018","FY 2018","Currency=USD","Period=FQ","BEST_FPERIOD_OVERRIDE=FQ","FILING_STATUS=MR","Sort=A","Dates=H","DateFormat=P","Fill=—","Direction=H","UseDPDF=Y")</f>
        <v>—</v>
      </c>
      <c r="K19" s="14" t="str">
        <f>_xll.BDH("ITCI US Equity","ENERGY_INTENSITY_PER_EMPLOYEE","FY 2019","FY 2019","Currency=USD","Period=FQ","BEST_FPERIOD_OVERRIDE=FQ","FILING_STATUS=MR","Sort=A","Dates=H","DateFormat=P","Fill=—","Direction=H","UseDPDF=Y")</f>
        <v>—</v>
      </c>
      <c r="L19" s="14" t="str">
        <f>_xll.BDH("ITCI US Equity","ENERGY_INTENSITY_PER_EMPLOYEE","FY 2020","FY 2020","Currency=USD","Period=FQ","BEST_FPERIOD_OVERRIDE=FQ","FILING_STATUS=MR","Sort=A","Dates=H","DateFormat=P","Fill=—","Direction=H","UseDPDF=Y")</f>
        <v>—</v>
      </c>
      <c r="M19" s="14" t="str">
        <f>_xll.BDH("ITCI US Equity","ENERGY_INTENSITY_PER_EMPLOYEE","FY 2021","FY 2021","Currency=USD","Period=FQ","BEST_FPERIOD_OVERRIDE=FQ","FILING_STATUS=MR","Sort=A","Dates=H","DateFormat=P","Fill=—","Direction=H","UseDPDF=Y")</f>
        <v>—</v>
      </c>
      <c r="N19" s="14" t="str">
        <f>_xll.BDH("ITCI US Equity","ENERGY_INTENSITY_PER_EMPLOYEE","FY 2022","FY 2022","Currency=USD","Period=FQ","BEST_FPERIOD_OVERRIDE=FQ","FILING_STATUS=MR","Sort=A","Dates=H","DateFormat=P","Fill=—","Direction=H","UseDPDF=Y")</f>
        <v>—</v>
      </c>
      <c r="O19" s="14" t="str">
        <f>_xll.BDH("ITCI US Equity","ENERGY_INTENSITY_PER_EMPLOYEE","FY 2023","FY 2023","Currency=USD","Period=FQ","BEST_FPERIOD_OVERRIDE=FQ","FILING_STATUS=MR","Sort=A","Dates=H","DateFormat=P","Fill=—","Direction=H","UseDPDF=Y")</f>
        <v>—</v>
      </c>
      <c r="P19" s="14" t="str">
        <f>_xll.BDH("ITCI US Equity","ENERGY_INTENSITY_PER_EMPLOYEE","FY 2024","FY 2024","Currency=USD","Period=FQ","BEST_FPERIOD_OVERRIDE=FQ","FILING_STATUS=MR","Sort=A","Dates=H","DateFormat=P","Fill=—","Direction=H","UseDPDF=Y")</f>
        <v>—</v>
      </c>
    </row>
    <row r="20" spans="1:16" x14ac:dyDescent="0.25">
      <c r="A20" s="10" t="s">
        <v>1375</v>
      </c>
      <c r="B20" s="10" t="s">
        <v>1376</v>
      </c>
      <c r="C20" s="14" t="str">
        <f>_xll.BDH("ITCI US Equity","ENERGY_INTENSITY_PER_ASSETS","FY 2011","FY 2011","Currency=USD","Period=FQ","BEST_FPERIOD_OVERRIDE=FQ","FILING_STATUS=MR","Sort=A","Dates=H","DateFormat=P","Fill=—","Direction=H","UseDPDF=Y")</f>
        <v>—</v>
      </c>
      <c r="D20" s="14" t="str">
        <f>_xll.BDH("ITCI US Equity","ENERGY_INTENSITY_PER_ASSETS","FY 2012","FY 2012","Currency=USD","Period=FQ","BEST_FPERIOD_OVERRIDE=FQ","FILING_STATUS=MR","Sort=A","Dates=H","DateFormat=P","Fill=—","Direction=H","UseDPDF=Y")</f>
        <v>—</v>
      </c>
      <c r="E20" s="14" t="str">
        <f>_xll.BDH("ITCI US Equity","ENERGY_INTENSITY_PER_ASSETS","FY 2013","FY 2013","Currency=USD","Period=FQ","BEST_FPERIOD_OVERRIDE=FQ","FILING_STATUS=MR","Sort=A","Dates=H","DateFormat=P","Fill=—","Direction=H","UseDPDF=Y")</f>
        <v>—</v>
      </c>
      <c r="F20" s="14" t="str">
        <f>_xll.BDH("ITCI US Equity","ENERGY_INTENSITY_PER_ASSETS","FY 2014","FY 2014","Currency=USD","Period=FQ","BEST_FPERIOD_OVERRIDE=FQ","FILING_STATUS=MR","Sort=A","Dates=H","DateFormat=P","Fill=—","Direction=H","UseDPDF=Y")</f>
        <v>—</v>
      </c>
      <c r="G20" s="14" t="str">
        <f>_xll.BDH("ITCI US Equity","ENERGY_INTENSITY_PER_ASSETS","FY 2015","FY 2015","Currency=USD","Period=FQ","BEST_FPERIOD_OVERRIDE=FQ","FILING_STATUS=MR","Sort=A","Dates=H","DateFormat=P","Fill=—","Direction=H","UseDPDF=Y")</f>
        <v>—</v>
      </c>
      <c r="H20" s="14" t="str">
        <f>_xll.BDH("ITCI US Equity","ENERGY_INTENSITY_PER_ASSETS","FY 2016","FY 2016","Currency=USD","Period=FQ","BEST_FPERIOD_OVERRIDE=FQ","FILING_STATUS=MR","Sort=A","Dates=H","DateFormat=P","Fill=—","Direction=H","UseDPDF=Y")</f>
        <v>—</v>
      </c>
      <c r="I20" s="14" t="str">
        <f>_xll.BDH("ITCI US Equity","ENERGY_INTENSITY_PER_ASSETS","FY 2017","FY 2017","Currency=USD","Period=FQ","BEST_FPERIOD_OVERRIDE=FQ","FILING_STATUS=MR","Sort=A","Dates=H","DateFormat=P","Fill=—","Direction=H","UseDPDF=Y")</f>
        <v>—</v>
      </c>
      <c r="J20" s="14" t="str">
        <f>_xll.BDH("ITCI US Equity","ENERGY_INTENSITY_PER_ASSETS","FY 2018","FY 2018","Currency=USD","Period=FQ","BEST_FPERIOD_OVERRIDE=FQ","FILING_STATUS=MR","Sort=A","Dates=H","DateFormat=P","Fill=—","Direction=H","UseDPDF=Y")</f>
        <v>—</v>
      </c>
      <c r="K20" s="14" t="str">
        <f>_xll.BDH("ITCI US Equity","ENERGY_INTENSITY_PER_ASSETS","FY 2019","FY 2019","Currency=USD","Period=FQ","BEST_FPERIOD_OVERRIDE=FQ","FILING_STATUS=MR","Sort=A","Dates=H","DateFormat=P","Fill=—","Direction=H","UseDPDF=Y")</f>
        <v>—</v>
      </c>
      <c r="L20" s="14" t="str">
        <f>_xll.BDH("ITCI US Equity","ENERGY_INTENSITY_PER_ASSETS","FY 2020","FY 2020","Currency=USD","Period=FQ","BEST_FPERIOD_OVERRIDE=FQ","FILING_STATUS=MR","Sort=A","Dates=H","DateFormat=P","Fill=—","Direction=H","UseDPDF=Y")</f>
        <v>—</v>
      </c>
      <c r="M20" s="14" t="str">
        <f>_xll.BDH("ITCI US Equity","ENERGY_INTENSITY_PER_ASSETS","FY 2021","FY 2021","Currency=USD","Period=FQ","BEST_FPERIOD_OVERRIDE=FQ","FILING_STATUS=MR","Sort=A","Dates=H","DateFormat=P","Fill=—","Direction=H","UseDPDF=Y")</f>
        <v>—</v>
      </c>
      <c r="N20" s="14" t="str">
        <f>_xll.BDH("ITCI US Equity","ENERGY_INTENSITY_PER_ASSETS","FY 2022","FY 2022","Currency=USD","Period=FQ","BEST_FPERIOD_OVERRIDE=FQ","FILING_STATUS=MR","Sort=A","Dates=H","DateFormat=P","Fill=—","Direction=H","UseDPDF=Y")</f>
        <v>—</v>
      </c>
      <c r="O20" s="14" t="str">
        <f>_xll.BDH("ITCI US Equity","ENERGY_INTENSITY_PER_ASSETS","FY 2023","FY 2023","Currency=USD","Period=FQ","BEST_FPERIOD_OVERRIDE=FQ","FILING_STATUS=MR","Sort=A","Dates=H","DateFormat=P","Fill=—","Direction=H","UseDPDF=Y")</f>
        <v>—</v>
      </c>
      <c r="P20" s="14" t="str">
        <f>_xll.BDH("ITCI US Equity","ENERGY_INTENSITY_PER_ASSETS","FY 2024","FY 2024","Currency=USD","Period=FQ","BEST_FPERIOD_OVERRIDE=FQ","FILING_STATUS=MR","Sort=A","Dates=H","DateFormat=P","Fill=—","Direction=H","UseDPDF=Y")</f>
        <v>—</v>
      </c>
    </row>
    <row r="21" spans="1:16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25">
      <c r="A22" s="6" t="s">
        <v>1377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1:16" x14ac:dyDescent="0.25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A24" s="6" t="s">
        <v>1378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 x14ac:dyDescent="0.25">
      <c r="A25" s="10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x14ac:dyDescent="0.25">
      <c r="A26" s="6" t="s">
        <v>1379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 x14ac:dyDescent="0.25">
      <c r="A27" s="10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 x14ac:dyDescent="0.25">
      <c r="A28" s="6" t="s">
        <v>1380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1:16" x14ac:dyDescent="0.25">
      <c r="A29" s="10" t="s">
        <v>1381</v>
      </c>
      <c r="B29" s="10" t="s">
        <v>1382</v>
      </c>
      <c r="C29" s="14" t="str">
        <f>_xll.BDH("ITCI US Equity","RD_EXPENDITURES_PER_CASH_FLOW","FY 2011","FY 2011","Currency=USD","Period=FQ","BEST_FPERIOD_OVERRIDE=FQ","FILING_STATUS=MR","Sort=A","Dates=H","DateFormat=P","Fill=—","Direction=H","UseDPDF=Y")</f>
        <v>—</v>
      </c>
      <c r="D29" s="14">
        <f>_xll.BDH("ITCI US Equity","RD_EXPENDITURES_PER_CASH_FLOW","FY 2012","FY 2012","Currency=USD","Period=FQ","BEST_FPERIOD_OVERRIDE=FQ","FILING_STATUS=MR","Sort=A","Dates=H","DateFormat=P","Fill=—","Direction=H","UseDPDF=Y")</f>
        <v>-0.12520000000000001</v>
      </c>
      <c r="E29" s="14">
        <f>_xll.BDH("ITCI US Equity","RD_EXPENDITURES_PER_CASH_FLOW","FY 2013","FY 2013","Currency=USD","Period=FQ","BEST_FPERIOD_OVERRIDE=FQ","FILING_STATUS=MR","Sort=A","Dates=H","DateFormat=P","Fill=—","Direction=H","UseDPDF=Y")</f>
        <v>-0.71050000000000002</v>
      </c>
      <c r="F29" s="14">
        <f>_xll.BDH("ITCI US Equity","RD_EXPENDITURES_PER_CASH_FLOW","FY 2014","FY 2014","Currency=USD","Period=FQ","BEST_FPERIOD_OVERRIDE=FQ","FILING_STATUS=MR","Sort=A","Dates=H","DateFormat=P","Fill=—","Direction=H","UseDPDF=Y")</f>
        <v>-1.8756999999999999</v>
      </c>
      <c r="G29" s="14">
        <f>_xll.BDH("ITCI US Equity","RD_EXPENDITURES_PER_CASH_FLOW","FY 2015","FY 2015","Currency=USD","Period=FQ","BEST_FPERIOD_OVERRIDE=FQ","FILING_STATUS=MR","Sort=A","Dates=H","DateFormat=P","Fill=—","Direction=H","UseDPDF=Y")</f>
        <v>-0.65229999999999999</v>
      </c>
      <c r="H29" s="14">
        <f>_xll.BDH("ITCI US Equity","RD_EXPENDITURES_PER_CASH_FLOW","FY 2016","FY 2016","Currency=USD","Period=FQ","BEST_FPERIOD_OVERRIDE=FQ","FILING_STATUS=MR","Sort=A","Dates=H","DateFormat=P","Fill=—","Direction=H","UseDPDF=Y")</f>
        <v>-0.74439999999999995</v>
      </c>
      <c r="I29" s="14">
        <f>_xll.BDH("ITCI US Equity","RD_EXPENDITURES_PER_CASH_FLOW","FY 2017","FY 2017","Currency=USD","Period=FQ","BEST_FPERIOD_OVERRIDE=FQ","FILING_STATUS=MR","Sort=A","Dates=H","DateFormat=P","Fill=—","Direction=H","UseDPDF=Y")</f>
        <v>-1.0862000000000001</v>
      </c>
      <c r="J29" s="14">
        <f>_xll.BDH("ITCI US Equity","RD_EXPENDITURES_PER_CASH_FLOW","FY 2018","FY 2018","Currency=USD","Period=FQ","BEST_FPERIOD_OVERRIDE=FQ","FILING_STATUS=MR","Sort=A","Dates=H","DateFormat=P","Fill=—","Direction=H","UseDPDF=Y")</f>
        <v>-1.1524000000000001</v>
      </c>
      <c r="K29" s="14">
        <f>_xll.BDH("ITCI US Equity","RD_EXPENDITURES_PER_CASH_FLOW","FY 2019","FY 2019","Currency=USD","Period=FQ","BEST_FPERIOD_OVERRIDE=FQ","FILING_STATUS=MR","Sort=A","Dates=H","DateFormat=P","Fill=—","Direction=H","UseDPDF=Y")</f>
        <v>-0.54390000000000005</v>
      </c>
      <c r="L29" s="14">
        <f>_xll.BDH("ITCI US Equity","RD_EXPENDITURES_PER_CASH_FLOW","FY 2020","FY 2020","Currency=USD","Period=FQ","BEST_FPERIOD_OVERRIDE=FQ","FILING_STATUS=MR","Sort=A","Dates=H","DateFormat=P","Fill=—","Direction=H","UseDPDF=Y")</f>
        <v>-0.20949999999999999</v>
      </c>
      <c r="M29" s="14">
        <f>_xll.BDH("ITCI US Equity","RD_EXPENDITURES_PER_CASH_FLOW","FY 2021","FY 2021","Currency=USD","Period=FQ","BEST_FPERIOD_OVERRIDE=FQ","FILING_STATUS=MR","Sort=A","Dates=H","DateFormat=P","Fill=—","Direction=H","UseDPDF=Y")</f>
        <v>-0.40250000000000002</v>
      </c>
      <c r="N29" s="14">
        <f>_xll.BDH("ITCI US Equity","RD_EXPENDITURES_PER_CASH_FLOW","FY 2022","FY 2022","Currency=USD","Period=FQ","BEST_FPERIOD_OVERRIDE=FQ","FILING_STATUS=MR","Sort=A","Dates=H","DateFormat=P","Fill=—","Direction=H","UseDPDF=Y")</f>
        <v>-0.86399999999999999</v>
      </c>
      <c r="O29" s="14">
        <f>_xll.BDH("ITCI US Equity","RD_EXPENDITURES_PER_CASH_FLOW","FY 2023","FY 2023","Currency=USD","Period=FQ","BEST_FPERIOD_OVERRIDE=FQ","FILING_STATUS=MR","Sort=A","Dates=H","DateFormat=P","Fill=—","Direction=H","UseDPDF=Y")</f>
        <v>-24.6356</v>
      </c>
      <c r="P29" s="14">
        <f>_xll.BDH("ITCI US Equity","RD_EXPENDITURES_PER_CASH_FLOW","FY 2024","FY 2024","Currency=USD","Period=FQ","BEST_FPERIOD_OVERRIDE=FQ","FILING_STATUS=MR","Sort=A","Dates=H","DateFormat=P","Fill=—","Direction=H","UseDPDF=Y")</f>
        <v>-5.3743999999999996</v>
      </c>
    </row>
    <row r="30" spans="1:16" x14ac:dyDescent="0.25">
      <c r="A30" s="10" t="s">
        <v>1383</v>
      </c>
      <c r="B30" s="10" t="s">
        <v>1384</v>
      </c>
      <c r="C30" s="14" t="str">
        <f>_xll.BDH("ITCI US Equity","ACTUAL_NET_INCOME_PER_EMPLOYEE","FY 2011","FY 2011","Currency=USD","Period=FQ","BEST_FPERIOD_OVERRIDE=FQ","FILING_STATUS=MR","FA_ADJUSTED=GAAP","Sort=A","Dates=H","DateFormat=P","Fill=—","Direction=H","UseDPDF=Y")</f>
        <v>—</v>
      </c>
      <c r="D30" s="14">
        <f>_xll.BDH("ITCI US Equity","ACTUAL_NET_INCOME_PER_EMPLOYEE","FY 2012","FY 2012","Currency=USD","Period=FQ","BEST_FPERIOD_OVERRIDE=FQ","FILING_STATUS=MR","FA_ADJUSTED=GAAP","Sort=A","Dates=H","DateFormat=P","Fill=—","Direction=H","UseDPDF=Y")</f>
        <v>-57953.65</v>
      </c>
      <c r="E30" s="14">
        <f>_xll.BDH("ITCI US Equity","ACTUAL_NET_INCOME_PER_EMPLOYEE","FY 2013","FY 2013","Currency=USD","Period=FQ","BEST_FPERIOD_OVERRIDE=FQ","FILING_STATUS=MR","FA_ADJUSTED=GAAP","Sort=A","Dates=H","DateFormat=P","Fill=—","Direction=H","UseDPDF=Y")</f>
        <v>-365491.36359999998</v>
      </c>
      <c r="F30" s="14">
        <f>_xll.BDH("ITCI US Equity","ACTUAL_NET_INCOME_PER_EMPLOYEE","FY 2014","FY 2014","Currency=USD","Period=FQ","BEST_FPERIOD_OVERRIDE=FQ","FILING_STATUS=MR","FA_ADJUSTED=GAAP","Sort=A","Dates=H","DateFormat=P","Fill=—","Direction=H","UseDPDF=Y")</f>
        <v>-607965.19999999995</v>
      </c>
      <c r="G30" s="14">
        <f>_xll.BDH("ITCI US Equity","ACTUAL_NET_INCOME_PER_EMPLOYEE","FY 2015","FY 2015","Currency=USD","Period=FQ","BEST_FPERIOD_OVERRIDE=FQ","FILING_STATUS=MR","FA_ADJUSTED=GAAP","Sort=A","Dates=H","DateFormat=P","Fill=—","Direction=H","UseDPDF=Y")</f>
        <v>-779311.24320000003</v>
      </c>
      <c r="H30" s="14">
        <f>_xll.BDH("ITCI US Equity","ACTUAL_NET_INCOME_PER_EMPLOYEE","FY 2016","FY 2016","Currency=USD","Period=FQ","BEST_FPERIOD_OVERRIDE=FQ","FILING_STATUS=MR","FA_ADJUSTED=GAAP","Sort=A","Dates=H","DateFormat=P","Fill=—","Direction=H","UseDPDF=Y")</f>
        <v>-654405.69050000003</v>
      </c>
      <c r="I30" s="14">
        <f>_xll.BDH("ITCI US Equity","ACTUAL_NET_INCOME_PER_EMPLOYEE","FY 2017","FY 2017","Currency=USD","Period=FQ","BEST_FPERIOD_OVERRIDE=FQ","FILING_STATUS=MR","FA_ADJUSTED=GAAP","Sort=A","Dates=H","DateFormat=P","Fill=—","Direction=H","UseDPDF=Y")</f>
        <v>-616504.32649999997</v>
      </c>
      <c r="J30" s="14">
        <f>_xll.BDH("ITCI US Equity","ACTUAL_NET_INCOME_PER_EMPLOYEE","FY 2018","FY 2018","Currency=USD","Period=FQ","BEST_FPERIOD_OVERRIDE=FQ","FILING_STATUS=MR","FA_ADJUSTED=GAAP","Sort=A","Dates=H","DateFormat=P","Fill=—","Direction=H","UseDPDF=Y")</f>
        <v>-558192.27399999998</v>
      </c>
      <c r="K30" s="14">
        <f>_xll.BDH("ITCI US Equity","ACTUAL_NET_INCOME_PER_EMPLOYEE","FY 2019","FY 2019","Currency=USD","Period=FQ","BEST_FPERIOD_OVERRIDE=FQ","FILING_STATUS=MR","FA_ADJUSTED=GAAP","Sort=A","Dates=H","DateFormat=P","Fill=—","Direction=H","UseDPDF=Y")</f>
        <v>-135276.17000000001</v>
      </c>
      <c r="L30" s="14">
        <f>_xll.BDH("ITCI US Equity","ACTUAL_NET_INCOME_PER_EMPLOYEE","FY 2020","FY 2020","Currency=USD","Period=FQ","BEST_FPERIOD_OVERRIDE=FQ","FILING_STATUS=MR","FA_ADJUSTED=GAAP","Sort=A","Dates=H","DateFormat=P","Fill=—","Direction=H","UseDPDF=Y")</f>
        <v>-158483.49350000001</v>
      </c>
      <c r="M30" s="14">
        <f>_xll.BDH("ITCI US Equity","ACTUAL_NET_INCOME_PER_EMPLOYEE","FY 2021","FY 2021","Currency=USD","Period=FQ","BEST_FPERIOD_OVERRIDE=FQ","FILING_STATUS=MR","FA_ADJUSTED=GAAP","Sort=A","Dates=H","DateFormat=P","Fill=—","Direction=H","UseDPDF=Y")</f>
        <v>-167449.09570000001</v>
      </c>
      <c r="N30" s="14">
        <f>_xll.BDH("ITCI US Equity","ACTUAL_NET_INCOME_PER_EMPLOYEE","FY 2022","FY 2022","Currency=USD","Period=FQ","BEST_FPERIOD_OVERRIDE=FQ","FILING_STATUS=MR","FA_ADJUSTED=GAAP","Sort=A","Dates=H","DateFormat=P","Fill=—","Direction=H","UseDPDF=Y")</f>
        <v>-78477.718399999998</v>
      </c>
      <c r="O30" s="14" t="str">
        <f>_xll.BDH("ITCI US Equity","ACTUAL_NET_INCOME_PER_EMPLOYEE","FY 2023","FY 2023","Currency=USD","Period=FQ","BEST_FPERIOD_OVERRIDE=FQ","FILING_STATUS=MR","FA_ADJUSTED=GAAP","Sort=A","Dates=H","DateFormat=P","Fill=—","Direction=H","UseDPDF=Y")</f>
        <v>—</v>
      </c>
      <c r="P30" s="14">
        <f>_xll.BDH("ITCI US Equity","ACTUAL_NET_INCOME_PER_EMPLOYEE","FY 2024","FY 2024","Currency=USD","Period=FQ","BEST_FPERIOD_OVERRIDE=FQ","FILING_STATUS=MR","FA_ADJUSTED=GAAP","Sort=A","Dates=H","DateFormat=P","Fill=—","Direction=H","UseDPDF=Y")</f>
        <v>-19633.7209</v>
      </c>
    </row>
    <row r="31" spans="1:16" x14ac:dyDescent="0.25">
      <c r="A31" s="10" t="s">
        <v>1385</v>
      </c>
      <c r="B31" s="10" t="s">
        <v>1386</v>
      </c>
      <c r="C31" s="14" t="str">
        <f>_xll.BDH("ITCI US Equity","CASH_FLOW_PER_EMPLOYEE","FY 2011","FY 2011","Currency=USD","Period=FQ","BEST_FPERIOD_OVERRIDE=FQ","FILING_STATUS=MR","Sort=A","Dates=H","DateFormat=P","Fill=—","Direction=H","UseDPDF=Y")</f>
        <v>—</v>
      </c>
      <c r="D31" s="14">
        <f>_xll.BDH("ITCI US Equity","CASH_FLOW_PER_EMPLOYEE","FY 2012","FY 2012","Currency=USD","Period=FQ","BEST_FPERIOD_OVERRIDE=FQ","FILING_STATUS=MR","Sort=A","Dates=H","DateFormat=P","Fill=—","Direction=H","UseDPDF=Y")</f>
        <v>-206336.2</v>
      </c>
      <c r="E31" s="14">
        <f>_xll.BDH("ITCI US Equity","CASH_FLOW_PER_EMPLOYEE","FY 2013","FY 2013","Currency=USD","Period=FQ","BEST_FPERIOD_OVERRIDE=FQ","FILING_STATUS=MR","Sort=A","Dates=H","DateFormat=P","Fill=—","Direction=H","UseDPDF=Y")</f>
        <v>-392173.09090000001</v>
      </c>
      <c r="F31" s="14">
        <f>_xll.BDH("ITCI US Equity","CASH_FLOW_PER_EMPLOYEE","FY 2014","FY 2014","Currency=USD","Period=FQ","BEST_FPERIOD_OVERRIDE=FQ","FILING_STATUS=MR","Sort=A","Dates=H","DateFormat=P","Fill=—","Direction=H","UseDPDF=Y")</f>
        <v>-248253.4</v>
      </c>
      <c r="G31" s="14">
        <f>_xll.BDH("ITCI US Equity","CASH_FLOW_PER_EMPLOYEE","FY 2015","FY 2015","Currency=USD","Period=FQ","BEST_FPERIOD_OVERRIDE=FQ","FILING_STATUS=MR","Sort=A","Dates=H","DateFormat=P","Fill=—","Direction=H","UseDPDF=Y")</f>
        <v>-947449.5405</v>
      </c>
      <c r="H31" s="14">
        <f>_xll.BDH("ITCI US Equity","CASH_FLOW_PER_EMPLOYEE","FY 2016","FY 2016","Currency=USD","Period=FQ","BEST_FPERIOD_OVERRIDE=FQ","FILING_STATUS=MR","Sort=A","Dates=H","DateFormat=P","Fill=—","Direction=H","UseDPDF=Y")</f>
        <v>-677389.21429999999</v>
      </c>
      <c r="I31" s="14">
        <f>_xll.BDH("ITCI US Equity","CASH_FLOW_PER_EMPLOYEE","FY 2017","FY 2017","Currency=USD","Period=FQ","BEST_FPERIOD_OVERRIDE=FQ","FILING_STATUS=MR","Sort=A","Dates=H","DateFormat=P","Fill=—","Direction=H","UseDPDF=Y")</f>
        <v>-505974.16330000001</v>
      </c>
      <c r="J31" s="14">
        <f>_xll.BDH("ITCI US Equity","CASH_FLOW_PER_EMPLOYEE","FY 2018","FY 2018","Currency=USD","Period=FQ","BEST_FPERIOD_OVERRIDE=FQ","FILING_STATUS=MR","Sort=A","Dates=H","DateFormat=P","Fill=—","Direction=H","UseDPDF=Y")</f>
        <v>-399473.09590000001</v>
      </c>
      <c r="K31" s="14">
        <f>_xll.BDH("ITCI US Equity","CASH_FLOW_PER_EMPLOYEE","FY 2019","FY 2019","Currency=USD","Period=FQ","BEST_FPERIOD_OVERRIDE=FQ","FILING_STATUS=MR","Sort=A","Dates=H","DateFormat=P","Fill=—","Direction=H","UseDPDF=Y")</f>
        <v>-116853.0533</v>
      </c>
      <c r="L31" s="14">
        <f>_xll.BDH("ITCI US Equity","CASH_FLOW_PER_EMPLOYEE","FY 2020","FY 2020","Currency=USD","Period=FQ","BEST_FPERIOD_OVERRIDE=FQ","FILING_STATUS=MR","Sort=A","Dates=H","DateFormat=P","Fill=—","Direction=H","UseDPDF=Y")</f>
        <v>-178179.42300000001</v>
      </c>
      <c r="M31" s="14">
        <f>_xll.BDH("ITCI US Equity","CASH_FLOW_PER_EMPLOYEE","FY 2021","FY 2021","Currency=USD","Period=FQ","BEST_FPERIOD_OVERRIDE=FQ","FILING_STATUS=MR","Sort=A","Dates=H","DateFormat=P","Fill=—","Direction=H","UseDPDF=Y")</f>
        <v>-142938.54490000001</v>
      </c>
      <c r="N31" s="14">
        <f>_xll.BDH("ITCI US Equity","CASH_FLOW_PER_EMPLOYEE","FY 2022","FY 2022","Currency=USD","Period=FQ","BEST_FPERIOD_OVERRIDE=FQ","FILING_STATUS=MR","Sort=A","Dates=H","DateFormat=P","Fill=—","Direction=H","UseDPDF=Y")</f>
        <v>-69862.7451</v>
      </c>
      <c r="O31" s="14" t="str">
        <f>_xll.BDH("ITCI US Equity","CASH_FLOW_PER_EMPLOYEE","FY 2023","FY 2023","Currency=USD","Period=FQ","BEST_FPERIOD_OVERRIDE=FQ","FILING_STATUS=MR","Sort=A","Dates=H","DateFormat=P","Fill=—","Direction=H","UseDPDF=Y")</f>
        <v>—</v>
      </c>
      <c r="P31" s="14">
        <f>_xll.BDH("ITCI US Equity","CASH_FLOW_PER_EMPLOYEE","FY 2024","FY 2024","Currency=USD","Period=FQ","BEST_FPERIOD_OVERRIDE=FQ","FILING_STATUS=MR","Sort=A","Dates=H","DateFormat=P","Fill=—","Direction=H","UseDPDF=Y")</f>
        <v>-15206.976699999999</v>
      </c>
    </row>
    <row r="32" spans="1:16" x14ac:dyDescent="0.25">
      <c r="A32" s="10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1:16" x14ac:dyDescent="0.25">
      <c r="A33" s="6" t="s">
        <v>1387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  <row r="34" spans="1:16" x14ac:dyDescent="0.25">
      <c r="A34" s="10" t="s">
        <v>1388</v>
      </c>
      <c r="B34" s="10" t="s">
        <v>1389</v>
      </c>
      <c r="C34" s="14" t="str">
        <f>_xll.BDH("ITCI US Equity","PCT_OF_NON_EXEC_DIR_ON_BRD","FY 2011","FY 2011","Currency=USD","Period=FQ","BEST_FPERIOD_OVERRIDE=FQ","FILING_STATUS=MR","Sort=A","Dates=H","DateFormat=P","Fill=—","Direction=H","UseDPDF=Y")</f>
        <v>—</v>
      </c>
      <c r="D34" s="14" t="str">
        <f>_xll.BDH("ITCI US Equity","PCT_OF_NON_EXEC_DIR_ON_BRD","FY 2012","FY 2012","Currency=USD","Period=FQ","BEST_FPERIOD_OVERRIDE=FQ","FILING_STATUS=MR","Sort=A","Dates=H","DateFormat=P","Fill=—","Direction=H","UseDPDF=Y")</f>
        <v>—</v>
      </c>
      <c r="E34" s="14" t="str">
        <f>_xll.BDH("ITCI US Equity","PCT_OF_NON_EXEC_DIR_ON_BRD","FY 2013","FY 2013","Currency=USD","Period=FQ","BEST_FPERIOD_OVERRIDE=FQ","FILING_STATUS=MR","Sort=A","Dates=H","DateFormat=P","Fill=—","Direction=H","UseDPDF=Y")</f>
        <v>—</v>
      </c>
      <c r="F34" s="14" t="str">
        <f>_xll.BDH("ITCI US Equity","PCT_OF_NON_EXEC_DIR_ON_BRD","FY 2014","FY 2014","Currency=USD","Period=FQ","BEST_FPERIOD_OVERRIDE=FQ","FILING_STATUS=MR","Sort=A","Dates=H","DateFormat=P","Fill=—","Direction=H","UseDPDF=Y")</f>
        <v>—</v>
      </c>
      <c r="G34" s="14" t="str">
        <f>_xll.BDH("ITCI US Equity","PCT_OF_NON_EXEC_DIR_ON_BRD","FY 2015","FY 2015","Currency=USD","Period=FQ","BEST_FPERIOD_OVERRIDE=FQ","FILING_STATUS=MR","Sort=A","Dates=H","DateFormat=P","Fill=—","Direction=H","UseDPDF=Y")</f>
        <v>—</v>
      </c>
      <c r="H34" s="14" t="str">
        <f>_xll.BDH("ITCI US Equity","PCT_OF_NON_EXEC_DIR_ON_BRD","FY 2016","FY 2016","Currency=USD","Period=FQ","BEST_FPERIOD_OVERRIDE=FQ","FILING_STATUS=MR","Sort=A","Dates=H","DateFormat=P","Fill=—","Direction=H","UseDPDF=Y")</f>
        <v>—</v>
      </c>
      <c r="I34" s="14" t="str">
        <f>_xll.BDH("ITCI US Equity","PCT_OF_NON_EXEC_DIR_ON_BRD","FY 2017","FY 2017","Currency=USD","Period=FQ","BEST_FPERIOD_OVERRIDE=FQ","FILING_STATUS=MR","Sort=A","Dates=H","DateFormat=P","Fill=—","Direction=H","UseDPDF=Y")</f>
        <v>—</v>
      </c>
      <c r="J34" s="14" t="str">
        <f>_xll.BDH("ITCI US Equity","PCT_OF_NON_EXEC_DIR_ON_BRD","FY 2018","FY 2018","Currency=USD","Period=FQ","BEST_FPERIOD_OVERRIDE=FQ","FILING_STATUS=MR","Sort=A","Dates=H","DateFormat=P","Fill=—","Direction=H","UseDPDF=Y")</f>
        <v>—</v>
      </c>
      <c r="K34" s="14" t="str">
        <f>_xll.BDH("ITCI US Equity","PCT_OF_NON_EXEC_DIR_ON_BRD","FY 2019","FY 2019","Currency=USD","Period=FQ","BEST_FPERIOD_OVERRIDE=FQ","FILING_STATUS=MR","Sort=A","Dates=H","DateFormat=P","Fill=—","Direction=H","UseDPDF=Y")</f>
        <v>—</v>
      </c>
      <c r="L34" s="14" t="str">
        <f>_xll.BDH("ITCI US Equity","PCT_OF_NON_EXEC_DIR_ON_BRD","FY 2020","FY 2020","Currency=USD","Period=FQ","BEST_FPERIOD_OVERRIDE=FQ","FILING_STATUS=MR","Sort=A","Dates=H","DateFormat=P","Fill=—","Direction=H","UseDPDF=Y")</f>
        <v>—</v>
      </c>
      <c r="M34" s="14" t="str">
        <f>_xll.BDH("ITCI US Equity","PCT_OF_NON_EXEC_DIR_ON_BRD","FY 2021","FY 2021","Currency=USD","Period=FQ","BEST_FPERIOD_OVERRIDE=FQ","FILING_STATUS=MR","Sort=A","Dates=H","DateFormat=P","Fill=—","Direction=H","UseDPDF=Y")</f>
        <v>—</v>
      </c>
      <c r="N34" s="14" t="str">
        <f>_xll.BDH("ITCI US Equity","PCT_OF_NON_EXEC_DIR_ON_BRD","FY 2022","FY 2022","Currency=USD","Period=FQ","BEST_FPERIOD_OVERRIDE=FQ","FILING_STATUS=MR","Sort=A","Dates=H","DateFormat=P","Fill=—","Direction=H","UseDPDF=Y")</f>
        <v>—</v>
      </c>
      <c r="O34" s="14" t="str">
        <f>_xll.BDH("ITCI US Equity","PCT_OF_NON_EXEC_DIR_ON_BRD","FY 2023","FY 2023","Currency=USD","Period=FQ","BEST_FPERIOD_OVERRIDE=FQ","FILING_STATUS=MR","Sort=A","Dates=H","DateFormat=P","Fill=—","Direction=H","UseDPDF=Y")</f>
        <v>—</v>
      </c>
      <c r="P34" s="14" t="str">
        <f>_xll.BDH("ITCI US Equity","PCT_OF_NON_EXEC_DIR_ON_BRD","FY 2024","FY 2024","Currency=USD","Period=FQ","BEST_FPERIOD_OVERRIDE=FQ","FILING_STATUS=MR","Sort=A","Dates=H","DateFormat=P","Fill=—","Direction=H","UseDPDF=Y")</f>
        <v>—</v>
      </c>
    </row>
    <row r="35" spans="1:16" x14ac:dyDescent="0.25">
      <c r="A35" s="10" t="s">
        <v>1390</v>
      </c>
      <c r="B35" s="10" t="s">
        <v>1391</v>
      </c>
      <c r="C35" s="14" t="str">
        <f>_xll.BDH("ITCI US Equity","PCT_INDEPENDENT_DIRECTORS","FY 2011","FY 2011","Currency=USD","Period=FQ","BEST_FPERIOD_OVERRIDE=FQ","FILING_STATUS=MR","Sort=A","Dates=H","DateFormat=P","Fill=—","Direction=H","UseDPDF=Y")</f>
        <v>—</v>
      </c>
      <c r="D35" s="14" t="str">
        <f>_xll.BDH("ITCI US Equity","PCT_INDEPENDENT_DIRECTORS","FY 2012","FY 2012","Currency=USD","Period=FQ","BEST_FPERIOD_OVERRIDE=FQ","FILING_STATUS=MR","Sort=A","Dates=H","DateFormat=P","Fill=—","Direction=H","UseDPDF=Y")</f>
        <v>—</v>
      </c>
      <c r="E35" s="14" t="str">
        <f>_xll.BDH("ITCI US Equity","PCT_INDEPENDENT_DIRECTORS","FY 2013","FY 2013","Currency=USD","Period=FQ","BEST_FPERIOD_OVERRIDE=FQ","FILING_STATUS=MR","Sort=A","Dates=H","DateFormat=P","Fill=—","Direction=H","UseDPDF=Y")</f>
        <v>—</v>
      </c>
      <c r="F35" s="14" t="str">
        <f>_xll.BDH("ITCI US Equity","PCT_INDEPENDENT_DIRECTORS","FY 2014","FY 2014","Currency=USD","Period=FQ","BEST_FPERIOD_OVERRIDE=FQ","FILING_STATUS=MR","Sort=A","Dates=H","DateFormat=P","Fill=—","Direction=H","UseDPDF=Y")</f>
        <v>—</v>
      </c>
      <c r="G35" s="14" t="str">
        <f>_xll.BDH("ITCI US Equity","PCT_INDEPENDENT_DIRECTORS","FY 2015","FY 2015","Currency=USD","Period=FQ","BEST_FPERIOD_OVERRIDE=FQ","FILING_STATUS=MR","Sort=A","Dates=H","DateFormat=P","Fill=—","Direction=H","UseDPDF=Y")</f>
        <v>—</v>
      </c>
      <c r="H35" s="14" t="str">
        <f>_xll.BDH("ITCI US Equity","PCT_INDEPENDENT_DIRECTORS","FY 2016","FY 2016","Currency=USD","Period=FQ","BEST_FPERIOD_OVERRIDE=FQ","FILING_STATUS=MR","Sort=A","Dates=H","DateFormat=P","Fill=—","Direction=H","UseDPDF=Y")</f>
        <v>—</v>
      </c>
      <c r="I35" s="14" t="str">
        <f>_xll.BDH("ITCI US Equity","PCT_INDEPENDENT_DIRECTORS","FY 2017","FY 2017","Currency=USD","Period=FQ","BEST_FPERIOD_OVERRIDE=FQ","FILING_STATUS=MR","Sort=A","Dates=H","DateFormat=P","Fill=—","Direction=H","UseDPDF=Y")</f>
        <v>—</v>
      </c>
      <c r="J35" s="14" t="str">
        <f>_xll.BDH("ITCI US Equity","PCT_INDEPENDENT_DIRECTORS","FY 2018","FY 2018","Currency=USD","Period=FQ","BEST_FPERIOD_OVERRIDE=FQ","FILING_STATUS=MR","Sort=A","Dates=H","DateFormat=P","Fill=—","Direction=H","UseDPDF=Y")</f>
        <v>—</v>
      </c>
      <c r="K35" s="14" t="str">
        <f>_xll.BDH("ITCI US Equity","PCT_INDEPENDENT_DIRECTORS","FY 2019","FY 2019","Currency=USD","Period=FQ","BEST_FPERIOD_OVERRIDE=FQ","FILING_STATUS=MR","Sort=A","Dates=H","DateFormat=P","Fill=—","Direction=H","UseDPDF=Y")</f>
        <v>—</v>
      </c>
      <c r="L35" s="14" t="str">
        <f>_xll.BDH("ITCI US Equity","PCT_INDEPENDENT_DIRECTORS","FY 2020","FY 2020","Currency=USD","Period=FQ","BEST_FPERIOD_OVERRIDE=FQ","FILING_STATUS=MR","Sort=A","Dates=H","DateFormat=P","Fill=—","Direction=H","UseDPDF=Y")</f>
        <v>—</v>
      </c>
      <c r="M35" s="14" t="str">
        <f>_xll.BDH("ITCI US Equity","PCT_INDEPENDENT_DIRECTORS","FY 2021","FY 2021","Currency=USD","Period=FQ","BEST_FPERIOD_OVERRIDE=FQ","FILING_STATUS=MR","Sort=A","Dates=H","DateFormat=P","Fill=—","Direction=H","UseDPDF=Y")</f>
        <v>—</v>
      </c>
      <c r="N35" s="14" t="str">
        <f>_xll.BDH("ITCI US Equity","PCT_INDEPENDENT_DIRECTORS","FY 2022","FY 2022","Currency=USD","Period=FQ","BEST_FPERIOD_OVERRIDE=FQ","FILING_STATUS=MR","Sort=A","Dates=H","DateFormat=P","Fill=—","Direction=H","UseDPDF=Y")</f>
        <v>—</v>
      </c>
      <c r="O35" s="14" t="str">
        <f>_xll.BDH("ITCI US Equity","PCT_INDEPENDENT_DIRECTORS","FY 2023","FY 2023","Currency=USD","Period=FQ","BEST_FPERIOD_OVERRIDE=FQ","FILING_STATUS=MR","Sort=A","Dates=H","DateFormat=P","Fill=—","Direction=H","UseDPDF=Y")</f>
        <v>—</v>
      </c>
      <c r="P35" s="14" t="str">
        <f>_xll.BDH("ITCI US Equity","PCT_INDEPENDENT_DIRECTORS","FY 2024","FY 2024","Currency=USD","Period=FQ","BEST_FPERIOD_OVERRIDE=FQ","FILING_STATUS=MR","Sort=A","Dates=H","DateFormat=P","Fill=—","Direction=H","UseDPDF=Y")</f>
        <v>—</v>
      </c>
    </row>
    <row r="36" spans="1:16" x14ac:dyDescent="0.25">
      <c r="A36" s="10" t="s">
        <v>1392</v>
      </c>
      <c r="B36" s="10" t="s">
        <v>1393</v>
      </c>
      <c r="C36" s="14" t="str">
        <f>_xll.BDH("ITCI US Equity","PCT_WOMEN_ON_BOARD","FY 2011","FY 2011","Currency=USD","Period=FQ","BEST_FPERIOD_OVERRIDE=FQ","FILING_STATUS=MR","Sort=A","Dates=H","DateFormat=P","Fill=—","Direction=H","UseDPDF=Y")</f>
        <v>—</v>
      </c>
      <c r="D36" s="14" t="str">
        <f>_xll.BDH("ITCI US Equity","PCT_WOMEN_ON_BOARD","FY 2012","FY 2012","Currency=USD","Period=FQ","BEST_FPERIOD_OVERRIDE=FQ","FILING_STATUS=MR","Sort=A","Dates=H","DateFormat=P","Fill=—","Direction=H","UseDPDF=Y")</f>
        <v>—</v>
      </c>
      <c r="E36" s="14" t="str">
        <f>_xll.BDH("ITCI US Equity","PCT_WOMEN_ON_BOARD","FY 2013","FY 2013","Currency=USD","Period=FQ","BEST_FPERIOD_OVERRIDE=FQ","FILING_STATUS=MR","Sort=A","Dates=H","DateFormat=P","Fill=—","Direction=H","UseDPDF=Y")</f>
        <v>—</v>
      </c>
      <c r="F36" s="14" t="str">
        <f>_xll.BDH("ITCI US Equity","PCT_WOMEN_ON_BOARD","FY 2014","FY 2014","Currency=USD","Period=FQ","BEST_FPERIOD_OVERRIDE=FQ","FILING_STATUS=MR","Sort=A","Dates=H","DateFormat=P","Fill=—","Direction=H","UseDPDF=Y")</f>
        <v>—</v>
      </c>
      <c r="G36" s="14" t="str">
        <f>_xll.BDH("ITCI US Equity","PCT_WOMEN_ON_BOARD","FY 2015","FY 2015","Currency=USD","Period=FQ","BEST_FPERIOD_OVERRIDE=FQ","FILING_STATUS=MR","Sort=A","Dates=H","DateFormat=P","Fill=—","Direction=H","UseDPDF=Y")</f>
        <v>—</v>
      </c>
      <c r="H36" s="14" t="str">
        <f>_xll.BDH("ITCI US Equity","PCT_WOMEN_ON_BOARD","FY 2016","FY 2016","Currency=USD","Period=FQ","BEST_FPERIOD_OVERRIDE=FQ","FILING_STATUS=MR","Sort=A","Dates=H","DateFormat=P","Fill=—","Direction=H","UseDPDF=Y")</f>
        <v>—</v>
      </c>
      <c r="I36" s="14" t="str">
        <f>_xll.BDH("ITCI US Equity","PCT_WOMEN_ON_BOARD","FY 2017","FY 2017","Currency=USD","Period=FQ","BEST_FPERIOD_OVERRIDE=FQ","FILING_STATUS=MR","Sort=A","Dates=H","DateFormat=P","Fill=—","Direction=H","UseDPDF=Y")</f>
        <v>—</v>
      </c>
      <c r="J36" s="14" t="str">
        <f>_xll.BDH("ITCI US Equity","PCT_WOMEN_ON_BOARD","FY 2018","FY 2018","Currency=USD","Period=FQ","BEST_FPERIOD_OVERRIDE=FQ","FILING_STATUS=MR","Sort=A","Dates=H","DateFormat=P","Fill=—","Direction=H","UseDPDF=Y")</f>
        <v>—</v>
      </c>
      <c r="K36" s="14" t="str">
        <f>_xll.BDH("ITCI US Equity","PCT_WOMEN_ON_BOARD","FY 2019","FY 2019","Currency=USD","Period=FQ","BEST_FPERIOD_OVERRIDE=FQ","FILING_STATUS=MR","Sort=A","Dates=H","DateFormat=P","Fill=—","Direction=H","UseDPDF=Y")</f>
        <v>—</v>
      </c>
      <c r="L36" s="14" t="str">
        <f>_xll.BDH("ITCI US Equity","PCT_WOMEN_ON_BOARD","FY 2020","FY 2020","Currency=USD","Period=FQ","BEST_FPERIOD_OVERRIDE=FQ","FILING_STATUS=MR","Sort=A","Dates=H","DateFormat=P","Fill=—","Direction=H","UseDPDF=Y")</f>
        <v>—</v>
      </c>
      <c r="M36" s="14" t="str">
        <f>_xll.BDH("ITCI US Equity","PCT_WOMEN_ON_BOARD","FY 2021","FY 2021","Currency=USD","Period=FQ","BEST_FPERIOD_OVERRIDE=FQ","FILING_STATUS=MR","Sort=A","Dates=H","DateFormat=P","Fill=—","Direction=H","UseDPDF=Y")</f>
        <v>—</v>
      </c>
      <c r="N36" s="14" t="str">
        <f>_xll.BDH("ITCI US Equity","PCT_WOMEN_ON_BOARD","FY 2022","FY 2022","Currency=USD","Period=FQ","BEST_FPERIOD_OVERRIDE=FQ","FILING_STATUS=MR","Sort=A","Dates=H","DateFormat=P","Fill=—","Direction=H","UseDPDF=Y")</f>
        <v>—</v>
      </c>
      <c r="O36" s="14" t="str">
        <f>_xll.BDH("ITCI US Equity","PCT_WOMEN_ON_BOARD","FY 2023","FY 2023","Currency=USD","Period=FQ","BEST_FPERIOD_OVERRIDE=FQ","FILING_STATUS=MR","Sort=A","Dates=H","DateFormat=P","Fill=—","Direction=H","UseDPDF=Y")</f>
        <v>—</v>
      </c>
      <c r="P36" s="14" t="str">
        <f>_xll.BDH("ITCI US Equity","PCT_WOMEN_ON_BOARD","FY 2024","FY 2024","Currency=USD","Period=FQ","BEST_FPERIOD_OVERRIDE=FQ","FILING_STATUS=MR","Sort=A","Dates=H","DateFormat=P","Fill=—","Direction=H","UseDPDF=Y")</f>
        <v>—</v>
      </c>
    </row>
    <row r="37" spans="1:16" x14ac:dyDescent="0.25">
      <c r="A37" s="10" t="s">
        <v>1394</v>
      </c>
      <c r="B37" s="10" t="s">
        <v>1395</v>
      </c>
      <c r="C37" s="14" t="str">
        <f>_xll.BDH("ITCI US Equity","PERCENTAGE_OF_FEMALE_EXECUTIVES","FY 2011","FY 2011","Currency=USD","Period=FQ","BEST_FPERIOD_OVERRIDE=FQ","FILING_STATUS=MR","Sort=A","Dates=H","DateFormat=P","Fill=—","Direction=H","UseDPDF=Y")</f>
        <v>—</v>
      </c>
      <c r="D37" s="14" t="str">
        <f>_xll.BDH("ITCI US Equity","PERCENTAGE_OF_FEMALE_EXECUTIVES","FY 2012","FY 2012","Currency=USD","Period=FQ","BEST_FPERIOD_OVERRIDE=FQ","FILING_STATUS=MR","Sort=A","Dates=H","DateFormat=P","Fill=—","Direction=H","UseDPDF=Y")</f>
        <v>—</v>
      </c>
      <c r="E37" s="14" t="str">
        <f>_xll.BDH("ITCI US Equity","PERCENTAGE_OF_FEMALE_EXECUTIVES","FY 2013","FY 2013","Currency=USD","Period=FQ","BEST_FPERIOD_OVERRIDE=FQ","FILING_STATUS=MR","Sort=A","Dates=H","DateFormat=P","Fill=—","Direction=H","UseDPDF=Y")</f>
        <v>—</v>
      </c>
      <c r="F37" s="14" t="str">
        <f>_xll.BDH("ITCI US Equity","PERCENTAGE_OF_FEMALE_EXECUTIVES","FY 2014","FY 2014","Currency=USD","Period=FQ","BEST_FPERIOD_OVERRIDE=FQ","FILING_STATUS=MR","Sort=A","Dates=H","DateFormat=P","Fill=—","Direction=H","UseDPDF=Y")</f>
        <v>—</v>
      </c>
      <c r="G37" s="14" t="str">
        <f>_xll.BDH("ITCI US Equity","PERCENTAGE_OF_FEMALE_EXECUTIVES","FY 2015","FY 2015","Currency=USD","Period=FQ","BEST_FPERIOD_OVERRIDE=FQ","FILING_STATUS=MR","Sort=A","Dates=H","DateFormat=P","Fill=—","Direction=H","UseDPDF=Y")</f>
        <v>—</v>
      </c>
      <c r="H37" s="14" t="str">
        <f>_xll.BDH("ITCI US Equity","PERCENTAGE_OF_FEMALE_EXECUTIVES","FY 2016","FY 2016","Currency=USD","Period=FQ","BEST_FPERIOD_OVERRIDE=FQ","FILING_STATUS=MR","Sort=A","Dates=H","DateFormat=P","Fill=—","Direction=H","UseDPDF=Y")</f>
        <v>—</v>
      </c>
      <c r="I37" s="14" t="str">
        <f>_xll.BDH("ITCI US Equity","PERCENTAGE_OF_FEMALE_EXECUTIVES","FY 2017","FY 2017","Currency=USD","Period=FQ","BEST_FPERIOD_OVERRIDE=FQ","FILING_STATUS=MR","Sort=A","Dates=H","DateFormat=P","Fill=—","Direction=H","UseDPDF=Y")</f>
        <v>—</v>
      </c>
      <c r="J37" s="14" t="str">
        <f>_xll.BDH("ITCI US Equity","PERCENTAGE_OF_FEMALE_EXECUTIVES","FY 2018","FY 2018","Currency=USD","Period=FQ","BEST_FPERIOD_OVERRIDE=FQ","FILING_STATUS=MR","Sort=A","Dates=H","DateFormat=P","Fill=—","Direction=H","UseDPDF=Y")</f>
        <v>—</v>
      </c>
      <c r="K37" s="14" t="str">
        <f>_xll.BDH("ITCI US Equity","PERCENTAGE_OF_FEMALE_EXECUTIVES","FY 2019","FY 2019","Currency=USD","Period=FQ","BEST_FPERIOD_OVERRIDE=FQ","FILING_STATUS=MR","Sort=A","Dates=H","DateFormat=P","Fill=—","Direction=H","UseDPDF=Y")</f>
        <v>—</v>
      </c>
      <c r="L37" s="14" t="str">
        <f>_xll.BDH("ITCI US Equity","PERCENTAGE_OF_FEMALE_EXECUTIVES","FY 2020","FY 2020","Currency=USD","Period=FQ","BEST_FPERIOD_OVERRIDE=FQ","FILING_STATUS=MR","Sort=A","Dates=H","DateFormat=P","Fill=—","Direction=H","UseDPDF=Y")</f>
        <v>—</v>
      </c>
      <c r="M37" s="14" t="str">
        <f>_xll.BDH("ITCI US Equity","PERCENTAGE_OF_FEMALE_EXECUTIVES","FY 2021","FY 2021","Currency=USD","Period=FQ","BEST_FPERIOD_OVERRIDE=FQ","FILING_STATUS=MR","Sort=A","Dates=H","DateFormat=P","Fill=—","Direction=H","UseDPDF=Y")</f>
        <v>—</v>
      </c>
      <c r="N37" s="14" t="str">
        <f>_xll.BDH("ITCI US Equity","PERCENTAGE_OF_FEMALE_EXECUTIVES","FY 2022","FY 2022","Currency=USD","Period=FQ","BEST_FPERIOD_OVERRIDE=FQ","FILING_STATUS=MR","Sort=A","Dates=H","DateFormat=P","Fill=—","Direction=H","UseDPDF=Y")</f>
        <v>—</v>
      </c>
      <c r="O37" s="14" t="str">
        <f>_xll.BDH("ITCI US Equity","PERCENTAGE_OF_FEMALE_EXECUTIVES","FY 2023","FY 2023","Currency=USD","Period=FQ","BEST_FPERIOD_OVERRIDE=FQ","FILING_STATUS=MR","Sort=A","Dates=H","DateFormat=P","Fill=—","Direction=H","UseDPDF=Y")</f>
        <v>—</v>
      </c>
      <c r="P37" s="14" t="str">
        <f>_xll.BDH("ITCI US Equity","PERCENTAGE_OF_FEMALE_EXECUTIVES","FY 2024","FY 2024","Currency=USD","Period=FQ","BEST_FPERIOD_OVERRIDE=FQ","FILING_STATUS=MR","Sort=A","Dates=H","DateFormat=P","Fill=—","Direction=H","UseDPDF=Y")</f>
        <v>—</v>
      </c>
    </row>
    <row r="38" spans="1:16" x14ac:dyDescent="0.25">
      <c r="A38" s="10" t="s">
        <v>1396</v>
      </c>
      <c r="B38" s="10" t="s">
        <v>1397</v>
      </c>
      <c r="C38" s="14" t="str">
        <f>_xll.BDH("ITCI US Equity","BOARD_OF_DIRECTORS_AGE_RANGE","FY 2011","FY 2011","Currency=USD","Period=FQ","BEST_FPERIOD_OVERRIDE=FQ","FILING_STATUS=MR","Sort=A","Dates=H","DateFormat=P","Fill=—","Direction=H","UseDPDF=Y")</f>
        <v>—</v>
      </c>
      <c r="D38" s="14" t="str">
        <f>_xll.BDH("ITCI US Equity","BOARD_OF_DIRECTORS_AGE_RANGE","FY 2012","FY 2012","Currency=USD","Period=FQ","BEST_FPERIOD_OVERRIDE=FQ","FILING_STATUS=MR","Sort=A","Dates=H","DateFormat=P","Fill=—","Direction=H","UseDPDF=Y")</f>
        <v>—</v>
      </c>
      <c r="E38" s="14" t="str">
        <f>_xll.BDH("ITCI US Equity","BOARD_OF_DIRECTORS_AGE_RANGE","FY 2013","FY 2013","Currency=USD","Period=FQ","BEST_FPERIOD_OVERRIDE=FQ","FILING_STATUS=MR","Sort=A","Dates=H","DateFormat=P","Fill=—","Direction=H","UseDPDF=Y")</f>
        <v>—</v>
      </c>
      <c r="F38" s="14" t="str">
        <f>_xll.BDH("ITCI US Equity","BOARD_OF_DIRECTORS_AGE_RANGE","FY 2014","FY 2014","Currency=USD","Period=FQ","BEST_FPERIOD_OVERRIDE=FQ","FILING_STATUS=MR","Sort=A","Dates=H","DateFormat=P","Fill=—","Direction=H","UseDPDF=Y")</f>
        <v>—</v>
      </c>
      <c r="G38" s="14" t="str">
        <f>_xll.BDH("ITCI US Equity","BOARD_OF_DIRECTORS_AGE_RANGE","FY 2015","FY 2015","Currency=USD","Period=FQ","BEST_FPERIOD_OVERRIDE=FQ","FILING_STATUS=MR","Sort=A","Dates=H","DateFormat=P","Fill=—","Direction=H","UseDPDF=Y")</f>
        <v>—</v>
      </c>
      <c r="H38" s="14" t="str">
        <f>_xll.BDH("ITCI US Equity","BOARD_OF_DIRECTORS_AGE_RANGE","FY 2016","FY 2016","Currency=USD","Period=FQ","BEST_FPERIOD_OVERRIDE=FQ","FILING_STATUS=MR","Sort=A","Dates=H","DateFormat=P","Fill=—","Direction=H","UseDPDF=Y")</f>
        <v>—</v>
      </c>
      <c r="I38" s="14" t="str">
        <f>_xll.BDH("ITCI US Equity","BOARD_OF_DIRECTORS_AGE_RANGE","FY 2017","FY 2017","Currency=USD","Period=FQ","BEST_FPERIOD_OVERRIDE=FQ","FILING_STATUS=MR","Sort=A","Dates=H","DateFormat=P","Fill=—","Direction=H","UseDPDF=Y")</f>
        <v>—</v>
      </c>
      <c r="J38" s="14" t="str">
        <f>_xll.BDH("ITCI US Equity","BOARD_OF_DIRECTORS_AGE_RANGE","FY 2018","FY 2018","Currency=USD","Period=FQ","BEST_FPERIOD_OVERRIDE=FQ","FILING_STATUS=MR","Sort=A","Dates=H","DateFormat=P","Fill=—","Direction=H","UseDPDF=Y")</f>
        <v>—</v>
      </c>
      <c r="K38" s="14" t="str">
        <f>_xll.BDH("ITCI US Equity","BOARD_OF_DIRECTORS_AGE_RANGE","FY 2019","FY 2019","Currency=USD","Period=FQ","BEST_FPERIOD_OVERRIDE=FQ","FILING_STATUS=MR","Sort=A","Dates=H","DateFormat=P","Fill=—","Direction=H","UseDPDF=Y")</f>
        <v>—</v>
      </c>
      <c r="L38" s="14" t="str">
        <f>_xll.BDH("ITCI US Equity","BOARD_OF_DIRECTORS_AGE_RANGE","FY 2020","FY 2020","Currency=USD","Period=FQ","BEST_FPERIOD_OVERRIDE=FQ","FILING_STATUS=MR","Sort=A","Dates=H","DateFormat=P","Fill=—","Direction=H","UseDPDF=Y")</f>
        <v>—</v>
      </c>
      <c r="M38" s="14" t="str">
        <f>_xll.BDH("ITCI US Equity","BOARD_OF_DIRECTORS_AGE_RANGE","FY 2021","FY 2021","Currency=USD","Period=FQ","BEST_FPERIOD_OVERRIDE=FQ","FILING_STATUS=MR","Sort=A","Dates=H","DateFormat=P","Fill=—","Direction=H","UseDPDF=Y")</f>
        <v>—</v>
      </c>
      <c r="N38" s="14" t="str">
        <f>_xll.BDH("ITCI US Equity","BOARD_OF_DIRECTORS_AGE_RANGE","FY 2022","FY 2022","Currency=USD","Period=FQ","BEST_FPERIOD_OVERRIDE=FQ","FILING_STATUS=MR","Sort=A","Dates=H","DateFormat=P","Fill=—","Direction=H","UseDPDF=Y")</f>
        <v>—</v>
      </c>
      <c r="O38" s="14" t="str">
        <f>_xll.BDH("ITCI US Equity","BOARD_OF_DIRECTORS_AGE_RANGE","FY 2023","FY 2023","Currency=USD","Period=FQ","BEST_FPERIOD_OVERRIDE=FQ","FILING_STATUS=MR","Sort=A","Dates=H","DateFormat=P","Fill=—","Direction=H","UseDPDF=Y")</f>
        <v>—</v>
      </c>
      <c r="P38" s="14" t="str">
        <f>_xll.BDH("ITCI US Equity","BOARD_OF_DIRECTORS_AGE_RANGE","FY 2024","FY 2024","Currency=USD","Period=FQ","BEST_FPERIOD_OVERRIDE=FQ","FILING_STATUS=MR","Sort=A","Dates=H","DateFormat=P","Fill=—","Direction=H","UseDPDF=Y")</f>
        <v>—</v>
      </c>
    </row>
    <row r="39" spans="1:16" x14ac:dyDescent="0.25">
      <c r="A39" s="10" t="s">
        <v>1398</v>
      </c>
      <c r="B39" s="10" t="s">
        <v>1399</v>
      </c>
      <c r="C39" s="14" t="str">
        <f>_xll.BDH("ITCI US Equity","BOARD_AVERAGE_AGE","FY 2011","FY 2011","Currency=USD","Period=FQ","BEST_FPERIOD_OVERRIDE=FQ","FILING_STATUS=MR","Sort=A","Dates=H","DateFormat=P","Fill=—","Direction=H","UseDPDF=Y")</f>
        <v>—</v>
      </c>
      <c r="D39" s="14" t="str">
        <f>_xll.BDH("ITCI US Equity","BOARD_AVERAGE_AGE","FY 2012","FY 2012","Currency=USD","Period=FQ","BEST_FPERIOD_OVERRIDE=FQ","FILING_STATUS=MR","Sort=A","Dates=H","DateFormat=P","Fill=—","Direction=H","UseDPDF=Y")</f>
        <v>—</v>
      </c>
      <c r="E39" s="14" t="str">
        <f>_xll.BDH("ITCI US Equity","BOARD_AVERAGE_AGE","FY 2013","FY 2013","Currency=USD","Period=FQ","BEST_FPERIOD_OVERRIDE=FQ","FILING_STATUS=MR","Sort=A","Dates=H","DateFormat=P","Fill=—","Direction=H","UseDPDF=Y")</f>
        <v>—</v>
      </c>
      <c r="F39" s="14" t="str">
        <f>_xll.BDH("ITCI US Equity","BOARD_AVERAGE_AGE","FY 2014","FY 2014","Currency=USD","Period=FQ","BEST_FPERIOD_OVERRIDE=FQ","FILING_STATUS=MR","Sort=A","Dates=H","DateFormat=P","Fill=—","Direction=H","UseDPDF=Y")</f>
        <v>—</v>
      </c>
      <c r="G39" s="14" t="str">
        <f>_xll.BDH("ITCI US Equity","BOARD_AVERAGE_AGE","FY 2015","FY 2015","Currency=USD","Period=FQ","BEST_FPERIOD_OVERRIDE=FQ","FILING_STATUS=MR","Sort=A","Dates=H","DateFormat=P","Fill=—","Direction=H","UseDPDF=Y")</f>
        <v>—</v>
      </c>
      <c r="H39" s="14" t="str">
        <f>_xll.BDH("ITCI US Equity","BOARD_AVERAGE_AGE","FY 2016","FY 2016","Currency=USD","Period=FQ","BEST_FPERIOD_OVERRIDE=FQ","FILING_STATUS=MR","Sort=A","Dates=H","DateFormat=P","Fill=—","Direction=H","UseDPDF=Y")</f>
        <v>—</v>
      </c>
      <c r="I39" s="14" t="str">
        <f>_xll.BDH("ITCI US Equity","BOARD_AVERAGE_AGE","FY 2017","FY 2017","Currency=USD","Period=FQ","BEST_FPERIOD_OVERRIDE=FQ","FILING_STATUS=MR","Sort=A","Dates=H","DateFormat=P","Fill=—","Direction=H","UseDPDF=Y")</f>
        <v>—</v>
      </c>
      <c r="J39" s="14" t="str">
        <f>_xll.BDH("ITCI US Equity","BOARD_AVERAGE_AGE","FY 2018","FY 2018","Currency=USD","Period=FQ","BEST_FPERIOD_OVERRIDE=FQ","FILING_STATUS=MR","Sort=A","Dates=H","DateFormat=P","Fill=—","Direction=H","UseDPDF=Y")</f>
        <v>—</v>
      </c>
      <c r="K39" s="14" t="str">
        <f>_xll.BDH("ITCI US Equity","BOARD_AVERAGE_AGE","FY 2019","FY 2019","Currency=USD","Period=FQ","BEST_FPERIOD_OVERRIDE=FQ","FILING_STATUS=MR","Sort=A","Dates=H","DateFormat=P","Fill=—","Direction=H","UseDPDF=Y")</f>
        <v>—</v>
      </c>
      <c r="L39" s="14" t="str">
        <f>_xll.BDH("ITCI US Equity","BOARD_AVERAGE_AGE","FY 2020","FY 2020","Currency=USD","Period=FQ","BEST_FPERIOD_OVERRIDE=FQ","FILING_STATUS=MR","Sort=A","Dates=H","DateFormat=P","Fill=—","Direction=H","UseDPDF=Y")</f>
        <v>—</v>
      </c>
      <c r="M39" s="14" t="str">
        <f>_xll.BDH("ITCI US Equity","BOARD_AVERAGE_AGE","FY 2021","FY 2021","Currency=USD","Period=FQ","BEST_FPERIOD_OVERRIDE=FQ","FILING_STATUS=MR","Sort=A","Dates=H","DateFormat=P","Fill=—","Direction=H","UseDPDF=Y")</f>
        <v>—</v>
      </c>
      <c r="N39" s="14" t="str">
        <f>_xll.BDH("ITCI US Equity","BOARD_AVERAGE_AGE","FY 2022","FY 2022","Currency=USD","Period=FQ","BEST_FPERIOD_OVERRIDE=FQ","FILING_STATUS=MR","Sort=A","Dates=H","DateFormat=P","Fill=—","Direction=H","UseDPDF=Y")</f>
        <v>—</v>
      </c>
      <c r="O39" s="14" t="str">
        <f>_xll.BDH("ITCI US Equity","BOARD_AVERAGE_AGE","FY 2023","FY 2023","Currency=USD","Period=FQ","BEST_FPERIOD_OVERRIDE=FQ","FILING_STATUS=MR","Sort=A","Dates=H","DateFormat=P","Fill=—","Direction=H","UseDPDF=Y")</f>
        <v>—</v>
      </c>
      <c r="P39" s="14" t="str">
        <f>_xll.BDH("ITCI US Equity","BOARD_AVERAGE_AGE","FY 2024","FY 2024","Currency=USD","Period=FQ","BEST_FPERIOD_OVERRIDE=FQ","FILING_STATUS=MR","Sort=A","Dates=H","DateFormat=P","Fill=—","Direction=H","UseDPDF=Y")</f>
        <v>—</v>
      </c>
    </row>
    <row r="40" spans="1:16" x14ac:dyDescent="0.25">
      <c r="A40" s="10" t="s">
        <v>1400</v>
      </c>
      <c r="B40" s="10" t="s">
        <v>1401</v>
      </c>
      <c r="C40" s="14" t="str">
        <f>_xll.BDH("ITCI US Equity","BOARD_MEETING_ATTENDANCE_PCT","FY 2011","FY 2011","Currency=USD","Period=FQ","BEST_FPERIOD_OVERRIDE=FQ","FILING_STATUS=MR","Sort=A","Dates=H","DateFormat=P","Fill=—","Direction=H","UseDPDF=Y")</f>
        <v>—</v>
      </c>
      <c r="D40" s="14" t="str">
        <f>_xll.BDH("ITCI US Equity","BOARD_MEETING_ATTENDANCE_PCT","FY 2012","FY 2012","Currency=USD","Period=FQ","BEST_FPERIOD_OVERRIDE=FQ","FILING_STATUS=MR","Sort=A","Dates=H","DateFormat=P","Fill=—","Direction=H","UseDPDF=Y")</f>
        <v>—</v>
      </c>
      <c r="E40" s="14" t="str">
        <f>_xll.BDH("ITCI US Equity","BOARD_MEETING_ATTENDANCE_PCT","FY 2013","FY 2013","Currency=USD","Period=FQ","BEST_FPERIOD_OVERRIDE=FQ","FILING_STATUS=MR","Sort=A","Dates=H","DateFormat=P","Fill=—","Direction=H","UseDPDF=Y")</f>
        <v>—</v>
      </c>
      <c r="F40" s="14" t="str">
        <f>_xll.BDH("ITCI US Equity","BOARD_MEETING_ATTENDANCE_PCT","FY 2014","FY 2014","Currency=USD","Period=FQ","BEST_FPERIOD_OVERRIDE=FQ","FILING_STATUS=MR","Sort=A","Dates=H","DateFormat=P","Fill=—","Direction=H","UseDPDF=Y")</f>
        <v>—</v>
      </c>
      <c r="G40" s="14" t="str">
        <f>_xll.BDH("ITCI US Equity","BOARD_MEETING_ATTENDANCE_PCT","FY 2015","FY 2015","Currency=USD","Period=FQ","BEST_FPERIOD_OVERRIDE=FQ","FILING_STATUS=MR","Sort=A","Dates=H","DateFormat=P","Fill=—","Direction=H","UseDPDF=Y")</f>
        <v>—</v>
      </c>
      <c r="H40" s="14" t="str">
        <f>_xll.BDH("ITCI US Equity","BOARD_MEETING_ATTENDANCE_PCT","FY 2016","FY 2016","Currency=USD","Period=FQ","BEST_FPERIOD_OVERRIDE=FQ","FILING_STATUS=MR","Sort=A","Dates=H","DateFormat=P","Fill=—","Direction=H","UseDPDF=Y")</f>
        <v>—</v>
      </c>
      <c r="I40" s="14" t="str">
        <f>_xll.BDH("ITCI US Equity","BOARD_MEETING_ATTENDANCE_PCT","FY 2017","FY 2017","Currency=USD","Period=FQ","BEST_FPERIOD_OVERRIDE=FQ","FILING_STATUS=MR","Sort=A","Dates=H","DateFormat=P","Fill=—","Direction=H","UseDPDF=Y")</f>
        <v>—</v>
      </c>
      <c r="J40" s="14" t="str">
        <f>_xll.BDH("ITCI US Equity","BOARD_MEETING_ATTENDANCE_PCT","FY 2018","FY 2018","Currency=USD","Period=FQ","BEST_FPERIOD_OVERRIDE=FQ","FILING_STATUS=MR","Sort=A","Dates=H","DateFormat=P","Fill=—","Direction=H","UseDPDF=Y")</f>
        <v>—</v>
      </c>
      <c r="K40" s="14" t="str">
        <f>_xll.BDH("ITCI US Equity","BOARD_MEETING_ATTENDANCE_PCT","FY 2019","FY 2019","Currency=USD","Period=FQ","BEST_FPERIOD_OVERRIDE=FQ","FILING_STATUS=MR","Sort=A","Dates=H","DateFormat=P","Fill=—","Direction=H","UseDPDF=Y")</f>
        <v>—</v>
      </c>
      <c r="L40" s="14" t="str">
        <f>_xll.BDH("ITCI US Equity","BOARD_MEETING_ATTENDANCE_PCT","FY 2020","FY 2020","Currency=USD","Period=FQ","BEST_FPERIOD_OVERRIDE=FQ","FILING_STATUS=MR","Sort=A","Dates=H","DateFormat=P","Fill=—","Direction=H","UseDPDF=Y")</f>
        <v>—</v>
      </c>
      <c r="M40" s="14" t="str">
        <f>_xll.BDH("ITCI US Equity","BOARD_MEETING_ATTENDANCE_PCT","FY 2021","FY 2021","Currency=USD","Period=FQ","BEST_FPERIOD_OVERRIDE=FQ","FILING_STATUS=MR","Sort=A","Dates=H","DateFormat=P","Fill=—","Direction=H","UseDPDF=Y")</f>
        <v>—</v>
      </c>
      <c r="N40" s="14" t="str">
        <f>_xll.BDH("ITCI US Equity","BOARD_MEETING_ATTENDANCE_PCT","FY 2022","FY 2022","Currency=USD","Period=FQ","BEST_FPERIOD_OVERRIDE=FQ","FILING_STATUS=MR","Sort=A","Dates=H","DateFormat=P","Fill=—","Direction=H","UseDPDF=Y")</f>
        <v>—</v>
      </c>
      <c r="O40" s="14" t="str">
        <f>_xll.BDH("ITCI US Equity","BOARD_MEETING_ATTENDANCE_PCT","FY 2023","FY 2023","Currency=USD","Period=FQ","BEST_FPERIOD_OVERRIDE=FQ","FILING_STATUS=MR","Sort=A","Dates=H","DateFormat=P","Fill=—","Direction=H","UseDPDF=Y")</f>
        <v>—</v>
      </c>
      <c r="P40" s="14" t="str">
        <f>_xll.BDH("ITCI US Equity","BOARD_MEETING_ATTENDANCE_PCT","FY 2024","FY 2024","Currency=USD","Period=FQ","BEST_FPERIOD_OVERRIDE=FQ","FILING_STATUS=MR","Sort=A","Dates=H","DateFormat=P","Fill=—","Direction=H","UseDPDF=Y")</f>
        <v>—</v>
      </c>
    </row>
    <row r="41" spans="1:16" x14ac:dyDescent="0.25">
      <c r="A41" s="10" t="s">
        <v>1402</v>
      </c>
      <c r="B41" s="10" t="s">
        <v>1403</v>
      </c>
      <c r="C41" s="14" t="str">
        <f>_xll.BDH("ITCI US Equity","IND_DIRECTORS_BRD_MTG_ATTEND_PCT","FY 2011","FY 2011","Currency=USD","Period=FQ","BEST_FPERIOD_OVERRIDE=FQ","FILING_STATUS=MR","Sort=A","Dates=H","DateFormat=P","Fill=—","Direction=H","UseDPDF=Y")</f>
        <v>—</v>
      </c>
      <c r="D41" s="14" t="str">
        <f>_xll.BDH("ITCI US Equity","IND_DIRECTORS_BRD_MTG_ATTEND_PCT","FY 2012","FY 2012","Currency=USD","Period=FQ","BEST_FPERIOD_OVERRIDE=FQ","FILING_STATUS=MR","Sort=A","Dates=H","DateFormat=P","Fill=—","Direction=H","UseDPDF=Y")</f>
        <v>—</v>
      </c>
      <c r="E41" s="14" t="str">
        <f>_xll.BDH("ITCI US Equity","IND_DIRECTORS_BRD_MTG_ATTEND_PCT","FY 2013","FY 2013","Currency=USD","Period=FQ","BEST_FPERIOD_OVERRIDE=FQ","FILING_STATUS=MR","Sort=A","Dates=H","DateFormat=P","Fill=—","Direction=H","UseDPDF=Y")</f>
        <v>—</v>
      </c>
      <c r="F41" s="14" t="str">
        <f>_xll.BDH("ITCI US Equity","IND_DIRECTORS_BRD_MTG_ATTEND_PCT","FY 2014","FY 2014","Currency=USD","Period=FQ","BEST_FPERIOD_OVERRIDE=FQ","FILING_STATUS=MR","Sort=A","Dates=H","DateFormat=P","Fill=—","Direction=H","UseDPDF=Y")</f>
        <v>—</v>
      </c>
      <c r="G41" s="14" t="str">
        <f>_xll.BDH("ITCI US Equity","IND_DIRECTORS_BRD_MTG_ATTEND_PCT","FY 2015","FY 2015","Currency=USD","Period=FQ","BEST_FPERIOD_OVERRIDE=FQ","FILING_STATUS=MR","Sort=A","Dates=H","DateFormat=P","Fill=—","Direction=H","UseDPDF=Y")</f>
        <v>—</v>
      </c>
      <c r="H41" s="14" t="str">
        <f>_xll.BDH("ITCI US Equity","IND_DIRECTORS_BRD_MTG_ATTEND_PCT","FY 2016","FY 2016","Currency=USD","Period=FQ","BEST_FPERIOD_OVERRIDE=FQ","FILING_STATUS=MR","Sort=A","Dates=H","DateFormat=P","Fill=—","Direction=H","UseDPDF=Y")</f>
        <v>—</v>
      </c>
      <c r="I41" s="14" t="str">
        <f>_xll.BDH("ITCI US Equity","IND_DIRECTORS_BRD_MTG_ATTEND_PCT","FY 2017","FY 2017","Currency=USD","Period=FQ","BEST_FPERIOD_OVERRIDE=FQ","FILING_STATUS=MR","Sort=A","Dates=H","DateFormat=P","Fill=—","Direction=H","UseDPDF=Y")</f>
        <v>—</v>
      </c>
      <c r="J41" s="14" t="str">
        <f>_xll.BDH("ITCI US Equity","IND_DIRECTORS_BRD_MTG_ATTEND_PCT","FY 2018","FY 2018","Currency=USD","Period=FQ","BEST_FPERIOD_OVERRIDE=FQ","FILING_STATUS=MR","Sort=A","Dates=H","DateFormat=P","Fill=—","Direction=H","UseDPDF=Y")</f>
        <v>—</v>
      </c>
      <c r="K41" s="14" t="str">
        <f>_xll.BDH("ITCI US Equity","IND_DIRECTORS_BRD_MTG_ATTEND_PCT","FY 2019","FY 2019","Currency=USD","Period=FQ","BEST_FPERIOD_OVERRIDE=FQ","FILING_STATUS=MR","Sort=A","Dates=H","DateFormat=P","Fill=—","Direction=H","UseDPDF=Y")</f>
        <v>—</v>
      </c>
      <c r="L41" s="14" t="str">
        <f>_xll.BDH("ITCI US Equity","IND_DIRECTORS_BRD_MTG_ATTEND_PCT","FY 2020","FY 2020","Currency=USD","Period=FQ","BEST_FPERIOD_OVERRIDE=FQ","FILING_STATUS=MR","Sort=A","Dates=H","DateFormat=P","Fill=—","Direction=H","UseDPDF=Y")</f>
        <v>—</v>
      </c>
      <c r="M41" s="14" t="str">
        <f>_xll.BDH("ITCI US Equity","IND_DIRECTORS_BRD_MTG_ATTEND_PCT","FY 2021","FY 2021","Currency=USD","Period=FQ","BEST_FPERIOD_OVERRIDE=FQ","FILING_STATUS=MR","Sort=A","Dates=H","DateFormat=P","Fill=—","Direction=H","UseDPDF=Y")</f>
        <v>—</v>
      </c>
      <c r="N41" s="14" t="str">
        <f>_xll.BDH("ITCI US Equity","IND_DIRECTORS_BRD_MTG_ATTEND_PCT","FY 2022","FY 2022","Currency=USD","Period=FQ","BEST_FPERIOD_OVERRIDE=FQ","FILING_STATUS=MR","Sort=A","Dates=H","DateFormat=P","Fill=—","Direction=H","UseDPDF=Y")</f>
        <v>—</v>
      </c>
      <c r="O41" s="14" t="str">
        <f>_xll.BDH("ITCI US Equity","IND_DIRECTORS_BRD_MTG_ATTEND_PCT","FY 2023","FY 2023","Currency=USD","Period=FQ","BEST_FPERIOD_OVERRIDE=FQ","FILING_STATUS=MR","Sort=A","Dates=H","DateFormat=P","Fill=—","Direction=H","UseDPDF=Y")</f>
        <v>—</v>
      </c>
      <c r="P41" s="14" t="str">
        <f>_xll.BDH("ITCI US Equity","IND_DIRECTORS_BRD_MTG_ATTEND_PCT","FY 2024","FY 2024","Currency=USD","Period=FQ","BEST_FPERIOD_OVERRIDE=FQ","FILING_STATUS=MR","Sort=A","Dates=H","DateFormat=P","Fill=—","Direction=H","UseDPDF=Y")</f>
        <v>—</v>
      </c>
    </row>
    <row r="42" spans="1:16" x14ac:dyDescent="0.25">
      <c r="A42" s="10" t="s">
        <v>1404</v>
      </c>
      <c r="B42" s="10" t="s">
        <v>1405</v>
      </c>
      <c r="C42" s="14" t="str">
        <f>_xll.BDH("ITCI US Equity","PCT_IND_DIRECTORS_ON_AUDIT_CMTE","FY 2011","FY 2011","Currency=USD","Period=FQ","BEST_FPERIOD_OVERRIDE=FQ","FILING_STATUS=MR","Sort=A","Dates=H","DateFormat=P","Fill=—","Direction=H","UseDPDF=Y")</f>
        <v>—</v>
      </c>
      <c r="D42" s="14" t="str">
        <f>_xll.BDH("ITCI US Equity","PCT_IND_DIRECTORS_ON_AUDIT_CMTE","FY 2012","FY 2012","Currency=USD","Period=FQ","BEST_FPERIOD_OVERRIDE=FQ","FILING_STATUS=MR","Sort=A","Dates=H","DateFormat=P","Fill=—","Direction=H","UseDPDF=Y")</f>
        <v>—</v>
      </c>
      <c r="E42" s="14" t="str">
        <f>_xll.BDH("ITCI US Equity","PCT_IND_DIRECTORS_ON_AUDIT_CMTE","FY 2013","FY 2013","Currency=USD","Period=FQ","BEST_FPERIOD_OVERRIDE=FQ","FILING_STATUS=MR","Sort=A","Dates=H","DateFormat=P","Fill=—","Direction=H","UseDPDF=Y")</f>
        <v>—</v>
      </c>
      <c r="F42" s="14" t="str">
        <f>_xll.BDH("ITCI US Equity","PCT_IND_DIRECTORS_ON_AUDIT_CMTE","FY 2014","FY 2014","Currency=USD","Period=FQ","BEST_FPERIOD_OVERRIDE=FQ","FILING_STATUS=MR","Sort=A","Dates=H","DateFormat=P","Fill=—","Direction=H","UseDPDF=Y")</f>
        <v>—</v>
      </c>
      <c r="G42" s="14" t="str">
        <f>_xll.BDH("ITCI US Equity","PCT_IND_DIRECTORS_ON_AUDIT_CMTE","FY 2015","FY 2015","Currency=USD","Period=FQ","BEST_FPERIOD_OVERRIDE=FQ","FILING_STATUS=MR","Sort=A","Dates=H","DateFormat=P","Fill=—","Direction=H","UseDPDF=Y")</f>
        <v>—</v>
      </c>
      <c r="H42" s="14" t="str">
        <f>_xll.BDH("ITCI US Equity","PCT_IND_DIRECTORS_ON_AUDIT_CMTE","FY 2016","FY 2016","Currency=USD","Period=FQ","BEST_FPERIOD_OVERRIDE=FQ","FILING_STATUS=MR","Sort=A","Dates=H","DateFormat=P","Fill=—","Direction=H","UseDPDF=Y")</f>
        <v>—</v>
      </c>
      <c r="I42" s="14" t="str">
        <f>_xll.BDH("ITCI US Equity","PCT_IND_DIRECTORS_ON_AUDIT_CMTE","FY 2017","FY 2017","Currency=USD","Period=FQ","BEST_FPERIOD_OVERRIDE=FQ","FILING_STATUS=MR","Sort=A","Dates=H","DateFormat=P","Fill=—","Direction=H","UseDPDF=Y")</f>
        <v>—</v>
      </c>
      <c r="J42" s="14" t="str">
        <f>_xll.BDH("ITCI US Equity","PCT_IND_DIRECTORS_ON_AUDIT_CMTE","FY 2018","FY 2018","Currency=USD","Period=FQ","BEST_FPERIOD_OVERRIDE=FQ","FILING_STATUS=MR","Sort=A","Dates=H","DateFormat=P","Fill=—","Direction=H","UseDPDF=Y")</f>
        <v>—</v>
      </c>
      <c r="K42" s="14" t="str">
        <f>_xll.BDH("ITCI US Equity","PCT_IND_DIRECTORS_ON_AUDIT_CMTE","FY 2019","FY 2019","Currency=USD","Period=FQ","BEST_FPERIOD_OVERRIDE=FQ","FILING_STATUS=MR","Sort=A","Dates=H","DateFormat=P","Fill=—","Direction=H","UseDPDF=Y")</f>
        <v>—</v>
      </c>
      <c r="L42" s="14" t="str">
        <f>_xll.BDH("ITCI US Equity","PCT_IND_DIRECTORS_ON_AUDIT_CMTE","FY 2020","FY 2020","Currency=USD","Period=FQ","BEST_FPERIOD_OVERRIDE=FQ","FILING_STATUS=MR","Sort=A","Dates=H","DateFormat=P","Fill=—","Direction=H","UseDPDF=Y")</f>
        <v>—</v>
      </c>
      <c r="M42" s="14" t="str">
        <f>_xll.BDH("ITCI US Equity","PCT_IND_DIRECTORS_ON_AUDIT_CMTE","FY 2021","FY 2021","Currency=USD","Period=FQ","BEST_FPERIOD_OVERRIDE=FQ","FILING_STATUS=MR","Sort=A","Dates=H","DateFormat=P","Fill=—","Direction=H","UseDPDF=Y")</f>
        <v>—</v>
      </c>
      <c r="N42" s="14" t="str">
        <f>_xll.BDH("ITCI US Equity","PCT_IND_DIRECTORS_ON_AUDIT_CMTE","FY 2022","FY 2022","Currency=USD","Period=FQ","BEST_FPERIOD_OVERRIDE=FQ","FILING_STATUS=MR","Sort=A","Dates=H","DateFormat=P","Fill=—","Direction=H","UseDPDF=Y")</f>
        <v>—</v>
      </c>
      <c r="O42" s="14" t="str">
        <f>_xll.BDH("ITCI US Equity","PCT_IND_DIRECTORS_ON_AUDIT_CMTE","FY 2023","FY 2023","Currency=USD","Period=FQ","BEST_FPERIOD_OVERRIDE=FQ","FILING_STATUS=MR","Sort=A","Dates=H","DateFormat=P","Fill=—","Direction=H","UseDPDF=Y")</f>
        <v>—</v>
      </c>
      <c r="P42" s="14" t="str">
        <f>_xll.BDH("ITCI US Equity","PCT_IND_DIRECTORS_ON_AUDIT_CMTE","FY 2024","FY 2024","Currency=USD","Period=FQ","BEST_FPERIOD_OVERRIDE=FQ","FILING_STATUS=MR","Sort=A","Dates=H","DateFormat=P","Fill=—","Direction=H","UseDPDF=Y")</f>
        <v>—</v>
      </c>
    </row>
    <row r="43" spans="1:16" x14ac:dyDescent="0.25">
      <c r="A43" s="10" t="s">
        <v>1406</v>
      </c>
      <c r="B43" s="10" t="s">
        <v>1407</v>
      </c>
      <c r="C43" s="14" t="str">
        <f>_xll.BDH("ITCI US Equity","AUDIT_COMMITTEE_MTG_ATTEND_PCT","FY 2011","FY 2011","Currency=USD","Period=FQ","BEST_FPERIOD_OVERRIDE=FQ","FILING_STATUS=MR","Sort=A","Dates=H","DateFormat=P","Fill=—","Direction=H","UseDPDF=Y")</f>
        <v>—</v>
      </c>
      <c r="D43" s="14" t="str">
        <f>_xll.BDH("ITCI US Equity","AUDIT_COMMITTEE_MTG_ATTEND_PCT","FY 2012","FY 2012","Currency=USD","Period=FQ","BEST_FPERIOD_OVERRIDE=FQ","FILING_STATUS=MR","Sort=A","Dates=H","DateFormat=P","Fill=—","Direction=H","UseDPDF=Y")</f>
        <v>—</v>
      </c>
      <c r="E43" s="14" t="str">
        <f>_xll.BDH("ITCI US Equity","AUDIT_COMMITTEE_MTG_ATTEND_PCT","FY 2013","FY 2013","Currency=USD","Period=FQ","BEST_FPERIOD_OVERRIDE=FQ","FILING_STATUS=MR","Sort=A","Dates=H","DateFormat=P","Fill=—","Direction=H","UseDPDF=Y")</f>
        <v>—</v>
      </c>
      <c r="F43" s="14" t="str">
        <f>_xll.BDH("ITCI US Equity","AUDIT_COMMITTEE_MTG_ATTEND_PCT","FY 2014","FY 2014","Currency=USD","Period=FQ","BEST_FPERIOD_OVERRIDE=FQ","FILING_STATUS=MR","Sort=A","Dates=H","DateFormat=P","Fill=—","Direction=H","UseDPDF=Y")</f>
        <v>—</v>
      </c>
      <c r="G43" s="14" t="str">
        <f>_xll.BDH("ITCI US Equity","AUDIT_COMMITTEE_MTG_ATTEND_PCT","FY 2015","FY 2015","Currency=USD","Period=FQ","BEST_FPERIOD_OVERRIDE=FQ","FILING_STATUS=MR","Sort=A","Dates=H","DateFormat=P","Fill=—","Direction=H","UseDPDF=Y")</f>
        <v>—</v>
      </c>
      <c r="H43" s="14" t="str">
        <f>_xll.BDH("ITCI US Equity","AUDIT_COMMITTEE_MTG_ATTEND_PCT","FY 2016","FY 2016","Currency=USD","Period=FQ","BEST_FPERIOD_OVERRIDE=FQ","FILING_STATUS=MR","Sort=A","Dates=H","DateFormat=P","Fill=—","Direction=H","UseDPDF=Y")</f>
        <v>—</v>
      </c>
      <c r="I43" s="14" t="str">
        <f>_xll.BDH("ITCI US Equity","AUDIT_COMMITTEE_MTG_ATTEND_PCT","FY 2017","FY 2017","Currency=USD","Period=FQ","BEST_FPERIOD_OVERRIDE=FQ","FILING_STATUS=MR","Sort=A","Dates=H","DateFormat=P","Fill=—","Direction=H","UseDPDF=Y")</f>
        <v>—</v>
      </c>
      <c r="J43" s="14" t="str">
        <f>_xll.BDH("ITCI US Equity","AUDIT_COMMITTEE_MTG_ATTEND_PCT","FY 2018","FY 2018","Currency=USD","Period=FQ","BEST_FPERIOD_OVERRIDE=FQ","FILING_STATUS=MR","Sort=A","Dates=H","DateFormat=P","Fill=—","Direction=H","UseDPDF=Y")</f>
        <v>—</v>
      </c>
      <c r="K43" s="14" t="str">
        <f>_xll.BDH("ITCI US Equity","AUDIT_COMMITTEE_MTG_ATTEND_PCT","FY 2019","FY 2019","Currency=USD","Period=FQ","BEST_FPERIOD_OVERRIDE=FQ","FILING_STATUS=MR","Sort=A","Dates=H","DateFormat=P","Fill=—","Direction=H","UseDPDF=Y")</f>
        <v>—</v>
      </c>
      <c r="L43" s="14" t="str">
        <f>_xll.BDH("ITCI US Equity","AUDIT_COMMITTEE_MTG_ATTEND_PCT","FY 2020","FY 2020","Currency=USD","Period=FQ","BEST_FPERIOD_OVERRIDE=FQ","FILING_STATUS=MR","Sort=A","Dates=H","DateFormat=P","Fill=—","Direction=H","UseDPDF=Y")</f>
        <v>—</v>
      </c>
      <c r="M43" s="14" t="str">
        <f>_xll.BDH("ITCI US Equity","AUDIT_COMMITTEE_MTG_ATTEND_PCT","FY 2021","FY 2021","Currency=USD","Period=FQ","BEST_FPERIOD_OVERRIDE=FQ","FILING_STATUS=MR","Sort=A","Dates=H","DateFormat=P","Fill=—","Direction=H","UseDPDF=Y")</f>
        <v>—</v>
      </c>
      <c r="N43" s="14" t="str">
        <f>_xll.BDH("ITCI US Equity","AUDIT_COMMITTEE_MTG_ATTEND_PCT","FY 2022","FY 2022","Currency=USD","Period=FQ","BEST_FPERIOD_OVERRIDE=FQ","FILING_STATUS=MR","Sort=A","Dates=H","DateFormat=P","Fill=—","Direction=H","UseDPDF=Y")</f>
        <v>—</v>
      </c>
      <c r="O43" s="14" t="str">
        <f>_xll.BDH("ITCI US Equity","AUDIT_COMMITTEE_MTG_ATTEND_PCT","FY 2023","FY 2023","Currency=USD","Period=FQ","BEST_FPERIOD_OVERRIDE=FQ","FILING_STATUS=MR","Sort=A","Dates=H","DateFormat=P","Fill=—","Direction=H","UseDPDF=Y")</f>
        <v>—</v>
      </c>
      <c r="P43" s="14" t="str">
        <f>_xll.BDH("ITCI US Equity","AUDIT_COMMITTEE_MTG_ATTEND_PCT","FY 2024","FY 2024","Currency=USD","Period=FQ","BEST_FPERIOD_OVERRIDE=FQ","FILING_STATUS=MR","Sort=A","Dates=H","DateFormat=P","Fill=—","Direction=H","UseDPDF=Y")</f>
        <v>—</v>
      </c>
    </row>
    <row r="44" spans="1:16" x14ac:dyDescent="0.25">
      <c r="A44" s="10" t="s">
        <v>1408</v>
      </c>
      <c r="B44" s="10" t="s">
        <v>1409</v>
      </c>
      <c r="C44" s="14" t="str">
        <f>_xll.BDH("ITCI US Equity","PCT_IND_DIRECTORS_ON_COMP_CMTE","FY 2011","FY 2011","Currency=USD","Period=FQ","BEST_FPERIOD_OVERRIDE=FQ","FILING_STATUS=MR","Sort=A","Dates=H","DateFormat=P","Fill=—","Direction=H","UseDPDF=Y")</f>
        <v>—</v>
      </c>
      <c r="D44" s="14" t="str">
        <f>_xll.BDH("ITCI US Equity","PCT_IND_DIRECTORS_ON_COMP_CMTE","FY 2012","FY 2012","Currency=USD","Period=FQ","BEST_FPERIOD_OVERRIDE=FQ","FILING_STATUS=MR","Sort=A","Dates=H","DateFormat=P","Fill=—","Direction=H","UseDPDF=Y")</f>
        <v>—</v>
      </c>
      <c r="E44" s="14" t="str">
        <f>_xll.BDH("ITCI US Equity","PCT_IND_DIRECTORS_ON_COMP_CMTE","FY 2013","FY 2013","Currency=USD","Period=FQ","BEST_FPERIOD_OVERRIDE=FQ","FILING_STATUS=MR","Sort=A","Dates=H","DateFormat=P","Fill=—","Direction=H","UseDPDF=Y")</f>
        <v>—</v>
      </c>
      <c r="F44" s="14" t="str">
        <f>_xll.BDH("ITCI US Equity","PCT_IND_DIRECTORS_ON_COMP_CMTE","FY 2014","FY 2014","Currency=USD","Period=FQ","BEST_FPERIOD_OVERRIDE=FQ","FILING_STATUS=MR","Sort=A","Dates=H","DateFormat=P","Fill=—","Direction=H","UseDPDF=Y")</f>
        <v>—</v>
      </c>
      <c r="G44" s="14" t="str">
        <f>_xll.BDH("ITCI US Equity","PCT_IND_DIRECTORS_ON_COMP_CMTE","FY 2015","FY 2015","Currency=USD","Period=FQ","BEST_FPERIOD_OVERRIDE=FQ","FILING_STATUS=MR","Sort=A","Dates=H","DateFormat=P","Fill=—","Direction=H","UseDPDF=Y")</f>
        <v>—</v>
      </c>
      <c r="H44" s="14" t="str">
        <f>_xll.BDH("ITCI US Equity","PCT_IND_DIRECTORS_ON_COMP_CMTE","FY 2016","FY 2016","Currency=USD","Period=FQ","BEST_FPERIOD_OVERRIDE=FQ","FILING_STATUS=MR","Sort=A","Dates=H","DateFormat=P","Fill=—","Direction=H","UseDPDF=Y")</f>
        <v>—</v>
      </c>
      <c r="I44" s="14" t="str">
        <f>_xll.BDH("ITCI US Equity","PCT_IND_DIRECTORS_ON_COMP_CMTE","FY 2017","FY 2017","Currency=USD","Period=FQ","BEST_FPERIOD_OVERRIDE=FQ","FILING_STATUS=MR","Sort=A","Dates=H","DateFormat=P","Fill=—","Direction=H","UseDPDF=Y")</f>
        <v>—</v>
      </c>
      <c r="J44" s="14" t="str">
        <f>_xll.BDH("ITCI US Equity","PCT_IND_DIRECTORS_ON_COMP_CMTE","FY 2018","FY 2018","Currency=USD","Period=FQ","BEST_FPERIOD_OVERRIDE=FQ","FILING_STATUS=MR","Sort=A","Dates=H","DateFormat=P","Fill=—","Direction=H","UseDPDF=Y")</f>
        <v>—</v>
      </c>
      <c r="K44" s="14" t="str">
        <f>_xll.BDH("ITCI US Equity","PCT_IND_DIRECTORS_ON_COMP_CMTE","FY 2019","FY 2019","Currency=USD","Period=FQ","BEST_FPERIOD_OVERRIDE=FQ","FILING_STATUS=MR","Sort=A","Dates=H","DateFormat=P","Fill=—","Direction=H","UseDPDF=Y")</f>
        <v>—</v>
      </c>
      <c r="L44" s="14" t="str">
        <f>_xll.BDH("ITCI US Equity","PCT_IND_DIRECTORS_ON_COMP_CMTE","FY 2020","FY 2020","Currency=USD","Period=FQ","BEST_FPERIOD_OVERRIDE=FQ","FILING_STATUS=MR","Sort=A","Dates=H","DateFormat=P","Fill=—","Direction=H","UseDPDF=Y")</f>
        <v>—</v>
      </c>
      <c r="M44" s="14" t="str">
        <f>_xll.BDH("ITCI US Equity","PCT_IND_DIRECTORS_ON_COMP_CMTE","FY 2021","FY 2021","Currency=USD","Period=FQ","BEST_FPERIOD_OVERRIDE=FQ","FILING_STATUS=MR","Sort=A","Dates=H","DateFormat=P","Fill=—","Direction=H","UseDPDF=Y")</f>
        <v>—</v>
      </c>
      <c r="N44" s="14" t="str">
        <f>_xll.BDH("ITCI US Equity","PCT_IND_DIRECTORS_ON_COMP_CMTE","FY 2022","FY 2022","Currency=USD","Period=FQ","BEST_FPERIOD_OVERRIDE=FQ","FILING_STATUS=MR","Sort=A","Dates=H","DateFormat=P","Fill=—","Direction=H","UseDPDF=Y")</f>
        <v>—</v>
      </c>
      <c r="O44" s="14" t="str">
        <f>_xll.BDH("ITCI US Equity","PCT_IND_DIRECTORS_ON_COMP_CMTE","FY 2023","FY 2023","Currency=USD","Period=FQ","BEST_FPERIOD_OVERRIDE=FQ","FILING_STATUS=MR","Sort=A","Dates=H","DateFormat=P","Fill=—","Direction=H","UseDPDF=Y")</f>
        <v>—</v>
      </c>
      <c r="P44" s="14" t="str">
        <f>_xll.BDH("ITCI US Equity","PCT_IND_DIRECTORS_ON_COMP_CMTE","FY 2024","FY 2024","Currency=USD","Period=FQ","BEST_FPERIOD_OVERRIDE=FQ","FILING_STATUS=MR","Sort=A","Dates=H","DateFormat=P","Fill=—","Direction=H","UseDPDF=Y")</f>
        <v>—</v>
      </c>
    </row>
    <row r="45" spans="1:16" x14ac:dyDescent="0.25">
      <c r="A45" s="10" t="s">
        <v>1410</v>
      </c>
      <c r="B45" s="10" t="s">
        <v>1411</v>
      </c>
      <c r="C45" s="14" t="str">
        <f>_xll.BDH("ITCI US Equity","COMPENSATION_CMTE_MTG_ATTEND_PCT","FY 2011","FY 2011","Currency=USD","Period=FQ","BEST_FPERIOD_OVERRIDE=FQ","FILING_STATUS=MR","Sort=A","Dates=H","DateFormat=P","Fill=—","Direction=H","UseDPDF=Y")</f>
        <v>—</v>
      </c>
      <c r="D45" s="14" t="str">
        <f>_xll.BDH("ITCI US Equity","COMPENSATION_CMTE_MTG_ATTEND_PCT","FY 2012","FY 2012","Currency=USD","Period=FQ","BEST_FPERIOD_OVERRIDE=FQ","FILING_STATUS=MR","Sort=A","Dates=H","DateFormat=P","Fill=—","Direction=H","UseDPDF=Y")</f>
        <v>—</v>
      </c>
      <c r="E45" s="14" t="str">
        <f>_xll.BDH("ITCI US Equity","COMPENSATION_CMTE_MTG_ATTEND_PCT","FY 2013","FY 2013","Currency=USD","Period=FQ","BEST_FPERIOD_OVERRIDE=FQ","FILING_STATUS=MR","Sort=A","Dates=H","DateFormat=P","Fill=—","Direction=H","UseDPDF=Y")</f>
        <v>—</v>
      </c>
      <c r="F45" s="14" t="str">
        <f>_xll.BDH("ITCI US Equity","COMPENSATION_CMTE_MTG_ATTEND_PCT","FY 2014","FY 2014","Currency=USD","Period=FQ","BEST_FPERIOD_OVERRIDE=FQ","FILING_STATUS=MR","Sort=A","Dates=H","DateFormat=P","Fill=—","Direction=H","UseDPDF=Y")</f>
        <v>—</v>
      </c>
      <c r="G45" s="14" t="str">
        <f>_xll.BDH("ITCI US Equity","COMPENSATION_CMTE_MTG_ATTEND_PCT","FY 2015","FY 2015","Currency=USD","Period=FQ","BEST_FPERIOD_OVERRIDE=FQ","FILING_STATUS=MR","Sort=A","Dates=H","DateFormat=P","Fill=—","Direction=H","UseDPDF=Y")</f>
        <v>—</v>
      </c>
      <c r="H45" s="14" t="str">
        <f>_xll.BDH("ITCI US Equity","COMPENSATION_CMTE_MTG_ATTEND_PCT","FY 2016","FY 2016","Currency=USD","Period=FQ","BEST_FPERIOD_OVERRIDE=FQ","FILING_STATUS=MR","Sort=A","Dates=H","DateFormat=P","Fill=—","Direction=H","UseDPDF=Y")</f>
        <v>—</v>
      </c>
      <c r="I45" s="14" t="str">
        <f>_xll.BDH("ITCI US Equity","COMPENSATION_CMTE_MTG_ATTEND_PCT","FY 2017","FY 2017","Currency=USD","Period=FQ","BEST_FPERIOD_OVERRIDE=FQ","FILING_STATUS=MR","Sort=A","Dates=H","DateFormat=P","Fill=—","Direction=H","UseDPDF=Y")</f>
        <v>—</v>
      </c>
      <c r="J45" s="14" t="str">
        <f>_xll.BDH("ITCI US Equity","COMPENSATION_CMTE_MTG_ATTEND_PCT","FY 2018","FY 2018","Currency=USD","Period=FQ","BEST_FPERIOD_OVERRIDE=FQ","FILING_STATUS=MR","Sort=A","Dates=H","DateFormat=P","Fill=—","Direction=H","UseDPDF=Y")</f>
        <v>—</v>
      </c>
      <c r="K45" s="14" t="str">
        <f>_xll.BDH("ITCI US Equity","COMPENSATION_CMTE_MTG_ATTEND_PCT","FY 2019","FY 2019","Currency=USD","Period=FQ","BEST_FPERIOD_OVERRIDE=FQ","FILING_STATUS=MR","Sort=A","Dates=H","DateFormat=P","Fill=—","Direction=H","UseDPDF=Y")</f>
        <v>—</v>
      </c>
      <c r="L45" s="14" t="str">
        <f>_xll.BDH("ITCI US Equity","COMPENSATION_CMTE_MTG_ATTEND_PCT","FY 2020","FY 2020","Currency=USD","Period=FQ","BEST_FPERIOD_OVERRIDE=FQ","FILING_STATUS=MR","Sort=A","Dates=H","DateFormat=P","Fill=—","Direction=H","UseDPDF=Y")</f>
        <v>—</v>
      </c>
      <c r="M45" s="14" t="str">
        <f>_xll.BDH("ITCI US Equity","COMPENSATION_CMTE_MTG_ATTEND_PCT","FY 2021","FY 2021","Currency=USD","Period=FQ","BEST_FPERIOD_OVERRIDE=FQ","FILING_STATUS=MR","Sort=A","Dates=H","DateFormat=P","Fill=—","Direction=H","UseDPDF=Y")</f>
        <v>—</v>
      </c>
      <c r="N45" s="14" t="str">
        <f>_xll.BDH("ITCI US Equity","COMPENSATION_CMTE_MTG_ATTEND_PCT","FY 2022","FY 2022","Currency=USD","Period=FQ","BEST_FPERIOD_OVERRIDE=FQ","FILING_STATUS=MR","Sort=A","Dates=H","DateFormat=P","Fill=—","Direction=H","UseDPDF=Y")</f>
        <v>—</v>
      </c>
      <c r="O45" s="14" t="str">
        <f>_xll.BDH("ITCI US Equity","COMPENSATION_CMTE_MTG_ATTEND_PCT","FY 2023","FY 2023","Currency=USD","Period=FQ","BEST_FPERIOD_OVERRIDE=FQ","FILING_STATUS=MR","Sort=A","Dates=H","DateFormat=P","Fill=—","Direction=H","UseDPDF=Y")</f>
        <v>—</v>
      </c>
      <c r="P45" s="14" t="str">
        <f>_xll.BDH("ITCI US Equity","COMPENSATION_CMTE_MTG_ATTEND_PCT","FY 2024","FY 2024","Currency=USD","Period=FQ","BEST_FPERIOD_OVERRIDE=FQ","FILING_STATUS=MR","Sort=A","Dates=H","DateFormat=P","Fill=—","Direction=H","UseDPDF=Y")</f>
        <v>—</v>
      </c>
    </row>
    <row r="46" spans="1:16" x14ac:dyDescent="0.25">
      <c r="A46" s="10" t="s">
        <v>1412</v>
      </c>
      <c r="B46" s="10" t="s">
        <v>1413</v>
      </c>
      <c r="C46" s="14" t="str">
        <f>_xll.BDH("ITCI US Equity","PCT_OF_IND_DIRECTORS_ON_NOM_CMTE","FY 2011","FY 2011","Currency=USD","Period=FQ","BEST_FPERIOD_OVERRIDE=FQ","FILING_STATUS=MR","Sort=A","Dates=H","DateFormat=P","Fill=—","Direction=H","UseDPDF=Y")</f>
        <v>—</v>
      </c>
      <c r="D46" s="14" t="str">
        <f>_xll.BDH("ITCI US Equity","PCT_OF_IND_DIRECTORS_ON_NOM_CMTE","FY 2012","FY 2012","Currency=USD","Period=FQ","BEST_FPERIOD_OVERRIDE=FQ","FILING_STATUS=MR","Sort=A","Dates=H","DateFormat=P","Fill=—","Direction=H","UseDPDF=Y")</f>
        <v>—</v>
      </c>
      <c r="E46" s="14" t="str">
        <f>_xll.BDH("ITCI US Equity","PCT_OF_IND_DIRECTORS_ON_NOM_CMTE","FY 2013","FY 2013","Currency=USD","Period=FQ","BEST_FPERIOD_OVERRIDE=FQ","FILING_STATUS=MR","Sort=A","Dates=H","DateFormat=P","Fill=—","Direction=H","UseDPDF=Y")</f>
        <v>—</v>
      </c>
      <c r="F46" s="14" t="str">
        <f>_xll.BDH("ITCI US Equity","PCT_OF_IND_DIRECTORS_ON_NOM_CMTE","FY 2014","FY 2014","Currency=USD","Period=FQ","BEST_FPERIOD_OVERRIDE=FQ","FILING_STATUS=MR","Sort=A","Dates=H","DateFormat=P","Fill=—","Direction=H","UseDPDF=Y")</f>
        <v>—</v>
      </c>
      <c r="G46" s="14" t="str">
        <f>_xll.BDH("ITCI US Equity","PCT_OF_IND_DIRECTORS_ON_NOM_CMTE","FY 2015","FY 2015","Currency=USD","Period=FQ","BEST_FPERIOD_OVERRIDE=FQ","FILING_STATUS=MR","Sort=A","Dates=H","DateFormat=P","Fill=—","Direction=H","UseDPDF=Y")</f>
        <v>—</v>
      </c>
      <c r="H46" s="14" t="str">
        <f>_xll.BDH("ITCI US Equity","PCT_OF_IND_DIRECTORS_ON_NOM_CMTE","FY 2016","FY 2016","Currency=USD","Period=FQ","BEST_FPERIOD_OVERRIDE=FQ","FILING_STATUS=MR","Sort=A","Dates=H","DateFormat=P","Fill=—","Direction=H","UseDPDF=Y")</f>
        <v>—</v>
      </c>
      <c r="I46" s="14" t="str">
        <f>_xll.BDH("ITCI US Equity","PCT_OF_IND_DIRECTORS_ON_NOM_CMTE","FY 2017","FY 2017","Currency=USD","Period=FQ","BEST_FPERIOD_OVERRIDE=FQ","FILING_STATUS=MR","Sort=A","Dates=H","DateFormat=P","Fill=—","Direction=H","UseDPDF=Y")</f>
        <v>—</v>
      </c>
      <c r="J46" s="14" t="str">
        <f>_xll.BDH("ITCI US Equity","PCT_OF_IND_DIRECTORS_ON_NOM_CMTE","FY 2018","FY 2018","Currency=USD","Period=FQ","BEST_FPERIOD_OVERRIDE=FQ","FILING_STATUS=MR","Sort=A","Dates=H","DateFormat=P","Fill=—","Direction=H","UseDPDF=Y")</f>
        <v>—</v>
      </c>
      <c r="K46" s="14" t="str">
        <f>_xll.BDH("ITCI US Equity","PCT_OF_IND_DIRECTORS_ON_NOM_CMTE","FY 2019","FY 2019","Currency=USD","Period=FQ","BEST_FPERIOD_OVERRIDE=FQ","FILING_STATUS=MR","Sort=A","Dates=H","DateFormat=P","Fill=—","Direction=H","UseDPDF=Y")</f>
        <v>—</v>
      </c>
      <c r="L46" s="14" t="str">
        <f>_xll.BDH("ITCI US Equity","PCT_OF_IND_DIRECTORS_ON_NOM_CMTE","FY 2020","FY 2020","Currency=USD","Period=FQ","BEST_FPERIOD_OVERRIDE=FQ","FILING_STATUS=MR","Sort=A","Dates=H","DateFormat=P","Fill=—","Direction=H","UseDPDF=Y")</f>
        <v>—</v>
      </c>
      <c r="M46" s="14" t="str">
        <f>_xll.BDH("ITCI US Equity","PCT_OF_IND_DIRECTORS_ON_NOM_CMTE","FY 2021","FY 2021","Currency=USD","Period=FQ","BEST_FPERIOD_OVERRIDE=FQ","FILING_STATUS=MR","Sort=A","Dates=H","DateFormat=P","Fill=—","Direction=H","UseDPDF=Y")</f>
        <v>—</v>
      </c>
      <c r="N46" s="14" t="str">
        <f>_xll.BDH("ITCI US Equity","PCT_OF_IND_DIRECTORS_ON_NOM_CMTE","FY 2022","FY 2022","Currency=USD","Period=FQ","BEST_FPERIOD_OVERRIDE=FQ","FILING_STATUS=MR","Sort=A","Dates=H","DateFormat=P","Fill=—","Direction=H","UseDPDF=Y")</f>
        <v>—</v>
      </c>
      <c r="O46" s="14" t="str">
        <f>_xll.BDH("ITCI US Equity","PCT_OF_IND_DIRECTORS_ON_NOM_CMTE","FY 2023","FY 2023","Currency=USD","Period=FQ","BEST_FPERIOD_OVERRIDE=FQ","FILING_STATUS=MR","Sort=A","Dates=H","DateFormat=P","Fill=—","Direction=H","UseDPDF=Y")</f>
        <v>—</v>
      </c>
      <c r="P46" s="14" t="str">
        <f>_xll.BDH("ITCI US Equity","PCT_OF_IND_DIRECTORS_ON_NOM_CMTE","FY 2024","FY 2024","Currency=USD","Period=FQ","BEST_FPERIOD_OVERRIDE=FQ","FILING_STATUS=MR","Sort=A","Dates=H","DateFormat=P","Fill=—","Direction=H","UseDPDF=Y")</f>
        <v>—</v>
      </c>
    </row>
    <row r="47" spans="1:16" x14ac:dyDescent="0.25">
      <c r="A47" s="7" t="s">
        <v>90</v>
      </c>
      <c r="B47" s="7"/>
      <c r="C47" s="7" t="s">
        <v>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0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162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163</v>
      </c>
      <c r="AA4" s="4" t="s">
        <v>31</v>
      </c>
    </row>
    <row r="5" spans="1:27" x14ac:dyDescent="0.25">
      <c r="A5" s="9" t="s">
        <v>33</v>
      </c>
      <c r="B5" s="9"/>
      <c r="C5" s="5" t="s">
        <v>34</v>
      </c>
      <c r="D5" s="5" t="s">
        <v>35</v>
      </c>
      <c r="E5" s="5" t="s">
        <v>36</v>
      </c>
      <c r="F5" s="5" t="s">
        <v>37</v>
      </c>
      <c r="G5" s="5" t="s">
        <v>38</v>
      </c>
      <c r="H5" s="5" t="s">
        <v>39</v>
      </c>
      <c r="I5" s="5" t="s">
        <v>40</v>
      </c>
      <c r="J5" s="5" t="s">
        <v>41</v>
      </c>
      <c r="K5" s="5" t="s">
        <v>42</v>
      </c>
      <c r="L5" s="5" t="s">
        <v>43</v>
      </c>
      <c r="M5" s="5" t="s">
        <v>44</v>
      </c>
      <c r="N5" s="5" t="s">
        <v>45</v>
      </c>
      <c r="O5" s="5" t="s">
        <v>46</v>
      </c>
      <c r="P5" s="5" t="s">
        <v>47</v>
      </c>
      <c r="Q5" s="5" t="s">
        <v>48</v>
      </c>
      <c r="R5" s="5" t="s">
        <v>49</v>
      </c>
      <c r="S5" s="5" t="s">
        <v>50</v>
      </c>
      <c r="T5" s="5" t="s">
        <v>51</v>
      </c>
      <c r="U5" s="5" t="s">
        <v>52</v>
      </c>
      <c r="V5" s="5" t="s">
        <v>53</v>
      </c>
      <c r="W5" s="5" t="s">
        <v>54</v>
      </c>
      <c r="X5" s="5" t="s">
        <v>55</v>
      </c>
      <c r="Y5" s="5" t="s">
        <v>56</v>
      </c>
      <c r="Z5" s="5" t="s">
        <v>164</v>
      </c>
      <c r="AA5" s="5" t="s">
        <v>57</v>
      </c>
    </row>
    <row r="6" spans="1:27" x14ac:dyDescent="0.25">
      <c r="A6" s="6" t="s">
        <v>59</v>
      </c>
      <c r="B6" s="6" t="s">
        <v>60</v>
      </c>
      <c r="C6" s="19">
        <f>_xll.BDH("ITCI US Equity","HISTORICAL_MARKET_CAP","FQ2 2019","FQ2 2019","Currency=USD","Period=FQ","BEST_FPERIOD_OVERRIDE=FQ","FILING_STATUS=MR","SCALING_FORMAT=MLN","Sort=A","Dates=H","DateFormat=P","Fill=—","Direction=H","UseDPDF=Y")</f>
        <v>716.32399999999996</v>
      </c>
      <c r="D6" s="19">
        <f>_xll.BDH("ITCI US Equity","HISTORICAL_MARKET_CAP","FQ3 2019","FQ3 2019","Currency=USD","Period=FQ","BEST_FPERIOD_OVERRIDE=FQ","FILING_STATUS=MR","SCALING_FORMAT=MLN","Sort=A","Dates=H","DateFormat=P","Fill=—","Direction=H","UseDPDF=Y")</f>
        <v>412.69940000000003</v>
      </c>
      <c r="E6" s="19">
        <f>_xll.BDH("ITCI US Equity","HISTORICAL_MARKET_CAP","FQ4 2019","FQ4 2019","Currency=USD","Period=FQ","BEST_FPERIOD_OVERRIDE=FQ","FILING_STATUS=MR","SCALING_FORMAT=MLN","Sort=A","Dates=H","DateFormat=P","Fill=—","Direction=H","UseDPDF=Y")</f>
        <v>1904.4621999999999</v>
      </c>
      <c r="F6" s="19">
        <f>_xll.BDH("ITCI US Equity","HISTORICAL_MARKET_CAP","FQ1 2020","FQ1 2020","Currency=USD","Period=FQ","BEST_FPERIOD_OVERRIDE=FQ","FILING_STATUS=MR","SCALING_FORMAT=MLN","Sort=A","Dates=H","DateFormat=P","Fill=—","Direction=H","UseDPDF=Y")</f>
        <v>1017.5057</v>
      </c>
      <c r="G6" s="19">
        <f>_xll.BDH("ITCI US Equity","HISTORICAL_MARKET_CAP","FQ2 2020","FQ2 2020","Currency=USD","Period=FQ","BEST_FPERIOD_OVERRIDE=FQ","FILING_STATUS=MR","SCALING_FORMAT=MLN","Sort=A","Dates=H","DateFormat=P","Fill=—","Direction=H","UseDPDF=Y")</f>
        <v>1714.1845000000001</v>
      </c>
      <c r="H6" s="19">
        <f>_xll.BDH("ITCI US Equity","HISTORICAL_MARKET_CAP","FQ3 2020","FQ3 2020","Currency=USD","Period=FQ","BEST_FPERIOD_OVERRIDE=FQ","FILING_STATUS=MR","SCALING_FORMAT=MLN","Sort=A","Dates=H","DateFormat=P","Fill=—","Direction=H","UseDPDF=Y")</f>
        <v>2056.4641999999999</v>
      </c>
      <c r="I6" s="19">
        <f>_xll.BDH("ITCI US Equity","HISTORICAL_MARKET_CAP","FQ4 2020","FQ4 2020","Currency=USD","Period=FQ","BEST_FPERIOD_OVERRIDE=FQ","FILING_STATUS=MR","SCALING_FORMAT=MLN","Sort=A","Dates=H","DateFormat=P","Fill=—","Direction=H","UseDPDF=Y")</f>
        <v>2558.7262000000001</v>
      </c>
      <c r="J6" s="19">
        <f>_xll.BDH("ITCI US Equity","HISTORICAL_MARKET_CAP","FQ1 2021","FQ1 2021","Currency=USD","Period=FQ","BEST_FPERIOD_OVERRIDE=FQ","FILING_STATUS=MR","SCALING_FORMAT=MLN","Sort=A","Dates=H","DateFormat=P","Fill=—","Direction=H","UseDPDF=Y")</f>
        <v>2752.8715000000002</v>
      </c>
      <c r="K6" s="19">
        <f>_xll.BDH("ITCI US Equity","HISTORICAL_MARKET_CAP","FQ2 2021","FQ2 2021","Currency=USD","Period=FQ","BEST_FPERIOD_OVERRIDE=FQ","FILING_STATUS=MR","SCALING_FORMAT=MLN","Sort=A","Dates=H","DateFormat=P","Fill=—","Direction=H","UseDPDF=Y")</f>
        <v>3319.1509000000001</v>
      </c>
      <c r="L6" s="19">
        <f>_xll.BDH("ITCI US Equity","HISTORICAL_MARKET_CAP","FQ3 2021","FQ3 2021","Currency=USD","Period=FQ","BEST_FPERIOD_OVERRIDE=FQ","FILING_STATUS=MR","SCALING_FORMAT=MLN","Sort=A","Dates=H","DateFormat=P","Fill=—","Direction=H","UseDPDF=Y")</f>
        <v>3033.7496999999998</v>
      </c>
      <c r="M6" s="19">
        <f>_xll.BDH("ITCI US Equity","HISTORICAL_MARKET_CAP","FQ4 2021","FQ4 2021","Currency=USD","Period=FQ","BEST_FPERIOD_OVERRIDE=FQ","FILING_STATUS=MR","SCALING_FORMAT=MLN","Sort=A","Dates=H","DateFormat=P","Fill=—","Direction=H","UseDPDF=Y")</f>
        <v>4285.9637000000002</v>
      </c>
      <c r="N6" s="19">
        <f>_xll.BDH("ITCI US Equity","HISTORICAL_MARKET_CAP","FQ1 2022","FQ1 2022","Currency=USD","Period=FQ","BEST_FPERIOD_OVERRIDE=FQ","FILING_STATUS=MR","SCALING_FORMAT=MLN","Sort=A","Dates=H","DateFormat=P","Fill=—","Direction=H","UseDPDF=Y")</f>
        <v>5753.1098000000002</v>
      </c>
      <c r="O6" s="19">
        <f>_xll.BDH("ITCI US Equity","HISTORICAL_MARKET_CAP","FQ2 2022","FQ2 2022","Currency=USD","Period=FQ","BEST_FPERIOD_OVERRIDE=FQ","FILING_STATUS=MR","SCALING_FORMAT=MLN","Sort=A","Dates=H","DateFormat=P","Fill=—","Direction=H","UseDPDF=Y")</f>
        <v>5386.4817000000003</v>
      </c>
      <c r="P6" s="19">
        <f>_xll.BDH("ITCI US Equity","HISTORICAL_MARKET_CAP","FQ3 2022","FQ3 2022","Currency=USD","Period=FQ","BEST_FPERIOD_OVERRIDE=FQ","FILING_STATUS=MR","SCALING_FORMAT=MLN","Sort=A","Dates=H","DateFormat=P","Fill=—","Direction=H","UseDPDF=Y")</f>
        <v>4406.4683000000005</v>
      </c>
      <c r="Q6" s="19">
        <f>_xll.BDH("ITCI US Equity","HISTORICAL_MARKET_CAP","FQ4 2022","FQ4 2022","Currency=USD","Period=FQ","BEST_FPERIOD_OVERRIDE=FQ","FILING_STATUS=MR","SCALING_FORMAT=MLN","Sort=A","Dates=H","DateFormat=P","Fill=—","Direction=H","UseDPDF=Y")</f>
        <v>5018.3927000000003</v>
      </c>
      <c r="R6" s="19">
        <f>_xll.BDH("ITCI US Equity","HISTORICAL_MARKET_CAP","FQ1 2023","FQ1 2023","Currency=USD","Period=FQ","BEST_FPERIOD_OVERRIDE=FQ","FILING_STATUS=MR","SCALING_FORMAT=MLN","Sort=A","Dates=H","DateFormat=P","Fill=—","Direction=H","UseDPDF=Y")</f>
        <v>5181.0735999999997</v>
      </c>
      <c r="S6" s="19">
        <f>_xll.BDH("ITCI US Equity","HISTORICAL_MARKET_CAP","FQ2 2023","FQ2 2023","Currency=USD","Period=FQ","BEST_FPERIOD_OVERRIDE=FQ","FILING_STATUS=MR","SCALING_FORMAT=MLN","Sort=A","Dates=H","DateFormat=P","Fill=—","Direction=H","UseDPDF=Y")</f>
        <v>6084.0001000000002</v>
      </c>
      <c r="T6" s="19">
        <f>_xll.BDH("ITCI US Equity","HISTORICAL_MARKET_CAP","FQ3 2023","FQ3 2023","Currency=USD","Period=FQ","BEST_FPERIOD_OVERRIDE=FQ","FILING_STATUS=MR","SCALING_FORMAT=MLN","Sort=A","Dates=H","DateFormat=P","Fill=—","Direction=H","UseDPDF=Y")</f>
        <v>5012.3923999999997</v>
      </c>
      <c r="U6" s="19">
        <f>_xll.BDH("ITCI US Equity","HISTORICAL_MARKET_CAP","FQ4 2023","FQ4 2023","Currency=USD","Period=FQ","BEST_FPERIOD_OVERRIDE=FQ","FILING_STATUS=MR","SCALING_FORMAT=MLN","Sort=A","Dates=H","DateFormat=P","Fill=—","Direction=H","UseDPDF=Y")</f>
        <v>6902.7221</v>
      </c>
      <c r="V6" s="19">
        <f>_xll.BDH("ITCI US Equity","HISTORICAL_MARKET_CAP","FQ1 2024","FQ1 2024","Currency=USD","Period=FQ","BEST_FPERIOD_OVERRIDE=FQ","FILING_STATUS=MR","SCALING_FORMAT=MLN","Sort=A","Dates=H","DateFormat=P","Fill=—","Direction=H","UseDPDF=Y")</f>
        <v>6745.4650000000001</v>
      </c>
      <c r="W6" s="19">
        <f>_xll.BDH("ITCI US Equity","HISTORICAL_MARKET_CAP","FQ2 2024","FQ2 2024","Currency=USD","Period=FQ","BEST_FPERIOD_OVERRIDE=FQ","FILING_STATUS=MR","SCALING_FORMAT=MLN","Sort=A","Dates=H","DateFormat=P","Fill=—","Direction=H","UseDPDF=Y")</f>
        <v>7234.2494999999999</v>
      </c>
      <c r="X6" s="19">
        <f>_xll.BDH("ITCI US Equity","HISTORICAL_MARKET_CAP","FQ3 2024","FQ3 2024","Currency=USD","Period=FQ","BEST_FPERIOD_OVERRIDE=FQ","FILING_STATUS=MR","SCALING_FORMAT=MLN","Sort=A","Dates=H","DateFormat=P","Fill=—","Direction=H","UseDPDF=Y")</f>
        <v>7755.9312</v>
      </c>
      <c r="Y6" s="19">
        <f>_xll.BDH("ITCI US Equity","HISTORICAL_MARKET_CAP","FQ4 2024","FQ4 2024","Currency=USD","Period=FQ","BEST_FPERIOD_OVERRIDE=FQ","FILING_STATUS=MR","SCALING_FORMAT=MLN","Sort=A","Dates=H","DateFormat=P","Fill=—","Direction=H","UseDPDF=Y")</f>
        <v>8873.1656000000003</v>
      </c>
      <c r="Z6" s="22">
        <v>14015.08735312</v>
      </c>
      <c r="AA6" s="19"/>
    </row>
    <row r="7" spans="1:27" x14ac:dyDescent="0.25">
      <c r="A7" s="10" t="s">
        <v>165</v>
      </c>
      <c r="B7" s="10" t="s">
        <v>62</v>
      </c>
      <c r="C7" s="13">
        <f>_xll.BDH("ITCI US Equity","CASH_AND_MARKETABLE_SECURITIES","FQ2 2019","FQ2 2019","Currency=USD","Period=FQ","BEST_FPERIOD_OVERRIDE=FQ","FILING_STATUS=MR","SCALING_FORMAT=MLN","Sort=A","Dates=H","DateFormat=P","Fill=—","Direction=H","UseDPDF=Y")</f>
        <v>285.30020000000002</v>
      </c>
      <c r="D7" s="13">
        <f>_xll.BDH("ITCI US Equity","CASH_AND_MARKETABLE_SECURITIES","FQ3 2019","FQ3 2019","Currency=USD","Period=FQ","BEST_FPERIOD_OVERRIDE=FQ","FILING_STATUS=MR","SCALING_FORMAT=MLN","Sort=A","Dates=H","DateFormat=P","Fill=—","Direction=H","UseDPDF=Y")</f>
        <v>255.43360000000001</v>
      </c>
      <c r="E7" s="13">
        <f>_xll.BDH("ITCI US Equity","CASH_AND_MARKETABLE_SECURITIES","FQ4 2019","FQ4 2019","Currency=USD","Period=FQ","BEST_FPERIOD_OVERRIDE=FQ","FILING_STATUS=MR","SCALING_FORMAT=MLN","Sort=A","Dates=H","DateFormat=P","Fill=—","Direction=H","UseDPDF=Y")</f>
        <v>224.0102</v>
      </c>
      <c r="F7" s="13">
        <f>_xll.BDH("ITCI US Equity","CASH_AND_MARKETABLE_SECURITIES","FQ1 2020","FQ1 2020","Currency=USD","Period=FQ","BEST_FPERIOD_OVERRIDE=FQ","FILING_STATUS=MR","SCALING_FORMAT=MLN","Sort=A","Dates=H","DateFormat=P","Fill=—","Direction=H","UseDPDF=Y")</f>
        <v>448.95400000000001</v>
      </c>
      <c r="G7" s="13">
        <f>_xll.BDH("ITCI US Equity","CASH_AND_MARKETABLE_SECURITIES","FQ2 2020","FQ2 2020","Currency=USD","Period=FQ","BEST_FPERIOD_OVERRIDE=FQ","FILING_STATUS=MR","SCALING_FORMAT=MLN","Sort=A","Dates=H","DateFormat=P","Fill=—","Direction=H","UseDPDF=Y")</f>
        <v>407.75889999999998</v>
      </c>
      <c r="H7" s="13">
        <f>_xll.BDH("ITCI US Equity","CASH_AND_MARKETABLE_SECURITIES","FQ3 2020","FQ3 2020","Currency=USD","Period=FQ","BEST_FPERIOD_OVERRIDE=FQ","FILING_STATUS=MR","SCALING_FORMAT=MLN","Sort=A","Dates=H","DateFormat=P","Fill=—","Direction=H","UseDPDF=Y")</f>
        <v>721.94749999999999</v>
      </c>
      <c r="I7" s="13">
        <f>_xll.BDH("ITCI US Equity","CASH_AND_MARKETABLE_SECURITIES","FQ4 2020","FQ4 2020","Currency=USD","Period=FQ","BEST_FPERIOD_OVERRIDE=FQ","FILING_STATUS=MR","SCALING_FORMAT=MLN","Sort=A","Dates=H","DateFormat=P","Fill=—","Direction=H","UseDPDF=Y")</f>
        <v>657.44809999999995</v>
      </c>
      <c r="J7" s="13">
        <f>_xll.BDH("ITCI US Equity","CASH_AND_MARKETABLE_SECURITIES","FQ1 2021","FQ1 2021","Currency=USD","Period=FQ","BEST_FPERIOD_OVERRIDE=FQ","FILING_STATUS=MR","SCALING_FORMAT=MLN","Sort=A","Dates=H","DateFormat=P","Fill=—","Direction=H","UseDPDF=Y")</f>
        <v>611.96469999999999</v>
      </c>
      <c r="K7" s="13">
        <f>_xll.BDH("ITCI US Equity","CASH_AND_MARKETABLE_SECURITIES","FQ2 2021","FQ2 2021","Currency=USD","Period=FQ","BEST_FPERIOD_OVERRIDE=FQ","FILING_STATUS=MR","SCALING_FORMAT=MLN","Sort=A","Dates=H","DateFormat=P","Fill=—","Direction=H","UseDPDF=Y")</f>
        <v>554.75739999999996</v>
      </c>
      <c r="L7" s="13">
        <f>_xll.BDH("ITCI US Equity","CASH_AND_MARKETABLE_SECURITIES","FQ3 2021","FQ3 2021","Currency=USD","Period=FQ","BEST_FPERIOD_OVERRIDE=FQ","FILING_STATUS=MR","SCALING_FORMAT=MLN","Sort=A","Dates=H","DateFormat=P","Fill=—","Direction=H","UseDPDF=Y")</f>
        <v>477.28390000000002</v>
      </c>
      <c r="M7" s="13">
        <f>_xll.BDH("ITCI US Equity","CASH_AND_MARKETABLE_SECURITIES","FQ4 2021","FQ4 2021","Currency=USD","Period=FQ","BEST_FPERIOD_OVERRIDE=FQ","FILING_STATUS=MR","SCALING_FORMAT=MLN","Sort=A","Dates=H","DateFormat=P","Fill=—","Direction=H","UseDPDF=Y")</f>
        <v>412.33330000000001</v>
      </c>
      <c r="N7" s="13">
        <f>_xll.BDH("ITCI US Equity","CASH_AND_MARKETABLE_SECURITIES","FQ1 2022","FQ1 2022","Currency=USD","Period=FQ","BEST_FPERIOD_OVERRIDE=FQ","FILING_STATUS=MR","SCALING_FORMAT=MLN","Sort=A","Dates=H","DateFormat=P","Fill=—","Direction=H","UseDPDF=Y")</f>
        <v>771.84799999999996</v>
      </c>
      <c r="O7" s="13">
        <f>_xll.BDH("ITCI US Equity","CASH_AND_MARKETABLE_SECURITIES","FQ2 2022","FQ2 2022","Currency=USD","Period=FQ","BEST_FPERIOD_OVERRIDE=FQ","FILING_STATUS=MR","SCALING_FORMAT=MLN","Sort=A","Dates=H","DateFormat=P","Fill=—","Direction=H","UseDPDF=Y")</f>
        <v>677.82899999999995</v>
      </c>
      <c r="P7" s="13">
        <f>_xll.BDH("ITCI US Equity","CASH_AND_MARKETABLE_SECURITIES","FQ3 2022","FQ3 2022","Currency=USD","Period=FQ","BEST_FPERIOD_OVERRIDE=FQ","FILING_STATUS=MR","SCALING_FORMAT=MLN","Sort=A","Dates=H","DateFormat=P","Fill=—","Direction=H","UseDPDF=Y")</f>
        <v>628.74099999999999</v>
      </c>
      <c r="Q7" s="13">
        <f>_xll.BDH("ITCI US Equity","CASH_AND_MARKETABLE_SECURITIES","FQ4 2022","FQ4 2022","Currency=USD","Period=FQ","BEST_FPERIOD_OVERRIDE=FQ","FILING_STATUS=MR","SCALING_FORMAT=MLN","Sort=A","Dates=H","DateFormat=P","Fill=—","Direction=H","UseDPDF=Y")</f>
        <v>591.90499999999997</v>
      </c>
      <c r="R7" s="13">
        <f>_xll.BDH("ITCI US Equity","CASH_AND_MARKETABLE_SECURITIES","FQ1 2023","FQ1 2023","Currency=USD","Period=FQ","BEST_FPERIOD_OVERRIDE=FQ","FILING_STATUS=MR","SCALING_FORMAT=MLN","Sort=A","Dates=H","DateFormat=P","Fill=—","Direction=H","UseDPDF=Y")</f>
        <v>538.70799999999997</v>
      </c>
      <c r="S7" s="13">
        <f>_xll.BDH("ITCI US Equity","CASH_AND_MARKETABLE_SECURITIES","FQ2 2023","FQ2 2023","Currency=USD","Period=FQ","BEST_FPERIOD_OVERRIDE=FQ","FILING_STATUS=MR","SCALING_FORMAT=MLN","Sort=A","Dates=H","DateFormat=P","Fill=—","Direction=H","UseDPDF=Y")</f>
        <v>512.85400000000004</v>
      </c>
      <c r="T7" s="13">
        <f>_xll.BDH("ITCI US Equity","CASH_AND_MARKETABLE_SECURITIES","FQ3 2023","FQ3 2023","Currency=USD","Period=FQ","BEST_FPERIOD_OVERRIDE=FQ","FILING_STATUS=MR","SCALING_FORMAT=MLN","Sort=A","Dates=H","DateFormat=P","Fill=—","Direction=H","UseDPDF=Y")</f>
        <v>493.02100000000002</v>
      </c>
      <c r="U7" s="13">
        <f>_xll.BDH("ITCI US Equity","CASH_AND_MARKETABLE_SECURITIES","FQ4 2023","FQ4 2023","Currency=USD","Period=FQ","BEST_FPERIOD_OVERRIDE=FQ","FILING_STATUS=MR","SCALING_FORMAT=MLN","Sort=A","Dates=H","DateFormat=P","Fill=—","Direction=H","UseDPDF=Y")</f>
        <v>497.94099999999997</v>
      </c>
      <c r="V7" s="13">
        <f>_xll.BDH("ITCI US Equity","CASH_AND_MARKETABLE_SECURITIES","FQ1 2024","FQ1 2024","Currency=USD","Period=FQ","BEST_FPERIOD_OVERRIDE=FQ","FILING_STATUS=MR","SCALING_FORMAT=MLN","Sort=A","Dates=H","DateFormat=P","Fill=—","Direction=H","UseDPDF=Y")</f>
        <v>475.62299999999999</v>
      </c>
      <c r="W7" s="13">
        <f>_xll.BDH("ITCI US Equity","CASH_AND_MARKETABLE_SECURITIES","FQ2 2024","FQ2 2024","Currency=USD","Period=FQ","BEST_FPERIOD_OVERRIDE=FQ","FILING_STATUS=MR","SCALING_FORMAT=MLN","Sort=A","Dates=H","DateFormat=P","Fill=—","Direction=H","UseDPDF=Y")</f>
        <v>1022.907</v>
      </c>
      <c r="X7" s="13">
        <f>_xll.BDH("ITCI US Equity","CASH_AND_MARKETABLE_SECURITIES","FQ3 2024","FQ3 2024","Currency=USD","Period=FQ","BEST_FPERIOD_OVERRIDE=FQ","FILING_STATUS=MR","SCALING_FORMAT=MLN","Sort=A","Dates=H","DateFormat=P","Fill=—","Direction=H","UseDPDF=Y")</f>
        <v>1006.562</v>
      </c>
      <c r="Y7" s="13">
        <f>_xll.BDH("ITCI US Equity","CASH_AND_MARKETABLE_SECURITIES","FQ4 2024","FQ4 2024","Currency=USD","Period=FQ","BEST_FPERIOD_OVERRIDE=FQ","FILING_STATUS=MR","SCALING_FORMAT=MLN","Sort=A","Dates=H","DateFormat=P","Fill=—","Direction=H","UseDPDF=Y")</f>
        <v>1001.066</v>
      </c>
      <c r="Z7" s="16">
        <v>1001.066</v>
      </c>
      <c r="AA7" s="13"/>
    </row>
    <row r="8" spans="1:27" x14ac:dyDescent="0.25">
      <c r="A8" s="10" t="s">
        <v>166</v>
      </c>
      <c r="B8" s="10" t="s">
        <v>167</v>
      </c>
      <c r="C8" s="13">
        <f>_xll.BDH("ITCI US Equity","PFD_EQTY_HYBRID_CAPITAL","FQ2 2019","FQ2 2019","Currency=USD","Period=FQ","BEST_FPERIOD_OVERRIDE=FQ","FILING_STATUS=MR","SCALING_FORMAT=MLN","Sort=A","Dates=H","DateFormat=P","Fill=—","Direction=H","UseDPDF=Y")</f>
        <v>0</v>
      </c>
      <c r="D8" s="13">
        <f>_xll.BDH("ITCI US Equity","PFD_EQTY_HYBRID_CAPITAL","FQ3 2019","FQ3 2019","Currency=USD","Period=FQ","BEST_FPERIOD_OVERRIDE=FQ","FILING_STATUS=MR","SCALING_FORMAT=MLN","Sort=A","Dates=H","DateFormat=P","Fill=—","Direction=H","UseDPDF=Y")</f>
        <v>0</v>
      </c>
      <c r="E8" s="13">
        <f>_xll.BDH("ITCI US Equity","PFD_EQTY_HYBRID_CAPITAL","FQ4 2019","FQ4 2019","Currency=USD","Period=FQ","BEST_FPERIOD_OVERRIDE=FQ","FILING_STATUS=MR","SCALING_FORMAT=MLN","Sort=A","Dates=H","DateFormat=P","Fill=—","Direction=H","UseDPDF=Y")</f>
        <v>0</v>
      </c>
      <c r="F8" s="13">
        <f>_xll.BDH("ITCI US Equity","PFD_EQTY_HYBRID_CAPITAL","FQ1 2020","FQ1 2020","Currency=USD","Period=FQ","BEST_FPERIOD_OVERRIDE=FQ","FILING_STATUS=MR","SCALING_FORMAT=MLN","Sort=A","Dates=H","DateFormat=P","Fill=—","Direction=H","UseDPDF=Y")</f>
        <v>0</v>
      </c>
      <c r="G8" s="13">
        <f>_xll.BDH("ITCI US Equity","PFD_EQTY_HYBRID_CAPITAL","FQ2 2020","FQ2 2020","Currency=USD","Period=FQ","BEST_FPERIOD_OVERRIDE=FQ","FILING_STATUS=MR","SCALING_FORMAT=MLN","Sort=A","Dates=H","DateFormat=P","Fill=—","Direction=H","UseDPDF=Y")</f>
        <v>0</v>
      </c>
      <c r="H8" s="13">
        <f>_xll.BDH("ITCI US Equity","PFD_EQTY_HYBRID_CAPITAL","FQ3 2020","FQ3 2020","Currency=USD","Period=FQ","BEST_FPERIOD_OVERRIDE=FQ","FILING_STATUS=MR","SCALING_FORMAT=MLN","Sort=A","Dates=H","DateFormat=P","Fill=—","Direction=H","UseDPDF=Y")</f>
        <v>0</v>
      </c>
      <c r="I8" s="13">
        <f>_xll.BDH("ITCI US Equity","PFD_EQTY_HYBRID_CAPITAL","FQ4 2020","FQ4 2020","Currency=USD","Period=FQ","BEST_FPERIOD_OVERRIDE=FQ","FILING_STATUS=MR","SCALING_FORMAT=MLN","Sort=A","Dates=H","DateFormat=P","Fill=—","Direction=H","UseDPDF=Y")</f>
        <v>0</v>
      </c>
      <c r="J8" s="13">
        <f>_xll.BDH("ITCI US Equity","PFD_EQTY_HYBRID_CAPITAL","FQ1 2021","FQ1 2021","Currency=USD","Period=FQ","BEST_FPERIOD_OVERRIDE=FQ","FILING_STATUS=MR","SCALING_FORMAT=MLN","Sort=A","Dates=H","DateFormat=P","Fill=—","Direction=H","UseDPDF=Y")</f>
        <v>0</v>
      </c>
      <c r="K8" s="13">
        <f>_xll.BDH("ITCI US Equity","PFD_EQTY_HYBRID_CAPITAL","FQ2 2021","FQ2 2021","Currency=USD","Period=FQ","BEST_FPERIOD_OVERRIDE=FQ","FILING_STATUS=MR","SCALING_FORMAT=MLN","Sort=A","Dates=H","DateFormat=P","Fill=—","Direction=H","UseDPDF=Y")</f>
        <v>0</v>
      </c>
      <c r="L8" s="13">
        <f>_xll.BDH("ITCI US Equity","PFD_EQTY_HYBRID_CAPITAL","FQ3 2021","FQ3 2021","Currency=USD","Period=FQ","BEST_FPERIOD_OVERRIDE=FQ","FILING_STATUS=MR","SCALING_FORMAT=MLN","Sort=A","Dates=H","DateFormat=P","Fill=—","Direction=H","UseDPDF=Y")</f>
        <v>0</v>
      </c>
      <c r="M8" s="13">
        <f>_xll.BDH("ITCI US Equity","PFD_EQTY_HYBRID_CAPITAL","FQ4 2021","FQ4 2021","Currency=USD","Period=FQ","BEST_FPERIOD_OVERRIDE=FQ","FILING_STATUS=MR","SCALING_FORMAT=MLN","Sort=A","Dates=H","DateFormat=P","Fill=—","Direction=H","UseDPDF=Y")</f>
        <v>0</v>
      </c>
      <c r="N8" s="13">
        <f>_xll.BDH("ITCI US Equity","PFD_EQTY_HYBRID_CAPITAL","FQ1 2022","FQ1 2022","Currency=USD","Period=FQ","BEST_FPERIOD_OVERRIDE=FQ","FILING_STATUS=MR","SCALING_FORMAT=MLN","Sort=A","Dates=H","DateFormat=P","Fill=—","Direction=H","UseDPDF=Y")</f>
        <v>0</v>
      </c>
      <c r="O8" s="13">
        <f>_xll.BDH("ITCI US Equity","PFD_EQTY_HYBRID_CAPITAL","FQ2 2022","FQ2 2022","Currency=USD","Period=FQ","BEST_FPERIOD_OVERRIDE=FQ","FILING_STATUS=MR","SCALING_FORMAT=MLN","Sort=A","Dates=H","DateFormat=P","Fill=—","Direction=H","UseDPDF=Y")</f>
        <v>0</v>
      </c>
      <c r="P8" s="13">
        <f>_xll.BDH("ITCI US Equity","PFD_EQTY_HYBRID_CAPITAL","FQ3 2022","FQ3 2022","Currency=USD","Period=FQ","BEST_FPERIOD_OVERRIDE=FQ","FILING_STATUS=MR","SCALING_FORMAT=MLN","Sort=A","Dates=H","DateFormat=P","Fill=—","Direction=H","UseDPDF=Y")</f>
        <v>0</v>
      </c>
      <c r="Q8" s="13">
        <f>_xll.BDH("ITCI US Equity","PFD_EQTY_HYBRID_CAPITAL","FQ4 2022","FQ4 2022","Currency=USD","Period=FQ","BEST_FPERIOD_OVERRIDE=FQ","FILING_STATUS=MR","SCALING_FORMAT=MLN","Sort=A","Dates=H","DateFormat=P","Fill=—","Direction=H","UseDPDF=Y")</f>
        <v>0</v>
      </c>
      <c r="R8" s="13">
        <f>_xll.BDH("ITCI US Equity","PFD_EQTY_HYBRID_CAPITAL","FQ1 2023","FQ1 2023","Currency=USD","Period=FQ","BEST_FPERIOD_OVERRIDE=FQ","FILING_STATUS=MR","SCALING_FORMAT=MLN","Sort=A","Dates=H","DateFormat=P","Fill=—","Direction=H","UseDPDF=Y")</f>
        <v>0</v>
      </c>
      <c r="S8" s="13">
        <f>_xll.BDH("ITCI US Equity","PFD_EQTY_HYBRID_CAPITAL","FQ2 2023","FQ2 2023","Currency=USD","Period=FQ","BEST_FPERIOD_OVERRIDE=FQ","FILING_STATUS=MR","SCALING_FORMAT=MLN","Sort=A","Dates=H","DateFormat=P","Fill=—","Direction=H","UseDPDF=Y")</f>
        <v>0</v>
      </c>
      <c r="T8" s="13">
        <f>_xll.BDH("ITCI US Equity","PFD_EQTY_HYBRID_CAPITAL","FQ3 2023","FQ3 2023","Currency=USD","Period=FQ","BEST_FPERIOD_OVERRIDE=FQ","FILING_STATUS=MR","SCALING_FORMAT=MLN","Sort=A","Dates=H","DateFormat=P","Fill=—","Direction=H","UseDPDF=Y")</f>
        <v>0</v>
      </c>
      <c r="U8" s="13">
        <f>_xll.BDH("ITCI US Equity","PFD_EQTY_HYBRID_CAPITAL","FQ4 2023","FQ4 2023","Currency=USD","Period=FQ","BEST_FPERIOD_OVERRIDE=FQ","FILING_STATUS=MR","SCALING_FORMAT=MLN","Sort=A","Dates=H","DateFormat=P","Fill=—","Direction=H","UseDPDF=Y")</f>
        <v>0</v>
      </c>
      <c r="V8" s="13">
        <f>_xll.BDH("ITCI US Equity","PFD_EQTY_HYBRID_CAPITAL","FQ1 2024","FQ1 2024","Currency=USD","Period=FQ","BEST_FPERIOD_OVERRIDE=FQ","FILING_STATUS=MR","SCALING_FORMAT=MLN","Sort=A","Dates=H","DateFormat=P","Fill=—","Direction=H","UseDPDF=Y")</f>
        <v>0</v>
      </c>
      <c r="W8" s="13">
        <f>_xll.BDH("ITCI US Equity","PFD_EQTY_HYBRID_CAPITAL","FQ2 2024","FQ2 2024","Currency=USD","Period=FQ","BEST_FPERIOD_OVERRIDE=FQ","FILING_STATUS=MR","SCALING_FORMAT=MLN","Sort=A","Dates=H","DateFormat=P","Fill=—","Direction=H","UseDPDF=Y")</f>
        <v>0</v>
      </c>
      <c r="X8" s="13">
        <f>_xll.BDH("ITCI US Equity","PFD_EQTY_HYBRID_CAPITAL","FQ3 2024","FQ3 2024","Currency=USD","Period=FQ","BEST_FPERIOD_OVERRIDE=FQ","FILING_STATUS=MR","SCALING_FORMAT=MLN","Sort=A","Dates=H","DateFormat=P","Fill=—","Direction=H","UseDPDF=Y")</f>
        <v>0</v>
      </c>
      <c r="Y8" s="13">
        <f>_xll.BDH("ITCI US Equity","PFD_EQTY_HYBRID_CAPITAL","FQ4 2024","FQ4 2024","Currency=USD","Period=FQ","BEST_FPERIOD_OVERRIDE=FQ","FILING_STATUS=MR","SCALING_FORMAT=MLN","Sort=A","Dates=H","DateFormat=P","Fill=—","Direction=H","UseDPDF=Y")</f>
        <v>0</v>
      </c>
      <c r="Z8" s="16">
        <v>0</v>
      </c>
      <c r="AA8" s="13"/>
    </row>
    <row r="9" spans="1:27" x14ac:dyDescent="0.25">
      <c r="A9" s="10" t="s">
        <v>168</v>
      </c>
      <c r="B9" s="10" t="s">
        <v>169</v>
      </c>
      <c r="C9" s="13">
        <f>_xll.BDH("ITCI US Equity","MINORITY_NONCONTROLLING_INTEREST","FQ2 2019","FQ2 2019","Currency=USD","Period=FQ","BEST_FPERIOD_OVERRIDE=FQ","FILING_STATUS=MR","SCALING_FORMAT=MLN","Sort=A","Dates=H","DateFormat=P","Fill=—","Direction=H","UseDPDF=Y")</f>
        <v>0</v>
      </c>
      <c r="D9" s="13">
        <f>_xll.BDH("ITCI US Equity","MINORITY_NONCONTROLLING_INTEREST","FQ3 2019","FQ3 2019","Currency=USD","Period=FQ","BEST_FPERIOD_OVERRIDE=FQ","FILING_STATUS=MR","SCALING_FORMAT=MLN","Sort=A","Dates=H","DateFormat=P","Fill=—","Direction=H","UseDPDF=Y")</f>
        <v>0</v>
      </c>
      <c r="E9" s="13">
        <f>_xll.BDH("ITCI US Equity","MINORITY_NONCONTROLLING_INTEREST","FQ4 2019","FQ4 2019","Currency=USD","Period=FQ","BEST_FPERIOD_OVERRIDE=FQ","FILING_STATUS=MR","SCALING_FORMAT=MLN","Sort=A","Dates=H","DateFormat=P","Fill=—","Direction=H","UseDPDF=Y")</f>
        <v>0</v>
      </c>
      <c r="F9" s="13">
        <f>_xll.BDH("ITCI US Equity","MINORITY_NONCONTROLLING_INTEREST","FQ1 2020","FQ1 2020","Currency=USD","Period=FQ","BEST_FPERIOD_OVERRIDE=FQ","FILING_STATUS=MR","SCALING_FORMAT=MLN","Sort=A","Dates=H","DateFormat=P","Fill=—","Direction=H","UseDPDF=Y")</f>
        <v>0</v>
      </c>
      <c r="G9" s="13">
        <f>_xll.BDH("ITCI US Equity","MINORITY_NONCONTROLLING_INTEREST","FQ2 2020","FQ2 2020","Currency=USD","Period=FQ","BEST_FPERIOD_OVERRIDE=FQ","FILING_STATUS=MR","SCALING_FORMAT=MLN","Sort=A","Dates=H","DateFormat=P","Fill=—","Direction=H","UseDPDF=Y")</f>
        <v>0</v>
      </c>
      <c r="H9" s="13">
        <f>_xll.BDH("ITCI US Equity","MINORITY_NONCONTROLLING_INTEREST","FQ3 2020","FQ3 2020","Currency=USD","Period=FQ","BEST_FPERIOD_OVERRIDE=FQ","FILING_STATUS=MR","SCALING_FORMAT=MLN","Sort=A","Dates=H","DateFormat=P","Fill=—","Direction=H","UseDPDF=Y")</f>
        <v>0</v>
      </c>
      <c r="I9" s="13">
        <f>_xll.BDH("ITCI US Equity","MINORITY_NONCONTROLLING_INTEREST","FQ4 2020","FQ4 2020","Currency=USD","Period=FQ","BEST_FPERIOD_OVERRIDE=FQ","FILING_STATUS=MR","SCALING_FORMAT=MLN","Sort=A","Dates=H","DateFormat=P","Fill=—","Direction=H","UseDPDF=Y")</f>
        <v>0</v>
      </c>
      <c r="J9" s="13">
        <f>_xll.BDH("ITCI US Equity","MINORITY_NONCONTROLLING_INTEREST","FQ1 2021","FQ1 2021","Currency=USD","Period=FQ","BEST_FPERIOD_OVERRIDE=FQ","FILING_STATUS=MR","SCALING_FORMAT=MLN","Sort=A","Dates=H","DateFormat=P","Fill=—","Direction=H","UseDPDF=Y")</f>
        <v>0</v>
      </c>
      <c r="K9" s="13">
        <f>_xll.BDH("ITCI US Equity","MINORITY_NONCONTROLLING_INTEREST","FQ2 2021","FQ2 2021","Currency=USD","Period=FQ","BEST_FPERIOD_OVERRIDE=FQ","FILING_STATUS=MR","SCALING_FORMAT=MLN","Sort=A","Dates=H","DateFormat=P","Fill=—","Direction=H","UseDPDF=Y")</f>
        <v>0</v>
      </c>
      <c r="L9" s="13">
        <f>_xll.BDH("ITCI US Equity","MINORITY_NONCONTROLLING_INTEREST","FQ3 2021","FQ3 2021","Currency=USD","Period=FQ","BEST_FPERIOD_OVERRIDE=FQ","FILING_STATUS=MR","SCALING_FORMAT=MLN","Sort=A","Dates=H","DateFormat=P","Fill=—","Direction=H","UseDPDF=Y")</f>
        <v>0</v>
      </c>
      <c r="M9" s="13">
        <f>_xll.BDH("ITCI US Equity","MINORITY_NONCONTROLLING_INTEREST","FQ4 2021","FQ4 2021","Currency=USD","Period=FQ","BEST_FPERIOD_OVERRIDE=FQ","FILING_STATUS=MR","SCALING_FORMAT=MLN","Sort=A","Dates=H","DateFormat=P","Fill=—","Direction=H","UseDPDF=Y")</f>
        <v>0</v>
      </c>
      <c r="N9" s="13">
        <f>_xll.BDH("ITCI US Equity","MINORITY_NONCONTROLLING_INTEREST","FQ1 2022","FQ1 2022","Currency=USD","Period=FQ","BEST_FPERIOD_OVERRIDE=FQ","FILING_STATUS=MR","SCALING_FORMAT=MLN","Sort=A","Dates=H","DateFormat=P","Fill=—","Direction=H","UseDPDF=Y")</f>
        <v>0</v>
      </c>
      <c r="O9" s="13">
        <f>_xll.BDH("ITCI US Equity","MINORITY_NONCONTROLLING_INTEREST","FQ2 2022","FQ2 2022","Currency=USD","Period=FQ","BEST_FPERIOD_OVERRIDE=FQ","FILING_STATUS=MR","SCALING_FORMAT=MLN","Sort=A","Dates=H","DateFormat=P","Fill=—","Direction=H","UseDPDF=Y")</f>
        <v>0</v>
      </c>
      <c r="P9" s="13">
        <f>_xll.BDH("ITCI US Equity","MINORITY_NONCONTROLLING_INTEREST","FQ3 2022","FQ3 2022","Currency=USD","Period=FQ","BEST_FPERIOD_OVERRIDE=FQ","FILING_STATUS=MR","SCALING_FORMAT=MLN","Sort=A","Dates=H","DateFormat=P","Fill=—","Direction=H","UseDPDF=Y")</f>
        <v>0</v>
      </c>
      <c r="Q9" s="13">
        <f>_xll.BDH("ITCI US Equity","MINORITY_NONCONTROLLING_INTEREST","FQ4 2022","FQ4 2022","Currency=USD","Period=FQ","BEST_FPERIOD_OVERRIDE=FQ","FILING_STATUS=MR","SCALING_FORMAT=MLN","Sort=A","Dates=H","DateFormat=P","Fill=—","Direction=H","UseDPDF=Y")</f>
        <v>0</v>
      </c>
      <c r="R9" s="13">
        <f>_xll.BDH("ITCI US Equity","MINORITY_NONCONTROLLING_INTEREST","FQ1 2023","FQ1 2023","Currency=USD","Period=FQ","BEST_FPERIOD_OVERRIDE=FQ","FILING_STATUS=MR","SCALING_FORMAT=MLN","Sort=A","Dates=H","DateFormat=P","Fill=—","Direction=H","UseDPDF=Y")</f>
        <v>0</v>
      </c>
      <c r="S9" s="13">
        <f>_xll.BDH("ITCI US Equity","MINORITY_NONCONTROLLING_INTEREST","FQ2 2023","FQ2 2023","Currency=USD","Period=FQ","BEST_FPERIOD_OVERRIDE=FQ","FILING_STATUS=MR","SCALING_FORMAT=MLN","Sort=A","Dates=H","DateFormat=P","Fill=—","Direction=H","UseDPDF=Y")</f>
        <v>0</v>
      </c>
      <c r="T9" s="13">
        <f>_xll.BDH("ITCI US Equity","MINORITY_NONCONTROLLING_INTEREST","FQ3 2023","FQ3 2023","Currency=USD","Period=FQ","BEST_FPERIOD_OVERRIDE=FQ","FILING_STATUS=MR","SCALING_FORMAT=MLN","Sort=A","Dates=H","DateFormat=P","Fill=—","Direction=H","UseDPDF=Y")</f>
        <v>0</v>
      </c>
      <c r="U9" s="13">
        <f>_xll.BDH("ITCI US Equity","MINORITY_NONCONTROLLING_INTEREST","FQ4 2023","FQ4 2023","Currency=USD","Period=FQ","BEST_FPERIOD_OVERRIDE=FQ","FILING_STATUS=MR","SCALING_FORMAT=MLN","Sort=A","Dates=H","DateFormat=P","Fill=—","Direction=H","UseDPDF=Y")</f>
        <v>0</v>
      </c>
      <c r="V9" s="13">
        <f>_xll.BDH("ITCI US Equity","MINORITY_NONCONTROLLING_INTEREST","FQ1 2024","FQ1 2024","Currency=USD","Period=FQ","BEST_FPERIOD_OVERRIDE=FQ","FILING_STATUS=MR","SCALING_FORMAT=MLN","Sort=A","Dates=H","DateFormat=P","Fill=—","Direction=H","UseDPDF=Y")</f>
        <v>0</v>
      </c>
      <c r="W9" s="13">
        <f>_xll.BDH("ITCI US Equity","MINORITY_NONCONTROLLING_INTEREST","FQ2 2024","FQ2 2024","Currency=USD","Period=FQ","BEST_FPERIOD_OVERRIDE=FQ","FILING_STATUS=MR","SCALING_FORMAT=MLN","Sort=A","Dates=H","DateFormat=P","Fill=—","Direction=H","UseDPDF=Y")</f>
        <v>0</v>
      </c>
      <c r="X9" s="13">
        <f>_xll.BDH("ITCI US Equity","MINORITY_NONCONTROLLING_INTEREST","FQ3 2024","FQ3 2024","Currency=USD","Period=FQ","BEST_FPERIOD_OVERRIDE=FQ","FILING_STATUS=MR","SCALING_FORMAT=MLN","Sort=A","Dates=H","DateFormat=P","Fill=—","Direction=H","UseDPDF=Y")</f>
        <v>0</v>
      </c>
      <c r="Y9" s="13">
        <f>_xll.BDH("ITCI US Equity","MINORITY_NONCONTROLLING_INTEREST","FQ4 2024","FQ4 2024","Currency=USD","Period=FQ","BEST_FPERIOD_OVERRIDE=FQ","FILING_STATUS=MR","SCALING_FORMAT=MLN","Sort=A","Dates=H","DateFormat=P","Fill=—","Direction=H","UseDPDF=Y")</f>
        <v>0</v>
      </c>
      <c r="Z9" s="16">
        <v>0</v>
      </c>
      <c r="AA9" s="13"/>
    </row>
    <row r="10" spans="1:27" x14ac:dyDescent="0.25">
      <c r="A10" s="10" t="s">
        <v>170</v>
      </c>
      <c r="B10" s="10" t="s">
        <v>66</v>
      </c>
      <c r="C10" s="13">
        <f>_xll.BDH("ITCI US Equity","SHORT_AND_LONG_TERM_DEBT","FQ2 2019","FQ2 2019","Currency=USD","Period=FQ","BEST_FPERIOD_OVERRIDE=FQ","FILING_STATUS=MR","SCALING_FORMAT=MLN","Sort=A","Dates=H","DateFormat=P","Fill=—","Direction=H","UseDPDF=Y")</f>
        <v>22.8307</v>
      </c>
      <c r="D10" s="13">
        <f>_xll.BDH("ITCI US Equity","SHORT_AND_LONG_TERM_DEBT","FQ3 2019","FQ3 2019","Currency=USD","Period=FQ","BEST_FPERIOD_OVERRIDE=FQ","FILING_STATUS=MR","SCALING_FORMAT=MLN","Sort=A","Dates=H","DateFormat=P","Fill=—","Direction=H","UseDPDF=Y")</f>
        <v>22.5565</v>
      </c>
      <c r="E10" s="13">
        <f>_xll.BDH("ITCI US Equity","SHORT_AND_LONG_TERM_DEBT","FQ4 2019","FQ4 2019","Currency=USD","Period=FQ","BEST_FPERIOD_OVERRIDE=FQ","FILING_STATUS=MR","SCALING_FORMAT=MLN","Sort=A","Dates=H","DateFormat=P","Fill=—","Direction=H","UseDPDF=Y")</f>
        <v>23.142600000000002</v>
      </c>
      <c r="F10" s="13">
        <f>_xll.BDH("ITCI US Equity","SHORT_AND_LONG_TERM_DEBT","FQ1 2020","FQ1 2020","Currency=USD","Period=FQ","BEST_FPERIOD_OVERRIDE=FQ","FILING_STATUS=MR","SCALING_FORMAT=MLN","Sort=A","Dates=H","DateFormat=P","Fill=—","Direction=H","UseDPDF=Y")</f>
        <v>22.929300000000001</v>
      </c>
      <c r="G10" s="13">
        <f>_xll.BDH("ITCI US Equity","SHORT_AND_LONG_TERM_DEBT","FQ2 2020","FQ2 2020","Currency=USD","Period=FQ","BEST_FPERIOD_OVERRIDE=FQ","FILING_STATUS=MR","SCALING_FORMAT=MLN","Sort=A","Dates=H","DateFormat=P","Fill=—","Direction=H","UseDPDF=Y")</f>
        <v>25.132200000000001</v>
      </c>
      <c r="H10" s="13">
        <f>_xll.BDH("ITCI US Equity","SHORT_AND_LONG_TERM_DEBT","FQ3 2020","FQ3 2020","Currency=USD","Period=FQ","BEST_FPERIOD_OVERRIDE=FQ","FILING_STATUS=MR","SCALING_FORMAT=MLN","Sort=A","Dates=H","DateFormat=P","Fill=—","Direction=H","UseDPDF=Y")</f>
        <v>29.136800000000001</v>
      </c>
      <c r="I10" s="13">
        <f>_xll.BDH("ITCI US Equity","SHORT_AND_LONG_TERM_DEBT","FQ4 2020","FQ4 2020","Currency=USD","Period=FQ","BEST_FPERIOD_OVERRIDE=FQ","FILING_STATUS=MR","SCALING_FORMAT=MLN","Sort=A","Dates=H","DateFormat=P","Fill=—","Direction=H","UseDPDF=Y")</f>
        <v>29.142099999999999</v>
      </c>
      <c r="J10" s="13">
        <f>_xll.BDH("ITCI US Equity","SHORT_AND_LONG_TERM_DEBT","FQ1 2021","FQ1 2021","Currency=USD","Period=FQ","BEST_FPERIOD_OVERRIDE=FQ","FILING_STATUS=MR","SCALING_FORMAT=MLN","Sort=A","Dates=H","DateFormat=P","Fill=—","Direction=H","UseDPDF=Y")</f>
        <v>28.2103</v>
      </c>
      <c r="K10" s="13">
        <f>_xll.BDH("ITCI US Equity","SHORT_AND_LONG_TERM_DEBT","FQ2 2021","FQ2 2021","Currency=USD","Period=FQ","BEST_FPERIOD_OVERRIDE=FQ","FILING_STATUS=MR","SCALING_FORMAT=MLN","Sort=A","Dates=H","DateFormat=P","Fill=—","Direction=H","UseDPDF=Y")</f>
        <v>27.283899999999999</v>
      </c>
      <c r="L10" s="13">
        <f>_xll.BDH("ITCI US Equity","SHORT_AND_LONG_TERM_DEBT","FQ3 2021","FQ3 2021","Currency=USD","Period=FQ","BEST_FPERIOD_OVERRIDE=FQ","FILING_STATUS=MR","SCALING_FORMAT=MLN","Sort=A","Dates=H","DateFormat=P","Fill=—","Direction=H","UseDPDF=Y")</f>
        <v>26.405999999999999</v>
      </c>
      <c r="M10" s="13">
        <f>_xll.BDH("ITCI US Equity","SHORT_AND_LONG_TERM_DEBT","FQ4 2021","FQ4 2021","Currency=USD","Period=FQ","BEST_FPERIOD_OVERRIDE=FQ","FILING_STATUS=MR","SCALING_FORMAT=MLN","Sort=A","Dates=H","DateFormat=P","Fill=—","Direction=H","UseDPDF=Y")</f>
        <v>25.406700000000001</v>
      </c>
      <c r="N10" s="13">
        <f>_xll.BDH("ITCI US Equity","SHORT_AND_LONG_TERM_DEBT","FQ1 2022","FQ1 2022","Currency=USD","Period=FQ","BEST_FPERIOD_OVERRIDE=FQ","FILING_STATUS=MR","SCALING_FORMAT=MLN","Sort=A","Dates=H","DateFormat=P","Fill=—","Direction=H","UseDPDF=Y")</f>
        <v>24.391999999999999</v>
      </c>
      <c r="O10" s="13">
        <f>_xll.BDH("ITCI US Equity","SHORT_AND_LONG_TERM_DEBT","FQ2 2022","FQ2 2022","Currency=USD","Period=FQ","BEST_FPERIOD_OVERRIDE=FQ","FILING_STATUS=MR","SCALING_FORMAT=MLN","Sort=A","Dates=H","DateFormat=P","Fill=—","Direction=H","UseDPDF=Y")</f>
        <v>26.818000000000001</v>
      </c>
      <c r="P10" s="13">
        <f>_xll.BDH("ITCI US Equity","SHORT_AND_LONG_TERM_DEBT","FQ3 2022","FQ3 2022","Currency=USD","Period=FQ","BEST_FPERIOD_OVERRIDE=FQ","FILING_STATUS=MR","SCALING_FORMAT=MLN","Sort=A","Dates=H","DateFormat=P","Fill=—","Direction=H","UseDPDF=Y")</f>
        <v>26.411999999999999</v>
      </c>
      <c r="Q10" s="13">
        <f>_xll.BDH("ITCI US Equity","SHORT_AND_LONG_TERM_DEBT","FQ4 2022","FQ4 2022","Currency=USD","Period=FQ","BEST_FPERIOD_OVERRIDE=FQ","FILING_STATUS=MR","SCALING_FORMAT=MLN","Sort=A","Dates=H","DateFormat=P","Fill=—","Direction=H","UseDPDF=Y")</f>
        <v>20.041</v>
      </c>
      <c r="R10" s="13">
        <f>_xll.BDH("ITCI US Equity","SHORT_AND_LONG_TERM_DEBT","FQ1 2023","FQ1 2023","Currency=USD","Period=FQ","BEST_FPERIOD_OVERRIDE=FQ","FILING_STATUS=MR","SCALING_FORMAT=MLN","Sort=A","Dates=H","DateFormat=P","Fill=—","Direction=H","UseDPDF=Y")</f>
        <v>18.492000000000001</v>
      </c>
      <c r="S10" s="13">
        <f>_xll.BDH("ITCI US Equity","SHORT_AND_LONG_TERM_DEBT","FQ2 2023","FQ2 2023","Currency=USD","Period=FQ","BEST_FPERIOD_OVERRIDE=FQ","FILING_STATUS=MR","SCALING_FORMAT=MLN","Sort=A","Dates=H","DateFormat=P","Fill=—","Direction=H","UseDPDF=Y")</f>
        <v>17.989999999999998</v>
      </c>
      <c r="T10" s="13">
        <f>_xll.BDH("ITCI US Equity","SHORT_AND_LONG_TERM_DEBT","FQ3 2023","FQ3 2023","Currency=USD","Period=FQ","BEST_FPERIOD_OVERRIDE=FQ","FILING_STATUS=MR","SCALING_FORMAT=MLN","Sort=A","Dates=H","DateFormat=P","Fill=—","Direction=H","UseDPDF=Y")</f>
        <v>17.475000000000001</v>
      </c>
      <c r="U10" s="13">
        <f>_xll.BDH("ITCI US Equity","SHORT_AND_LONG_TERM_DEBT","FQ4 2023","FQ4 2023","Currency=USD","Period=FQ","BEST_FPERIOD_OVERRIDE=FQ","FILING_STATUS=MR","SCALING_FORMAT=MLN","Sort=A","Dates=H","DateFormat=P","Fill=—","Direction=H","UseDPDF=Y")</f>
        <v>16.937999999999999</v>
      </c>
      <c r="V10" s="13">
        <f>_xll.BDH("ITCI US Equity","SHORT_AND_LONG_TERM_DEBT","FQ1 2024","FQ1 2024","Currency=USD","Period=FQ","BEST_FPERIOD_OVERRIDE=FQ","FILING_STATUS=MR","SCALING_FORMAT=MLN","Sort=A","Dates=H","DateFormat=P","Fill=—","Direction=H","UseDPDF=Y")</f>
        <v>16.376000000000001</v>
      </c>
      <c r="W10" s="13">
        <f>_xll.BDH("ITCI US Equity","SHORT_AND_LONG_TERM_DEBT","FQ2 2024","FQ2 2024","Currency=USD","Period=FQ","BEST_FPERIOD_OVERRIDE=FQ","FILING_STATUS=MR","SCALING_FORMAT=MLN","Sort=A","Dates=H","DateFormat=P","Fill=—","Direction=H","UseDPDF=Y")</f>
        <v>18.288</v>
      </c>
      <c r="X10" s="13">
        <f>_xll.BDH("ITCI US Equity","SHORT_AND_LONG_TERM_DEBT","FQ3 2024","FQ3 2024","Currency=USD","Period=FQ","BEST_FPERIOD_OVERRIDE=FQ","FILING_STATUS=MR","SCALING_FORMAT=MLN","Sort=A","Dates=H","DateFormat=P","Fill=—","Direction=H","UseDPDF=Y")</f>
        <v>17.709</v>
      </c>
      <c r="Y10" s="13">
        <f>_xll.BDH("ITCI US Equity","SHORT_AND_LONG_TERM_DEBT","FQ4 2024","FQ4 2024","Currency=USD","Period=FQ","BEST_FPERIOD_OVERRIDE=FQ","FILING_STATUS=MR","SCALING_FORMAT=MLN","Sort=A","Dates=H","DateFormat=P","Fill=—","Direction=H","UseDPDF=Y")</f>
        <v>16.981000000000002</v>
      </c>
      <c r="Z10" s="16">
        <v>16.981000000000002</v>
      </c>
      <c r="AA10" s="13"/>
    </row>
    <row r="11" spans="1:27" x14ac:dyDescent="0.25">
      <c r="A11" s="6" t="s">
        <v>67</v>
      </c>
      <c r="B11" s="6" t="s">
        <v>68</v>
      </c>
      <c r="C11" s="19">
        <f>_xll.BDH("ITCI US Equity","ENTERPRISE_VALUE","FQ2 2019","FQ2 2019","Currency=USD","Period=FQ","BEST_FPERIOD_OVERRIDE=FQ","FILING_STATUS=MR","SCALING_FORMAT=MLN","Sort=A","Dates=H","DateFormat=P","Fill=—","Direction=H","UseDPDF=Y")</f>
        <v>453.85449999999997</v>
      </c>
      <c r="D11" s="19">
        <f>_xll.BDH("ITCI US Equity","ENTERPRISE_VALUE","FQ3 2019","FQ3 2019","Currency=USD","Period=FQ","BEST_FPERIOD_OVERRIDE=FQ","FILING_STATUS=MR","SCALING_FORMAT=MLN","Sort=A","Dates=H","DateFormat=P","Fill=—","Direction=H","UseDPDF=Y")</f>
        <v>179.82239999999999</v>
      </c>
      <c r="E11" s="19">
        <f>_xll.BDH("ITCI US Equity","ENTERPRISE_VALUE","FQ4 2019","FQ4 2019","Currency=USD","Period=FQ","BEST_FPERIOD_OVERRIDE=FQ","FILING_STATUS=MR","SCALING_FORMAT=MLN","Sort=A","Dates=H","DateFormat=P","Fill=—","Direction=H","UseDPDF=Y")</f>
        <v>1703.5947000000001</v>
      </c>
      <c r="F11" s="19">
        <f>_xll.BDH("ITCI US Equity","ENTERPRISE_VALUE","FQ1 2020","FQ1 2020","Currency=USD","Period=FQ","BEST_FPERIOD_OVERRIDE=FQ","FILING_STATUS=MR","SCALING_FORMAT=MLN","Sort=A","Dates=H","DateFormat=P","Fill=—","Direction=H","UseDPDF=Y")</f>
        <v>591.48099999999999</v>
      </c>
      <c r="G11" s="19">
        <f>_xll.BDH("ITCI US Equity","ENTERPRISE_VALUE","FQ2 2020","FQ2 2020","Currency=USD","Period=FQ","BEST_FPERIOD_OVERRIDE=FQ","FILING_STATUS=MR","SCALING_FORMAT=MLN","Sort=A","Dates=H","DateFormat=P","Fill=—","Direction=H","UseDPDF=Y")</f>
        <v>1331.5577000000001</v>
      </c>
      <c r="H11" s="19">
        <f>_xll.BDH("ITCI US Equity","ENTERPRISE_VALUE","FQ3 2020","FQ3 2020","Currency=USD","Period=FQ","BEST_FPERIOD_OVERRIDE=FQ","FILING_STATUS=MR","SCALING_FORMAT=MLN","Sort=A","Dates=H","DateFormat=P","Fill=—","Direction=H","UseDPDF=Y")</f>
        <v>1363.6534999999999</v>
      </c>
      <c r="I11" s="19">
        <f>_xll.BDH("ITCI US Equity","ENTERPRISE_VALUE","FQ4 2020","FQ4 2020","Currency=USD","Period=FQ","BEST_FPERIOD_OVERRIDE=FQ","FILING_STATUS=MR","SCALING_FORMAT=MLN","Sort=A","Dates=H","DateFormat=P","Fill=—","Direction=H","UseDPDF=Y")</f>
        <v>1930.4203</v>
      </c>
      <c r="J11" s="19">
        <f>_xll.BDH("ITCI US Equity","ENTERPRISE_VALUE","FQ1 2021","FQ1 2021","Currency=USD","Period=FQ","BEST_FPERIOD_OVERRIDE=FQ","FILING_STATUS=MR","SCALING_FORMAT=MLN","Sort=A","Dates=H","DateFormat=P","Fill=—","Direction=H","UseDPDF=Y")</f>
        <v>2169.1172000000001</v>
      </c>
      <c r="K11" s="19">
        <f>_xll.BDH("ITCI US Equity","ENTERPRISE_VALUE","FQ2 2021","FQ2 2021","Currency=USD","Period=FQ","BEST_FPERIOD_OVERRIDE=FQ","FILING_STATUS=MR","SCALING_FORMAT=MLN","Sort=A","Dates=H","DateFormat=P","Fill=—","Direction=H","UseDPDF=Y")</f>
        <v>2791.6774</v>
      </c>
      <c r="L11" s="19">
        <f>_xll.BDH("ITCI US Equity","ENTERPRISE_VALUE","FQ3 2021","FQ3 2021","Currency=USD","Period=FQ","BEST_FPERIOD_OVERRIDE=FQ","FILING_STATUS=MR","SCALING_FORMAT=MLN","Sort=A","Dates=H","DateFormat=P","Fill=—","Direction=H","UseDPDF=Y")</f>
        <v>2582.8717000000001</v>
      </c>
      <c r="M11" s="19">
        <f>_xll.BDH("ITCI US Equity","ENTERPRISE_VALUE","FQ4 2021","FQ4 2021","Currency=USD","Period=FQ","BEST_FPERIOD_OVERRIDE=FQ","FILING_STATUS=MR","SCALING_FORMAT=MLN","Sort=A","Dates=H","DateFormat=P","Fill=—","Direction=H","UseDPDF=Y")</f>
        <v>3899.0371</v>
      </c>
      <c r="N11" s="19">
        <f>_xll.BDH("ITCI US Equity","ENTERPRISE_VALUE","FQ1 2022","FQ1 2022","Currency=USD","Period=FQ","BEST_FPERIOD_OVERRIDE=FQ","FILING_STATUS=MR","SCALING_FORMAT=MLN","Sort=A","Dates=H","DateFormat=P","Fill=—","Direction=H","UseDPDF=Y")</f>
        <v>5005.6538</v>
      </c>
      <c r="O11" s="19">
        <f>_xll.BDH("ITCI US Equity","ENTERPRISE_VALUE","FQ2 2022","FQ2 2022","Currency=USD","Period=FQ","BEST_FPERIOD_OVERRIDE=FQ","FILING_STATUS=MR","SCALING_FORMAT=MLN","Sort=A","Dates=H","DateFormat=P","Fill=—","Direction=H","UseDPDF=Y")</f>
        <v>4735.4706999999999</v>
      </c>
      <c r="P11" s="19">
        <f>_xll.BDH("ITCI US Equity","ENTERPRISE_VALUE","FQ3 2022","FQ3 2022","Currency=USD","Period=FQ","BEST_FPERIOD_OVERRIDE=FQ","FILING_STATUS=MR","SCALING_FORMAT=MLN","Sort=A","Dates=H","DateFormat=P","Fill=—","Direction=H","UseDPDF=Y")</f>
        <v>3804.1392999999998</v>
      </c>
      <c r="Q11" s="19">
        <f>_xll.BDH("ITCI US Equity","ENTERPRISE_VALUE","FQ4 2022","FQ4 2022","Currency=USD","Period=FQ","BEST_FPERIOD_OVERRIDE=FQ","FILING_STATUS=MR","SCALING_FORMAT=MLN","Sort=A","Dates=H","DateFormat=P","Fill=—","Direction=H","UseDPDF=Y")</f>
        <v>4446.5286999999998</v>
      </c>
      <c r="R11" s="19">
        <f>_xll.BDH("ITCI US Equity","ENTERPRISE_VALUE","FQ1 2023","FQ1 2023","Currency=USD","Period=FQ","BEST_FPERIOD_OVERRIDE=FQ","FILING_STATUS=MR","SCALING_FORMAT=MLN","Sort=A","Dates=H","DateFormat=P","Fill=—","Direction=H","UseDPDF=Y")</f>
        <v>4660.8576000000003</v>
      </c>
      <c r="S11" s="19">
        <f>_xll.BDH("ITCI US Equity","ENTERPRISE_VALUE","FQ2 2023","FQ2 2023","Currency=USD","Period=FQ","BEST_FPERIOD_OVERRIDE=FQ","FILING_STATUS=MR","SCALING_FORMAT=MLN","Sort=A","Dates=H","DateFormat=P","Fill=—","Direction=H","UseDPDF=Y")</f>
        <v>5589.1360999999997</v>
      </c>
      <c r="T11" s="19">
        <f>_xll.BDH("ITCI US Equity","ENTERPRISE_VALUE","FQ3 2023","FQ3 2023","Currency=USD","Period=FQ","BEST_FPERIOD_OVERRIDE=FQ","FILING_STATUS=MR","SCALING_FORMAT=MLN","Sort=A","Dates=H","DateFormat=P","Fill=—","Direction=H","UseDPDF=Y")</f>
        <v>4536.8464000000004</v>
      </c>
      <c r="U11" s="19">
        <f>_xll.BDH("ITCI US Equity","ENTERPRISE_VALUE","FQ4 2023","FQ4 2023","Currency=USD","Period=FQ","BEST_FPERIOD_OVERRIDE=FQ","FILING_STATUS=MR","SCALING_FORMAT=MLN","Sort=A","Dates=H","DateFormat=P","Fill=—","Direction=H","UseDPDF=Y")</f>
        <v>6421.7191000000003</v>
      </c>
      <c r="V11" s="19">
        <f>_xll.BDH("ITCI US Equity","ENTERPRISE_VALUE","FQ1 2024","FQ1 2024","Currency=USD","Period=FQ","BEST_FPERIOD_OVERRIDE=FQ","FILING_STATUS=MR","SCALING_FORMAT=MLN","Sort=A","Dates=H","DateFormat=P","Fill=—","Direction=H","UseDPDF=Y")</f>
        <v>6286.2179999999998</v>
      </c>
      <c r="W11" s="19">
        <f>_xll.BDH("ITCI US Equity","ENTERPRISE_VALUE","FQ2 2024","FQ2 2024","Currency=USD","Period=FQ","BEST_FPERIOD_OVERRIDE=FQ","FILING_STATUS=MR","SCALING_FORMAT=MLN","Sort=A","Dates=H","DateFormat=P","Fill=—","Direction=H","UseDPDF=Y")</f>
        <v>6229.6305000000002</v>
      </c>
      <c r="X11" s="19">
        <f>_xll.BDH("ITCI US Equity","ENTERPRISE_VALUE","FQ3 2024","FQ3 2024","Currency=USD","Period=FQ","BEST_FPERIOD_OVERRIDE=FQ","FILING_STATUS=MR","SCALING_FORMAT=MLN","Sort=A","Dates=H","DateFormat=P","Fill=—","Direction=H","UseDPDF=Y")</f>
        <v>6767.0781999999999</v>
      </c>
      <c r="Y11" s="19">
        <f>_xll.BDH("ITCI US Equity","ENTERPRISE_VALUE","FQ4 2024","FQ4 2024","Currency=USD","Period=FQ","BEST_FPERIOD_OVERRIDE=FQ","FILING_STATUS=MR","SCALING_FORMAT=MLN","Sort=A","Dates=H","DateFormat=P","Fill=—","Direction=H","UseDPDF=Y")</f>
        <v>7889.0806000000002</v>
      </c>
      <c r="Z11" s="22">
        <v>13031.00235312</v>
      </c>
      <c r="AA11" s="19"/>
    </row>
    <row r="12" spans="1:27" x14ac:dyDescent="0.25">
      <c r="A12" s="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21"/>
      <c r="AA12" s="18"/>
    </row>
    <row r="13" spans="1:27" x14ac:dyDescent="0.25">
      <c r="A13" s="6" t="s">
        <v>171</v>
      </c>
      <c r="B13" s="6" t="s">
        <v>172</v>
      </c>
      <c r="C13" s="19">
        <f>_xll.BDH("ITCI US Equity","BS_TOT_CAP","FQ2 2019","FQ2 2019","Currency=USD","Period=FQ","BEST_FPERIOD_OVERRIDE=FQ","FILING_STATUS=MR","SCALING_FORMAT=MLN","Sort=A","Dates=H","DateFormat=P","Fill=—","Direction=H","UseDPDF=Y")</f>
        <v>279.59910000000002</v>
      </c>
      <c r="D13" s="19">
        <f>_xll.BDH("ITCI US Equity","BS_TOT_CAP","FQ3 2019","FQ3 2019","Currency=USD","Period=FQ","BEST_FPERIOD_OVERRIDE=FQ","FILING_STATUS=MR","SCALING_FORMAT=MLN","Sort=A","Dates=H","DateFormat=P","Fill=—","Direction=H","UseDPDF=Y")</f>
        <v>249.43680000000001</v>
      </c>
      <c r="E13" s="19">
        <f>_xll.BDH("ITCI US Equity","BS_TOT_CAP","FQ4 2019","FQ4 2019","Currency=USD","Period=FQ","BEST_FPERIOD_OVERRIDE=FQ","FILING_STATUS=MR","SCALING_FORMAT=MLN","Sort=A","Dates=H","DateFormat=P","Fill=—","Direction=H","UseDPDF=Y")</f>
        <v>218.1499</v>
      </c>
      <c r="F13" s="19">
        <f>_xll.BDH("ITCI US Equity","BS_TOT_CAP","FQ1 2020","FQ1 2020","Currency=USD","Period=FQ","BEST_FPERIOD_OVERRIDE=FQ","FILING_STATUS=MR","SCALING_FORMAT=MLN","Sort=A","Dates=H","DateFormat=P","Fill=—","Direction=H","UseDPDF=Y")</f>
        <v>453.37759999999997</v>
      </c>
      <c r="G13" s="19">
        <f>_xll.BDH("ITCI US Equity","BS_TOT_CAP","FQ2 2020","FQ2 2020","Currency=USD","Period=FQ","BEST_FPERIOD_OVERRIDE=FQ","FILING_STATUS=MR","SCALING_FORMAT=MLN","Sort=A","Dates=H","DateFormat=P","Fill=—","Direction=H","UseDPDF=Y")</f>
        <v>404.66199999999998</v>
      </c>
      <c r="H13" s="19">
        <f>_xll.BDH("ITCI US Equity","BS_TOT_CAP","FQ3 2020","FQ3 2020","Currency=USD","Period=FQ","BEST_FPERIOD_OVERRIDE=FQ","FILING_STATUS=MR","SCALING_FORMAT=MLN","Sort=A","Dates=H","DateFormat=P","Fill=—","Direction=H","UseDPDF=Y")</f>
        <v>738.53229999999996</v>
      </c>
      <c r="I13" s="19">
        <f>_xll.BDH("ITCI US Equity","BS_TOT_CAP","FQ4 2020","FQ4 2020","Currency=USD","Period=FQ","BEST_FPERIOD_OVERRIDE=FQ","FILING_STATUS=MR","SCALING_FORMAT=MLN","Sort=A","Dates=H","DateFormat=P","Fill=—","Direction=H","UseDPDF=Y")</f>
        <v>686.00229999999999</v>
      </c>
      <c r="J13" s="19">
        <f>_xll.BDH("ITCI US Equity","BS_TOT_CAP","FQ1 2021","FQ1 2021","Currency=USD","Period=FQ","BEST_FPERIOD_OVERRIDE=FQ","FILING_STATUS=MR","SCALING_FORMAT=MLN","Sort=A","Dates=H","DateFormat=P","Fill=—","Direction=H","UseDPDF=Y")</f>
        <v>640.36009999999999</v>
      </c>
      <c r="K13" s="19">
        <f>_xll.BDH("ITCI US Equity","BS_TOT_CAP","FQ2 2021","FQ2 2021","Currency=USD","Period=FQ","BEST_FPERIOD_OVERRIDE=FQ","FILING_STATUS=MR","SCALING_FORMAT=MLN","Sort=A","Dates=H","DateFormat=P","Fill=—","Direction=H","UseDPDF=Y")</f>
        <v>580.86980000000005</v>
      </c>
      <c r="L13" s="19">
        <f>_xll.BDH("ITCI US Equity","BS_TOT_CAP","FQ3 2021","FQ3 2021","Currency=USD","Period=FQ","BEST_FPERIOD_OVERRIDE=FQ","FILING_STATUS=MR","SCALING_FORMAT=MLN","Sort=A","Dates=H","DateFormat=P","Fill=—","Direction=H","UseDPDF=Y")</f>
        <v>513.16219999999998</v>
      </c>
      <c r="M13" s="19">
        <f>_xll.BDH("ITCI US Equity","BS_TOT_CAP","FQ4 2021","FQ4 2021","Currency=USD","Period=FQ","BEST_FPERIOD_OVERRIDE=FQ","FILING_STATUS=MR","SCALING_FORMAT=MLN","Sort=A","Dates=H","DateFormat=P","Fill=—","Direction=H","UseDPDF=Y")</f>
        <v>443.29739999999998</v>
      </c>
      <c r="N13" s="19">
        <f>_xll.BDH("ITCI US Equity","BS_TOT_CAP","FQ1 2022","FQ1 2022","Currency=USD","Period=FQ","BEST_FPERIOD_OVERRIDE=FQ","FILING_STATUS=MR","SCALING_FORMAT=MLN","Sort=A","Dates=H","DateFormat=P","Fill=—","Direction=H","UseDPDF=Y")</f>
        <v>817.14200000000005</v>
      </c>
      <c r="O13" s="19">
        <f>_xll.BDH("ITCI US Equity","BS_TOT_CAP","FQ2 2022","FQ2 2022","Currency=USD","Period=FQ","BEST_FPERIOD_OVERRIDE=FQ","FILING_STATUS=MR","SCALING_FORMAT=MLN","Sort=A","Dates=H","DateFormat=P","Fill=—","Direction=H","UseDPDF=Y")</f>
        <v>749.01499999999999</v>
      </c>
      <c r="P13" s="19">
        <f>_xll.BDH("ITCI US Equity","BS_TOT_CAP","FQ3 2022","FQ3 2022","Currency=USD","Period=FQ","BEST_FPERIOD_OVERRIDE=FQ","FILING_STATUS=MR","SCALING_FORMAT=MLN","Sort=A","Dates=H","DateFormat=P","Fill=—","Direction=H","UseDPDF=Y")</f>
        <v>711.83399999999995</v>
      </c>
      <c r="Q13" s="19">
        <f>_xll.BDH("ITCI US Equity","BS_TOT_CAP","FQ4 2022","FQ4 2022","Currency=USD","Period=FQ","BEST_FPERIOD_OVERRIDE=FQ","FILING_STATUS=MR","SCALING_FORMAT=MLN","Sort=A","Dates=H","DateFormat=P","Fill=—","Direction=H","UseDPDF=Y")</f>
        <v>676.11099999999999</v>
      </c>
      <c r="R13" s="19">
        <f>_xll.BDH("ITCI US Equity","BS_TOT_CAP","FQ1 2023","FQ1 2023","Currency=USD","Period=FQ","BEST_FPERIOD_OVERRIDE=FQ","FILING_STATUS=MR","SCALING_FORMAT=MLN","Sort=A","Dates=H","DateFormat=P","Fill=—","Direction=H","UseDPDF=Y")</f>
        <v>646.10199999999998</v>
      </c>
      <c r="S13" s="19">
        <f>_xll.BDH("ITCI US Equity","BS_TOT_CAP","FQ2 2023","FQ2 2023","Currency=USD","Period=FQ","BEST_FPERIOD_OVERRIDE=FQ","FILING_STATUS=MR","SCALING_FORMAT=MLN","Sort=A","Dates=H","DateFormat=P","Fill=—","Direction=H","UseDPDF=Y")</f>
        <v>625.08000000000004</v>
      </c>
      <c r="T13" s="19">
        <f>_xll.BDH("ITCI US Equity","BS_TOT_CAP","FQ3 2023","FQ3 2023","Currency=USD","Period=FQ","BEST_FPERIOD_OVERRIDE=FQ","FILING_STATUS=MR","SCALING_FORMAT=MLN","Sort=A","Dates=H","DateFormat=P","Fill=—","Direction=H","UseDPDF=Y")</f>
        <v>618.15599999999995</v>
      </c>
      <c r="U13" s="19">
        <f>_xll.BDH("ITCI US Equity","BS_TOT_CAP","FQ4 2023","FQ4 2023","Currency=USD","Period=FQ","BEST_FPERIOD_OVERRIDE=FQ","FILING_STATUS=MR","SCALING_FORMAT=MLN","Sort=A","Dates=H","DateFormat=P","Fill=—","Direction=H","UseDPDF=Y")</f>
        <v>608.36199999999997</v>
      </c>
      <c r="V13" s="19">
        <f>_xll.BDH("ITCI US Equity","BS_TOT_CAP","FQ1 2024","FQ1 2024","Currency=USD","Period=FQ","BEST_FPERIOD_OVERRIDE=FQ","FILING_STATUS=MR","SCALING_FORMAT=MLN","Sort=A","Dates=H","DateFormat=P","Fill=—","Direction=H","UseDPDF=Y")</f>
        <v>615.87400000000002</v>
      </c>
      <c r="W13" s="19">
        <f>_xll.BDH("ITCI US Equity","BS_TOT_CAP","FQ2 2024","FQ2 2024","Currency=USD","Period=FQ","BEST_FPERIOD_OVERRIDE=FQ","FILING_STATUS=MR","SCALING_FORMAT=MLN","Sort=A","Dates=H","DateFormat=P","Fill=—","Direction=H","UseDPDF=Y")</f>
        <v>1162.9000000000001</v>
      </c>
      <c r="X13" s="19">
        <f>_xll.BDH("ITCI US Equity","BS_TOT_CAP","FQ3 2024","FQ3 2024","Currency=USD","Period=FQ","BEST_FPERIOD_OVERRIDE=FQ","FILING_STATUS=MR","SCALING_FORMAT=MLN","Sort=A","Dates=H","DateFormat=P","Fill=—","Direction=H","UseDPDF=Y")</f>
        <v>1162.5350000000001</v>
      </c>
      <c r="Y13" s="19">
        <f>_xll.BDH("ITCI US Equity","BS_TOT_CAP","FQ4 2024","FQ4 2024","Currency=USD","Period=FQ","BEST_FPERIOD_OVERRIDE=FQ","FILING_STATUS=MR","SCALING_FORMAT=MLN","Sort=A","Dates=H","DateFormat=P","Fill=—","Direction=H","UseDPDF=Y")</f>
        <v>1165.441</v>
      </c>
      <c r="Z13" s="22">
        <v>1165.441</v>
      </c>
      <c r="AA13" s="19"/>
    </row>
    <row r="14" spans="1:27" x14ac:dyDescent="0.25">
      <c r="A14" s="10" t="s">
        <v>173</v>
      </c>
      <c r="B14" s="10" t="s">
        <v>174</v>
      </c>
      <c r="C14" s="14">
        <f>_xll.BDH("ITCI US Equity","TOT_DEBT_TO_TOT_CAP","FQ2 2019","FQ2 2019","Currency=USD","Period=FQ","BEST_FPERIOD_OVERRIDE=FQ","FILING_STATUS=MR","Sort=A","Dates=H","DateFormat=P","Fill=—","Direction=H","UseDPDF=Y")</f>
        <v>8.1654999999999998</v>
      </c>
      <c r="D14" s="14">
        <f>_xll.BDH("ITCI US Equity","TOT_DEBT_TO_TOT_CAP","FQ3 2019","FQ3 2019","Currency=USD","Period=FQ","BEST_FPERIOD_OVERRIDE=FQ","FILING_STATUS=MR","Sort=A","Dates=H","DateFormat=P","Fill=—","Direction=H","UseDPDF=Y")</f>
        <v>9.0429999999999993</v>
      </c>
      <c r="E14" s="14">
        <f>_xll.BDH("ITCI US Equity","TOT_DEBT_TO_TOT_CAP","FQ4 2019","FQ4 2019","Currency=USD","Period=FQ","BEST_FPERIOD_OVERRIDE=FQ","FILING_STATUS=MR","Sort=A","Dates=H","DateFormat=P","Fill=—","Direction=H","UseDPDF=Y")</f>
        <v>10.608599999999999</v>
      </c>
      <c r="F14" s="14">
        <f>_xll.BDH("ITCI US Equity","TOT_DEBT_TO_TOT_CAP","FQ1 2020","FQ1 2020","Currency=USD","Period=FQ","BEST_FPERIOD_OVERRIDE=FQ","FILING_STATUS=MR","Sort=A","Dates=H","DateFormat=P","Fill=—","Direction=H","UseDPDF=Y")</f>
        <v>5.0574000000000003</v>
      </c>
      <c r="G14" s="14">
        <f>_xll.BDH("ITCI US Equity","TOT_DEBT_TO_TOT_CAP","FQ2 2020","FQ2 2020","Currency=USD","Period=FQ","BEST_FPERIOD_OVERRIDE=FQ","FILING_STATUS=MR","Sort=A","Dates=H","DateFormat=P","Fill=—","Direction=H","UseDPDF=Y")</f>
        <v>6.2107000000000001</v>
      </c>
      <c r="H14" s="14">
        <f>_xll.BDH("ITCI US Equity","TOT_DEBT_TO_TOT_CAP","FQ3 2020","FQ3 2020","Currency=USD","Period=FQ","BEST_FPERIOD_OVERRIDE=FQ","FILING_STATUS=MR","Sort=A","Dates=H","DateFormat=P","Fill=—","Direction=H","UseDPDF=Y")</f>
        <v>3.9451999999999998</v>
      </c>
      <c r="I14" s="14">
        <f>_xll.BDH("ITCI US Equity","TOT_DEBT_TO_TOT_CAP","FQ4 2020","FQ4 2020","Currency=USD","Period=FQ","BEST_FPERIOD_OVERRIDE=FQ","FILING_STATUS=MR","Sort=A","Dates=H","DateFormat=P","Fill=—","Direction=H","UseDPDF=Y")</f>
        <v>4.2481</v>
      </c>
      <c r="J14" s="14">
        <f>_xll.BDH("ITCI US Equity","TOT_DEBT_TO_TOT_CAP","FQ1 2021","FQ1 2021","Currency=USD","Period=FQ","BEST_FPERIOD_OVERRIDE=FQ","FILING_STATUS=MR","Sort=A","Dates=H","DateFormat=P","Fill=—","Direction=H","UseDPDF=Y")</f>
        <v>4.4054000000000002</v>
      </c>
      <c r="K14" s="14">
        <f>_xll.BDH("ITCI US Equity","TOT_DEBT_TO_TOT_CAP","FQ2 2021","FQ2 2021","Currency=USD","Period=FQ","BEST_FPERIOD_OVERRIDE=FQ","FILING_STATUS=MR","Sort=A","Dates=H","DateFormat=P","Fill=—","Direction=H","UseDPDF=Y")</f>
        <v>4.6970999999999998</v>
      </c>
      <c r="L14" s="14">
        <f>_xll.BDH("ITCI US Equity","TOT_DEBT_TO_TOT_CAP","FQ3 2021","FQ3 2021","Currency=USD","Period=FQ","BEST_FPERIOD_OVERRIDE=FQ","FILING_STATUS=MR","Sort=A","Dates=H","DateFormat=P","Fill=—","Direction=H","UseDPDF=Y")</f>
        <v>5.1456999999999997</v>
      </c>
      <c r="M14" s="14">
        <f>_xll.BDH("ITCI US Equity","TOT_DEBT_TO_TOT_CAP","FQ4 2021","FQ4 2021","Currency=USD","Period=FQ","BEST_FPERIOD_OVERRIDE=FQ","FILING_STATUS=MR","Sort=A","Dates=H","DateFormat=P","Fill=—","Direction=H","UseDPDF=Y")</f>
        <v>5.7313000000000001</v>
      </c>
      <c r="N14" s="14">
        <f>_xll.BDH("ITCI US Equity","TOT_DEBT_TO_TOT_CAP","FQ1 2022","FQ1 2022","Currency=USD","Period=FQ","BEST_FPERIOD_OVERRIDE=FQ","FILING_STATUS=MR","Sort=A","Dates=H","DateFormat=P","Fill=—","Direction=H","UseDPDF=Y")</f>
        <v>2.9849999999999999</v>
      </c>
      <c r="O14" s="14">
        <f>_xll.BDH("ITCI US Equity","TOT_DEBT_TO_TOT_CAP","FQ2 2022","FQ2 2022","Currency=USD","Period=FQ","BEST_FPERIOD_OVERRIDE=FQ","FILING_STATUS=MR","Sort=A","Dates=H","DateFormat=P","Fill=—","Direction=H","UseDPDF=Y")</f>
        <v>3.5804</v>
      </c>
      <c r="P14" s="14">
        <f>_xll.BDH("ITCI US Equity","TOT_DEBT_TO_TOT_CAP","FQ3 2022","FQ3 2022","Currency=USD","Period=FQ","BEST_FPERIOD_OVERRIDE=FQ","FILING_STATUS=MR","Sort=A","Dates=H","DateFormat=P","Fill=—","Direction=H","UseDPDF=Y")</f>
        <v>3.7103999999999999</v>
      </c>
      <c r="Q14" s="14">
        <f>_xll.BDH("ITCI US Equity","TOT_DEBT_TO_TOT_CAP","FQ4 2022","FQ4 2022","Currency=USD","Period=FQ","BEST_FPERIOD_OVERRIDE=FQ","FILING_STATUS=MR","Sort=A","Dates=H","DateFormat=P","Fill=—","Direction=H","UseDPDF=Y")</f>
        <v>2.9641999999999999</v>
      </c>
      <c r="R14" s="14">
        <f>_xll.BDH("ITCI US Equity","TOT_DEBT_TO_TOT_CAP","FQ1 2023","FQ1 2023","Currency=USD","Period=FQ","BEST_FPERIOD_OVERRIDE=FQ","FILING_STATUS=MR","Sort=A","Dates=H","DateFormat=P","Fill=—","Direction=H","UseDPDF=Y")</f>
        <v>2.8620999999999999</v>
      </c>
      <c r="S14" s="14">
        <f>_xll.BDH("ITCI US Equity","TOT_DEBT_TO_TOT_CAP","FQ2 2023","FQ2 2023","Currency=USD","Period=FQ","BEST_FPERIOD_OVERRIDE=FQ","FILING_STATUS=MR","Sort=A","Dates=H","DateFormat=P","Fill=—","Direction=H","UseDPDF=Y")</f>
        <v>2.8780000000000001</v>
      </c>
      <c r="T14" s="14">
        <f>_xll.BDH("ITCI US Equity","TOT_DEBT_TO_TOT_CAP","FQ3 2023","FQ3 2023","Currency=USD","Period=FQ","BEST_FPERIOD_OVERRIDE=FQ","FILING_STATUS=MR","Sort=A","Dates=H","DateFormat=P","Fill=—","Direction=H","UseDPDF=Y")</f>
        <v>2.827</v>
      </c>
      <c r="U14" s="14">
        <f>_xll.BDH("ITCI US Equity","TOT_DEBT_TO_TOT_CAP","FQ4 2023","FQ4 2023","Currency=USD","Period=FQ","BEST_FPERIOD_OVERRIDE=FQ","FILING_STATUS=MR","Sort=A","Dates=H","DateFormat=P","Fill=—","Direction=H","UseDPDF=Y")</f>
        <v>2.7841999999999998</v>
      </c>
      <c r="V14" s="14">
        <f>_xll.BDH("ITCI US Equity","TOT_DEBT_TO_TOT_CAP","FQ1 2024","FQ1 2024","Currency=USD","Period=FQ","BEST_FPERIOD_OVERRIDE=FQ","FILING_STATUS=MR","Sort=A","Dates=H","DateFormat=P","Fill=—","Direction=H","UseDPDF=Y")</f>
        <v>2.6589999999999998</v>
      </c>
      <c r="W14" s="14">
        <f>_xll.BDH("ITCI US Equity","TOT_DEBT_TO_TOT_CAP","FQ2 2024","FQ2 2024","Currency=USD","Period=FQ","BEST_FPERIOD_OVERRIDE=FQ","FILING_STATUS=MR","Sort=A","Dates=H","DateFormat=P","Fill=—","Direction=H","UseDPDF=Y")</f>
        <v>1.5726</v>
      </c>
      <c r="X14" s="14">
        <f>_xll.BDH("ITCI US Equity","TOT_DEBT_TO_TOT_CAP","FQ3 2024","FQ3 2024","Currency=USD","Period=FQ","BEST_FPERIOD_OVERRIDE=FQ","FILING_STATUS=MR","Sort=A","Dates=H","DateFormat=P","Fill=—","Direction=H","UseDPDF=Y")</f>
        <v>1.5233000000000001</v>
      </c>
      <c r="Y14" s="14">
        <f>_xll.BDH("ITCI US Equity","TOT_DEBT_TO_TOT_CAP","FQ4 2024","FQ4 2024","Currency=USD","Period=FQ","BEST_FPERIOD_OVERRIDE=FQ","FILING_STATUS=MR","Sort=A","Dates=H","DateFormat=P","Fill=—","Direction=H","UseDPDF=Y")</f>
        <v>1.4570000000000001</v>
      </c>
      <c r="Z14" s="17">
        <v>1.4570450155777901</v>
      </c>
      <c r="AA14" s="14"/>
    </row>
    <row r="15" spans="1:27" x14ac:dyDescent="0.25">
      <c r="A15" s="10" t="s">
        <v>175</v>
      </c>
      <c r="B15" s="10" t="s">
        <v>176</v>
      </c>
      <c r="C15" s="14">
        <f>_xll.BDH("ITCI US Equity","TOTAL_DEBT_TO_EV","FQ2 2019","FQ2 2019","Currency=USD","Period=FQ","BEST_FPERIOD_OVERRIDE=FQ","FILING_STATUS=MR","Sort=A","Dates=H","DateFormat=P","Fill=—","Direction=H","UseDPDF=Y")</f>
        <v>5.0299999999999997E-2</v>
      </c>
      <c r="D15" s="14">
        <f>_xll.BDH("ITCI US Equity","TOTAL_DEBT_TO_EV","FQ3 2019","FQ3 2019","Currency=USD","Period=FQ","BEST_FPERIOD_OVERRIDE=FQ","FILING_STATUS=MR","Sort=A","Dates=H","DateFormat=P","Fill=—","Direction=H","UseDPDF=Y")</f>
        <v>0.12540000000000001</v>
      </c>
      <c r="E15" s="14">
        <f>_xll.BDH("ITCI US Equity","TOTAL_DEBT_TO_EV","FQ4 2019","FQ4 2019","Currency=USD","Period=FQ","BEST_FPERIOD_OVERRIDE=FQ","FILING_STATUS=MR","Sort=A","Dates=H","DateFormat=P","Fill=—","Direction=H","UseDPDF=Y")</f>
        <v>1.3599999999999999E-2</v>
      </c>
      <c r="F15" s="14">
        <f>_xll.BDH("ITCI US Equity","TOTAL_DEBT_TO_EV","FQ1 2020","FQ1 2020","Currency=USD","Period=FQ","BEST_FPERIOD_OVERRIDE=FQ","FILING_STATUS=MR","Sort=A","Dates=H","DateFormat=P","Fill=—","Direction=H","UseDPDF=Y")</f>
        <v>3.8800000000000001E-2</v>
      </c>
      <c r="G15" s="14">
        <f>_xll.BDH("ITCI US Equity","TOTAL_DEBT_TO_EV","FQ2 2020","FQ2 2020","Currency=USD","Period=FQ","BEST_FPERIOD_OVERRIDE=FQ","FILING_STATUS=MR","Sort=A","Dates=H","DateFormat=P","Fill=—","Direction=H","UseDPDF=Y")</f>
        <v>1.89E-2</v>
      </c>
      <c r="H15" s="14">
        <f>_xll.BDH("ITCI US Equity","TOTAL_DEBT_TO_EV","FQ3 2020","FQ3 2020","Currency=USD","Period=FQ","BEST_FPERIOD_OVERRIDE=FQ","FILING_STATUS=MR","Sort=A","Dates=H","DateFormat=P","Fill=—","Direction=H","UseDPDF=Y")</f>
        <v>2.1399999999999999E-2</v>
      </c>
      <c r="I15" s="14">
        <f>_xll.BDH("ITCI US Equity","TOTAL_DEBT_TO_EV","FQ4 2020","FQ4 2020","Currency=USD","Period=FQ","BEST_FPERIOD_OVERRIDE=FQ","FILING_STATUS=MR","Sort=A","Dates=H","DateFormat=P","Fill=—","Direction=H","UseDPDF=Y")</f>
        <v>1.5100000000000001E-2</v>
      </c>
      <c r="J15" s="14">
        <f>_xll.BDH("ITCI US Equity","TOTAL_DEBT_TO_EV","FQ1 2021","FQ1 2021","Currency=USD","Period=FQ","BEST_FPERIOD_OVERRIDE=FQ","FILING_STATUS=MR","Sort=A","Dates=H","DateFormat=P","Fill=—","Direction=H","UseDPDF=Y")</f>
        <v>1.2999999999999999E-2</v>
      </c>
      <c r="K15" s="14">
        <f>_xll.BDH("ITCI US Equity","TOTAL_DEBT_TO_EV","FQ2 2021","FQ2 2021","Currency=USD","Period=FQ","BEST_FPERIOD_OVERRIDE=FQ","FILING_STATUS=MR","Sort=A","Dates=H","DateFormat=P","Fill=—","Direction=H","UseDPDF=Y")</f>
        <v>9.7999999999999997E-3</v>
      </c>
      <c r="L15" s="14">
        <f>_xll.BDH("ITCI US Equity","TOTAL_DEBT_TO_EV","FQ3 2021","FQ3 2021","Currency=USD","Period=FQ","BEST_FPERIOD_OVERRIDE=FQ","FILING_STATUS=MR","Sort=A","Dates=H","DateFormat=P","Fill=—","Direction=H","UseDPDF=Y")</f>
        <v>1.0200000000000001E-2</v>
      </c>
      <c r="M15" s="14">
        <f>_xll.BDH("ITCI US Equity","TOTAL_DEBT_TO_EV","FQ4 2021","FQ4 2021","Currency=USD","Period=FQ","BEST_FPERIOD_OVERRIDE=FQ","FILING_STATUS=MR","Sort=A","Dates=H","DateFormat=P","Fill=—","Direction=H","UseDPDF=Y")</f>
        <v>6.4999999999999997E-3</v>
      </c>
      <c r="N15" s="14">
        <f>_xll.BDH("ITCI US Equity","TOTAL_DEBT_TO_EV","FQ1 2022","FQ1 2022","Currency=USD","Period=FQ","BEST_FPERIOD_OVERRIDE=FQ","FILING_STATUS=MR","Sort=A","Dates=H","DateFormat=P","Fill=—","Direction=H","UseDPDF=Y")</f>
        <v>4.8999999999999998E-3</v>
      </c>
      <c r="O15" s="14">
        <f>_xll.BDH("ITCI US Equity","TOTAL_DEBT_TO_EV","FQ2 2022","FQ2 2022","Currency=USD","Period=FQ","BEST_FPERIOD_OVERRIDE=FQ","FILING_STATUS=MR","Sort=A","Dates=H","DateFormat=P","Fill=—","Direction=H","UseDPDF=Y")</f>
        <v>5.7000000000000002E-3</v>
      </c>
      <c r="P15" s="14">
        <f>_xll.BDH("ITCI US Equity","TOTAL_DEBT_TO_EV","FQ3 2022","FQ3 2022","Currency=USD","Period=FQ","BEST_FPERIOD_OVERRIDE=FQ","FILING_STATUS=MR","Sort=A","Dates=H","DateFormat=P","Fill=—","Direction=H","UseDPDF=Y")</f>
        <v>6.8999999999999999E-3</v>
      </c>
      <c r="Q15" s="14">
        <f>_xll.BDH("ITCI US Equity","TOTAL_DEBT_TO_EV","FQ4 2022","FQ4 2022","Currency=USD","Period=FQ","BEST_FPERIOD_OVERRIDE=FQ","FILING_STATUS=MR","Sort=A","Dates=H","DateFormat=P","Fill=—","Direction=H","UseDPDF=Y")</f>
        <v>4.4999999999999997E-3</v>
      </c>
      <c r="R15" s="14">
        <f>_xll.BDH("ITCI US Equity","TOTAL_DEBT_TO_EV","FQ1 2023","FQ1 2023","Currency=USD","Period=FQ","BEST_FPERIOD_OVERRIDE=FQ","FILING_STATUS=MR","Sort=A","Dates=H","DateFormat=P","Fill=—","Direction=H","UseDPDF=Y")</f>
        <v>4.0000000000000001E-3</v>
      </c>
      <c r="S15" s="14">
        <f>_xll.BDH("ITCI US Equity","TOTAL_DEBT_TO_EV","FQ2 2023","FQ2 2023","Currency=USD","Period=FQ","BEST_FPERIOD_OVERRIDE=FQ","FILING_STATUS=MR","Sort=A","Dates=H","DateFormat=P","Fill=—","Direction=H","UseDPDF=Y")</f>
        <v>3.2000000000000002E-3</v>
      </c>
      <c r="T15" s="14">
        <f>_xll.BDH("ITCI US Equity","TOTAL_DEBT_TO_EV","FQ3 2023","FQ3 2023","Currency=USD","Period=FQ","BEST_FPERIOD_OVERRIDE=FQ","FILING_STATUS=MR","Sort=A","Dates=H","DateFormat=P","Fill=—","Direction=H","UseDPDF=Y")</f>
        <v>3.8999999999999998E-3</v>
      </c>
      <c r="U15" s="14">
        <f>_xll.BDH("ITCI US Equity","TOTAL_DEBT_TO_EV","FQ4 2023","FQ4 2023","Currency=USD","Period=FQ","BEST_FPERIOD_OVERRIDE=FQ","FILING_STATUS=MR","Sort=A","Dates=H","DateFormat=P","Fill=—","Direction=H","UseDPDF=Y")</f>
        <v>2.5999999999999999E-3</v>
      </c>
      <c r="V15" s="14">
        <f>_xll.BDH("ITCI US Equity","TOTAL_DEBT_TO_EV","FQ1 2024","FQ1 2024","Currency=USD","Period=FQ","BEST_FPERIOD_OVERRIDE=FQ","FILING_STATUS=MR","Sort=A","Dates=H","DateFormat=P","Fill=—","Direction=H","UseDPDF=Y")</f>
        <v>2.5999999999999999E-3</v>
      </c>
      <c r="W15" s="14">
        <f>_xll.BDH("ITCI US Equity","TOTAL_DEBT_TO_EV","FQ2 2024","FQ2 2024","Currency=USD","Period=FQ","BEST_FPERIOD_OVERRIDE=FQ","FILING_STATUS=MR","Sort=A","Dates=H","DateFormat=P","Fill=—","Direction=H","UseDPDF=Y")</f>
        <v>2.8999999999999998E-3</v>
      </c>
      <c r="X15" s="14">
        <f>_xll.BDH("ITCI US Equity","TOTAL_DEBT_TO_EV","FQ3 2024","FQ3 2024","Currency=USD","Period=FQ","BEST_FPERIOD_OVERRIDE=FQ","FILING_STATUS=MR","Sort=A","Dates=H","DateFormat=P","Fill=—","Direction=H","UseDPDF=Y")</f>
        <v>2.5999999999999999E-3</v>
      </c>
      <c r="Y15" s="14">
        <f>_xll.BDH("ITCI US Equity","TOTAL_DEBT_TO_EV","FQ4 2024","FQ4 2024","Currency=USD","Period=FQ","BEST_FPERIOD_OVERRIDE=FQ","FILING_STATUS=MR","Sort=A","Dates=H","DateFormat=P","Fill=—","Direction=H","UseDPDF=Y")</f>
        <v>2.2000000000000001E-3</v>
      </c>
      <c r="Z15" s="17">
        <v>1.30312308599455E-3</v>
      </c>
      <c r="AA15" s="14"/>
    </row>
    <row r="16" spans="1:27" x14ac:dyDescent="0.25">
      <c r="A16" s="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21"/>
      <c r="AA16" s="18"/>
    </row>
    <row r="17" spans="1:27" x14ac:dyDescent="0.25">
      <c r="A17" s="6" t="s">
        <v>177</v>
      </c>
      <c r="B17" s="6" t="s">
        <v>178</v>
      </c>
      <c r="C17" s="20" t="str">
        <f>_xll.BDH("ITCI US Equity","EV_TO_T12M_SALES","FQ2 2019","FQ2 2019","Currency=USD","Period=FQ","BEST_FPERIOD_OVERRIDE=FQ","FILING_STATUS=MR","FA_ADJUSTED=GAAP","Sort=A","Dates=H","DateFormat=P","Fill=—","Direction=H","UseDPDF=Y")</f>
        <v>—</v>
      </c>
      <c r="D17" s="20" t="str">
        <f>_xll.BDH("ITCI US Equity","EV_TO_T12M_SALES","FQ3 2019","FQ3 2019","Currency=USD","Period=FQ","BEST_FPERIOD_OVERRIDE=FQ","FILING_STATUS=MR","FA_ADJUSTED=GAAP","Sort=A","Dates=H","DateFormat=P","Fill=—","Direction=H","UseDPDF=Y")</f>
        <v>—</v>
      </c>
      <c r="E17" s="20">
        <f>_xll.BDH("ITCI US Equity","EV_TO_T12M_SALES","FQ4 2019","FQ4 2019","Currency=USD","Period=FQ","BEST_FPERIOD_OVERRIDE=FQ","FILING_STATUS=MR","FA_ADJUSTED=GAAP","Sort=A","Dates=H","DateFormat=P","Fill=—","Direction=H","UseDPDF=Y")</f>
        <v>28106.093700000001</v>
      </c>
      <c r="F17" s="20">
        <f>_xll.BDH("ITCI US Equity","EV_TO_T12M_SALES","FQ1 2020","FQ1 2020","Currency=USD","Period=FQ","BEST_FPERIOD_OVERRIDE=FQ","FILING_STATUS=MR","FA_ADJUSTED=GAAP","Sort=A","Dates=H","DateFormat=P","Fill=—","Direction=H","UseDPDF=Y")</f>
        <v>516.9873</v>
      </c>
      <c r="G17" s="20">
        <f>_xll.BDH("ITCI US Equity","EV_TO_T12M_SALES","FQ2 2020","FQ2 2020","Currency=USD","Period=FQ","BEST_FPERIOD_OVERRIDE=FQ","FILING_STATUS=MR","FA_ADJUSTED=GAAP","Sort=A","Dates=H","DateFormat=P","Fill=—","Direction=H","UseDPDF=Y")</f>
        <v>436.47210000000001</v>
      </c>
      <c r="H17" s="20">
        <f>_xll.BDH("ITCI US Equity","EV_TO_T12M_SALES","FQ3 2020","FQ3 2020","Currency=USD","Period=FQ","BEST_FPERIOD_OVERRIDE=FQ","FILING_STATUS=MR","FA_ADJUSTED=GAAP","Sort=A","Dates=H","DateFormat=P","Fill=—","Direction=H","UseDPDF=Y")</f>
        <v>130.87739999999999</v>
      </c>
      <c r="I17" s="20">
        <f>_xll.BDH("ITCI US Equity","EV_TO_T12M_SALES","FQ4 2020","FQ4 2020","Currency=USD","Period=FQ","BEST_FPERIOD_OVERRIDE=FQ","FILING_STATUS=MR","FA_ADJUSTED=GAAP","Sort=A","Dates=H","DateFormat=P","Fill=—","Direction=H","UseDPDF=Y")</f>
        <v>84.619399999999999</v>
      </c>
      <c r="J17" s="20">
        <f>_xll.BDH("ITCI US Equity","EV_TO_T12M_SALES","FQ1 2021","FQ1 2021","Currency=USD","Period=FQ","BEST_FPERIOD_OVERRIDE=FQ","FILING_STATUS=MR","FA_ADJUSTED=GAAP","Sort=A","Dates=H","DateFormat=P","Fill=—","Direction=H","UseDPDF=Y")</f>
        <v>57.677300000000002</v>
      </c>
      <c r="K17" s="20">
        <f>_xll.BDH("ITCI US Equity","EV_TO_T12M_SALES","FQ2 2021","FQ2 2021","Currency=USD","Period=FQ","BEST_FPERIOD_OVERRIDE=FQ","FILING_STATUS=MR","FA_ADJUSTED=GAAP","Sort=A","Dates=H","DateFormat=P","Fill=—","Direction=H","UseDPDF=Y")</f>
        <v>50.076900000000002</v>
      </c>
      <c r="L17" s="20">
        <f>_xll.BDH("ITCI US Equity","EV_TO_T12M_SALES","FQ3 2021","FQ3 2021","Currency=USD","Period=FQ","BEST_FPERIOD_OVERRIDE=FQ","FILING_STATUS=MR","FA_ADJUSTED=GAAP","Sort=A","Dates=H","DateFormat=P","Fill=—","Direction=H","UseDPDF=Y")</f>
        <v>36.591700000000003</v>
      </c>
      <c r="M17" s="20">
        <f>_xll.BDH("ITCI US Equity","EV_TO_T12M_SALES","FQ4 2021","FQ4 2021","Currency=USD","Period=FQ","BEST_FPERIOD_OVERRIDE=FQ","FILING_STATUS=MR","FA_ADJUSTED=GAAP","Sort=A","Dates=H","DateFormat=P","Fill=—","Direction=H","UseDPDF=Y")</f>
        <v>46.526200000000003</v>
      </c>
      <c r="N17" s="20">
        <f>_xll.BDH("ITCI US Equity","EV_TO_T12M_SALES","FQ1 2022","FQ1 2022","Currency=USD","Period=FQ","BEST_FPERIOD_OVERRIDE=FQ","FILING_STATUS=MR","FA_ADJUSTED=GAAP","Sort=A","Dates=H","DateFormat=P","Fill=—","Direction=H","UseDPDF=Y")</f>
        <v>48.636000000000003</v>
      </c>
      <c r="O17" s="20">
        <f>_xll.BDH("ITCI US Equity","EV_TO_T12M_SALES","FQ2 2022","FQ2 2022","Currency=USD","Period=FQ","BEST_FPERIOD_OVERRIDE=FQ","FILING_STATUS=MR","FA_ADJUSTED=GAAP","Sort=A","Dates=H","DateFormat=P","Fill=—","Direction=H","UseDPDF=Y")</f>
        <v>34.2027</v>
      </c>
      <c r="P17" s="20">
        <f>_xll.BDH("ITCI US Equity","EV_TO_T12M_SALES","FQ3 2022","FQ3 2022","Currency=USD","Period=FQ","BEST_FPERIOD_OVERRIDE=FQ","FILING_STATUS=MR","FA_ADJUSTED=GAAP","Sort=A","Dates=H","DateFormat=P","Fill=—","Direction=H","UseDPDF=Y")</f>
        <v>20.222300000000001</v>
      </c>
      <c r="Q17" s="20">
        <f>_xll.BDH("ITCI US Equity","EV_TO_T12M_SALES","FQ4 2022","FQ4 2022","Currency=USD","Period=FQ","BEST_FPERIOD_OVERRIDE=FQ","FILING_STATUS=MR","FA_ADJUSTED=GAAP","Sort=A","Dates=H","DateFormat=P","Fill=—","Direction=H","UseDPDF=Y")</f>
        <v>17.7638</v>
      </c>
      <c r="R17" s="20">
        <f>_xll.BDH("ITCI US Equity","EV_TO_T12M_SALES","FQ1 2023","FQ1 2023","Currency=USD","Period=FQ","BEST_FPERIOD_OVERRIDE=FQ","FILING_STATUS=MR","FA_ADJUSTED=GAAP","Sort=A","Dates=H","DateFormat=P","Fill=—","Direction=H","UseDPDF=Y")</f>
        <v>15.004799999999999</v>
      </c>
      <c r="S17" s="20">
        <f>_xll.BDH("ITCI US Equity","EV_TO_T12M_SALES","FQ2 2023","FQ2 2023","Currency=USD","Period=FQ","BEST_FPERIOD_OVERRIDE=FQ","FILING_STATUS=MR","FA_ADJUSTED=GAAP","Sort=A","Dates=H","DateFormat=P","Fill=—","Direction=H","UseDPDF=Y")</f>
        <v>15.277699999999999</v>
      </c>
      <c r="T17" s="20">
        <f>_xll.BDH("ITCI US Equity","EV_TO_T12M_SALES","FQ3 2023","FQ3 2023","Currency=USD","Period=FQ","BEST_FPERIOD_OVERRIDE=FQ","FILING_STATUS=MR","FA_ADJUSTED=GAAP","Sort=A","Dates=H","DateFormat=P","Fill=—","Direction=H","UseDPDF=Y")</f>
        <v>10.798400000000001</v>
      </c>
      <c r="U17" s="20">
        <f>_xll.BDH("ITCI US Equity","EV_TO_T12M_SALES","FQ4 2023","FQ4 2023","Currency=USD","Period=FQ","BEST_FPERIOD_OVERRIDE=FQ","FILING_STATUS=MR","FA_ADJUSTED=GAAP","Sort=A","Dates=H","DateFormat=P","Fill=—","Direction=H","UseDPDF=Y")</f>
        <v>13.828900000000001</v>
      </c>
      <c r="V17" s="20">
        <f>_xll.BDH("ITCI US Equity","EV_TO_T12M_SALES","FQ1 2024","FQ1 2024","Currency=USD","Period=FQ","BEST_FPERIOD_OVERRIDE=FQ","FILING_STATUS=MR","FA_ADJUSTED=GAAP","Sort=A","Dates=H","DateFormat=P","Fill=—","Direction=H","UseDPDF=Y")</f>
        <v>12.2317</v>
      </c>
      <c r="W17" s="20">
        <f>_xll.BDH("ITCI US Equity","EV_TO_T12M_SALES","FQ2 2024","FQ2 2024","Currency=USD","Period=FQ","BEST_FPERIOD_OVERRIDE=FQ","FILING_STATUS=MR","FA_ADJUSTED=GAAP","Sort=A","Dates=H","DateFormat=P","Fill=—","Direction=H","UseDPDF=Y")</f>
        <v>11.0352</v>
      </c>
      <c r="X17" s="20">
        <f>_xll.BDH("ITCI US Equity","EV_TO_T12M_SALES","FQ3 2024","FQ3 2024","Currency=USD","Period=FQ","BEST_FPERIOD_OVERRIDE=FQ","FILING_STATUS=MR","FA_ADJUSTED=GAAP","Sort=A","Dates=H","DateFormat=P","Fill=—","Direction=H","UseDPDF=Y")</f>
        <v>11.026199999999999</v>
      </c>
      <c r="Y17" s="20">
        <f>_xll.BDH("ITCI US Equity","EV_TO_T12M_SALES","FQ4 2024","FQ4 2024","Currency=USD","Period=FQ","BEST_FPERIOD_OVERRIDE=FQ","FILING_STATUS=MR","FA_ADJUSTED=GAAP","Sort=A","Dates=H","DateFormat=P","Fill=—","Direction=H","UseDPDF=Y")</f>
        <v>11.5871</v>
      </c>
      <c r="Z17" s="23">
        <v>19.1392583896647</v>
      </c>
      <c r="AA17" s="20">
        <v>14.106633129223299</v>
      </c>
    </row>
    <row r="18" spans="1:27" x14ac:dyDescent="0.25">
      <c r="A18" s="6" t="s">
        <v>179</v>
      </c>
      <c r="B18" s="6" t="s">
        <v>180</v>
      </c>
      <c r="C18" s="20" t="str">
        <f>_xll.BDH("ITCI US Equity","EV_TO_T12M_EBIT","FQ2 2019","FQ2 2019","Currency=USD","Period=FQ","BEST_FPERIOD_OVERRIDE=FQ","FILING_STATUS=MR","FA_ADJUSTED=GAAP","Sort=A","Dates=H","DateFormat=P","Fill=—","Direction=H","UseDPDF=Y")</f>
        <v>—</v>
      </c>
      <c r="D18" s="20" t="str">
        <f>_xll.BDH("ITCI US Equity","EV_TO_T12M_EBIT","FQ3 2019","FQ3 2019","Currency=USD","Period=FQ","BEST_FPERIOD_OVERRIDE=FQ","FILING_STATUS=MR","FA_ADJUSTED=GAAP","Sort=A","Dates=H","DateFormat=P","Fill=—","Direction=H","UseDPDF=Y")</f>
        <v>—</v>
      </c>
      <c r="E18" s="20" t="str">
        <f>_xll.BDH("ITCI US Equity","EV_TO_T12M_EBIT","FQ4 2019","FQ4 2019","Currency=USD","Period=FQ","BEST_FPERIOD_OVERRIDE=FQ","FILING_STATUS=MR","FA_ADJUSTED=GAAP","Sort=A","Dates=H","DateFormat=P","Fill=—","Direction=H","UseDPDF=Y")</f>
        <v>—</v>
      </c>
      <c r="F18" s="20" t="str">
        <f>_xll.BDH("ITCI US Equity","EV_TO_T12M_EBIT","FQ1 2020","FQ1 2020","Currency=USD","Period=FQ","BEST_FPERIOD_OVERRIDE=FQ","FILING_STATUS=MR","FA_ADJUSTED=GAAP","Sort=A","Dates=H","DateFormat=P","Fill=—","Direction=H","UseDPDF=Y")</f>
        <v>—</v>
      </c>
      <c r="G18" s="20" t="str">
        <f>_xll.BDH("ITCI US Equity","EV_TO_T12M_EBIT","FQ2 2020","FQ2 2020","Currency=USD","Period=FQ","BEST_FPERIOD_OVERRIDE=FQ","FILING_STATUS=MR","FA_ADJUSTED=GAAP","Sort=A","Dates=H","DateFormat=P","Fill=—","Direction=H","UseDPDF=Y")</f>
        <v>—</v>
      </c>
      <c r="H18" s="20" t="str">
        <f>_xll.BDH("ITCI US Equity","EV_TO_T12M_EBIT","FQ3 2020","FQ3 2020","Currency=USD","Period=FQ","BEST_FPERIOD_OVERRIDE=FQ","FILING_STATUS=MR","FA_ADJUSTED=GAAP","Sort=A","Dates=H","DateFormat=P","Fill=—","Direction=H","UseDPDF=Y")</f>
        <v>—</v>
      </c>
      <c r="I18" s="20" t="str">
        <f>_xll.BDH("ITCI US Equity","EV_TO_T12M_EBIT","FQ4 2020","FQ4 2020","Currency=USD","Period=FQ","BEST_FPERIOD_OVERRIDE=FQ","FILING_STATUS=MR","FA_ADJUSTED=GAAP","Sort=A","Dates=H","DateFormat=P","Fill=—","Direction=H","UseDPDF=Y")</f>
        <v>—</v>
      </c>
      <c r="J18" s="20" t="str">
        <f>_xll.BDH("ITCI US Equity","EV_TO_T12M_EBIT","FQ1 2021","FQ1 2021","Currency=USD","Period=FQ","BEST_FPERIOD_OVERRIDE=FQ","FILING_STATUS=MR","FA_ADJUSTED=GAAP","Sort=A","Dates=H","DateFormat=P","Fill=—","Direction=H","UseDPDF=Y")</f>
        <v>—</v>
      </c>
      <c r="K18" s="20" t="str">
        <f>_xll.BDH("ITCI US Equity","EV_TO_T12M_EBIT","FQ2 2021","FQ2 2021","Currency=USD","Period=FQ","BEST_FPERIOD_OVERRIDE=FQ","FILING_STATUS=MR","FA_ADJUSTED=GAAP","Sort=A","Dates=H","DateFormat=P","Fill=—","Direction=H","UseDPDF=Y")</f>
        <v>—</v>
      </c>
      <c r="L18" s="20" t="str">
        <f>_xll.BDH("ITCI US Equity","EV_TO_T12M_EBIT","FQ3 2021","FQ3 2021","Currency=USD","Period=FQ","BEST_FPERIOD_OVERRIDE=FQ","FILING_STATUS=MR","FA_ADJUSTED=GAAP","Sort=A","Dates=H","DateFormat=P","Fill=—","Direction=H","UseDPDF=Y")</f>
        <v>—</v>
      </c>
      <c r="M18" s="20" t="str">
        <f>_xll.BDH("ITCI US Equity","EV_TO_T12M_EBIT","FQ4 2021","FQ4 2021","Currency=USD","Period=FQ","BEST_FPERIOD_OVERRIDE=FQ","FILING_STATUS=MR","FA_ADJUSTED=GAAP","Sort=A","Dates=H","DateFormat=P","Fill=—","Direction=H","UseDPDF=Y")</f>
        <v>—</v>
      </c>
      <c r="N18" s="20" t="str">
        <f>_xll.BDH("ITCI US Equity","EV_TO_T12M_EBIT","FQ1 2022","FQ1 2022","Currency=USD","Period=FQ","BEST_FPERIOD_OVERRIDE=FQ","FILING_STATUS=MR","FA_ADJUSTED=GAAP","Sort=A","Dates=H","DateFormat=P","Fill=—","Direction=H","UseDPDF=Y")</f>
        <v>—</v>
      </c>
      <c r="O18" s="20" t="str">
        <f>_xll.BDH("ITCI US Equity","EV_TO_T12M_EBIT","FQ2 2022","FQ2 2022","Currency=USD","Period=FQ","BEST_FPERIOD_OVERRIDE=FQ","FILING_STATUS=MR","FA_ADJUSTED=GAAP","Sort=A","Dates=H","DateFormat=P","Fill=—","Direction=H","UseDPDF=Y")</f>
        <v>—</v>
      </c>
      <c r="P18" s="20" t="str">
        <f>_xll.BDH("ITCI US Equity","EV_TO_T12M_EBIT","FQ3 2022","FQ3 2022","Currency=USD","Period=FQ","BEST_FPERIOD_OVERRIDE=FQ","FILING_STATUS=MR","FA_ADJUSTED=GAAP","Sort=A","Dates=H","DateFormat=P","Fill=—","Direction=H","UseDPDF=Y")</f>
        <v>—</v>
      </c>
      <c r="Q18" s="20" t="str">
        <f>_xll.BDH("ITCI US Equity","EV_TO_T12M_EBIT","FQ4 2022","FQ4 2022","Currency=USD","Period=FQ","BEST_FPERIOD_OVERRIDE=FQ","FILING_STATUS=MR","FA_ADJUSTED=GAAP","Sort=A","Dates=H","DateFormat=P","Fill=—","Direction=H","UseDPDF=Y")</f>
        <v>—</v>
      </c>
      <c r="R18" s="20" t="str">
        <f>_xll.BDH("ITCI US Equity","EV_TO_T12M_EBIT","FQ1 2023","FQ1 2023","Currency=USD","Period=FQ","BEST_FPERIOD_OVERRIDE=FQ","FILING_STATUS=MR","FA_ADJUSTED=GAAP","Sort=A","Dates=H","DateFormat=P","Fill=—","Direction=H","UseDPDF=Y")</f>
        <v>—</v>
      </c>
      <c r="S18" s="20" t="str">
        <f>_xll.BDH("ITCI US Equity","EV_TO_T12M_EBIT","FQ2 2023","FQ2 2023","Currency=USD","Period=FQ","BEST_FPERIOD_OVERRIDE=FQ","FILING_STATUS=MR","FA_ADJUSTED=GAAP","Sort=A","Dates=H","DateFormat=P","Fill=—","Direction=H","UseDPDF=Y")</f>
        <v>—</v>
      </c>
      <c r="T18" s="20" t="str">
        <f>_xll.BDH("ITCI US Equity","EV_TO_T12M_EBIT","FQ3 2023","FQ3 2023","Currency=USD","Period=FQ","BEST_FPERIOD_OVERRIDE=FQ","FILING_STATUS=MR","FA_ADJUSTED=GAAP","Sort=A","Dates=H","DateFormat=P","Fill=—","Direction=H","UseDPDF=Y")</f>
        <v>—</v>
      </c>
      <c r="U18" s="20" t="str">
        <f>_xll.BDH("ITCI US Equity","EV_TO_T12M_EBIT","FQ4 2023","FQ4 2023","Currency=USD","Period=FQ","BEST_FPERIOD_OVERRIDE=FQ","FILING_STATUS=MR","FA_ADJUSTED=GAAP","Sort=A","Dates=H","DateFormat=P","Fill=—","Direction=H","UseDPDF=Y")</f>
        <v>—</v>
      </c>
      <c r="V18" s="20" t="str">
        <f>_xll.BDH("ITCI US Equity","EV_TO_T12M_EBIT","FQ1 2024","FQ1 2024","Currency=USD","Period=FQ","BEST_FPERIOD_OVERRIDE=FQ","FILING_STATUS=MR","FA_ADJUSTED=GAAP","Sort=A","Dates=H","DateFormat=P","Fill=—","Direction=H","UseDPDF=Y")</f>
        <v>—</v>
      </c>
      <c r="W18" s="20" t="str">
        <f>_xll.BDH("ITCI US Equity","EV_TO_T12M_EBIT","FQ2 2024","FQ2 2024","Currency=USD","Period=FQ","BEST_FPERIOD_OVERRIDE=FQ","FILING_STATUS=MR","FA_ADJUSTED=GAAP","Sort=A","Dates=H","DateFormat=P","Fill=—","Direction=H","UseDPDF=Y")</f>
        <v>—</v>
      </c>
      <c r="X18" s="20" t="str">
        <f>_xll.BDH("ITCI US Equity","EV_TO_T12M_EBIT","FQ3 2024","FQ3 2024","Currency=USD","Period=FQ","BEST_FPERIOD_OVERRIDE=FQ","FILING_STATUS=MR","FA_ADJUSTED=GAAP","Sort=A","Dates=H","DateFormat=P","Fill=—","Direction=H","UseDPDF=Y")</f>
        <v>—</v>
      </c>
      <c r="Y18" s="20" t="str">
        <f>_xll.BDH("ITCI US Equity","EV_TO_T12M_EBIT","FQ4 2024","FQ4 2024","Currency=USD","Period=FQ","BEST_FPERIOD_OVERRIDE=FQ","FILING_STATUS=MR","FA_ADJUSTED=GAAP","Sort=A","Dates=H","DateFormat=P","Fill=—","Direction=H","UseDPDF=Y")</f>
        <v>—</v>
      </c>
      <c r="Z18" s="23"/>
      <c r="AA18" s="20">
        <v>-384.57686085232001</v>
      </c>
    </row>
    <row r="19" spans="1:27" x14ac:dyDescent="0.25">
      <c r="A19" s="6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21"/>
      <c r="AA19" s="18"/>
    </row>
    <row r="20" spans="1:27" x14ac:dyDescent="0.25">
      <c r="A20" s="6" t="s">
        <v>181</v>
      </c>
      <c r="B20" s="6" t="s">
        <v>182</v>
      </c>
      <c r="C20" s="19">
        <f>_xll.BDH("ITCI US Equity","DILUTED_MKT_CAP","FQ2 2019","FQ2 2019","Currency=USD","Period=FQ","BEST_FPERIOD_OVERRIDE=FQ","FILING_STATUS=MR","SCALING_FORMAT=MLN","Sort=A","Dates=H","DateFormat=P","Fill=—","Direction=H","UseDPDF=Y")</f>
        <v>715.79380000000003</v>
      </c>
      <c r="D20" s="19">
        <f>_xll.BDH("ITCI US Equity","DILUTED_MKT_CAP","FQ3 2019","FQ3 2019","Currency=USD","Period=FQ","BEST_FPERIOD_OVERRIDE=FQ","FILING_STATUS=MR","SCALING_FORMAT=MLN","Sort=A","Dates=H","DateFormat=P","Fill=—","Direction=H","UseDPDF=Y")</f>
        <v>412.39929999999998</v>
      </c>
      <c r="E20" s="19">
        <f>_xll.BDH("ITCI US Equity","DILUTED_MKT_CAP","FQ4 2019","FQ4 2019","Currency=USD","Period=FQ","BEST_FPERIOD_OVERRIDE=FQ","FILING_STATUS=MR","SCALING_FORMAT=MLN","Sort=A","Dates=H","DateFormat=P","Fill=—","Direction=H","UseDPDF=Y")</f>
        <v>1896.5282</v>
      </c>
      <c r="F20" s="19">
        <f>_xll.BDH("ITCI US Equity","DILUTED_MKT_CAP","FQ1 2020","FQ1 2020","Currency=USD","Period=FQ","BEST_FPERIOD_OVERRIDE=FQ","FILING_STATUS=MR","SCALING_FORMAT=MLN","Sort=A","Dates=H","DateFormat=P","Fill=—","Direction=H","UseDPDF=Y")</f>
        <v>1000.6808</v>
      </c>
      <c r="G20" s="19">
        <f>_xll.BDH("ITCI US Equity","DILUTED_MKT_CAP","FQ2 2020","FQ2 2020","Currency=USD","Period=FQ","BEST_FPERIOD_OVERRIDE=FQ","FILING_STATUS=MR","SCALING_FORMAT=MLN","Sort=A","Dates=H","DateFormat=P","Fill=—","Direction=H","UseDPDF=Y")</f>
        <v>1705.242</v>
      </c>
      <c r="H20" s="19">
        <f>_xll.BDH("ITCI US Equity","DILUTED_MKT_CAP","FQ3 2020","FQ3 2020","Currency=USD","Period=FQ","BEST_FPERIOD_OVERRIDE=FQ","FILING_STATUS=MR","SCALING_FORMAT=MLN","Sort=A","Dates=H","DateFormat=P","Fill=—","Direction=H","UseDPDF=Y")</f>
        <v>1784.1407999999999</v>
      </c>
      <c r="I20" s="19">
        <f>_xll.BDH("ITCI US Equity","DILUTED_MKT_CAP","FQ4 2020","FQ4 2020","Currency=USD","Period=FQ","BEST_FPERIOD_OVERRIDE=FQ","FILING_STATUS=MR","SCALING_FORMAT=MLN","Sort=A","Dates=H","DateFormat=P","Fill=—","Direction=H","UseDPDF=Y")</f>
        <v>2553.3413</v>
      </c>
      <c r="J20" s="19">
        <f>_xll.BDH("ITCI US Equity","DILUTED_MKT_CAP","FQ1 2021","FQ1 2021","Currency=USD","Period=FQ","BEST_FPERIOD_OVERRIDE=FQ","FILING_STATUS=MR","SCALING_FORMAT=MLN","Sort=A","Dates=H","DateFormat=P","Fill=—","Direction=H","UseDPDF=Y")</f>
        <v>2746.5129999999999</v>
      </c>
      <c r="K20" s="19">
        <f>_xll.BDH("ITCI US Equity","DILUTED_MKT_CAP","FQ2 2021","FQ2 2021","Currency=USD","Period=FQ","BEST_FPERIOD_OVERRIDE=FQ","FILING_STATUS=MR","SCALING_FORMAT=MLN","Sort=A","Dates=H","DateFormat=P","Fill=—","Direction=H","UseDPDF=Y")</f>
        <v>3315.7999</v>
      </c>
      <c r="L20" s="19">
        <f>_xll.BDH("ITCI US Equity","DILUTED_MKT_CAP","FQ3 2021","FQ3 2021","Currency=USD","Period=FQ","BEST_FPERIOD_OVERRIDE=FQ","FILING_STATUS=MR","SCALING_FORMAT=MLN","Sort=A","Dates=H","DateFormat=P","Fill=—","Direction=H","UseDPDF=Y")</f>
        <v>3032.9041000000002</v>
      </c>
      <c r="M20" s="19">
        <f>_xll.BDH("ITCI US Equity","DILUTED_MKT_CAP","FQ4 2021","FQ4 2021","Currency=USD","Period=FQ","BEST_FPERIOD_OVERRIDE=FQ","FILING_STATUS=MR","SCALING_FORMAT=MLN","Sort=A","Dates=H","DateFormat=P","Fill=—","Direction=H","UseDPDF=Y")</f>
        <v>4264.4375</v>
      </c>
      <c r="N20" s="19">
        <f>_xll.BDH("ITCI US Equity","DILUTED_MKT_CAP","FQ1 2022","FQ1 2022","Currency=USD","Period=FQ","BEST_FPERIOD_OVERRIDE=FQ","FILING_STATUS=MR","SCALING_FORMAT=MLN","Sort=A","Dates=H","DateFormat=P","Fill=—","Direction=H","UseDPDF=Y")</f>
        <v>5666.4565000000002</v>
      </c>
      <c r="O20" s="19">
        <f>_xll.BDH("ITCI US Equity","DILUTED_MKT_CAP","FQ2 2022","FQ2 2022","Currency=USD","Period=FQ","BEST_FPERIOD_OVERRIDE=FQ","FILING_STATUS=MR","SCALING_FORMAT=MLN","Sort=A","Dates=H","DateFormat=P","Fill=—","Direction=H","UseDPDF=Y")</f>
        <v>5381.7945</v>
      </c>
      <c r="P20" s="19">
        <f>_xll.BDH("ITCI US Equity","DILUTED_MKT_CAP","FQ3 2022","FQ3 2022","Currency=USD","Period=FQ","BEST_FPERIOD_OVERRIDE=FQ","FILING_STATUS=MR","SCALING_FORMAT=MLN","Sort=A","Dates=H","DateFormat=P","Fill=—","Direction=H","UseDPDF=Y")</f>
        <v>4397.8663999999999</v>
      </c>
      <c r="Q20" s="19">
        <f>_xll.BDH("ITCI US Equity","DILUTED_MKT_CAP","FQ4 2022","FQ4 2022","Currency=USD","Period=FQ","BEST_FPERIOD_OVERRIDE=FQ","FILING_STATUS=MR","SCALING_FORMAT=MLN","Sort=A","Dates=H","DateFormat=P","Fill=—","Direction=H","UseDPDF=Y")</f>
        <v>5014.2527</v>
      </c>
      <c r="R20" s="19">
        <f>_xll.BDH("ITCI US Equity","DILUTED_MKT_CAP","FQ1 2023","FQ1 2023","Currency=USD","Period=FQ","BEST_FPERIOD_OVERRIDE=FQ","FILING_STATUS=MR","SCALING_FORMAT=MLN","Sort=A","Dates=H","DateFormat=P","Fill=—","Direction=H","UseDPDF=Y")</f>
        <v>5151.5437000000002</v>
      </c>
      <c r="S20" s="19">
        <f>_xll.BDH("ITCI US Equity","DILUTED_MKT_CAP","FQ2 2023","FQ2 2023","Currency=USD","Period=FQ","BEST_FPERIOD_OVERRIDE=FQ","FILING_STATUS=MR","SCALING_FORMAT=MLN","Sort=A","Dates=H","DateFormat=P","Fill=—","Direction=H","UseDPDF=Y")</f>
        <v>6075.4313000000002</v>
      </c>
      <c r="T20" s="19">
        <f>_xll.BDH("ITCI US Equity","DILUTED_MKT_CAP","FQ3 2023","FQ3 2023","Currency=USD","Period=FQ","BEST_FPERIOD_OVERRIDE=FQ","FILING_STATUS=MR","SCALING_FORMAT=MLN","Sort=A","Dates=H","DateFormat=P","Fill=—","Direction=H","UseDPDF=Y")</f>
        <v>5008.0932000000003</v>
      </c>
      <c r="U20" s="19">
        <f>_xll.BDH("ITCI US Equity","DILUTED_MKT_CAP","FQ4 2023","FQ4 2023","Currency=USD","Period=FQ","BEST_FPERIOD_OVERRIDE=FQ","FILING_STATUS=MR","SCALING_FORMAT=MLN","Sort=A","Dates=H","DateFormat=P","Fill=—","Direction=H","UseDPDF=Y")</f>
        <v>6895.9717000000001</v>
      </c>
      <c r="V20" s="19">
        <f>_xll.BDH("ITCI US Equity","DILUTED_MKT_CAP","FQ1 2024","FQ1 2024","Currency=USD","Period=FQ","BEST_FPERIOD_OVERRIDE=FQ","FILING_STATUS=MR","SCALING_FORMAT=MLN","Sort=A","Dates=H","DateFormat=P","Fill=—","Direction=H","UseDPDF=Y")</f>
        <v>6703.7690000000002</v>
      </c>
      <c r="W20" s="19">
        <f>_xll.BDH("ITCI US Equity","DILUTED_MKT_CAP","FQ2 2024","FQ2 2024","Currency=USD","Period=FQ","BEST_FPERIOD_OVERRIDE=FQ","FILING_STATUS=MR","SCALING_FORMAT=MLN","Sort=A","Dates=H","DateFormat=P","Fill=—","Direction=H","UseDPDF=Y")</f>
        <v>7103.9886999999999</v>
      </c>
      <c r="X20" s="19">
        <f>_xll.BDH("ITCI US Equity","DILUTED_MKT_CAP","FQ3 2024","FQ3 2024","Currency=USD","Period=FQ","BEST_FPERIOD_OVERRIDE=FQ","FILING_STATUS=MR","SCALING_FORMAT=MLN","Sort=A","Dates=H","DateFormat=P","Fill=—","Direction=H","UseDPDF=Y")</f>
        <v>7739.0727999999999</v>
      </c>
      <c r="Y20" s="19">
        <f>_xll.BDH("ITCI US Equity","DILUTED_MKT_CAP","FQ4 2024","FQ4 2024","Currency=USD","Period=FQ","BEST_FPERIOD_OVERRIDE=FQ","FILING_STATUS=MR","SCALING_FORMAT=MLN","Sort=A","Dates=H","DateFormat=P","Fill=—","Direction=H","UseDPDF=Y")</f>
        <v>8861.1242000000002</v>
      </c>
      <c r="Z20" s="22">
        <v>13984.491884137</v>
      </c>
      <c r="AA20" s="19"/>
    </row>
    <row r="21" spans="1:27" x14ac:dyDescent="0.25">
      <c r="A21" s="6" t="s">
        <v>183</v>
      </c>
      <c r="B21" s="6" t="s">
        <v>184</v>
      </c>
      <c r="C21" s="19">
        <f>_xll.BDH("ITCI US Equity","DILUTED_EV","FQ2 2019","FQ2 2019","Currency=USD","Period=FQ","BEST_FPERIOD_OVERRIDE=FQ","FILING_STATUS=MR","SCALING_FORMAT=MLN","Sort=A","Dates=H","DateFormat=P","Fill=—","Direction=H","UseDPDF=Y")</f>
        <v>453.32440000000003</v>
      </c>
      <c r="D21" s="19">
        <f>_xll.BDH("ITCI US Equity","DILUTED_EV","FQ3 2019","FQ3 2019","Currency=USD","Period=FQ","BEST_FPERIOD_OVERRIDE=FQ","FILING_STATUS=MR","SCALING_FORMAT=MLN","Sort=A","Dates=H","DateFormat=P","Fill=—","Direction=H","UseDPDF=Y")</f>
        <v>179.5222</v>
      </c>
      <c r="E21" s="19">
        <f>_xll.BDH("ITCI US Equity","DILUTED_EV","FQ4 2019","FQ4 2019","Currency=USD","Period=FQ","BEST_FPERIOD_OVERRIDE=FQ","FILING_STATUS=MR","SCALING_FORMAT=MLN","Sort=A","Dates=H","DateFormat=P","Fill=—","Direction=H","UseDPDF=Y")</f>
        <v>1695.6605999999999</v>
      </c>
      <c r="F21" s="19">
        <f>_xll.BDH("ITCI US Equity","DILUTED_EV","FQ1 2020","FQ1 2020","Currency=USD","Period=FQ","BEST_FPERIOD_OVERRIDE=FQ","FILING_STATUS=MR","SCALING_FORMAT=MLN","Sort=A","Dates=H","DateFormat=P","Fill=—","Direction=H","UseDPDF=Y")</f>
        <v>574.65610000000004</v>
      </c>
      <c r="G21" s="19">
        <f>_xll.BDH("ITCI US Equity","DILUTED_EV","FQ2 2020","FQ2 2020","Currency=USD","Period=FQ","BEST_FPERIOD_OVERRIDE=FQ","FILING_STATUS=MR","SCALING_FORMAT=MLN","Sort=A","Dates=H","DateFormat=P","Fill=—","Direction=H","UseDPDF=Y")</f>
        <v>1322.6152</v>
      </c>
      <c r="H21" s="19">
        <f>_xll.BDH("ITCI US Equity","DILUTED_EV","FQ3 2020","FQ3 2020","Currency=USD","Period=FQ","BEST_FPERIOD_OVERRIDE=FQ","FILING_STATUS=MR","SCALING_FORMAT=MLN","Sort=A","Dates=H","DateFormat=P","Fill=—","Direction=H","UseDPDF=Y")</f>
        <v>1091.3300999999999</v>
      </c>
      <c r="I21" s="19">
        <f>_xll.BDH("ITCI US Equity","DILUTED_EV","FQ4 2020","FQ4 2020","Currency=USD","Period=FQ","BEST_FPERIOD_OVERRIDE=FQ","FILING_STATUS=MR","SCALING_FORMAT=MLN","Sort=A","Dates=H","DateFormat=P","Fill=—","Direction=H","UseDPDF=Y")</f>
        <v>1925.0353</v>
      </c>
      <c r="J21" s="19">
        <f>_xll.BDH("ITCI US Equity","DILUTED_EV","FQ1 2021","FQ1 2021","Currency=USD","Period=FQ","BEST_FPERIOD_OVERRIDE=FQ","FILING_STATUS=MR","SCALING_FORMAT=MLN","Sort=A","Dates=H","DateFormat=P","Fill=—","Direction=H","UseDPDF=Y")</f>
        <v>2162.7586999999999</v>
      </c>
      <c r="K21" s="19">
        <f>_xll.BDH("ITCI US Equity","DILUTED_EV","FQ2 2021","FQ2 2021","Currency=USD","Period=FQ","BEST_FPERIOD_OVERRIDE=FQ","FILING_STATUS=MR","SCALING_FORMAT=MLN","Sort=A","Dates=H","DateFormat=P","Fill=—","Direction=H","UseDPDF=Y")</f>
        <v>2788.3265000000001</v>
      </c>
      <c r="L21" s="19">
        <f>_xll.BDH("ITCI US Equity","DILUTED_EV","FQ3 2021","FQ3 2021","Currency=USD","Period=FQ","BEST_FPERIOD_OVERRIDE=FQ","FILING_STATUS=MR","SCALING_FORMAT=MLN","Sort=A","Dates=H","DateFormat=P","Fill=—","Direction=H","UseDPDF=Y")</f>
        <v>2582.0261</v>
      </c>
      <c r="M21" s="19">
        <f>_xll.BDH("ITCI US Equity","DILUTED_EV","FQ4 2021","FQ4 2021","Currency=USD","Period=FQ","BEST_FPERIOD_OVERRIDE=FQ","FILING_STATUS=MR","SCALING_FORMAT=MLN","Sort=A","Dates=H","DateFormat=P","Fill=—","Direction=H","UseDPDF=Y")</f>
        <v>3877.5109000000002</v>
      </c>
      <c r="N21" s="19">
        <f>_xll.BDH("ITCI US Equity","DILUTED_EV","FQ1 2022","FQ1 2022","Currency=USD","Period=FQ","BEST_FPERIOD_OVERRIDE=FQ","FILING_STATUS=MR","SCALING_FORMAT=MLN","Sort=A","Dates=H","DateFormat=P","Fill=—","Direction=H","UseDPDF=Y")</f>
        <v>4919.0005000000001</v>
      </c>
      <c r="O21" s="19">
        <f>_xll.BDH("ITCI US Equity","DILUTED_EV","FQ2 2022","FQ2 2022","Currency=USD","Period=FQ","BEST_FPERIOD_OVERRIDE=FQ","FILING_STATUS=MR","SCALING_FORMAT=MLN","Sort=A","Dates=H","DateFormat=P","Fill=—","Direction=H","UseDPDF=Y")</f>
        <v>4730.7834999999995</v>
      </c>
      <c r="P21" s="19">
        <f>_xll.BDH("ITCI US Equity","DILUTED_EV","FQ3 2022","FQ3 2022","Currency=USD","Period=FQ","BEST_FPERIOD_OVERRIDE=FQ","FILING_STATUS=MR","SCALING_FORMAT=MLN","Sort=A","Dates=H","DateFormat=P","Fill=—","Direction=H","UseDPDF=Y")</f>
        <v>3795.5374000000002</v>
      </c>
      <c r="Q21" s="19">
        <f>_xll.BDH("ITCI US Equity","DILUTED_EV","FQ4 2022","FQ4 2022","Currency=USD","Period=FQ","BEST_FPERIOD_OVERRIDE=FQ","FILING_STATUS=MR","SCALING_FORMAT=MLN","Sort=A","Dates=H","DateFormat=P","Fill=—","Direction=H","UseDPDF=Y")</f>
        <v>4442.3887000000004</v>
      </c>
      <c r="R21" s="19">
        <f>_xll.BDH("ITCI US Equity","DILUTED_EV","FQ1 2023","FQ1 2023","Currency=USD","Period=FQ","BEST_FPERIOD_OVERRIDE=FQ","FILING_STATUS=MR","SCALING_FORMAT=MLN","Sort=A","Dates=H","DateFormat=P","Fill=—","Direction=H","UseDPDF=Y")</f>
        <v>4631.3276999999998</v>
      </c>
      <c r="S21" s="19">
        <f>_xll.BDH("ITCI US Equity","DILUTED_EV","FQ2 2023","FQ2 2023","Currency=USD","Period=FQ","BEST_FPERIOD_OVERRIDE=FQ","FILING_STATUS=MR","SCALING_FORMAT=MLN","Sort=A","Dates=H","DateFormat=P","Fill=—","Direction=H","UseDPDF=Y")</f>
        <v>5580.5672999999997</v>
      </c>
      <c r="T21" s="19">
        <f>_xll.BDH("ITCI US Equity","DILUTED_EV","FQ3 2023","FQ3 2023","Currency=USD","Period=FQ","BEST_FPERIOD_OVERRIDE=FQ","FILING_STATUS=MR","SCALING_FORMAT=MLN","Sort=A","Dates=H","DateFormat=P","Fill=—","Direction=H","UseDPDF=Y")</f>
        <v>4532.5472</v>
      </c>
      <c r="U21" s="19">
        <f>_xll.BDH("ITCI US Equity","DILUTED_EV","FQ4 2023","FQ4 2023","Currency=USD","Period=FQ","BEST_FPERIOD_OVERRIDE=FQ","FILING_STATUS=MR","SCALING_FORMAT=MLN","Sort=A","Dates=H","DateFormat=P","Fill=—","Direction=H","UseDPDF=Y")</f>
        <v>6414.9687000000004</v>
      </c>
      <c r="V21" s="19">
        <f>_xll.BDH("ITCI US Equity","DILUTED_EV","FQ1 2024","FQ1 2024","Currency=USD","Period=FQ","BEST_FPERIOD_OVERRIDE=FQ","FILING_STATUS=MR","SCALING_FORMAT=MLN","Sort=A","Dates=H","DateFormat=P","Fill=—","Direction=H","UseDPDF=Y")</f>
        <v>6244.5219999999999</v>
      </c>
      <c r="W21" s="19">
        <f>_xll.BDH("ITCI US Equity","DILUTED_EV","FQ2 2024","FQ2 2024","Currency=USD","Period=FQ","BEST_FPERIOD_OVERRIDE=FQ","FILING_STATUS=MR","SCALING_FORMAT=MLN","Sort=A","Dates=H","DateFormat=P","Fill=—","Direction=H","UseDPDF=Y")</f>
        <v>6099.3697000000002</v>
      </c>
      <c r="X21" s="19">
        <f>_xll.BDH("ITCI US Equity","DILUTED_EV","FQ3 2024","FQ3 2024","Currency=USD","Period=FQ","BEST_FPERIOD_OVERRIDE=FQ","FILING_STATUS=MR","SCALING_FORMAT=MLN","Sort=A","Dates=H","DateFormat=P","Fill=—","Direction=H","UseDPDF=Y")</f>
        <v>6750.2197999999999</v>
      </c>
      <c r="Y21" s="19">
        <f>_xll.BDH("ITCI US Equity","DILUTED_EV","FQ4 2024","FQ4 2024","Currency=USD","Period=FQ","BEST_FPERIOD_OVERRIDE=FQ","FILING_STATUS=MR","SCALING_FORMAT=MLN","Sort=A","Dates=H","DateFormat=P","Fill=—","Direction=H","UseDPDF=Y")</f>
        <v>7877.0392000000002</v>
      </c>
      <c r="Z21" s="22">
        <v>13000.406884137001</v>
      </c>
      <c r="AA21" s="19"/>
    </row>
    <row r="22" spans="1:27" x14ac:dyDescent="0.25">
      <c r="A22" s="6" t="s">
        <v>185</v>
      </c>
      <c r="B22" s="6" t="s">
        <v>186</v>
      </c>
      <c r="C22" s="20">
        <f>_xll.BDH("ITCI US Equity","EV_TO_SH_OUT","FQ2 2019","FQ2 2019","Currency=USD","Period=FQ","BEST_FPERIOD_OVERRIDE=FQ","FILING_STATUS=MR","Sort=A","Dates=H","DateFormat=P","Fill=—","Direction=H","UseDPDF=Y")</f>
        <v>8.2240000000000002</v>
      </c>
      <c r="D22" s="20">
        <f>_xll.BDH("ITCI US Equity","EV_TO_SH_OUT","FQ3 2019","FQ3 2019","Currency=USD","Period=FQ","BEST_FPERIOD_OVERRIDE=FQ","FILING_STATUS=MR","Sort=A","Dates=H","DateFormat=P","Fill=—","Direction=H","UseDPDF=Y")</f>
        <v>3.2547999999999999</v>
      </c>
      <c r="E22" s="20">
        <f>_xll.BDH("ITCI US Equity","EV_TO_SH_OUT","FQ4 2019","FQ4 2019","Currency=USD","Period=FQ","BEST_FPERIOD_OVERRIDE=FQ","FILING_STATUS=MR","Sort=A","Dates=H","DateFormat=P","Fill=—","Direction=H","UseDPDF=Y")</f>
        <v>30.691299999999998</v>
      </c>
      <c r="F22" s="20">
        <f>_xll.BDH("ITCI US Equity","EV_TO_SH_OUT","FQ1 2020","FQ1 2020","Currency=USD","Period=FQ","BEST_FPERIOD_OVERRIDE=FQ","FILING_STATUS=MR","Sort=A","Dates=H","DateFormat=P","Fill=—","Direction=H","UseDPDF=Y")</f>
        <v>8.9346999999999994</v>
      </c>
      <c r="G22" s="20">
        <f>_xll.BDH("ITCI US Equity","EV_TO_SH_OUT","FQ2 2020","FQ2 2020","Currency=USD","Period=FQ","BEST_FPERIOD_OVERRIDE=FQ","FILING_STATUS=MR","Sort=A","Dates=H","DateFormat=P","Fill=—","Direction=H","UseDPDF=Y")</f>
        <v>19.940100000000001</v>
      </c>
      <c r="H22" s="20">
        <f>_xll.BDH("ITCI US Equity","EV_TO_SH_OUT","FQ3 2020","FQ3 2020","Currency=USD","Period=FQ","BEST_FPERIOD_OVERRIDE=FQ","FILING_STATUS=MR","Sort=A","Dates=H","DateFormat=P","Fill=—","Direction=H","UseDPDF=Y")</f>
        <v>17.0153</v>
      </c>
      <c r="I22" s="20">
        <f>_xll.BDH("ITCI US Equity","EV_TO_SH_OUT","FQ4 2020","FQ4 2020","Currency=USD","Period=FQ","BEST_FPERIOD_OVERRIDE=FQ","FILING_STATUS=MR","Sort=A","Dates=H","DateFormat=P","Fill=—","Direction=H","UseDPDF=Y")</f>
        <v>23.991399999999999</v>
      </c>
      <c r="J22" s="20">
        <f>_xll.BDH("ITCI US Equity","EV_TO_SH_OUT","FQ1 2021","FQ1 2021","Currency=USD","Period=FQ","BEST_FPERIOD_OVERRIDE=FQ","FILING_STATUS=MR","Sort=A","Dates=H","DateFormat=P","Fill=—","Direction=H","UseDPDF=Y")</f>
        <v>26.734999999999999</v>
      </c>
      <c r="K22" s="20">
        <f>_xll.BDH("ITCI US Equity","EV_TO_SH_OUT","FQ2 2021","FQ2 2021","Currency=USD","Period=FQ","BEST_FPERIOD_OVERRIDE=FQ","FILING_STATUS=MR","Sort=A","Dates=H","DateFormat=P","Fill=—","Direction=H","UseDPDF=Y")</f>
        <v>34.332999999999998</v>
      </c>
      <c r="L22" s="20">
        <f>_xll.BDH("ITCI US Equity","EV_TO_SH_OUT","FQ3 2021","FQ3 2021","Currency=USD","Period=FQ","BEST_FPERIOD_OVERRIDE=FQ","FILING_STATUS=MR","Sort=A","Dates=H","DateFormat=P","Fill=—","Direction=H","UseDPDF=Y")</f>
        <v>31.7394</v>
      </c>
      <c r="M22" s="20">
        <f>_xll.BDH("ITCI US Equity","EV_TO_SH_OUT","FQ4 2021","FQ4 2021","Currency=USD","Period=FQ","BEST_FPERIOD_OVERRIDE=FQ","FILING_STATUS=MR","Sort=A","Dates=H","DateFormat=P","Fill=—","Direction=H","UseDPDF=Y")</f>
        <v>47.614899999999999</v>
      </c>
      <c r="N22" s="20">
        <f>_xll.BDH("ITCI US Equity","EV_TO_SH_OUT","FQ1 2022","FQ1 2022","Currency=USD","Period=FQ","BEST_FPERIOD_OVERRIDE=FQ","FILING_STATUS=MR","Sort=A","Dates=H","DateFormat=P","Fill=—","Direction=H","UseDPDF=Y")</f>
        <v>53.240099999999998</v>
      </c>
      <c r="O22" s="20">
        <f>_xll.BDH("ITCI US Equity","EV_TO_SH_OUT","FQ2 2022","FQ2 2022","Currency=USD","Period=FQ","BEST_FPERIOD_OVERRIDE=FQ","FILING_STATUS=MR","Sort=A","Dates=H","DateFormat=P","Fill=—","Direction=H","UseDPDF=Y")</f>
        <v>50.1813</v>
      </c>
      <c r="P22" s="20">
        <f>_xll.BDH("ITCI US Equity","EV_TO_SH_OUT","FQ3 2022","FQ3 2022","Currency=USD","Period=FQ","BEST_FPERIOD_OVERRIDE=FQ","FILING_STATUS=MR","Sort=A","Dates=H","DateFormat=P","Fill=—","Direction=H","UseDPDF=Y")</f>
        <v>40.169699999999999</v>
      </c>
      <c r="Q22" s="20">
        <f>_xll.BDH("ITCI US Equity","EV_TO_SH_OUT","FQ4 2022","FQ4 2022","Currency=USD","Period=FQ","BEST_FPERIOD_OVERRIDE=FQ","FILING_STATUS=MR","Sort=A","Dates=H","DateFormat=P","Fill=—","Direction=H","UseDPDF=Y")</f>
        <v>46.889600000000002</v>
      </c>
      <c r="R22" s="20">
        <f>_xll.BDH("ITCI US Equity","EV_TO_SH_OUT","FQ1 2023","FQ1 2023","Currency=USD","Period=FQ","BEST_FPERIOD_OVERRIDE=FQ","FILING_STATUS=MR","Sort=A","Dates=H","DateFormat=P","Fill=—","Direction=H","UseDPDF=Y")</f>
        <v>48.713000000000001</v>
      </c>
      <c r="S22" s="20">
        <f>_xll.BDH("ITCI US Equity","EV_TO_SH_OUT","FQ2 2023","FQ2 2023","Currency=USD","Period=FQ","BEST_FPERIOD_OVERRIDE=FQ","FILING_STATUS=MR","Sort=A","Dates=H","DateFormat=P","Fill=—","Direction=H","UseDPDF=Y")</f>
        <v>58.169600000000003</v>
      </c>
      <c r="T22" s="20">
        <f>_xll.BDH("ITCI US Equity","EV_TO_SH_OUT","FQ3 2023","FQ3 2023","Currency=USD","Period=FQ","BEST_FPERIOD_OVERRIDE=FQ","FILING_STATUS=MR","Sort=A","Dates=H","DateFormat=P","Fill=—","Direction=H","UseDPDF=Y")</f>
        <v>47.148000000000003</v>
      </c>
      <c r="U22" s="20">
        <f>_xll.BDH("ITCI US Equity","EV_TO_SH_OUT","FQ4 2023","FQ4 2023","Currency=USD","Period=FQ","BEST_FPERIOD_OVERRIDE=FQ","FILING_STATUS=MR","Sort=A","Dates=H","DateFormat=P","Fill=—","Direction=H","UseDPDF=Y")</f>
        <v>66.629300000000001</v>
      </c>
      <c r="V22" s="20">
        <f>_xll.BDH("ITCI US Equity","EV_TO_SH_OUT","FQ1 2024","FQ1 2024","Currency=USD","Period=FQ","BEST_FPERIOD_OVERRIDE=FQ","FILING_STATUS=MR","Sort=A","Dates=H","DateFormat=P","Fill=—","Direction=H","UseDPDF=Y")</f>
        <v>64.488699999999994</v>
      </c>
      <c r="W22" s="20">
        <f>_xll.BDH("ITCI US Equity","EV_TO_SH_OUT","FQ2 2024","FQ2 2024","Currency=USD","Period=FQ","BEST_FPERIOD_OVERRIDE=FQ","FILING_STATUS=MR","Sort=A","Dates=H","DateFormat=P","Fill=—","Direction=H","UseDPDF=Y")</f>
        <v>58.9788</v>
      </c>
      <c r="X22" s="20">
        <f>_xll.BDH("ITCI US Equity","EV_TO_SH_OUT","FQ3 2024","FQ3 2024","Currency=USD","Period=FQ","BEST_FPERIOD_OVERRIDE=FQ","FILING_STATUS=MR","Sort=A","Dates=H","DateFormat=P","Fill=—","Direction=H","UseDPDF=Y")</f>
        <v>63.841099999999997</v>
      </c>
      <c r="Y22" s="20">
        <f>_xll.BDH("ITCI US Equity","EV_TO_SH_OUT","FQ4 2024","FQ4 2024","Currency=USD","Period=FQ","BEST_FPERIOD_OVERRIDE=FQ","FILING_STATUS=MR","Sort=A","Dates=H","DateFormat=P","Fill=—","Direction=H","UseDPDF=Y")</f>
        <v>74.257199999999997</v>
      </c>
      <c r="Z22" s="23">
        <v>74.2571525166192</v>
      </c>
      <c r="AA22" s="20"/>
    </row>
    <row r="23" spans="1:27" x14ac:dyDescent="0.25">
      <c r="A23" s="6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21"/>
      <c r="AA23" s="18"/>
    </row>
    <row r="24" spans="1:27" x14ac:dyDescent="0.25">
      <c r="A24" s="6" t="s">
        <v>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21"/>
      <c r="AA24" s="18"/>
    </row>
    <row r="25" spans="1:27" x14ac:dyDescent="0.25">
      <c r="A25" s="11" t="s">
        <v>187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7"/>
      <c r="AA25" s="24"/>
    </row>
    <row r="26" spans="1:27" x14ac:dyDescent="0.25">
      <c r="A26" s="10" t="s">
        <v>188</v>
      </c>
      <c r="B26" s="10" t="s">
        <v>189</v>
      </c>
      <c r="C26" s="12" t="s">
        <v>190</v>
      </c>
      <c r="D26" s="12" t="s">
        <v>190</v>
      </c>
      <c r="E26" s="12" t="s">
        <v>190</v>
      </c>
      <c r="F26" s="12" t="s">
        <v>190</v>
      </c>
      <c r="G26" s="12" t="s">
        <v>190</v>
      </c>
      <c r="H26" s="12" t="s">
        <v>190</v>
      </c>
      <c r="I26" s="12" t="s">
        <v>190</v>
      </c>
      <c r="J26" s="12" t="s">
        <v>190</v>
      </c>
      <c r="K26" s="12" t="s">
        <v>190</v>
      </c>
      <c r="L26" s="12" t="s">
        <v>190</v>
      </c>
      <c r="M26" s="12" t="s">
        <v>190</v>
      </c>
      <c r="N26" s="12" t="s">
        <v>190</v>
      </c>
      <c r="O26" s="12" t="s">
        <v>190</v>
      </c>
      <c r="P26" s="12" t="s">
        <v>190</v>
      </c>
      <c r="Q26" s="12" t="s">
        <v>190</v>
      </c>
      <c r="R26" s="12" t="s">
        <v>190</v>
      </c>
      <c r="S26" s="12" t="s">
        <v>190</v>
      </c>
      <c r="T26" s="12" t="s">
        <v>190</v>
      </c>
      <c r="U26" s="12" t="s">
        <v>190</v>
      </c>
      <c r="V26" s="12" t="s">
        <v>190</v>
      </c>
      <c r="W26" s="12" t="s">
        <v>190</v>
      </c>
      <c r="X26" s="12" t="s">
        <v>190</v>
      </c>
      <c r="Y26" s="12" t="s">
        <v>190</v>
      </c>
      <c r="Z26" s="15" t="s">
        <v>190</v>
      </c>
      <c r="AA26" s="12"/>
    </row>
    <row r="27" spans="1:27" x14ac:dyDescent="0.25">
      <c r="A27" s="10" t="s">
        <v>191</v>
      </c>
      <c r="B27" s="10" t="s">
        <v>192</v>
      </c>
      <c r="C27" s="13">
        <f>_xll.BDH("ITCI US Equity","TRAIL_12M_NET_SALES","FQ2 2019","FQ2 2019","Currency=USD","Period=FQ","BEST_FPERIOD_OVERRIDE=FQ","FILING_STATUS=MR","SCALING_FORMAT=MLN","FA_ADJUSTED=GAAP","Sort=A","Dates=H","DateFormat=P","Fill=—","Direction=H","UseDPDF=Y")</f>
        <v>0</v>
      </c>
      <c r="D27" s="13">
        <f>_xll.BDH("ITCI US Equity","TRAIL_12M_NET_SALES","FQ3 2019","FQ3 2019","Currency=USD","Period=FQ","BEST_FPERIOD_OVERRIDE=FQ","FILING_STATUS=MR","SCALING_FORMAT=MLN","FA_ADJUSTED=GAAP","Sort=A","Dates=H","DateFormat=P","Fill=—","Direction=H","UseDPDF=Y")</f>
        <v>0</v>
      </c>
      <c r="E27" s="13">
        <f>_xll.BDH("ITCI US Equity","TRAIL_12M_NET_SALES","FQ4 2019","FQ4 2019","Currency=USD","Period=FQ","BEST_FPERIOD_OVERRIDE=FQ","FILING_STATUS=MR","SCALING_FORMAT=MLN","FA_ADJUSTED=GAAP","Sort=A","Dates=H","DateFormat=P","Fill=—","Direction=H","UseDPDF=Y")</f>
        <v>6.0600000000000001E-2</v>
      </c>
      <c r="F27" s="13">
        <f>_xll.BDH("ITCI US Equity","TRAIL_12M_NET_SALES","FQ1 2020","FQ1 2020","Currency=USD","Period=FQ","BEST_FPERIOD_OVERRIDE=FQ","FILING_STATUS=MR","SCALING_FORMAT=MLN","FA_ADJUSTED=GAAP","Sort=A","Dates=H","DateFormat=P","Fill=—","Direction=H","UseDPDF=Y")</f>
        <v>1.1440999999999999</v>
      </c>
      <c r="G27" s="13">
        <f>_xll.BDH("ITCI US Equity","TRAIL_12M_NET_SALES","FQ2 2020","FQ2 2020","Currency=USD","Period=FQ","BEST_FPERIOD_OVERRIDE=FQ","FILING_STATUS=MR","SCALING_FORMAT=MLN","FA_ADJUSTED=GAAP","Sort=A","Dates=H","DateFormat=P","Fill=—","Direction=H","UseDPDF=Y")</f>
        <v>3.0507</v>
      </c>
      <c r="H27" s="13">
        <f>_xll.BDH("ITCI US Equity","TRAIL_12M_NET_SALES","FQ3 2020","FQ3 2020","Currency=USD","Period=FQ","BEST_FPERIOD_OVERRIDE=FQ","FILING_STATUS=MR","SCALING_FORMAT=MLN","FA_ADJUSTED=GAAP","Sort=A","Dates=H","DateFormat=P","Fill=—","Direction=H","UseDPDF=Y")</f>
        <v>10.4193</v>
      </c>
      <c r="I27" s="13">
        <f>_xll.BDH("ITCI US Equity","TRAIL_12M_NET_SALES","FQ4 2020","FQ4 2020","Currency=USD","Period=FQ","BEST_FPERIOD_OVERRIDE=FQ","FILING_STATUS=MR","SCALING_FORMAT=MLN","FA_ADJUSTED=GAAP","Sort=A","Dates=H","DateFormat=P","Fill=—","Direction=H","UseDPDF=Y")</f>
        <v>22.812999999999999</v>
      </c>
      <c r="J27" s="13">
        <f>_xll.BDH("ITCI US Equity","TRAIL_12M_NET_SALES","FQ1 2021","FQ1 2021","Currency=USD","Period=FQ","BEST_FPERIOD_OVERRIDE=FQ","FILING_STATUS=MR","SCALING_FORMAT=MLN","FA_ADJUSTED=GAAP","Sort=A","Dates=H","DateFormat=P","Fill=—","Direction=H","UseDPDF=Y")</f>
        <v>37.607799999999997</v>
      </c>
      <c r="K27" s="13">
        <f>_xll.BDH("ITCI US Equity","TRAIL_12M_NET_SALES","FQ2 2021","FQ2 2021","Currency=USD","Period=FQ","BEST_FPERIOD_OVERRIDE=FQ","FILING_STATUS=MR","SCALING_FORMAT=MLN","FA_ADJUSTED=GAAP","Sort=A","Dates=H","DateFormat=P","Fill=—","Direction=H","UseDPDF=Y")</f>
        <v>55.747799999999998</v>
      </c>
      <c r="L27" s="13">
        <f>_xll.BDH("ITCI US Equity","TRAIL_12M_NET_SALES","FQ3 2021","FQ3 2021","Currency=USD","Period=FQ","BEST_FPERIOD_OVERRIDE=FQ","FILING_STATUS=MR","SCALING_FORMAT=MLN","FA_ADJUSTED=GAAP","Sort=A","Dates=H","DateFormat=P","Fill=—","Direction=H","UseDPDF=Y")</f>
        <v>70.586399999999998</v>
      </c>
      <c r="M27" s="13">
        <f>_xll.BDH("ITCI US Equity","TRAIL_12M_NET_SALES","FQ4 2021","FQ4 2021","Currency=USD","Period=FQ","BEST_FPERIOD_OVERRIDE=FQ","FILING_STATUS=MR","SCALING_FORMAT=MLN","FA_ADJUSTED=GAAP","Sort=A","Dates=H","DateFormat=P","Fill=—","Direction=H","UseDPDF=Y")</f>
        <v>83.802999999999997</v>
      </c>
      <c r="N27" s="13">
        <f>_xll.BDH("ITCI US Equity","TRAIL_12M_NET_SALES","FQ1 2022","FQ1 2022","Currency=USD","Period=FQ","BEST_FPERIOD_OVERRIDE=FQ","FILING_STATUS=MR","SCALING_FORMAT=MLN","FA_ADJUSTED=GAAP","Sort=A","Dates=H","DateFormat=P","Fill=—","Direction=H","UseDPDF=Y")</f>
        <v>102.9207</v>
      </c>
      <c r="O27" s="13">
        <f>_xll.BDH("ITCI US Equity","TRAIL_12M_NET_SALES","FQ2 2022","FQ2 2022","Currency=USD","Period=FQ","BEST_FPERIOD_OVERRIDE=FQ","FILING_STATUS=MR","SCALING_FORMAT=MLN","FA_ADJUSTED=GAAP","Sort=A","Dates=H","DateFormat=P","Fill=—","Direction=H","UseDPDF=Y")</f>
        <v>138.45310000000001</v>
      </c>
      <c r="P27" s="13">
        <f>_xll.BDH("ITCI US Equity","TRAIL_12M_NET_SALES","FQ3 2022","FQ3 2022","Currency=USD","Period=FQ","BEST_FPERIOD_OVERRIDE=FQ","FILING_STATUS=MR","SCALING_FORMAT=MLN","FA_ADJUSTED=GAAP","Sort=A","Dates=H","DateFormat=P","Fill=—","Direction=H","UseDPDF=Y")</f>
        <v>188.11590000000001</v>
      </c>
      <c r="Q27" s="13">
        <f>_xll.BDH("ITCI US Equity","TRAIL_12M_NET_SALES","FQ4 2022","FQ4 2022","Currency=USD","Period=FQ","BEST_FPERIOD_OVERRIDE=FQ","FILING_STATUS=MR","SCALING_FORMAT=MLN","FA_ADJUSTED=GAAP","Sort=A","Dates=H","DateFormat=P","Fill=—","Direction=H","UseDPDF=Y")</f>
        <v>250.31399999999999</v>
      </c>
      <c r="R27" s="13">
        <f>_xll.BDH("ITCI US Equity","TRAIL_12M_NET_SALES","FQ1 2023","FQ1 2023","Currency=USD","Period=FQ","BEST_FPERIOD_OVERRIDE=FQ","FILING_STATUS=MR","SCALING_FORMAT=MLN","FA_ADJUSTED=GAAP","Sort=A","Dates=H","DateFormat=P","Fill=—","Direction=H","UseDPDF=Y")</f>
        <v>310.62400000000002</v>
      </c>
      <c r="S27" s="13">
        <f>_xll.BDH("ITCI US Equity","TRAIL_12M_NET_SALES","FQ2 2023","FQ2 2023","Currency=USD","Period=FQ","BEST_FPERIOD_OVERRIDE=FQ","FILING_STATUS=MR","SCALING_FORMAT=MLN","FA_ADJUSTED=GAAP","Sort=A","Dates=H","DateFormat=P","Fill=—","Direction=H","UseDPDF=Y")</f>
        <v>365.83699999999999</v>
      </c>
      <c r="T27" s="13">
        <f>_xll.BDH("ITCI US Equity","TRAIL_12M_NET_SALES","FQ3 2023","FQ3 2023","Currency=USD","Period=FQ","BEST_FPERIOD_OVERRIDE=FQ","FILING_STATUS=MR","SCALING_FORMAT=MLN","FA_ADJUSTED=GAAP","Sort=A","Dates=H","DateFormat=P","Fill=—","Direction=H","UseDPDF=Y")</f>
        <v>420.14</v>
      </c>
      <c r="U27" s="13">
        <f>_xll.BDH("ITCI US Equity","TRAIL_12M_NET_SALES","FQ4 2023","FQ4 2023","Currency=USD","Period=FQ","BEST_FPERIOD_OVERRIDE=FQ","FILING_STATUS=MR","SCALING_FORMAT=MLN","FA_ADJUSTED=GAAP","Sort=A","Dates=H","DateFormat=P","Fill=—","Direction=H","UseDPDF=Y")</f>
        <v>464.37</v>
      </c>
      <c r="V27" s="13">
        <f>_xll.BDH("ITCI US Equity","TRAIL_12M_NET_SALES","FQ1 2024","FQ1 2024","Currency=USD","Period=FQ","BEST_FPERIOD_OVERRIDE=FQ","FILING_STATUS=MR","SCALING_FORMAT=MLN","FA_ADJUSTED=GAAP","Sort=A","Dates=H","DateFormat=P","Fill=—","Direction=H","UseDPDF=Y")</f>
        <v>513.92999999999995</v>
      </c>
      <c r="W27" s="13">
        <f>_xll.BDH("ITCI US Equity","TRAIL_12M_NET_SALES","FQ2 2024","FQ2 2024","Currency=USD","Period=FQ","BEST_FPERIOD_OVERRIDE=FQ","FILING_STATUS=MR","SCALING_FORMAT=MLN","FA_ADJUSTED=GAAP","Sort=A","Dates=H","DateFormat=P","Fill=—","Direction=H","UseDPDF=Y")</f>
        <v>564.52599999999995</v>
      </c>
      <c r="X27" s="13">
        <f>_xll.BDH("ITCI US Equity","TRAIL_12M_NET_SALES","FQ3 2024","FQ3 2024","Currency=USD","Period=FQ","BEST_FPERIOD_OVERRIDE=FQ","FILING_STATUS=MR","SCALING_FORMAT=MLN","FA_ADJUSTED=GAAP","Sort=A","Dates=H","DateFormat=P","Fill=—","Direction=H","UseDPDF=Y")</f>
        <v>613.72799999999995</v>
      </c>
      <c r="Y27" s="13">
        <f>_xll.BDH("ITCI US Equity","TRAIL_12M_NET_SALES","FQ4 2024","FQ4 2024","Currency=USD","Period=FQ","BEST_FPERIOD_OVERRIDE=FQ","FILING_STATUS=MR","SCALING_FORMAT=MLN","FA_ADJUSTED=GAAP","Sort=A","Dates=H","DateFormat=P","Fill=—","Direction=H","UseDPDF=Y")</f>
        <v>680.85199999999998</v>
      </c>
      <c r="Z27" s="16">
        <v>680.85199999999998</v>
      </c>
      <c r="AA27" s="13">
        <v>923.75</v>
      </c>
    </row>
    <row r="28" spans="1:27" x14ac:dyDescent="0.25">
      <c r="A28" s="10" t="s">
        <v>78</v>
      </c>
      <c r="B28" s="10" t="s">
        <v>193</v>
      </c>
      <c r="C28" s="13">
        <f>_xll.BDH("ITCI US Equity","TRAIL_12M_EBITDA","FQ2 2019","FQ2 2019","Currency=USD","Period=FQ","BEST_FPERIOD_OVERRIDE=FQ","FILING_STATUS=MR","SCALING_FORMAT=MLN","FA_ADJUSTED=GAAP","Sort=A","Dates=H","DateFormat=P","Fill=—","Direction=H","UseDPDF=Y")</f>
        <v>-159.69839999999999</v>
      </c>
      <c r="D28" s="13">
        <f>_xll.BDH("ITCI US Equity","TRAIL_12M_EBITDA","FQ3 2019","FQ3 2019","Currency=USD","Period=FQ","BEST_FPERIOD_OVERRIDE=FQ","FILING_STATUS=MR","SCALING_FORMAT=MLN","FA_ADJUSTED=GAAP","Sort=A","Dates=H","DateFormat=P","Fill=—","Direction=H","UseDPDF=Y")</f>
        <v>-151.8312</v>
      </c>
      <c r="E28" s="13">
        <f>_xll.BDH("ITCI US Equity","TRAIL_12M_EBITDA","FQ4 2019","FQ4 2019","Currency=USD","Period=FQ","BEST_FPERIOD_OVERRIDE=FQ","FILING_STATUS=MR","SCALING_FORMAT=MLN","FA_ADJUSTED=GAAP","Sort=A","Dates=H","DateFormat=P","Fill=—","Direction=H","UseDPDF=Y")</f>
        <v>-150.13069999999999</v>
      </c>
      <c r="F28" s="13">
        <f>_xll.BDH("ITCI US Equity","TRAIL_12M_EBITDA","FQ1 2020","FQ1 2020","Currency=USD","Period=FQ","BEST_FPERIOD_OVERRIDE=FQ","FILING_STATUS=MR","SCALING_FORMAT=MLN","FA_ADJUSTED=GAAP","Sort=A","Dates=H","DateFormat=P","Fill=—","Direction=H","UseDPDF=Y")</f>
        <v>-162.48500000000001</v>
      </c>
      <c r="G28" s="13">
        <f>_xll.BDH("ITCI US Equity","TRAIL_12M_EBITDA","FQ2 2020","FQ2 2020","Currency=USD","Period=FQ","BEST_FPERIOD_OVERRIDE=FQ","FILING_STATUS=MR","SCALING_FORMAT=MLN","FA_ADJUSTED=GAAP","Sort=A","Dates=H","DateFormat=P","Fill=—","Direction=H","UseDPDF=Y")</f>
        <v>-188.31489999999999</v>
      </c>
      <c r="H28" s="13">
        <f>_xll.BDH("ITCI US Equity","TRAIL_12M_EBITDA","FQ3 2020","FQ3 2020","Currency=USD","Period=FQ","BEST_FPERIOD_OVERRIDE=FQ","FILING_STATUS=MR","SCALING_FORMAT=MLN","FA_ADJUSTED=GAAP","Sort=A","Dates=H","DateFormat=P","Fill=—","Direction=H","UseDPDF=Y")</f>
        <v>-207.90110000000001</v>
      </c>
      <c r="I28" s="13">
        <f>_xll.BDH("ITCI US Equity","TRAIL_12M_EBITDA","FQ4 2020","FQ4 2020","Currency=USD","Period=FQ","BEST_FPERIOD_OVERRIDE=FQ","FILING_STATUS=MR","SCALING_FORMAT=MLN","FA_ADJUSTED=GAAP","Sort=A","Dates=H","DateFormat=P","Fill=—","Direction=H","UseDPDF=Y")</f>
        <v>-227.89840000000001</v>
      </c>
      <c r="J28" s="13">
        <f>_xll.BDH("ITCI US Equity","TRAIL_12M_EBITDA","FQ1 2021","FQ1 2021","Currency=USD","Period=FQ","BEST_FPERIOD_OVERRIDE=FQ","FILING_STATUS=MR","SCALING_FORMAT=MLN","FA_ADJUSTED=GAAP","Sort=A","Dates=H","DateFormat=P","Fill=—","Direction=H","UseDPDF=Y")</f>
        <v>-232.07140000000001</v>
      </c>
      <c r="K28" s="13">
        <f>_xll.BDH("ITCI US Equity","TRAIL_12M_EBITDA","FQ2 2021","FQ2 2021","Currency=USD","Period=FQ","BEST_FPERIOD_OVERRIDE=FQ","FILING_STATUS=MR","SCALING_FORMAT=MLN","FA_ADJUSTED=GAAP","Sort=A","Dates=H","DateFormat=P","Fill=—","Direction=H","UseDPDF=Y")</f>
        <v>-236.34690000000001</v>
      </c>
      <c r="L28" s="13">
        <f>_xll.BDH("ITCI US Equity","TRAIL_12M_EBITDA","FQ3 2021","FQ3 2021","Currency=USD","Period=FQ","BEST_FPERIOD_OVERRIDE=FQ","FILING_STATUS=MR","SCALING_FORMAT=MLN","FA_ADJUSTED=GAAP","Sort=A","Dates=H","DateFormat=P","Fill=—","Direction=H","UseDPDF=Y")</f>
        <v>-257.72129999999999</v>
      </c>
      <c r="M28" s="13">
        <f>_xll.BDH("ITCI US Equity","TRAIL_12M_EBITDA","FQ4 2021","FQ4 2021","Currency=USD","Period=FQ","BEST_FPERIOD_OVERRIDE=FQ","FILING_STATUS=MR","SCALING_FORMAT=MLN","FA_ADJUSTED=GAAP","Sort=A","Dates=H","DateFormat=P","Fill=—","Direction=H","UseDPDF=Y")</f>
        <v>-281.80590000000001</v>
      </c>
      <c r="N28" s="13">
        <f>_xll.BDH("ITCI US Equity","TRAIL_12M_EBITDA","FQ1 2022","FQ1 2022","Currency=USD","Period=FQ","BEST_FPERIOD_OVERRIDE=FQ","FILING_STATUS=MR","SCALING_FORMAT=MLN","FA_ADJUSTED=GAAP","Sort=A","Dates=H","DateFormat=P","Fill=—","Direction=H","UseDPDF=Y")</f>
        <v>-302.0052</v>
      </c>
      <c r="O28" s="13">
        <f>_xll.BDH("ITCI US Equity","TRAIL_12M_EBITDA","FQ2 2022","FQ2 2022","Currency=USD","Period=FQ","BEST_FPERIOD_OVERRIDE=FQ","FILING_STATUS=MR","SCALING_FORMAT=MLN","FA_ADJUSTED=GAAP","Sort=A","Dates=H","DateFormat=P","Fill=—","Direction=H","UseDPDF=Y")</f>
        <v>-321.54070000000002</v>
      </c>
      <c r="P28" s="13">
        <f>_xll.BDH("ITCI US Equity","TRAIL_12M_EBITDA","FQ3 2022","FQ3 2022","Currency=USD","Period=FQ","BEST_FPERIOD_OVERRIDE=FQ","FILING_STATUS=MR","SCALING_FORMAT=MLN","FA_ADJUSTED=GAAP","Sort=A","Dates=H","DateFormat=P","Fill=—","Direction=H","UseDPDF=Y")</f>
        <v>-300.60980000000001</v>
      </c>
      <c r="Q28" s="13">
        <f>_xll.BDH("ITCI US Equity","TRAIL_12M_EBITDA","FQ4 2022","FQ4 2022","Currency=USD","Period=FQ","BEST_FPERIOD_OVERRIDE=FQ","FILING_STATUS=MR","SCALING_FORMAT=MLN","FA_ADJUSTED=GAAP","Sort=A","Dates=H","DateFormat=P","Fill=—","Direction=H","UseDPDF=Y")</f>
        <v>-255.76599999999999</v>
      </c>
      <c r="R28" s="13">
        <f>_xll.BDH("ITCI US Equity","TRAIL_12M_EBITDA","FQ1 2023","FQ1 2023","Currency=USD","Period=FQ","BEST_FPERIOD_OVERRIDE=FQ","FILING_STATUS=MR","SCALING_FORMAT=MLN","FA_ADJUSTED=GAAP","Sort=A","Dates=H","DateFormat=P","Fill=—","Direction=H","UseDPDF=Y")</f>
        <v>-230.44800000000001</v>
      </c>
      <c r="S28" s="13">
        <f>_xll.BDH("ITCI US Equity","TRAIL_12M_EBITDA","FQ2 2023","FQ2 2023","Currency=USD","Period=FQ","BEST_FPERIOD_OVERRIDE=FQ","FILING_STATUS=MR","SCALING_FORMAT=MLN","FA_ADJUSTED=GAAP","Sort=A","Dates=H","DateFormat=P","Fill=—","Direction=H","UseDPDF=Y")</f>
        <v>-189.75299999999999</v>
      </c>
      <c r="T28" s="13">
        <f>_xll.BDH("ITCI US Equity","TRAIL_12M_EBITDA","FQ3 2023","FQ3 2023","Currency=USD","Period=FQ","BEST_FPERIOD_OVERRIDE=FQ","FILING_STATUS=MR","SCALING_FORMAT=MLN","FA_ADJUSTED=GAAP","Sort=A","Dates=H","DateFormat=P","Fill=—","Direction=H","UseDPDF=Y")</f>
        <v>-162.95400000000001</v>
      </c>
      <c r="U28" s="13">
        <f>_xll.BDH("ITCI US Equity","TRAIL_12M_EBITDA","FQ4 2023","FQ4 2023","Currency=USD","Period=FQ","BEST_FPERIOD_OVERRIDE=FQ","FILING_STATUS=MR","SCALING_FORMAT=MLN","FA_ADJUSTED=GAAP","Sort=A","Dates=H","DateFormat=P","Fill=—","Direction=H","UseDPDF=Y")</f>
        <v>-149.16499999999999</v>
      </c>
      <c r="V28" s="13">
        <f>_xll.BDH("ITCI US Equity","TRAIL_12M_EBITDA","FQ1 2024","FQ1 2024","Currency=USD","Period=FQ","BEST_FPERIOD_OVERRIDE=FQ","FILING_STATUS=MR","SCALING_FORMAT=MLN","FA_ADJUSTED=GAAP","Sort=A","Dates=H","DateFormat=P","Fill=—","Direction=H","UseDPDF=Y")</f>
        <v>-121.871</v>
      </c>
      <c r="W28" s="13">
        <f>_xll.BDH("ITCI US Equity","TRAIL_12M_EBITDA","FQ2 2024","FQ2 2024","Currency=USD","Period=FQ","BEST_FPERIOD_OVERRIDE=FQ","FILING_STATUS=MR","SCALING_FORMAT=MLN","FA_ADJUSTED=GAAP","Sort=A","Dates=H","DateFormat=P","Fill=—","Direction=H","UseDPDF=Y")</f>
        <v>-101.376</v>
      </c>
      <c r="X28" s="13">
        <f>_xll.BDH("ITCI US Equity","TRAIL_12M_EBITDA","FQ3 2024","FQ3 2024","Currency=USD","Period=FQ","BEST_FPERIOD_OVERRIDE=FQ","FILING_STATUS=MR","SCALING_FORMAT=MLN","FA_ADJUSTED=GAAP","Sort=A","Dates=H","DateFormat=P","Fill=—","Direction=H","UseDPDF=Y")</f>
        <v>-110.374</v>
      </c>
      <c r="Y28" s="13">
        <f>_xll.BDH("ITCI US Equity","TRAIL_12M_EBITDA","FQ4 2024","FQ4 2024","Currency=USD","Period=FQ","BEST_FPERIOD_OVERRIDE=FQ","FILING_STATUS=MR","SCALING_FORMAT=MLN","FA_ADJUSTED=GAAP","Sort=A","Dates=H","DateFormat=P","Fill=—","Direction=H","UseDPDF=Y")</f>
        <v>-111.08</v>
      </c>
      <c r="Z28" s="16">
        <v>-111.08</v>
      </c>
      <c r="AA28" s="13">
        <v>-12.77</v>
      </c>
    </row>
    <row r="29" spans="1:27" x14ac:dyDescent="0.25">
      <c r="A29" s="10" t="s">
        <v>141</v>
      </c>
      <c r="B29" s="10" t="s">
        <v>194</v>
      </c>
      <c r="C29" s="13">
        <f>_xll.BDH("ITCI US Equity","TRAIL_12M_OPER_INC","FQ2 2019","FQ2 2019","Currency=USD","Period=FQ","BEST_FPERIOD_OVERRIDE=FQ","FILING_STATUS=MR","SCALING_FORMAT=MLN","FA_ADJUSTED=GAAP","Sort=A","Dates=H","DateFormat=P","Fill=—","Direction=H","UseDPDF=Y")</f>
        <v>-161.88120000000001</v>
      </c>
      <c r="D29" s="13">
        <f>_xll.BDH("ITCI US Equity","TRAIL_12M_OPER_INC","FQ3 2019","FQ3 2019","Currency=USD","Period=FQ","BEST_FPERIOD_OVERRIDE=FQ","FILING_STATUS=MR","SCALING_FORMAT=MLN","FA_ADJUSTED=GAAP","Sort=A","Dates=H","DateFormat=P","Fill=—","Direction=H","UseDPDF=Y")</f>
        <v>-154.86609999999999</v>
      </c>
      <c r="E29" s="13">
        <f>_xll.BDH("ITCI US Equity","TRAIL_12M_OPER_INC","FQ4 2019","FQ4 2019","Currency=USD","Period=FQ","BEST_FPERIOD_OVERRIDE=FQ","FILING_STATUS=MR","SCALING_FORMAT=MLN","FA_ADJUSTED=GAAP","Sort=A","Dates=H","DateFormat=P","Fill=—","Direction=H","UseDPDF=Y")</f>
        <v>-154.01179999999999</v>
      </c>
      <c r="F29" s="13">
        <f>_xll.BDH("ITCI US Equity","TRAIL_12M_OPER_INC","FQ1 2020","FQ1 2020","Currency=USD","Period=FQ","BEST_FPERIOD_OVERRIDE=FQ","FILING_STATUS=MR","SCALING_FORMAT=MLN","FA_ADJUSTED=GAAP","Sort=A","Dates=H","DateFormat=P","Fill=—","Direction=H","UseDPDF=Y")</f>
        <v>-166.4015</v>
      </c>
      <c r="G29" s="13">
        <f>_xll.BDH("ITCI US Equity","TRAIL_12M_OPER_INC","FQ2 2020","FQ2 2020","Currency=USD","Period=FQ","BEST_FPERIOD_OVERRIDE=FQ","FILING_STATUS=MR","SCALING_FORMAT=MLN","FA_ADJUSTED=GAAP","Sort=A","Dates=H","DateFormat=P","Fill=—","Direction=H","UseDPDF=Y")</f>
        <v>-192.1027</v>
      </c>
      <c r="H29" s="13">
        <f>_xll.BDH("ITCI US Equity","TRAIL_12M_OPER_INC","FQ3 2020","FQ3 2020","Currency=USD","Period=FQ","BEST_FPERIOD_OVERRIDE=FQ","FILING_STATUS=MR","SCALING_FORMAT=MLN","FA_ADJUSTED=GAAP","Sort=A","Dates=H","DateFormat=P","Fill=—","Direction=H","UseDPDF=Y")</f>
        <v>-211.66300000000001</v>
      </c>
      <c r="I29" s="13">
        <f>_xll.BDH("ITCI US Equity","TRAIL_12M_OPER_INC","FQ4 2020","FQ4 2020","Currency=USD","Period=FQ","BEST_FPERIOD_OVERRIDE=FQ","FILING_STATUS=MR","SCALING_FORMAT=MLN","FA_ADJUSTED=GAAP","Sort=A","Dates=H","DateFormat=P","Fill=—","Direction=H","UseDPDF=Y")</f>
        <v>-231.2276</v>
      </c>
      <c r="J29" s="13">
        <f>_xll.BDH("ITCI US Equity","TRAIL_12M_OPER_INC","FQ1 2021","FQ1 2021","Currency=USD","Period=FQ","BEST_FPERIOD_OVERRIDE=FQ","FILING_STATUS=MR","SCALING_FORMAT=MLN","FA_ADJUSTED=GAAP","Sort=A","Dates=H","DateFormat=P","Fill=—","Direction=H","UseDPDF=Y")</f>
        <v>-235.36080000000001</v>
      </c>
      <c r="K29" s="13">
        <f>_xll.BDH("ITCI US Equity","TRAIL_12M_OPER_INC","FQ2 2021","FQ2 2021","Currency=USD","Period=FQ","BEST_FPERIOD_OVERRIDE=FQ","FILING_STATUS=MR","SCALING_FORMAT=MLN","FA_ADJUSTED=GAAP","Sort=A","Dates=H","DateFormat=P","Fill=—","Direction=H","UseDPDF=Y")</f>
        <v>-239.62950000000001</v>
      </c>
      <c r="L29" s="13">
        <f>_xll.BDH("ITCI US Equity","TRAIL_12M_OPER_INC","FQ3 2021","FQ3 2021","Currency=USD","Period=FQ","BEST_FPERIOD_OVERRIDE=FQ","FILING_STATUS=MR","SCALING_FORMAT=MLN","FA_ADJUSTED=GAAP","Sort=A","Dates=H","DateFormat=P","Fill=—","Direction=H","UseDPDF=Y")</f>
        <v>-261.01690000000002</v>
      </c>
      <c r="M29" s="13">
        <f>_xll.BDH("ITCI US Equity","TRAIL_12M_OPER_INC","FQ4 2021","FQ4 2021","Currency=USD","Period=FQ","BEST_FPERIOD_OVERRIDE=FQ","FILING_STATUS=MR","SCALING_FORMAT=MLN","FA_ADJUSTED=GAAP","Sort=A","Dates=H","DateFormat=P","Fill=—","Direction=H","UseDPDF=Y")</f>
        <v>-285.68810000000002</v>
      </c>
      <c r="N29" s="13">
        <f>_xll.BDH("ITCI US Equity","TRAIL_12M_OPER_INC","FQ1 2022","FQ1 2022","Currency=USD","Period=FQ","BEST_FPERIOD_OVERRIDE=FQ","FILING_STATUS=MR","SCALING_FORMAT=MLN","FA_ADJUSTED=GAAP","Sort=A","Dates=H","DateFormat=P","Fill=—","Direction=H","UseDPDF=Y")</f>
        <v>-305.13139999999999</v>
      </c>
      <c r="O29" s="13">
        <f>_xll.BDH("ITCI US Equity","TRAIL_12M_OPER_INC","FQ2 2022","FQ2 2022","Currency=USD","Period=FQ","BEST_FPERIOD_OVERRIDE=FQ","FILING_STATUS=MR","SCALING_FORMAT=MLN","FA_ADJUSTED=GAAP","Sort=A","Dates=H","DateFormat=P","Fill=—","Direction=H","UseDPDF=Y")</f>
        <v>-323.91340000000002</v>
      </c>
      <c r="P29" s="13">
        <f>_xll.BDH("ITCI US Equity","TRAIL_12M_OPER_INC","FQ3 2022","FQ3 2022","Currency=USD","Period=FQ","BEST_FPERIOD_OVERRIDE=FQ","FILING_STATUS=MR","SCALING_FORMAT=MLN","FA_ADJUSTED=GAAP","Sort=A","Dates=H","DateFormat=P","Fill=—","Direction=H","UseDPDF=Y")</f>
        <v>-302.21859999999998</v>
      </c>
      <c r="Q29" s="13">
        <f>_xll.BDH("ITCI US Equity","TRAIL_12M_OPER_INC","FQ4 2022","FQ4 2022","Currency=USD","Period=FQ","BEST_FPERIOD_OVERRIDE=FQ","FILING_STATUS=MR","SCALING_FORMAT=MLN","FA_ADJUSTED=GAAP","Sort=A","Dates=H","DateFormat=P","Fill=—","Direction=H","UseDPDF=Y")</f>
        <v>-263.62599999999998</v>
      </c>
      <c r="R29" s="13">
        <f>_xll.BDH("ITCI US Equity","TRAIL_12M_OPER_INC","FQ1 2023","FQ1 2023","Currency=USD","Period=FQ","BEST_FPERIOD_OVERRIDE=FQ","FILING_STATUS=MR","SCALING_FORMAT=MLN","FA_ADJUSTED=GAAP","Sort=A","Dates=H","DateFormat=P","Fill=—","Direction=H","UseDPDF=Y")</f>
        <v>-239.35599999999999</v>
      </c>
      <c r="S29" s="13">
        <f>_xll.BDH("ITCI US Equity","TRAIL_12M_OPER_INC","FQ2 2023","FQ2 2023","Currency=USD","Period=FQ","BEST_FPERIOD_OVERRIDE=FQ","FILING_STATUS=MR","SCALING_FORMAT=MLN","FA_ADJUSTED=GAAP","Sort=A","Dates=H","DateFormat=P","Fill=—","Direction=H","UseDPDF=Y")</f>
        <v>-198.61199999999999</v>
      </c>
      <c r="T29" s="13">
        <f>_xll.BDH("ITCI US Equity","TRAIL_12M_OPER_INC","FQ3 2023","FQ3 2023","Currency=USD","Period=FQ","BEST_FPERIOD_OVERRIDE=FQ","FILING_STATUS=MR","SCALING_FORMAT=MLN","FA_ADJUSTED=GAAP","Sort=A","Dates=H","DateFormat=P","Fill=—","Direction=H","UseDPDF=Y")</f>
        <v>-172.696</v>
      </c>
      <c r="U29" s="13">
        <f>_xll.BDH("ITCI US Equity","TRAIL_12M_OPER_INC","FQ4 2023","FQ4 2023","Currency=USD","Period=FQ","BEST_FPERIOD_OVERRIDE=FQ","FILING_STATUS=MR","SCALING_FORMAT=MLN","FA_ADJUSTED=GAAP","Sort=A","Dates=H","DateFormat=P","Fill=—","Direction=H","UseDPDF=Y")</f>
        <v>-159.381</v>
      </c>
      <c r="V29" s="13">
        <f>_xll.BDH("ITCI US Equity","TRAIL_12M_OPER_INC","FQ1 2024","FQ1 2024","Currency=USD","Period=FQ","BEST_FPERIOD_OVERRIDE=FQ","FILING_STATUS=MR","SCALING_FORMAT=MLN","FA_ADJUSTED=GAAP","Sort=A","Dates=H","DateFormat=P","Fill=—","Direction=H","UseDPDF=Y")</f>
        <v>-131.941</v>
      </c>
      <c r="W29" s="13">
        <f>_xll.BDH("ITCI US Equity","TRAIL_12M_OPER_INC","FQ2 2024","FQ2 2024","Currency=USD","Period=FQ","BEST_FPERIOD_OVERRIDE=FQ","FILING_STATUS=MR","SCALING_FORMAT=MLN","FA_ADJUSTED=GAAP","Sort=A","Dates=H","DateFormat=P","Fill=—","Direction=H","UseDPDF=Y")</f>
        <v>-112.485</v>
      </c>
      <c r="X29" s="13">
        <f>_xll.BDH("ITCI US Equity","TRAIL_12M_OPER_INC","FQ3 2024","FQ3 2024","Currency=USD","Period=FQ","BEST_FPERIOD_OVERRIDE=FQ","FILING_STATUS=MR","SCALING_FORMAT=MLN","FA_ADJUSTED=GAAP","Sort=A","Dates=H","DateFormat=P","Fill=—","Direction=H","UseDPDF=Y")</f>
        <v>-121.621</v>
      </c>
      <c r="Y29" s="13">
        <f>_xll.BDH("ITCI US Equity","TRAIL_12M_OPER_INC","FQ4 2024","FQ4 2024","Currency=USD","Period=FQ","BEST_FPERIOD_OVERRIDE=FQ","FILING_STATUS=MR","SCALING_FORMAT=MLN","FA_ADJUSTED=GAAP","Sort=A","Dates=H","DateFormat=P","Fill=—","Direction=H","UseDPDF=Y")</f>
        <v>-116.721</v>
      </c>
      <c r="Z29" s="16">
        <v>-116.721</v>
      </c>
      <c r="AA29" s="13">
        <v>-33.884</v>
      </c>
    </row>
    <row r="30" spans="1:27" x14ac:dyDescent="0.25">
      <c r="A30" s="7" t="s">
        <v>90</v>
      </c>
      <c r="B30" s="7"/>
      <c r="C30" s="7" t="s">
        <v>5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41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195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163</v>
      </c>
      <c r="Z4" s="4" t="s">
        <v>31</v>
      </c>
      <c r="AA4" s="4" t="s">
        <v>32</v>
      </c>
    </row>
    <row r="5" spans="1:27" x14ac:dyDescent="0.25">
      <c r="A5" s="9" t="s">
        <v>33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164</v>
      </c>
      <c r="Z5" s="5" t="s">
        <v>57</v>
      </c>
      <c r="AA5" s="5" t="s">
        <v>58</v>
      </c>
    </row>
    <row r="6" spans="1:27" x14ac:dyDescent="0.25">
      <c r="A6" s="6" t="s">
        <v>196</v>
      </c>
      <c r="B6" s="6" t="s">
        <v>197</v>
      </c>
      <c r="C6" s="20" t="str">
        <f>_xll.BDH("ITCI US Equity","PE_RATIO","FQ3 2019","FQ3 2019","Currency=USD","Period=FQ","BEST_FPERIOD_OVERRIDE=FQ","FILING_STATUS=MR","Sort=A","Dates=H","DateFormat=P","Fill=—","Direction=H","UseDPDF=Y")</f>
        <v>—</v>
      </c>
      <c r="D6" s="20" t="str">
        <f>_xll.BDH("ITCI US Equity","PE_RATIO","FQ4 2019","FQ4 2019","Currency=USD","Period=FQ","BEST_FPERIOD_OVERRIDE=FQ","FILING_STATUS=MR","Sort=A","Dates=H","DateFormat=P","Fill=—","Direction=H","UseDPDF=Y")</f>
        <v>—</v>
      </c>
      <c r="E6" s="20" t="str">
        <f>_xll.BDH("ITCI US Equity","PE_RATIO","FQ1 2020","FQ1 2020","Currency=USD","Period=FQ","BEST_FPERIOD_OVERRIDE=FQ","FILING_STATUS=MR","Sort=A","Dates=H","DateFormat=P","Fill=—","Direction=H","UseDPDF=Y")</f>
        <v>—</v>
      </c>
      <c r="F6" s="20" t="str">
        <f>_xll.BDH("ITCI US Equity","PE_RATIO","FQ2 2020","FQ2 2020","Currency=USD","Period=FQ","BEST_FPERIOD_OVERRIDE=FQ","FILING_STATUS=MR","Sort=A","Dates=H","DateFormat=P","Fill=—","Direction=H","UseDPDF=Y")</f>
        <v>—</v>
      </c>
      <c r="G6" s="20" t="str">
        <f>_xll.BDH("ITCI US Equity","PE_RATIO","FQ3 2020","FQ3 2020","Currency=USD","Period=FQ","BEST_FPERIOD_OVERRIDE=FQ","FILING_STATUS=MR","Sort=A","Dates=H","DateFormat=P","Fill=—","Direction=H","UseDPDF=Y")</f>
        <v>—</v>
      </c>
      <c r="H6" s="20" t="str">
        <f>_xll.BDH("ITCI US Equity","PE_RATIO","FQ4 2020","FQ4 2020","Currency=USD","Period=FQ","BEST_FPERIOD_OVERRIDE=FQ","FILING_STATUS=MR","Sort=A","Dates=H","DateFormat=P","Fill=—","Direction=H","UseDPDF=Y")</f>
        <v>—</v>
      </c>
      <c r="I6" s="20" t="str">
        <f>_xll.BDH("ITCI US Equity","PE_RATIO","FQ1 2021","FQ1 2021","Currency=USD","Period=FQ","BEST_FPERIOD_OVERRIDE=FQ","FILING_STATUS=MR","Sort=A","Dates=H","DateFormat=P","Fill=—","Direction=H","UseDPDF=Y")</f>
        <v>—</v>
      </c>
      <c r="J6" s="20" t="str">
        <f>_xll.BDH("ITCI US Equity","PE_RATIO","FQ2 2021","FQ2 2021","Currency=USD","Period=FQ","BEST_FPERIOD_OVERRIDE=FQ","FILING_STATUS=MR","Sort=A","Dates=H","DateFormat=P","Fill=—","Direction=H","UseDPDF=Y")</f>
        <v>—</v>
      </c>
      <c r="K6" s="20" t="str">
        <f>_xll.BDH("ITCI US Equity","PE_RATIO","FQ3 2021","FQ3 2021","Currency=USD","Period=FQ","BEST_FPERIOD_OVERRIDE=FQ","FILING_STATUS=MR","Sort=A","Dates=H","DateFormat=P","Fill=—","Direction=H","UseDPDF=Y")</f>
        <v>—</v>
      </c>
      <c r="L6" s="20" t="str">
        <f>_xll.BDH("ITCI US Equity","PE_RATIO","FQ4 2021","FQ4 2021","Currency=USD","Period=FQ","BEST_FPERIOD_OVERRIDE=FQ","FILING_STATUS=MR","Sort=A","Dates=H","DateFormat=P","Fill=—","Direction=H","UseDPDF=Y")</f>
        <v>—</v>
      </c>
      <c r="M6" s="20" t="str">
        <f>_xll.BDH("ITCI US Equity","PE_RATIO","FQ1 2022","FQ1 2022","Currency=USD","Period=FQ","BEST_FPERIOD_OVERRIDE=FQ","FILING_STATUS=MR","Sort=A","Dates=H","DateFormat=P","Fill=—","Direction=H","UseDPDF=Y")</f>
        <v>—</v>
      </c>
      <c r="N6" s="20" t="str">
        <f>_xll.BDH("ITCI US Equity","PE_RATIO","FQ2 2022","FQ2 2022","Currency=USD","Period=FQ","BEST_FPERIOD_OVERRIDE=FQ","FILING_STATUS=MR","Sort=A","Dates=H","DateFormat=P","Fill=—","Direction=H","UseDPDF=Y")</f>
        <v>—</v>
      </c>
      <c r="O6" s="20" t="str">
        <f>_xll.BDH("ITCI US Equity","PE_RATIO","FQ3 2022","FQ3 2022","Currency=USD","Period=FQ","BEST_FPERIOD_OVERRIDE=FQ","FILING_STATUS=MR","Sort=A","Dates=H","DateFormat=P","Fill=—","Direction=H","UseDPDF=Y")</f>
        <v>—</v>
      </c>
      <c r="P6" s="20" t="str">
        <f>_xll.BDH("ITCI US Equity","PE_RATIO","FQ4 2022","FQ4 2022","Currency=USD","Period=FQ","BEST_FPERIOD_OVERRIDE=FQ","FILING_STATUS=MR","Sort=A","Dates=H","DateFormat=P","Fill=—","Direction=H","UseDPDF=Y")</f>
        <v>—</v>
      </c>
      <c r="Q6" s="20" t="str">
        <f>_xll.BDH("ITCI US Equity","PE_RATIO","FQ1 2023","FQ1 2023","Currency=USD","Period=FQ","BEST_FPERIOD_OVERRIDE=FQ","FILING_STATUS=MR","Sort=A","Dates=H","DateFormat=P","Fill=—","Direction=H","UseDPDF=Y")</f>
        <v>—</v>
      </c>
      <c r="R6" s="20" t="str">
        <f>_xll.BDH("ITCI US Equity","PE_RATIO","FQ2 2023","FQ2 2023","Currency=USD","Period=FQ","BEST_FPERIOD_OVERRIDE=FQ","FILING_STATUS=MR","Sort=A","Dates=H","DateFormat=P","Fill=—","Direction=H","UseDPDF=Y")</f>
        <v>—</v>
      </c>
      <c r="S6" s="20" t="str">
        <f>_xll.BDH("ITCI US Equity","PE_RATIO","FQ3 2023","FQ3 2023","Currency=USD","Period=FQ","BEST_FPERIOD_OVERRIDE=FQ","FILING_STATUS=MR","Sort=A","Dates=H","DateFormat=P","Fill=—","Direction=H","UseDPDF=Y")</f>
        <v>—</v>
      </c>
      <c r="T6" s="20" t="str">
        <f>_xll.BDH("ITCI US Equity","PE_RATIO","FQ4 2023","FQ4 2023","Currency=USD","Period=FQ","BEST_FPERIOD_OVERRIDE=FQ","FILING_STATUS=MR","Sort=A","Dates=H","DateFormat=P","Fill=—","Direction=H","UseDPDF=Y")</f>
        <v>—</v>
      </c>
      <c r="U6" s="20" t="str">
        <f>_xll.BDH("ITCI US Equity","PE_RATIO","FQ1 2024","FQ1 2024","Currency=USD","Period=FQ","BEST_FPERIOD_OVERRIDE=FQ","FILING_STATUS=MR","Sort=A","Dates=H","DateFormat=P","Fill=—","Direction=H","UseDPDF=Y")</f>
        <v>—</v>
      </c>
      <c r="V6" s="20" t="str">
        <f>_xll.BDH("ITCI US Equity","PE_RATIO","FQ2 2024","FQ2 2024","Currency=USD","Period=FQ","BEST_FPERIOD_OVERRIDE=FQ","FILING_STATUS=MR","Sort=A","Dates=H","DateFormat=P","Fill=—","Direction=H","UseDPDF=Y")</f>
        <v>—</v>
      </c>
      <c r="W6" s="20" t="str">
        <f>_xll.BDH("ITCI US Equity","PE_RATIO","FQ3 2024","FQ3 2024","Currency=USD","Period=FQ","BEST_FPERIOD_OVERRIDE=FQ","FILING_STATUS=MR","Sort=A","Dates=H","DateFormat=P","Fill=—","Direction=H","UseDPDF=Y")</f>
        <v>—</v>
      </c>
      <c r="X6" s="20" t="str">
        <f>_xll.BDH("ITCI US Equity","PE_RATIO","FQ4 2024","FQ4 2024","Currency=USD","Period=FQ","BEST_FPERIOD_OVERRIDE=FQ","FILING_STATUS=MR","Sort=A","Dates=H","DateFormat=P","Fill=—","Direction=H","UseDPDF=Y")</f>
        <v>—</v>
      </c>
      <c r="Y6" s="23"/>
      <c r="Z6" s="20">
        <v>934.82269503546104</v>
      </c>
      <c r="AA6" s="20"/>
    </row>
    <row r="7" spans="1:27" x14ac:dyDescent="0.25">
      <c r="A7" s="6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21"/>
      <c r="Z7" s="18"/>
      <c r="AA7" s="18"/>
    </row>
    <row r="8" spans="1:27" x14ac:dyDescent="0.25">
      <c r="A8" s="6" t="s">
        <v>198</v>
      </c>
      <c r="B8" s="6" t="s">
        <v>199</v>
      </c>
      <c r="C8" s="20">
        <f>_xll.BDH("ITCI US Equity","PX_TO_BOOK_RATIO","FQ3 2019","FQ3 2019","Currency=USD","Period=FQ","BEST_FPERIOD_OVERRIDE=FQ","FILING_STATUS=MR","Sort=A","Dates=H","DateFormat=P","Fill=—","Direction=H","UseDPDF=Y")</f>
        <v>1.819</v>
      </c>
      <c r="D8" s="20">
        <f>_xll.BDH("ITCI US Equity","PX_TO_BOOK_RATIO","FQ4 2019","FQ4 2019","Currency=USD","Period=FQ","BEST_FPERIOD_OVERRIDE=FQ","FILING_STATUS=MR","Sort=A","Dates=H","DateFormat=P","Fill=—","Direction=H","UseDPDF=Y")</f>
        <v>9.7660999999999998</v>
      </c>
      <c r="E8" s="20">
        <f>_xll.BDH("ITCI US Equity","PX_TO_BOOK_RATIO","FQ1 2020","FQ1 2020","Currency=USD","Period=FQ","BEST_FPERIOD_OVERRIDE=FQ","FILING_STATUS=MR","Sort=A","Dates=H","DateFormat=P","Fill=—","Direction=H","UseDPDF=Y")</f>
        <v>2.3637999999999999</v>
      </c>
      <c r="F8" s="20">
        <f>_xll.BDH("ITCI US Equity","PX_TO_BOOK_RATIO","FQ2 2020","FQ2 2020","Currency=USD","Period=FQ","BEST_FPERIOD_OVERRIDE=FQ","FILING_STATUS=MR","Sort=A","Dates=H","DateFormat=P","Fill=—","Direction=H","UseDPDF=Y")</f>
        <v>4.5166000000000004</v>
      </c>
      <c r="G8" s="20">
        <f>_xll.BDH("ITCI US Equity","PX_TO_BOOK_RATIO","FQ3 2020","FQ3 2020","Currency=USD","Period=FQ","BEST_FPERIOD_OVERRIDE=FQ","FILING_STATUS=MR","Sort=A","Dates=H","DateFormat=P","Fill=—","Direction=H","UseDPDF=Y")</f>
        <v>2.8988999999999998</v>
      </c>
      <c r="H8" s="20">
        <f>_xll.BDH("ITCI US Equity","PX_TO_BOOK_RATIO","FQ4 2020","FQ4 2020","Currency=USD","Period=FQ","BEST_FPERIOD_OVERRIDE=FQ","FILING_STATUS=MR","Sort=A","Dates=H","DateFormat=P","Fill=—","Direction=H","UseDPDF=Y")</f>
        <v>3.8954</v>
      </c>
      <c r="I8" s="20">
        <f>_xll.BDH("ITCI US Equity","PX_TO_BOOK_RATIO","FQ1 2021","FQ1 2021","Currency=USD","Period=FQ","BEST_FPERIOD_OVERRIDE=FQ","FILING_STATUS=MR","Sort=A","Dates=H","DateFormat=P","Fill=—","Direction=H","UseDPDF=Y")</f>
        <v>4.4970999999999997</v>
      </c>
      <c r="J8" s="20">
        <f>_xll.BDH("ITCI US Equity","PX_TO_BOOK_RATIO","FQ2 2021","FQ2 2021","Currency=USD","Period=FQ","BEST_FPERIOD_OVERRIDE=FQ","FILING_STATUS=MR","Sort=A","Dates=H","DateFormat=P","Fill=—","Direction=H","UseDPDF=Y")</f>
        <v>5.9957000000000003</v>
      </c>
      <c r="K8" s="20">
        <f>_xll.BDH("ITCI US Equity","PX_TO_BOOK_RATIO","FQ3 2021","FQ3 2021","Currency=USD","Period=FQ","BEST_FPERIOD_OVERRIDE=FQ","FILING_STATUS=MR","Sort=A","Dates=H","DateFormat=P","Fill=—","Direction=H","UseDPDF=Y")</f>
        <v>6.2325999999999997</v>
      </c>
      <c r="L8" s="20">
        <f>_xll.BDH("ITCI US Equity","PX_TO_BOOK_RATIO","FQ4 2021","FQ4 2021","Currency=USD","Period=FQ","BEST_FPERIOD_OVERRIDE=FQ","FILING_STATUS=MR","Sort=A","Dates=H","DateFormat=P","Fill=—","Direction=H","UseDPDF=Y")</f>
        <v>10.2562</v>
      </c>
      <c r="M8" s="20">
        <f>_xll.BDH("ITCI US Equity","PX_TO_BOOK_RATIO","FQ1 2022","FQ1 2022","Currency=USD","Period=FQ","BEST_FPERIOD_OVERRIDE=FQ","FILING_STATUS=MR","Sort=A","Dates=H","DateFormat=P","Fill=—","Direction=H","UseDPDF=Y")</f>
        <v>7.2572000000000001</v>
      </c>
      <c r="N8" s="20">
        <f>_xll.BDH("ITCI US Equity","PX_TO_BOOK_RATIO","FQ2 2022","FQ2 2022","Currency=USD","Period=FQ","BEST_FPERIOD_OVERRIDE=FQ","FILING_STATUS=MR","Sort=A","Dates=H","DateFormat=P","Fill=—","Direction=H","UseDPDF=Y")</f>
        <v>7.4584999999999999</v>
      </c>
      <c r="O8" s="20">
        <f>_xll.BDH("ITCI US Equity","PX_TO_BOOK_RATIO","FQ3 2022","FQ3 2022","Currency=USD","Period=FQ","BEST_FPERIOD_OVERRIDE=FQ","FILING_STATUS=MR","Sort=A","Dates=H","DateFormat=P","Fill=—","Direction=H","UseDPDF=Y")</f>
        <v>6.4287999999999998</v>
      </c>
      <c r="P8" s="20">
        <f>_xll.BDH("ITCI US Equity","PX_TO_BOOK_RATIO","FQ4 2022","FQ4 2022","Currency=USD","Period=FQ","BEST_FPERIOD_OVERRIDE=FQ","FILING_STATUS=MR","Sort=A","Dates=H","DateFormat=P","Fill=—","Direction=H","UseDPDF=Y")</f>
        <v>7.6492000000000004</v>
      </c>
      <c r="Q8" s="20">
        <f>_xll.BDH("ITCI US Equity","PX_TO_BOOK_RATIO","FQ1 2023","FQ1 2023","Currency=USD","Period=FQ","BEST_FPERIOD_OVERRIDE=FQ","FILING_STATUS=MR","Sort=A","Dates=H","DateFormat=P","Fill=—","Direction=H","UseDPDF=Y")</f>
        <v>8.2552000000000003</v>
      </c>
      <c r="R8" s="20">
        <f>_xll.BDH("ITCI US Equity","PX_TO_BOOK_RATIO","FQ2 2023","FQ2 2023","Currency=USD","Period=FQ","BEST_FPERIOD_OVERRIDE=FQ","FILING_STATUS=MR","Sort=A","Dates=H","DateFormat=P","Fill=—","Direction=H","UseDPDF=Y")</f>
        <v>10.021599999999999</v>
      </c>
      <c r="S8" s="20">
        <f>_xll.BDH("ITCI US Equity","PX_TO_BOOK_RATIO","FQ3 2023","FQ3 2023","Currency=USD","Period=FQ","BEST_FPERIOD_OVERRIDE=FQ","FILING_STATUS=MR","Sort=A","Dates=H","DateFormat=P","Fill=—","Direction=H","UseDPDF=Y")</f>
        <v>8.3445</v>
      </c>
      <c r="T8" s="20">
        <f>_xll.BDH("ITCI US Equity","PX_TO_BOOK_RATIO","FQ4 2023","FQ4 2023","Currency=USD","Period=FQ","BEST_FPERIOD_OVERRIDE=FQ","FILING_STATUS=MR","Sort=A","Dates=H","DateFormat=P","Fill=—","Direction=H","UseDPDF=Y")</f>
        <v>11.6714</v>
      </c>
      <c r="U8" s="20">
        <f>_xll.BDH("ITCI US Equity","PX_TO_BOOK_RATIO","FQ1 2024","FQ1 2024","Currency=USD","Period=FQ","BEST_FPERIOD_OVERRIDE=FQ","FILING_STATUS=MR","Sort=A","Dates=H","DateFormat=P","Fill=—","Direction=H","UseDPDF=Y")</f>
        <v>11.251899999999999</v>
      </c>
      <c r="V8" s="20">
        <f>_xll.BDH("ITCI US Equity","PX_TO_BOOK_RATIO","FQ2 2024","FQ2 2024","Currency=USD","Period=FQ","BEST_FPERIOD_OVERRIDE=FQ","FILING_STATUS=MR","Sort=A","Dates=H","DateFormat=P","Fill=—","Direction=H","UseDPDF=Y")</f>
        <v>6.3202999999999996</v>
      </c>
      <c r="W8" s="20">
        <f>_xll.BDH("ITCI US Equity","PX_TO_BOOK_RATIO","FQ3 2024","FQ3 2024","Currency=USD","Period=FQ","BEST_FPERIOD_OVERRIDE=FQ","FILING_STATUS=MR","Sort=A","Dates=H","DateFormat=P","Fill=—","Direction=H","UseDPDF=Y")</f>
        <v>6.7747999999999999</v>
      </c>
      <c r="X8" s="20">
        <f>_xll.BDH("ITCI US Equity","PX_TO_BOOK_RATIO","FQ4 2024","FQ4 2024","Currency=USD","Period=FQ","BEST_FPERIOD_OVERRIDE=FQ","FILING_STATUS=MR","Sort=A","Dates=H","DateFormat=P","Fill=—","Direction=H","UseDPDF=Y")</f>
        <v>7.7260999999999997</v>
      </c>
      <c r="Y8" s="23">
        <v>12.193280851675301</v>
      </c>
      <c r="Z8" s="20">
        <v>12.2159406858202</v>
      </c>
      <c r="AA8" s="20">
        <v>12.1372007366483</v>
      </c>
    </row>
    <row r="9" spans="1:27" x14ac:dyDescent="0.25">
      <c r="A9" s="10" t="s">
        <v>200</v>
      </c>
      <c r="B9" s="10" t="s">
        <v>201</v>
      </c>
      <c r="C9" s="14">
        <f>_xll.BDH("ITCI US Equity","AVERAGE_PRICE_TO_BOOK_RATIO","FQ3 2019","FQ3 2019","Currency=USD","Period=FQ","BEST_FPERIOD_OVERRIDE=FQ","FILING_STATUS=MR","Sort=A","Dates=H","DateFormat=P","Fill=—","Direction=H","UseDPDF=Y")</f>
        <v>2.0640999999999998</v>
      </c>
      <c r="D9" s="14">
        <f>_xll.BDH("ITCI US Equity","AVERAGE_PRICE_TO_BOOK_RATIO","FQ4 2019","FQ4 2019","Currency=USD","Period=FQ","BEST_FPERIOD_OVERRIDE=FQ","FILING_STATUS=MR","Sort=A","Dates=H","DateFormat=P","Fill=—","Direction=H","UseDPDF=Y")</f>
        <v>2.9443999999999999</v>
      </c>
      <c r="E9" s="14">
        <f>_xll.BDH("ITCI US Equity","AVERAGE_PRICE_TO_BOOK_RATIO","FQ1 2020","FQ1 2020","Currency=USD","Period=FQ","BEST_FPERIOD_OVERRIDE=FQ","FILING_STATUS=MR","Sort=A","Dates=H","DateFormat=P","Fill=—","Direction=H","UseDPDF=Y")</f>
        <v>6.1494</v>
      </c>
      <c r="F9" s="14">
        <f>_xll.BDH("ITCI US Equity","AVERAGE_PRICE_TO_BOOK_RATIO","FQ2 2020","FQ2 2020","Currency=USD","Period=FQ","BEST_FPERIOD_OVERRIDE=FQ","FILING_STATUS=MR","Sort=A","Dates=H","DateFormat=P","Fill=—","Direction=H","UseDPDF=Y")</f>
        <v>3.1221999999999999</v>
      </c>
      <c r="G9" s="14">
        <f>_xll.BDH("ITCI US Equity","AVERAGE_PRICE_TO_BOOK_RATIO","FQ3 2020","FQ3 2020","Currency=USD","Period=FQ","BEST_FPERIOD_OVERRIDE=FQ","FILING_STATUS=MR","Sort=A","Dates=H","DateFormat=P","Fill=—","Direction=H","UseDPDF=Y")</f>
        <v>3.9891000000000001</v>
      </c>
      <c r="H9" s="14">
        <f>_xll.BDH("ITCI US Equity","AVERAGE_PRICE_TO_BOOK_RATIO","FQ4 2020","FQ4 2020","Currency=USD","Period=FQ","BEST_FPERIOD_OVERRIDE=FQ","FILING_STATUS=MR","Sort=A","Dates=H","DateFormat=P","Fill=—","Direction=H","UseDPDF=Y")</f>
        <v>2.9737</v>
      </c>
      <c r="I9" s="14">
        <f>_xll.BDH("ITCI US Equity","AVERAGE_PRICE_TO_BOOK_RATIO","FQ1 2021","FQ1 2021","Currency=USD","Period=FQ","BEST_FPERIOD_OVERRIDE=FQ","FILING_STATUS=MR","Sort=A","Dates=H","DateFormat=P","Fill=—","Direction=H","UseDPDF=Y")</f>
        <v>4.2550999999999997</v>
      </c>
      <c r="J9" s="14">
        <f>_xll.BDH("ITCI US Equity","AVERAGE_PRICE_TO_BOOK_RATIO","FQ2 2021","FQ2 2021","Currency=USD","Period=FQ","BEST_FPERIOD_OVERRIDE=FQ","FILING_STATUS=MR","Sort=A","Dates=H","DateFormat=P","Fill=—","Direction=H","UseDPDF=Y")</f>
        <v>4.9084000000000003</v>
      </c>
      <c r="K9" s="14">
        <f>_xll.BDH("ITCI US Equity","AVERAGE_PRICE_TO_BOOK_RATIO","FQ3 2021","FQ3 2021","Currency=USD","Period=FQ","BEST_FPERIOD_OVERRIDE=FQ","FILING_STATUS=MR","Sort=A","Dates=H","DateFormat=P","Fill=—","Direction=H","UseDPDF=Y")</f>
        <v>5.1180000000000003</v>
      </c>
      <c r="L9" s="14">
        <f>_xll.BDH("ITCI US Equity","AVERAGE_PRICE_TO_BOOK_RATIO","FQ4 2021","FQ4 2021","Currency=USD","Period=FQ","BEST_FPERIOD_OVERRIDE=FQ","FILING_STATUS=MR","Sort=A","Dates=H","DateFormat=P","Fill=—","Direction=H","UseDPDF=Y")</f>
        <v>7.0464000000000002</v>
      </c>
      <c r="M9" s="14">
        <f>_xll.BDH("ITCI US Equity","AVERAGE_PRICE_TO_BOOK_RATIO","FQ1 2022","FQ1 2022","Currency=USD","Period=FQ","BEST_FPERIOD_OVERRIDE=FQ","FILING_STATUS=MR","Sort=A","Dates=H","DateFormat=P","Fill=—","Direction=H","UseDPDF=Y")</f>
        <v>10.100099999999999</v>
      </c>
      <c r="N9" s="14">
        <f>_xll.BDH("ITCI US Equity","AVERAGE_PRICE_TO_BOOK_RATIO","FQ2 2022","FQ2 2022","Currency=USD","Period=FQ","BEST_FPERIOD_OVERRIDE=FQ","FILING_STATUS=MR","Sort=A","Dates=H","DateFormat=P","Fill=—","Direction=H","UseDPDF=Y")</f>
        <v>6.7356999999999996</v>
      </c>
      <c r="O9" s="14">
        <f>_xll.BDH("ITCI US Equity","AVERAGE_PRICE_TO_BOOK_RATIO","FQ3 2022","FQ3 2022","Currency=USD","Period=FQ","BEST_FPERIOD_OVERRIDE=FQ","FILING_STATUS=MR","Sort=A","Dates=H","DateFormat=P","Fill=—","Direction=H","UseDPDF=Y")</f>
        <v>6.8312999999999997</v>
      </c>
      <c r="P9" s="14">
        <f>_xll.BDH("ITCI US Equity","AVERAGE_PRICE_TO_BOOK_RATIO","FQ4 2022","FQ4 2022","Currency=USD","Period=FQ","BEST_FPERIOD_OVERRIDE=FQ","FILING_STATUS=MR","Sort=A","Dates=H","DateFormat=P","Fill=—","Direction=H","UseDPDF=Y")</f>
        <v>6.9294000000000002</v>
      </c>
      <c r="Q9" s="14">
        <f>_xll.BDH("ITCI US Equity","AVERAGE_PRICE_TO_BOOK_RATIO","FQ1 2023","FQ1 2023","Currency=USD","Period=FQ","BEST_FPERIOD_OVERRIDE=FQ","FILING_STATUS=MR","Sort=A","Dates=H","DateFormat=P","Fill=—","Direction=H","UseDPDF=Y")</f>
        <v>6.9954000000000001</v>
      </c>
      <c r="R9" s="14">
        <f>_xll.BDH("ITCI US Equity","AVERAGE_PRICE_TO_BOOK_RATIO","FQ2 2023","FQ2 2023","Currency=USD","Period=FQ","BEST_FPERIOD_OVERRIDE=FQ","FILING_STATUS=MR","Sort=A","Dates=H","DateFormat=P","Fill=—","Direction=H","UseDPDF=Y")</f>
        <v>9.5058000000000007</v>
      </c>
      <c r="S9" s="14">
        <f>_xll.BDH("ITCI US Equity","AVERAGE_PRICE_TO_BOOK_RATIO","FQ3 2023","FQ3 2023","Currency=USD","Period=FQ","BEST_FPERIOD_OVERRIDE=FQ","FILING_STATUS=MR","Sort=A","Dates=H","DateFormat=P","Fill=—","Direction=H","UseDPDF=Y")</f>
        <v>9.2219999999999995</v>
      </c>
      <c r="T9" s="14">
        <f>_xll.BDH("ITCI US Equity","AVERAGE_PRICE_TO_BOOK_RATIO","FQ4 2023","FQ4 2023","Currency=USD","Period=FQ","BEST_FPERIOD_OVERRIDE=FQ","FILING_STATUS=MR","Sort=A","Dates=H","DateFormat=P","Fill=—","Direction=H","UseDPDF=Y")</f>
        <v>9.2184000000000008</v>
      </c>
      <c r="U9" s="14">
        <f>_xll.BDH("ITCI US Equity","AVERAGE_PRICE_TO_BOOK_RATIO","FQ1 2024","FQ1 2024","Currency=USD","Period=FQ","BEST_FPERIOD_OVERRIDE=FQ","FILING_STATUS=MR","Sort=A","Dates=H","DateFormat=P","Fill=—","Direction=H","UseDPDF=Y")</f>
        <v>11.2</v>
      </c>
      <c r="V9" s="14">
        <f>_xll.BDH("ITCI US Equity","AVERAGE_PRICE_TO_BOOK_RATIO","FQ2 2024","FQ2 2024","Currency=USD","Period=FQ","BEST_FPERIOD_OVERRIDE=FQ","FILING_STATUS=MR","Sort=A","Dates=H","DateFormat=P","Fill=—","Direction=H","UseDPDF=Y")</f>
        <v>11.200799999999999</v>
      </c>
      <c r="W9" s="14">
        <f>_xll.BDH("ITCI US Equity","AVERAGE_PRICE_TO_BOOK_RATIO","FQ3 2024","FQ3 2024","Currency=USD","Period=FQ","BEST_FPERIOD_OVERRIDE=FQ","FILING_STATUS=MR","Sort=A","Dates=H","DateFormat=P","Fill=—","Direction=H","UseDPDF=Y")</f>
        <v>6.9358000000000004</v>
      </c>
      <c r="X9" s="14">
        <f>_xll.BDH("ITCI US Equity","AVERAGE_PRICE_TO_BOOK_RATIO","FQ4 2024","FQ4 2024","Currency=USD","Period=FQ","BEST_FPERIOD_OVERRIDE=FQ","FILING_STATUS=MR","Sort=A","Dates=H","DateFormat=P","Fill=—","Direction=H","UseDPDF=Y")</f>
        <v>7.6082999999999998</v>
      </c>
      <c r="Y9" s="17"/>
      <c r="Z9" s="14"/>
      <c r="AA9" s="14"/>
    </row>
    <row r="10" spans="1:27" x14ac:dyDescent="0.25">
      <c r="A10" s="10" t="s">
        <v>202</v>
      </c>
      <c r="B10" s="10" t="s">
        <v>203</v>
      </c>
      <c r="C10" s="14">
        <f>_xll.BDH("ITCI US Equity","HIGH_CLOSING_PRICE_TO_BOOK_RATIO","FQ3 2019","FQ3 2019","Currency=USD","Period=FQ","BEST_FPERIOD_OVERRIDE=FQ","FILING_STATUS=MR","Sort=A","Dates=H","DateFormat=P","Fill=—","Direction=H","UseDPDF=Y")</f>
        <v>3.0154000000000001</v>
      </c>
      <c r="D10" s="14">
        <f>_xll.BDH("ITCI US Equity","HIGH_CLOSING_PRICE_TO_BOOK_RATIO","FQ4 2019","FQ4 2019","Currency=USD","Period=FQ","BEST_FPERIOD_OVERRIDE=FQ","FILING_STATUS=MR","Sort=A","Dates=H","DateFormat=P","Fill=—","Direction=H","UseDPDF=Y")</f>
        <v>9.7660999999999998</v>
      </c>
      <c r="E10" s="14">
        <f>_xll.BDH("ITCI US Equity","HIGH_CLOSING_PRICE_TO_BOOK_RATIO","FQ1 2020","FQ1 2020","Currency=USD","Period=FQ","BEST_FPERIOD_OVERRIDE=FQ","FILING_STATUS=MR","Sort=A","Dates=H","DateFormat=P","Fill=—","Direction=H","UseDPDF=Y")</f>
        <v>9.4274000000000004</v>
      </c>
      <c r="F10" s="14">
        <f>_xll.BDH("ITCI US Equity","HIGH_CLOSING_PRICE_TO_BOOK_RATIO","FQ2 2020","FQ2 2020","Currency=USD","Period=FQ","BEST_FPERIOD_OVERRIDE=FQ","FILING_STATUS=MR","Sort=A","Dates=H","DateFormat=P","Fill=—","Direction=H","UseDPDF=Y")</f>
        <v>4.5166000000000004</v>
      </c>
      <c r="G10" s="14">
        <f>_xll.BDH("ITCI US Equity","HIGH_CLOSING_PRICE_TO_BOOK_RATIO","FQ3 2020","FQ3 2020","Currency=USD","Period=FQ","BEST_FPERIOD_OVERRIDE=FQ","FILING_STATUS=MR","Sort=A","Dates=H","DateFormat=P","Fill=—","Direction=H","UseDPDF=Y")</f>
        <v>5.6056999999999997</v>
      </c>
      <c r="H10" s="14">
        <f>_xll.BDH("ITCI US Equity","HIGH_CLOSING_PRICE_TO_BOOK_RATIO","FQ4 2020","FQ4 2020","Currency=USD","Period=FQ","BEST_FPERIOD_OVERRIDE=FQ","FILING_STATUS=MR","Sort=A","Dates=H","DateFormat=P","Fill=—","Direction=H","UseDPDF=Y")</f>
        <v>3.8954</v>
      </c>
      <c r="I10" s="14">
        <f>_xll.BDH("ITCI US Equity","HIGH_CLOSING_PRICE_TO_BOOK_RATIO","FQ1 2021","FQ1 2021","Currency=USD","Period=FQ","BEST_FPERIOD_OVERRIDE=FQ","FILING_STATUS=MR","Sort=A","Dates=H","DateFormat=P","Fill=—","Direction=H","UseDPDF=Y")</f>
        <v>4.8398000000000003</v>
      </c>
      <c r="J10" s="14">
        <f>_xll.BDH("ITCI US Equity","HIGH_CLOSING_PRICE_TO_BOOK_RATIO","FQ2 2021","FQ2 2021","Currency=USD","Period=FQ","BEST_FPERIOD_OVERRIDE=FQ","FILING_STATUS=MR","Sort=A","Dates=H","DateFormat=P","Fill=—","Direction=H","UseDPDF=Y")</f>
        <v>5.9957000000000003</v>
      </c>
      <c r="K10" s="14">
        <f>_xll.BDH("ITCI US Equity","HIGH_CLOSING_PRICE_TO_BOOK_RATIO","FQ3 2021","FQ3 2021","Currency=USD","Period=FQ","BEST_FPERIOD_OVERRIDE=FQ","FILING_STATUS=MR","Sort=A","Dates=H","DateFormat=P","Fill=—","Direction=H","UseDPDF=Y")</f>
        <v>6.2409999999999997</v>
      </c>
      <c r="L10" s="14">
        <f>_xll.BDH("ITCI US Equity","HIGH_CLOSING_PRICE_TO_BOOK_RATIO","FQ4 2021","FQ4 2021","Currency=USD","Period=FQ","BEST_FPERIOD_OVERRIDE=FQ","FILING_STATUS=MR","Sort=A","Dates=H","DateFormat=P","Fill=—","Direction=H","UseDPDF=Y")</f>
        <v>10.2562</v>
      </c>
      <c r="M10" s="14">
        <f>_xll.BDH("ITCI US Equity","HIGH_CLOSING_PRICE_TO_BOOK_RATIO","FQ1 2022","FQ1 2022","Currency=USD","Period=FQ","BEST_FPERIOD_OVERRIDE=FQ","FILING_STATUS=MR","Sort=A","Dates=H","DateFormat=P","Fill=—","Direction=H","UseDPDF=Y")</f>
        <v>12.166700000000001</v>
      </c>
      <c r="N10" s="14">
        <f>_xll.BDH("ITCI US Equity","HIGH_CLOSING_PRICE_TO_BOOK_RATIO","FQ2 2022","FQ2 2022","Currency=USD","Period=FQ","BEST_FPERIOD_OVERRIDE=FQ","FILING_STATUS=MR","Sort=A","Dates=H","DateFormat=P","Fill=—","Direction=H","UseDPDF=Y")</f>
        <v>7.7849000000000004</v>
      </c>
      <c r="O10" s="14">
        <f>_xll.BDH("ITCI US Equity","HIGH_CLOSING_PRICE_TO_BOOK_RATIO","FQ3 2022","FQ3 2022","Currency=USD","Period=FQ","BEST_FPERIOD_OVERRIDE=FQ","FILING_STATUS=MR","Sort=A","Dates=H","DateFormat=P","Fill=—","Direction=H","UseDPDF=Y")</f>
        <v>7.8387000000000002</v>
      </c>
      <c r="P10" s="14">
        <f>_xll.BDH("ITCI US Equity","HIGH_CLOSING_PRICE_TO_BOOK_RATIO","FQ4 2022","FQ4 2022","Currency=USD","Period=FQ","BEST_FPERIOD_OVERRIDE=FQ","FILING_STATUS=MR","Sort=A","Dates=H","DateFormat=P","Fill=—","Direction=H","UseDPDF=Y")</f>
        <v>7.6492000000000004</v>
      </c>
      <c r="Q10" s="14">
        <f>_xll.BDH("ITCI US Equity","HIGH_CLOSING_PRICE_TO_BOOK_RATIO","FQ1 2023","FQ1 2023","Currency=USD","Period=FQ","BEST_FPERIOD_OVERRIDE=FQ","FILING_STATUS=MR","Sort=A","Dates=H","DateFormat=P","Fill=—","Direction=H","UseDPDF=Y")</f>
        <v>8.2552000000000003</v>
      </c>
      <c r="R10" s="14">
        <f>_xll.BDH("ITCI US Equity","HIGH_CLOSING_PRICE_TO_BOOK_RATIO","FQ2 2023","FQ2 2023","Currency=USD","Period=FQ","BEST_FPERIOD_OVERRIDE=FQ","FILING_STATUS=MR","Sort=A","Dates=H","DateFormat=P","Fill=—","Direction=H","UseDPDF=Y")</f>
        <v>10.1289</v>
      </c>
      <c r="S10" s="14">
        <f>_xll.BDH("ITCI US Equity","HIGH_CLOSING_PRICE_TO_BOOK_RATIO","FQ3 2023","FQ3 2023","Currency=USD","Period=FQ","BEST_FPERIOD_OVERRIDE=FQ","FILING_STATUS=MR","Sort=A","Dates=H","DateFormat=P","Fill=—","Direction=H","UseDPDF=Y")</f>
        <v>10.145</v>
      </c>
      <c r="T10" s="14">
        <f>_xll.BDH("ITCI US Equity","HIGH_CLOSING_PRICE_TO_BOOK_RATIO","FQ4 2023","FQ4 2023","Currency=USD","Period=FQ","BEST_FPERIOD_OVERRIDE=FQ","FILING_STATUS=MR","Sort=A","Dates=H","DateFormat=P","Fill=—","Direction=H","UseDPDF=Y")</f>
        <v>11.798299999999999</v>
      </c>
      <c r="U10" s="14">
        <f>_xll.BDH("ITCI US Equity","HIGH_CLOSING_PRICE_TO_BOOK_RATIO","FQ1 2024","FQ1 2024","Currency=USD","Period=FQ","BEST_FPERIOD_OVERRIDE=FQ","FILING_STATUS=MR","Sort=A","Dates=H","DateFormat=P","Fill=—","Direction=H","UseDPDF=Y")</f>
        <v>12.328099999999999</v>
      </c>
      <c r="V10" s="14">
        <f>_xll.BDH("ITCI US Equity","HIGH_CLOSING_PRICE_TO_BOOK_RATIO","FQ2 2024","FQ2 2024","Currency=USD","Period=FQ","BEST_FPERIOD_OVERRIDE=FQ","FILING_STATUS=MR","Sort=A","Dates=H","DateFormat=P","Fill=—","Direction=H","UseDPDF=Y")</f>
        <v>12.9819</v>
      </c>
      <c r="W10" s="14">
        <f>_xll.BDH("ITCI US Equity","HIGH_CLOSING_PRICE_TO_BOOK_RATIO","FQ3 2024","FQ3 2024","Currency=USD","Period=FQ","BEST_FPERIOD_OVERRIDE=FQ","FILING_STATUS=MR","Sort=A","Dates=H","DateFormat=P","Fill=—","Direction=H","UseDPDF=Y")</f>
        <v>7.4599000000000002</v>
      </c>
      <c r="X10" s="14">
        <f>_xll.BDH("ITCI US Equity","HIGH_CLOSING_PRICE_TO_BOOK_RATIO","FQ4 2024","FQ4 2024","Currency=USD","Period=FQ","BEST_FPERIOD_OVERRIDE=FQ","FILING_STATUS=MR","Sort=A","Dates=H","DateFormat=P","Fill=—","Direction=H","UseDPDF=Y")</f>
        <v>8.4784000000000006</v>
      </c>
      <c r="Y10" s="17"/>
      <c r="Z10" s="14"/>
      <c r="AA10" s="14"/>
    </row>
    <row r="11" spans="1:27" x14ac:dyDescent="0.25">
      <c r="A11" s="10" t="s">
        <v>204</v>
      </c>
      <c r="B11" s="10" t="s">
        <v>205</v>
      </c>
      <c r="C11" s="14">
        <f>_xll.BDH("ITCI US Equity","LOW_CLOSING_PRICE_TO_BOOK_RATIO","FQ3 2019","FQ3 2019","Currency=USD","Period=FQ","BEST_FPERIOD_OVERRIDE=FQ","FILING_STATUS=MR","Sort=A","Dates=H","DateFormat=P","Fill=—","Direction=H","UseDPDF=Y")</f>
        <v>1.6120000000000001</v>
      </c>
      <c r="D11" s="14">
        <f>_xll.BDH("ITCI US Equity","LOW_CLOSING_PRICE_TO_BOOK_RATIO","FQ4 2019","FQ4 2019","Currency=USD","Period=FQ","BEST_FPERIOD_OVERRIDE=FQ","FILING_STATUS=MR","Sort=A","Dates=H","DateFormat=P","Fill=—","Direction=H","UseDPDF=Y")</f>
        <v>1.7679</v>
      </c>
      <c r="E11" s="14">
        <f>_xll.BDH("ITCI US Equity","LOW_CLOSING_PRICE_TO_BOOK_RATIO","FQ1 2020","FQ1 2020","Currency=USD","Period=FQ","BEST_FPERIOD_OVERRIDE=FQ","FILING_STATUS=MR","Sort=A","Dates=H","DateFormat=P","Fill=—","Direction=H","UseDPDF=Y")</f>
        <v>2.3637999999999999</v>
      </c>
      <c r="F11" s="14">
        <f>_xll.BDH("ITCI US Equity","LOW_CLOSING_PRICE_TO_BOOK_RATIO","FQ2 2020","FQ2 2020","Currency=USD","Period=FQ","BEST_FPERIOD_OVERRIDE=FQ","FILING_STATUS=MR","Sort=A","Dates=H","DateFormat=P","Fill=—","Direction=H","UseDPDF=Y")</f>
        <v>2.2069999999999999</v>
      </c>
      <c r="G11" s="14">
        <f>_xll.BDH("ITCI US Equity","LOW_CLOSING_PRICE_TO_BOOK_RATIO","FQ3 2020","FQ3 2020","Currency=USD","Period=FQ","BEST_FPERIOD_OVERRIDE=FQ","FILING_STATUS=MR","Sort=A","Dates=H","DateFormat=P","Fill=—","Direction=H","UseDPDF=Y")</f>
        <v>2.8988999999999998</v>
      </c>
      <c r="H11" s="14">
        <f>_xll.BDH("ITCI US Equity","LOW_CLOSING_PRICE_TO_BOOK_RATIO","FQ4 2020","FQ4 2020","Currency=USD","Period=FQ","BEST_FPERIOD_OVERRIDE=FQ","FILING_STATUS=MR","Sort=A","Dates=H","DateFormat=P","Fill=—","Direction=H","UseDPDF=Y")</f>
        <v>2.6368</v>
      </c>
      <c r="I11" s="14">
        <f>_xll.BDH("ITCI US Equity","LOW_CLOSING_PRICE_TO_BOOK_RATIO","FQ1 2021","FQ1 2021","Currency=USD","Period=FQ","BEST_FPERIOD_OVERRIDE=FQ","FILING_STATUS=MR","Sort=A","Dates=H","DateFormat=P","Fill=—","Direction=H","UseDPDF=Y")</f>
        <v>3.7728999999999999</v>
      </c>
      <c r="J11" s="14">
        <f>_xll.BDH("ITCI US Equity","LOW_CLOSING_PRICE_TO_BOOK_RATIO","FQ2 2021","FQ2 2021","Currency=USD","Period=FQ","BEST_FPERIOD_OVERRIDE=FQ","FILING_STATUS=MR","Sort=A","Dates=H","DateFormat=P","Fill=—","Direction=H","UseDPDF=Y")</f>
        <v>3.8834</v>
      </c>
      <c r="K11" s="14">
        <f>_xll.BDH("ITCI US Equity","LOW_CLOSING_PRICE_TO_BOOK_RATIO","FQ3 2021","FQ3 2021","Currency=USD","Period=FQ","BEST_FPERIOD_OVERRIDE=FQ","FILING_STATUS=MR","Sort=A","Dates=H","DateFormat=P","Fill=—","Direction=H","UseDPDF=Y")</f>
        <v>4.2184999999999997</v>
      </c>
      <c r="L11" s="14">
        <f>_xll.BDH("ITCI US Equity","LOW_CLOSING_PRICE_TO_BOOK_RATIO","FQ4 2021","FQ4 2021","Currency=USD","Period=FQ","BEST_FPERIOD_OVERRIDE=FQ","FILING_STATUS=MR","Sort=A","Dates=H","DateFormat=P","Fill=—","Direction=H","UseDPDF=Y")</f>
        <v>5.8848000000000003</v>
      </c>
      <c r="M11" s="14">
        <f>_xll.BDH("ITCI US Equity","LOW_CLOSING_PRICE_TO_BOOK_RATIO","FQ1 2022","FQ1 2022","Currency=USD","Period=FQ","BEST_FPERIOD_OVERRIDE=FQ","FILING_STATUS=MR","Sort=A","Dates=H","DateFormat=P","Fill=—","Direction=H","UseDPDF=Y")</f>
        <v>7.2572000000000001</v>
      </c>
      <c r="N11" s="14">
        <f>_xll.BDH("ITCI US Equity","LOW_CLOSING_PRICE_TO_BOOK_RATIO","FQ2 2022","FQ2 2022","Currency=USD","Period=FQ","BEST_FPERIOD_OVERRIDE=FQ","FILING_STATUS=MR","Sort=A","Dates=H","DateFormat=P","Fill=—","Direction=H","UseDPDF=Y")</f>
        <v>5.0998000000000001</v>
      </c>
      <c r="O11" s="14">
        <f>_xll.BDH("ITCI US Equity","LOW_CLOSING_PRICE_TO_BOOK_RATIO","FQ3 2022","FQ3 2022","Currency=USD","Period=FQ","BEST_FPERIOD_OVERRIDE=FQ","FILING_STATUS=MR","Sort=A","Dates=H","DateFormat=P","Fill=—","Direction=H","UseDPDF=Y")</f>
        <v>5.5795000000000003</v>
      </c>
      <c r="P11" s="14">
        <f>_xll.BDH("ITCI US Equity","LOW_CLOSING_PRICE_TO_BOOK_RATIO","FQ4 2022","FQ4 2022","Currency=USD","Period=FQ","BEST_FPERIOD_OVERRIDE=FQ","FILING_STATUS=MR","Sort=A","Dates=H","DateFormat=P","Fill=—","Direction=H","UseDPDF=Y")</f>
        <v>6.0890000000000004</v>
      </c>
      <c r="Q11" s="14">
        <f>_xll.BDH("ITCI US Equity","LOW_CLOSING_PRICE_TO_BOOK_RATIO","FQ1 2023","FQ1 2023","Currency=USD","Period=FQ","BEST_FPERIOD_OVERRIDE=FQ","FILING_STATUS=MR","Sort=A","Dates=H","DateFormat=P","Fill=—","Direction=H","UseDPDF=Y")</f>
        <v>6.3308999999999997</v>
      </c>
      <c r="R11" s="14">
        <f>_xll.BDH("ITCI US Equity","LOW_CLOSING_PRICE_TO_BOOK_RATIO","FQ2 2023","FQ2 2023","Currency=USD","Period=FQ","BEST_FPERIOD_OVERRIDE=FQ","FILING_STATUS=MR","Sort=A","Dates=H","DateFormat=P","Fill=—","Direction=H","UseDPDF=Y")</f>
        <v>8.3345000000000002</v>
      </c>
      <c r="S11" s="14">
        <f>_xll.BDH("ITCI US Equity","LOW_CLOSING_PRICE_TO_BOOK_RATIO","FQ3 2023","FQ3 2023","Currency=USD","Period=FQ","BEST_FPERIOD_OVERRIDE=FQ","FILING_STATUS=MR","Sort=A","Dates=H","DateFormat=P","Fill=—","Direction=H","UseDPDF=Y")</f>
        <v>8.3297000000000008</v>
      </c>
      <c r="T11" s="14">
        <f>_xll.BDH("ITCI US Equity","LOW_CLOSING_PRICE_TO_BOOK_RATIO","FQ4 2023","FQ4 2023","Currency=USD","Period=FQ","BEST_FPERIOD_OVERRIDE=FQ","FILING_STATUS=MR","Sort=A","Dates=H","DateFormat=P","Fill=—","Direction=H","UseDPDF=Y")</f>
        <v>7.4282000000000004</v>
      </c>
      <c r="U11" s="14">
        <f>_xll.BDH("ITCI US Equity","LOW_CLOSING_PRICE_TO_BOOK_RATIO","FQ1 2024","FQ1 2024","Currency=USD","Period=FQ","BEST_FPERIOD_OVERRIDE=FQ","FILING_STATUS=MR","Sort=A","Dates=H","DateFormat=P","Fill=—","Direction=H","UseDPDF=Y")</f>
        <v>10.4899</v>
      </c>
      <c r="V11" s="14">
        <f>_xll.BDH("ITCI US Equity","LOW_CLOSING_PRICE_TO_BOOK_RATIO","FQ2 2024","FQ2 2024","Currency=USD","Period=FQ","BEST_FPERIOD_OVERRIDE=FQ","FILING_STATUS=MR","Sort=A","Dates=H","DateFormat=P","Fill=—","Direction=H","UseDPDF=Y")</f>
        <v>6.3202999999999996</v>
      </c>
      <c r="W11" s="14">
        <f>_xll.BDH("ITCI US Equity","LOW_CLOSING_PRICE_TO_BOOK_RATIO","FQ3 2024","FQ3 2024","Currency=USD","Period=FQ","BEST_FPERIOD_OVERRIDE=FQ","FILING_STATUS=MR","Sort=A","Dates=H","DateFormat=P","Fill=—","Direction=H","UseDPDF=Y")</f>
        <v>6.2740999999999998</v>
      </c>
      <c r="X11" s="14">
        <f>_xll.BDH("ITCI US Equity","LOW_CLOSING_PRICE_TO_BOOK_RATIO","FQ4 2024","FQ4 2024","Currency=USD","Period=FQ","BEST_FPERIOD_OVERRIDE=FQ","FILING_STATUS=MR","Sort=A","Dates=H","DateFormat=P","Fill=—","Direction=H","UseDPDF=Y")</f>
        <v>6.5914000000000001</v>
      </c>
      <c r="Y11" s="17"/>
      <c r="Z11" s="14"/>
      <c r="AA11" s="14"/>
    </row>
    <row r="12" spans="1:27" x14ac:dyDescent="0.25">
      <c r="A12" s="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21"/>
      <c r="Z12" s="18"/>
      <c r="AA12" s="18"/>
    </row>
    <row r="13" spans="1:27" x14ac:dyDescent="0.25">
      <c r="A13" s="6" t="s">
        <v>206</v>
      </c>
      <c r="B13" s="6" t="s">
        <v>207</v>
      </c>
      <c r="C13" s="20">
        <f>_xll.BDH("ITCI US Equity","PX_TO_TANG_BV_PER_SH","FQ3 2019","FQ3 2019","Currency=USD","Period=FQ","BEST_FPERIOD_OVERRIDE=FQ","FILING_STATUS=MR","Sort=A","Dates=H","DateFormat=P","Fill=—","Direction=H","UseDPDF=Y")</f>
        <v>1.819</v>
      </c>
      <c r="D13" s="20">
        <f>_xll.BDH("ITCI US Equity","PX_TO_TANG_BV_PER_SH","FQ4 2019","FQ4 2019","Currency=USD","Period=FQ","BEST_FPERIOD_OVERRIDE=FQ","FILING_STATUS=MR","Sort=A","Dates=H","DateFormat=P","Fill=—","Direction=H","UseDPDF=Y")</f>
        <v>9.7660999999999998</v>
      </c>
      <c r="E13" s="20">
        <f>_xll.BDH("ITCI US Equity","PX_TO_TANG_BV_PER_SH","FQ1 2020","FQ1 2020","Currency=USD","Period=FQ","BEST_FPERIOD_OVERRIDE=FQ","FILING_STATUS=MR","Sort=A","Dates=H","DateFormat=P","Fill=—","Direction=H","UseDPDF=Y")</f>
        <v>2.3637999999999999</v>
      </c>
      <c r="F13" s="20">
        <f>_xll.BDH("ITCI US Equity","PX_TO_TANG_BV_PER_SH","FQ2 2020","FQ2 2020","Currency=USD","Period=FQ","BEST_FPERIOD_OVERRIDE=FQ","FILING_STATUS=MR","Sort=A","Dates=H","DateFormat=P","Fill=—","Direction=H","UseDPDF=Y")</f>
        <v>4.5166000000000004</v>
      </c>
      <c r="G13" s="20">
        <f>_xll.BDH("ITCI US Equity","PX_TO_TANG_BV_PER_SH","FQ3 2020","FQ3 2020","Currency=USD","Period=FQ","BEST_FPERIOD_OVERRIDE=FQ","FILING_STATUS=MR","Sort=A","Dates=H","DateFormat=P","Fill=—","Direction=H","UseDPDF=Y")</f>
        <v>2.8988999999999998</v>
      </c>
      <c r="H13" s="20">
        <f>_xll.BDH("ITCI US Equity","PX_TO_TANG_BV_PER_SH","FQ4 2020","FQ4 2020","Currency=USD","Period=FQ","BEST_FPERIOD_OVERRIDE=FQ","FILING_STATUS=MR","Sort=A","Dates=H","DateFormat=P","Fill=—","Direction=H","UseDPDF=Y")</f>
        <v>3.8954</v>
      </c>
      <c r="I13" s="20">
        <f>_xll.BDH("ITCI US Equity","PX_TO_TANG_BV_PER_SH","FQ1 2021","FQ1 2021","Currency=USD","Period=FQ","BEST_FPERIOD_OVERRIDE=FQ","FILING_STATUS=MR","Sort=A","Dates=H","DateFormat=P","Fill=—","Direction=H","UseDPDF=Y")</f>
        <v>4.4970999999999997</v>
      </c>
      <c r="J13" s="20">
        <f>_xll.BDH("ITCI US Equity","PX_TO_TANG_BV_PER_SH","FQ2 2021","FQ2 2021","Currency=USD","Period=FQ","BEST_FPERIOD_OVERRIDE=FQ","FILING_STATUS=MR","Sort=A","Dates=H","DateFormat=P","Fill=—","Direction=H","UseDPDF=Y")</f>
        <v>5.9957000000000003</v>
      </c>
      <c r="K13" s="20">
        <f>_xll.BDH("ITCI US Equity","PX_TO_TANG_BV_PER_SH","FQ3 2021","FQ3 2021","Currency=USD","Period=FQ","BEST_FPERIOD_OVERRIDE=FQ","FILING_STATUS=MR","Sort=A","Dates=H","DateFormat=P","Fill=—","Direction=H","UseDPDF=Y")</f>
        <v>6.2325999999999997</v>
      </c>
      <c r="L13" s="20">
        <f>_xll.BDH("ITCI US Equity","PX_TO_TANG_BV_PER_SH","FQ4 2021","FQ4 2021","Currency=USD","Period=FQ","BEST_FPERIOD_OVERRIDE=FQ","FILING_STATUS=MR","Sort=A","Dates=H","DateFormat=P","Fill=—","Direction=H","UseDPDF=Y")</f>
        <v>10.2562</v>
      </c>
      <c r="M13" s="20">
        <f>_xll.BDH("ITCI US Equity","PX_TO_TANG_BV_PER_SH","FQ1 2022","FQ1 2022","Currency=USD","Period=FQ","BEST_FPERIOD_OVERRIDE=FQ","FILING_STATUS=MR","Sort=A","Dates=H","DateFormat=P","Fill=—","Direction=H","UseDPDF=Y")</f>
        <v>7.2572000000000001</v>
      </c>
      <c r="N13" s="20">
        <f>_xll.BDH("ITCI US Equity","PX_TO_TANG_BV_PER_SH","FQ2 2022","FQ2 2022","Currency=USD","Period=FQ","BEST_FPERIOD_OVERRIDE=FQ","FILING_STATUS=MR","Sort=A","Dates=H","DateFormat=P","Fill=—","Direction=H","UseDPDF=Y")</f>
        <v>7.4584999999999999</v>
      </c>
      <c r="O13" s="20">
        <f>_xll.BDH("ITCI US Equity","PX_TO_TANG_BV_PER_SH","FQ3 2022","FQ3 2022","Currency=USD","Period=FQ","BEST_FPERIOD_OVERRIDE=FQ","FILING_STATUS=MR","Sort=A","Dates=H","DateFormat=P","Fill=—","Direction=H","UseDPDF=Y")</f>
        <v>6.4287999999999998</v>
      </c>
      <c r="P13" s="20">
        <f>_xll.BDH("ITCI US Equity","PX_TO_TANG_BV_PER_SH","FQ4 2022","FQ4 2022","Currency=USD","Period=FQ","BEST_FPERIOD_OVERRIDE=FQ","FILING_STATUS=MR","Sort=A","Dates=H","DateFormat=P","Fill=—","Direction=H","UseDPDF=Y")</f>
        <v>7.6492000000000004</v>
      </c>
      <c r="Q13" s="20">
        <f>_xll.BDH("ITCI US Equity","PX_TO_TANG_BV_PER_SH","FQ1 2023","FQ1 2023","Currency=USD","Period=FQ","BEST_FPERIOD_OVERRIDE=FQ","FILING_STATUS=MR","Sort=A","Dates=H","DateFormat=P","Fill=—","Direction=H","UseDPDF=Y")</f>
        <v>8.2552000000000003</v>
      </c>
      <c r="R13" s="20">
        <f>_xll.BDH("ITCI US Equity","PX_TO_TANG_BV_PER_SH","FQ2 2023","FQ2 2023","Currency=USD","Period=FQ","BEST_FPERIOD_OVERRIDE=FQ","FILING_STATUS=MR","Sort=A","Dates=H","DateFormat=P","Fill=—","Direction=H","UseDPDF=Y")</f>
        <v>10.021599999999999</v>
      </c>
      <c r="S13" s="20">
        <f>_xll.BDH("ITCI US Equity","PX_TO_TANG_BV_PER_SH","FQ3 2023","FQ3 2023","Currency=USD","Period=FQ","BEST_FPERIOD_OVERRIDE=FQ","FILING_STATUS=MR","Sort=A","Dates=H","DateFormat=P","Fill=—","Direction=H","UseDPDF=Y")</f>
        <v>8.3445</v>
      </c>
      <c r="T13" s="20">
        <f>_xll.BDH("ITCI US Equity","PX_TO_TANG_BV_PER_SH","FQ4 2023","FQ4 2023","Currency=USD","Period=FQ","BEST_FPERIOD_OVERRIDE=FQ","FILING_STATUS=MR","Sort=A","Dates=H","DateFormat=P","Fill=—","Direction=H","UseDPDF=Y")</f>
        <v>11.6714</v>
      </c>
      <c r="U13" s="20">
        <f>_xll.BDH("ITCI US Equity","PX_TO_TANG_BV_PER_SH","FQ1 2024","FQ1 2024","Currency=USD","Period=FQ","BEST_FPERIOD_OVERRIDE=FQ","FILING_STATUS=MR","Sort=A","Dates=H","DateFormat=P","Fill=—","Direction=H","UseDPDF=Y")</f>
        <v>11.251899999999999</v>
      </c>
      <c r="V13" s="20">
        <f>_xll.BDH("ITCI US Equity","PX_TO_TANG_BV_PER_SH","FQ2 2024","FQ2 2024","Currency=USD","Period=FQ","BEST_FPERIOD_OVERRIDE=FQ","FILING_STATUS=MR","Sort=A","Dates=H","DateFormat=P","Fill=—","Direction=H","UseDPDF=Y")</f>
        <v>6.3202999999999996</v>
      </c>
      <c r="W13" s="20">
        <f>_xll.BDH("ITCI US Equity","PX_TO_TANG_BV_PER_SH","FQ3 2024","FQ3 2024","Currency=USD","Period=FQ","BEST_FPERIOD_OVERRIDE=FQ","FILING_STATUS=MR","Sort=A","Dates=H","DateFormat=P","Fill=—","Direction=H","UseDPDF=Y")</f>
        <v>6.7747999999999999</v>
      </c>
      <c r="X13" s="20">
        <f>_xll.BDH("ITCI US Equity","PX_TO_TANG_BV_PER_SH","FQ4 2024","FQ4 2024","Currency=USD","Period=FQ","BEST_FPERIOD_OVERRIDE=FQ","FILING_STATUS=MR","Sort=A","Dates=H","DateFormat=P","Fill=—","Direction=H","UseDPDF=Y")</f>
        <v>7.7260999999999997</v>
      </c>
      <c r="Y13" s="23">
        <v>12.193280851675301</v>
      </c>
      <c r="Z13" s="20"/>
      <c r="AA13" s="20"/>
    </row>
    <row r="14" spans="1:27" x14ac:dyDescent="0.25">
      <c r="A14" s="10" t="s">
        <v>200</v>
      </c>
      <c r="B14" s="10" t="s">
        <v>208</v>
      </c>
      <c r="C14" s="14">
        <f>_xll.BDH("ITCI US Equity","AVERAGE_PRICE_TO_TANGIBLE_BPS","FQ3 2019","FQ3 2019","Currency=USD","Period=FQ","BEST_FPERIOD_OVERRIDE=FQ","FILING_STATUS=MR","Sort=A","Dates=H","DateFormat=P","Fill=—","Direction=H","UseDPDF=Y")</f>
        <v>2.0640999999999998</v>
      </c>
      <c r="D14" s="14">
        <f>_xll.BDH("ITCI US Equity","AVERAGE_PRICE_TO_TANGIBLE_BPS","FQ4 2019","FQ4 2019","Currency=USD","Period=FQ","BEST_FPERIOD_OVERRIDE=FQ","FILING_STATUS=MR","Sort=A","Dates=H","DateFormat=P","Fill=—","Direction=H","UseDPDF=Y")</f>
        <v>2.9443999999999999</v>
      </c>
      <c r="E14" s="14">
        <f>_xll.BDH("ITCI US Equity","AVERAGE_PRICE_TO_TANGIBLE_BPS","FQ1 2020","FQ1 2020","Currency=USD","Period=FQ","BEST_FPERIOD_OVERRIDE=FQ","FILING_STATUS=MR","Sort=A","Dates=H","DateFormat=P","Fill=—","Direction=H","UseDPDF=Y")</f>
        <v>6.1494</v>
      </c>
      <c r="F14" s="14">
        <f>_xll.BDH("ITCI US Equity","AVERAGE_PRICE_TO_TANGIBLE_BPS","FQ2 2020","FQ2 2020","Currency=USD","Period=FQ","BEST_FPERIOD_OVERRIDE=FQ","FILING_STATUS=MR","Sort=A","Dates=H","DateFormat=P","Fill=—","Direction=H","UseDPDF=Y")</f>
        <v>3.1221999999999999</v>
      </c>
      <c r="G14" s="14">
        <f>_xll.BDH("ITCI US Equity","AVERAGE_PRICE_TO_TANGIBLE_BPS","FQ3 2020","FQ3 2020","Currency=USD","Period=FQ","BEST_FPERIOD_OVERRIDE=FQ","FILING_STATUS=MR","Sort=A","Dates=H","DateFormat=P","Fill=—","Direction=H","UseDPDF=Y")</f>
        <v>3.9891000000000001</v>
      </c>
      <c r="H14" s="14">
        <f>_xll.BDH("ITCI US Equity","AVERAGE_PRICE_TO_TANGIBLE_BPS","FQ4 2020","FQ4 2020","Currency=USD","Period=FQ","BEST_FPERIOD_OVERRIDE=FQ","FILING_STATUS=MR","Sort=A","Dates=H","DateFormat=P","Fill=—","Direction=H","UseDPDF=Y")</f>
        <v>2.9737</v>
      </c>
      <c r="I14" s="14">
        <f>_xll.BDH("ITCI US Equity","AVERAGE_PRICE_TO_TANGIBLE_BPS","FQ1 2021","FQ1 2021","Currency=USD","Period=FQ","BEST_FPERIOD_OVERRIDE=FQ","FILING_STATUS=MR","Sort=A","Dates=H","DateFormat=P","Fill=—","Direction=H","UseDPDF=Y")</f>
        <v>4.2550999999999997</v>
      </c>
      <c r="J14" s="14">
        <f>_xll.BDH("ITCI US Equity","AVERAGE_PRICE_TO_TANGIBLE_BPS","FQ2 2021","FQ2 2021","Currency=USD","Period=FQ","BEST_FPERIOD_OVERRIDE=FQ","FILING_STATUS=MR","Sort=A","Dates=H","DateFormat=P","Fill=—","Direction=H","UseDPDF=Y")</f>
        <v>4.9084000000000003</v>
      </c>
      <c r="K14" s="14">
        <f>_xll.BDH("ITCI US Equity","AVERAGE_PRICE_TO_TANGIBLE_BPS","FQ3 2021","FQ3 2021","Currency=USD","Period=FQ","BEST_FPERIOD_OVERRIDE=FQ","FILING_STATUS=MR","Sort=A","Dates=H","DateFormat=P","Fill=—","Direction=H","UseDPDF=Y")</f>
        <v>5.1180000000000003</v>
      </c>
      <c r="L14" s="14">
        <f>_xll.BDH("ITCI US Equity","AVERAGE_PRICE_TO_TANGIBLE_BPS","FQ4 2021","FQ4 2021","Currency=USD","Period=FQ","BEST_FPERIOD_OVERRIDE=FQ","FILING_STATUS=MR","Sort=A","Dates=H","DateFormat=P","Fill=—","Direction=H","UseDPDF=Y")</f>
        <v>7.0464000000000002</v>
      </c>
      <c r="M14" s="14">
        <f>_xll.BDH("ITCI US Equity","AVERAGE_PRICE_TO_TANGIBLE_BPS","FQ1 2022","FQ1 2022","Currency=USD","Period=FQ","BEST_FPERIOD_OVERRIDE=FQ","FILING_STATUS=MR","Sort=A","Dates=H","DateFormat=P","Fill=—","Direction=H","UseDPDF=Y")</f>
        <v>10.100099999999999</v>
      </c>
      <c r="N14" s="14">
        <f>_xll.BDH("ITCI US Equity","AVERAGE_PRICE_TO_TANGIBLE_BPS","FQ2 2022","FQ2 2022","Currency=USD","Period=FQ","BEST_FPERIOD_OVERRIDE=FQ","FILING_STATUS=MR","Sort=A","Dates=H","DateFormat=P","Fill=—","Direction=H","UseDPDF=Y")</f>
        <v>6.7356999999999996</v>
      </c>
      <c r="O14" s="14">
        <f>_xll.BDH("ITCI US Equity","AVERAGE_PRICE_TO_TANGIBLE_BPS","FQ3 2022","FQ3 2022","Currency=USD","Period=FQ","BEST_FPERIOD_OVERRIDE=FQ","FILING_STATUS=MR","Sort=A","Dates=H","DateFormat=P","Fill=—","Direction=H","UseDPDF=Y")</f>
        <v>6.8312999999999997</v>
      </c>
      <c r="P14" s="14">
        <f>_xll.BDH("ITCI US Equity","AVERAGE_PRICE_TO_TANGIBLE_BPS","FQ4 2022","FQ4 2022","Currency=USD","Period=FQ","BEST_FPERIOD_OVERRIDE=FQ","FILING_STATUS=MR","Sort=A","Dates=H","DateFormat=P","Fill=—","Direction=H","UseDPDF=Y")</f>
        <v>6.9294000000000002</v>
      </c>
      <c r="Q14" s="14">
        <f>_xll.BDH("ITCI US Equity","AVERAGE_PRICE_TO_TANGIBLE_BPS","FQ1 2023","FQ1 2023","Currency=USD","Period=FQ","BEST_FPERIOD_OVERRIDE=FQ","FILING_STATUS=MR","Sort=A","Dates=H","DateFormat=P","Fill=—","Direction=H","UseDPDF=Y")</f>
        <v>6.9954000000000001</v>
      </c>
      <c r="R14" s="14">
        <f>_xll.BDH("ITCI US Equity","AVERAGE_PRICE_TO_TANGIBLE_BPS","FQ2 2023","FQ2 2023","Currency=USD","Period=FQ","BEST_FPERIOD_OVERRIDE=FQ","FILING_STATUS=MR","Sort=A","Dates=H","DateFormat=P","Fill=—","Direction=H","UseDPDF=Y")</f>
        <v>9.5058000000000007</v>
      </c>
      <c r="S14" s="14">
        <f>_xll.BDH("ITCI US Equity","AVERAGE_PRICE_TO_TANGIBLE_BPS","FQ3 2023","FQ3 2023","Currency=USD","Period=FQ","BEST_FPERIOD_OVERRIDE=FQ","FILING_STATUS=MR","Sort=A","Dates=H","DateFormat=P","Fill=—","Direction=H","UseDPDF=Y")</f>
        <v>9.2219999999999995</v>
      </c>
      <c r="T14" s="14">
        <f>_xll.BDH("ITCI US Equity","AVERAGE_PRICE_TO_TANGIBLE_BPS","FQ4 2023","FQ4 2023","Currency=USD","Period=FQ","BEST_FPERIOD_OVERRIDE=FQ","FILING_STATUS=MR","Sort=A","Dates=H","DateFormat=P","Fill=—","Direction=H","UseDPDF=Y")</f>
        <v>9.2184000000000008</v>
      </c>
      <c r="U14" s="14">
        <f>_xll.BDH("ITCI US Equity","AVERAGE_PRICE_TO_TANGIBLE_BPS","FQ1 2024","FQ1 2024","Currency=USD","Period=FQ","BEST_FPERIOD_OVERRIDE=FQ","FILING_STATUS=MR","Sort=A","Dates=H","DateFormat=P","Fill=—","Direction=H","UseDPDF=Y")</f>
        <v>11.2</v>
      </c>
      <c r="V14" s="14">
        <f>_xll.BDH("ITCI US Equity","AVERAGE_PRICE_TO_TANGIBLE_BPS","FQ2 2024","FQ2 2024","Currency=USD","Period=FQ","BEST_FPERIOD_OVERRIDE=FQ","FILING_STATUS=MR","Sort=A","Dates=H","DateFormat=P","Fill=—","Direction=H","UseDPDF=Y")</f>
        <v>11.200799999999999</v>
      </c>
      <c r="W14" s="14">
        <f>_xll.BDH("ITCI US Equity","AVERAGE_PRICE_TO_TANGIBLE_BPS","FQ3 2024","FQ3 2024","Currency=USD","Period=FQ","BEST_FPERIOD_OVERRIDE=FQ","FILING_STATUS=MR","Sort=A","Dates=H","DateFormat=P","Fill=—","Direction=H","UseDPDF=Y")</f>
        <v>6.9358000000000004</v>
      </c>
      <c r="X14" s="14">
        <f>_xll.BDH("ITCI US Equity","AVERAGE_PRICE_TO_TANGIBLE_BPS","FQ4 2024","FQ4 2024","Currency=USD","Period=FQ","BEST_FPERIOD_OVERRIDE=FQ","FILING_STATUS=MR","Sort=A","Dates=H","DateFormat=P","Fill=—","Direction=H","UseDPDF=Y")</f>
        <v>7.6082999999999998</v>
      </c>
      <c r="Y14" s="17"/>
      <c r="Z14" s="14"/>
      <c r="AA14" s="14"/>
    </row>
    <row r="15" spans="1:27" x14ac:dyDescent="0.25">
      <c r="A15" s="10" t="s">
        <v>202</v>
      </c>
      <c r="B15" s="10" t="s">
        <v>209</v>
      </c>
      <c r="C15" s="14">
        <f>_xll.BDH("ITCI US Equity","HIGH_PRICE_TO_TANGIBLE_BPS","FQ3 2019","FQ3 2019","Currency=USD","Period=FQ","BEST_FPERIOD_OVERRIDE=FQ","FILING_STATUS=MR","Sort=A","Dates=H","DateFormat=P","Fill=—","Direction=H","UseDPDF=Y")</f>
        <v>3.0154000000000001</v>
      </c>
      <c r="D15" s="14">
        <f>_xll.BDH("ITCI US Equity","HIGH_PRICE_TO_TANGIBLE_BPS","FQ4 2019","FQ4 2019","Currency=USD","Period=FQ","BEST_FPERIOD_OVERRIDE=FQ","FILING_STATUS=MR","Sort=A","Dates=H","DateFormat=P","Fill=—","Direction=H","UseDPDF=Y")</f>
        <v>9.7660999999999998</v>
      </c>
      <c r="E15" s="14">
        <f>_xll.BDH("ITCI US Equity","HIGH_PRICE_TO_TANGIBLE_BPS","FQ1 2020","FQ1 2020","Currency=USD","Period=FQ","BEST_FPERIOD_OVERRIDE=FQ","FILING_STATUS=MR","Sort=A","Dates=H","DateFormat=P","Fill=—","Direction=H","UseDPDF=Y")</f>
        <v>9.4274000000000004</v>
      </c>
      <c r="F15" s="14">
        <f>_xll.BDH("ITCI US Equity","HIGH_PRICE_TO_TANGIBLE_BPS","FQ2 2020","FQ2 2020","Currency=USD","Period=FQ","BEST_FPERIOD_OVERRIDE=FQ","FILING_STATUS=MR","Sort=A","Dates=H","DateFormat=P","Fill=—","Direction=H","UseDPDF=Y")</f>
        <v>4.5166000000000004</v>
      </c>
      <c r="G15" s="14">
        <f>_xll.BDH("ITCI US Equity","HIGH_PRICE_TO_TANGIBLE_BPS","FQ3 2020","FQ3 2020","Currency=USD","Period=FQ","BEST_FPERIOD_OVERRIDE=FQ","FILING_STATUS=MR","Sort=A","Dates=H","DateFormat=P","Fill=—","Direction=H","UseDPDF=Y")</f>
        <v>5.6056999999999997</v>
      </c>
      <c r="H15" s="14">
        <f>_xll.BDH("ITCI US Equity","HIGH_PRICE_TO_TANGIBLE_BPS","FQ4 2020","FQ4 2020","Currency=USD","Period=FQ","BEST_FPERIOD_OVERRIDE=FQ","FILING_STATUS=MR","Sort=A","Dates=H","DateFormat=P","Fill=—","Direction=H","UseDPDF=Y")</f>
        <v>3.8954</v>
      </c>
      <c r="I15" s="14">
        <f>_xll.BDH("ITCI US Equity","HIGH_PRICE_TO_TANGIBLE_BPS","FQ1 2021","FQ1 2021","Currency=USD","Period=FQ","BEST_FPERIOD_OVERRIDE=FQ","FILING_STATUS=MR","Sort=A","Dates=H","DateFormat=P","Fill=—","Direction=H","UseDPDF=Y")</f>
        <v>4.8398000000000003</v>
      </c>
      <c r="J15" s="14">
        <f>_xll.BDH("ITCI US Equity","HIGH_PRICE_TO_TANGIBLE_BPS","FQ2 2021","FQ2 2021","Currency=USD","Period=FQ","BEST_FPERIOD_OVERRIDE=FQ","FILING_STATUS=MR","Sort=A","Dates=H","DateFormat=P","Fill=—","Direction=H","UseDPDF=Y")</f>
        <v>5.9957000000000003</v>
      </c>
      <c r="K15" s="14">
        <f>_xll.BDH("ITCI US Equity","HIGH_PRICE_TO_TANGIBLE_BPS","FQ3 2021","FQ3 2021","Currency=USD","Period=FQ","BEST_FPERIOD_OVERRIDE=FQ","FILING_STATUS=MR","Sort=A","Dates=H","DateFormat=P","Fill=—","Direction=H","UseDPDF=Y")</f>
        <v>6.2409999999999997</v>
      </c>
      <c r="L15" s="14">
        <f>_xll.BDH("ITCI US Equity","HIGH_PRICE_TO_TANGIBLE_BPS","FQ4 2021","FQ4 2021","Currency=USD","Period=FQ","BEST_FPERIOD_OVERRIDE=FQ","FILING_STATUS=MR","Sort=A","Dates=H","DateFormat=P","Fill=—","Direction=H","UseDPDF=Y")</f>
        <v>10.2562</v>
      </c>
      <c r="M15" s="14">
        <f>_xll.BDH("ITCI US Equity","HIGH_PRICE_TO_TANGIBLE_BPS","FQ1 2022","FQ1 2022","Currency=USD","Period=FQ","BEST_FPERIOD_OVERRIDE=FQ","FILING_STATUS=MR","Sort=A","Dates=H","DateFormat=P","Fill=—","Direction=H","UseDPDF=Y")</f>
        <v>12.166700000000001</v>
      </c>
      <c r="N15" s="14">
        <f>_xll.BDH("ITCI US Equity","HIGH_PRICE_TO_TANGIBLE_BPS","FQ2 2022","FQ2 2022","Currency=USD","Period=FQ","BEST_FPERIOD_OVERRIDE=FQ","FILING_STATUS=MR","Sort=A","Dates=H","DateFormat=P","Fill=—","Direction=H","UseDPDF=Y")</f>
        <v>7.7849000000000004</v>
      </c>
      <c r="O15" s="14">
        <f>_xll.BDH("ITCI US Equity","HIGH_PRICE_TO_TANGIBLE_BPS","FQ3 2022","FQ3 2022","Currency=USD","Period=FQ","BEST_FPERIOD_OVERRIDE=FQ","FILING_STATUS=MR","Sort=A","Dates=H","DateFormat=P","Fill=—","Direction=H","UseDPDF=Y")</f>
        <v>7.8387000000000002</v>
      </c>
      <c r="P15" s="14">
        <f>_xll.BDH("ITCI US Equity","HIGH_PRICE_TO_TANGIBLE_BPS","FQ4 2022","FQ4 2022","Currency=USD","Period=FQ","BEST_FPERIOD_OVERRIDE=FQ","FILING_STATUS=MR","Sort=A","Dates=H","DateFormat=P","Fill=—","Direction=H","UseDPDF=Y")</f>
        <v>7.6492000000000004</v>
      </c>
      <c r="Q15" s="14">
        <f>_xll.BDH("ITCI US Equity","HIGH_PRICE_TO_TANGIBLE_BPS","FQ1 2023","FQ1 2023","Currency=USD","Period=FQ","BEST_FPERIOD_OVERRIDE=FQ","FILING_STATUS=MR","Sort=A","Dates=H","DateFormat=P","Fill=—","Direction=H","UseDPDF=Y")</f>
        <v>8.2552000000000003</v>
      </c>
      <c r="R15" s="14">
        <f>_xll.BDH("ITCI US Equity","HIGH_PRICE_TO_TANGIBLE_BPS","FQ2 2023","FQ2 2023","Currency=USD","Period=FQ","BEST_FPERIOD_OVERRIDE=FQ","FILING_STATUS=MR","Sort=A","Dates=H","DateFormat=P","Fill=—","Direction=H","UseDPDF=Y")</f>
        <v>10.1289</v>
      </c>
      <c r="S15" s="14">
        <f>_xll.BDH("ITCI US Equity","HIGH_PRICE_TO_TANGIBLE_BPS","FQ3 2023","FQ3 2023","Currency=USD","Period=FQ","BEST_FPERIOD_OVERRIDE=FQ","FILING_STATUS=MR","Sort=A","Dates=H","DateFormat=P","Fill=—","Direction=H","UseDPDF=Y")</f>
        <v>10.145</v>
      </c>
      <c r="T15" s="14">
        <f>_xll.BDH("ITCI US Equity","HIGH_PRICE_TO_TANGIBLE_BPS","FQ4 2023","FQ4 2023","Currency=USD","Period=FQ","BEST_FPERIOD_OVERRIDE=FQ","FILING_STATUS=MR","Sort=A","Dates=H","DateFormat=P","Fill=—","Direction=H","UseDPDF=Y")</f>
        <v>11.798299999999999</v>
      </c>
      <c r="U15" s="14">
        <f>_xll.BDH("ITCI US Equity","HIGH_PRICE_TO_TANGIBLE_BPS","FQ1 2024","FQ1 2024","Currency=USD","Period=FQ","BEST_FPERIOD_OVERRIDE=FQ","FILING_STATUS=MR","Sort=A","Dates=H","DateFormat=P","Fill=—","Direction=H","UseDPDF=Y")</f>
        <v>12.328099999999999</v>
      </c>
      <c r="V15" s="14">
        <f>_xll.BDH("ITCI US Equity","HIGH_PRICE_TO_TANGIBLE_BPS","FQ2 2024","FQ2 2024","Currency=USD","Period=FQ","BEST_FPERIOD_OVERRIDE=FQ","FILING_STATUS=MR","Sort=A","Dates=H","DateFormat=P","Fill=—","Direction=H","UseDPDF=Y")</f>
        <v>12.9819</v>
      </c>
      <c r="W15" s="14">
        <f>_xll.BDH("ITCI US Equity","HIGH_PRICE_TO_TANGIBLE_BPS","FQ3 2024","FQ3 2024","Currency=USD","Period=FQ","BEST_FPERIOD_OVERRIDE=FQ","FILING_STATUS=MR","Sort=A","Dates=H","DateFormat=P","Fill=—","Direction=H","UseDPDF=Y")</f>
        <v>7.4599000000000002</v>
      </c>
      <c r="X15" s="14">
        <f>_xll.BDH("ITCI US Equity","HIGH_PRICE_TO_TANGIBLE_BPS","FQ4 2024","FQ4 2024","Currency=USD","Period=FQ","BEST_FPERIOD_OVERRIDE=FQ","FILING_STATUS=MR","Sort=A","Dates=H","DateFormat=P","Fill=—","Direction=H","UseDPDF=Y")</f>
        <v>8.4784000000000006</v>
      </c>
      <c r="Y15" s="17"/>
      <c r="Z15" s="14"/>
      <c r="AA15" s="14"/>
    </row>
    <row r="16" spans="1:27" x14ac:dyDescent="0.25">
      <c r="A16" s="10" t="s">
        <v>204</v>
      </c>
      <c r="B16" s="10" t="s">
        <v>210</v>
      </c>
      <c r="C16" s="14">
        <f>_xll.BDH("ITCI US Equity","LOW_PRICE_TO_TANGIBLE_BPS","FQ3 2019","FQ3 2019","Currency=USD","Period=FQ","BEST_FPERIOD_OVERRIDE=FQ","FILING_STATUS=MR","Sort=A","Dates=H","DateFormat=P","Fill=—","Direction=H","UseDPDF=Y")</f>
        <v>1.6120000000000001</v>
      </c>
      <c r="D16" s="14">
        <f>_xll.BDH("ITCI US Equity","LOW_PRICE_TO_TANGIBLE_BPS","FQ4 2019","FQ4 2019","Currency=USD","Period=FQ","BEST_FPERIOD_OVERRIDE=FQ","FILING_STATUS=MR","Sort=A","Dates=H","DateFormat=P","Fill=—","Direction=H","UseDPDF=Y")</f>
        <v>1.7679</v>
      </c>
      <c r="E16" s="14">
        <f>_xll.BDH("ITCI US Equity","LOW_PRICE_TO_TANGIBLE_BPS","FQ1 2020","FQ1 2020","Currency=USD","Period=FQ","BEST_FPERIOD_OVERRIDE=FQ","FILING_STATUS=MR","Sort=A","Dates=H","DateFormat=P","Fill=—","Direction=H","UseDPDF=Y")</f>
        <v>2.3637999999999999</v>
      </c>
      <c r="F16" s="14">
        <f>_xll.BDH("ITCI US Equity","LOW_PRICE_TO_TANGIBLE_BPS","FQ2 2020","FQ2 2020","Currency=USD","Period=FQ","BEST_FPERIOD_OVERRIDE=FQ","FILING_STATUS=MR","Sort=A","Dates=H","DateFormat=P","Fill=—","Direction=H","UseDPDF=Y")</f>
        <v>2.2069999999999999</v>
      </c>
      <c r="G16" s="14">
        <f>_xll.BDH("ITCI US Equity","LOW_PRICE_TO_TANGIBLE_BPS","FQ3 2020","FQ3 2020","Currency=USD","Period=FQ","BEST_FPERIOD_OVERRIDE=FQ","FILING_STATUS=MR","Sort=A","Dates=H","DateFormat=P","Fill=—","Direction=H","UseDPDF=Y")</f>
        <v>2.8988999999999998</v>
      </c>
      <c r="H16" s="14">
        <f>_xll.BDH("ITCI US Equity","LOW_PRICE_TO_TANGIBLE_BPS","FQ4 2020","FQ4 2020","Currency=USD","Period=FQ","BEST_FPERIOD_OVERRIDE=FQ","FILING_STATUS=MR","Sort=A","Dates=H","DateFormat=P","Fill=—","Direction=H","UseDPDF=Y")</f>
        <v>2.6368</v>
      </c>
      <c r="I16" s="14">
        <f>_xll.BDH("ITCI US Equity","LOW_PRICE_TO_TANGIBLE_BPS","FQ1 2021","FQ1 2021","Currency=USD","Period=FQ","BEST_FPERIOD_OVERRIDE=FQ","FILING_STATUS=MR","Sort=A","Dates=H","DateFormat=P","Fill=—","Direction=H","UseDPDF=Y")</f>
        <v>3.7728999999999999</v>
      </c>
      <c r="J16" s="14">
        <f>_xll.BDH("ITCI US Equity","LOW_PRICE_TO_TANGIBLE_BPS","FQ2 2021","FQ2 2021","Currency=USD","Period=FQ","BEST_FPERIOD_OVERRIDE=FQ","FILING_STATUS=MR","Sort=A","Dates=H","DateFormat=P","Fill=—","Direction=H","UseDPDF=Y")</f>
        <v>3.8834</v>
      </c>
      <c r="K16" s="14">
        <f>_xll.BDH("ITCI US Equity","LOW_PRICE_TO_TANGIBLE_BPS","FQ3 2021","FQ3 2021","Currency=USD","Period=FQ","BEST_FPERIOD_OVERRIDE=FQ","FILING_STATUS=MR","Sort=A","Dates=H","DateFormat=P","Fill=—","Direction=H","UseDPDF=Y")</f>
        <v>4.2184999999999997</v>
      </c>
      <c r="L16" s="14">
        <f>_xll.BDH("ITCI US Equity","LOW_PRICE_TO_TANGIBLE_BPS","FQ4 2021","FQ4 2021","Currency=USD","Period=FQ","BEST_FPERIOD_OVERRIDE=FQ","FILING_STATUS=MR","Sort=A","Dates=H","DateFormat=P","Fill=—","Direction=H","UseDPDF=Y")</f>
        <v>5.8848000000000003</v>
      </c>
      <c r="M16" s="14">
        <f>_xll.BDH("ITCI US Equity","LOW_PRICE_TO_TANGIBLE_BPS","FQ1 2022","FQ1 2022","Currency=USD","Period=FQ","BEST_FPERIOD_OVERRIDE=FQ","FILING_STATUS=MR","Sort=A","Dates=H","DateFormat=P","Fill=—","Direction=H","UseDPDF=Y")</f>
        <v>7.2572000000000001</v>
      </c>
      <c r="N16" s="14">
        <f>_xll.BDH("ITCI US Equity","LOW_PRICE_TO_TANGIBLE_BPS","FQ2 2022","FQ2 2022","Currency=USD","Period=FQ","BEST_FPERIOD_OVERRIDE=FQ","FILING_STATUS=MR","Sort=A","Dates=H","DateFormat=P","Fill=—","Direction=H","UseDPDF=Y")</f>
        <v>5.0998000000000001</v>
      </c>
      <c r="O16" s="14">
        <f>_xll.BDH("ITCI US Equity","LOW_PRICE_TO_TANGIBLE_BPS","FQ3 2022","FQ3 2022","Currency=USD","Period=FQ","BEST_FPERIOD_OVERRIDE=FQ","FILING_STATUS=MR","Sort=A","Dates=H","DateFormat=P","Fill=—","Direction=H","UseDPDF=Y")</f>
        <v>5.5795000000000003</v>
      </c>
      <c r="P16" s="14">
        <f>_xll.BDH("ITCI US Equity","LOW_PRICE_TO_TANGIBLE_BPS","FQ4 2022","FQ4 2022","Currency=USD","Period=FQ","BEST_FPERIOD_OVERRIDE=FQ","FILING_STATUS=MR","Sort=A","Dates=H","DateFormat=P","Fill=—","Direction=H","UseDPDF=Y")</f>
        <v>6.0890000000000004</v>
      </c>
      <c r="Q16" s="14">
        <f>_xll.BDH("ITCI US Equity","LOW_PRICE_TO_TANGIBLE_BPS","FQ1 2023","FQ1 2023","Currency=USD","Period=FQ","BEST_FPERIOD_OVERRIDE=FQ","FILING_STATUS=MR","Sort=A","Dates=H","DateFormat=P","Fill=—","Direction=H","UseDPDF=Y")</f>
        <v>6.3308999999999997</v>
      </c>
      <c r="R16" s="14">
        <f>_xll.BDH("ITCI US Equity","LOW_PRICE_TO_TANGIBLE_BPS","FQ2 2023","FQ2 2023","Currency=USD","Period=FQ","BEST_FPERIOD_OVERRIDE=FQ","FILING_STATUS=MR","Sort=A","Dates=H","DateFormat=P","Fill=—","Direction=H","UseDPDF=Y")</f>
        <v>8.3345000000000002</v>
      </c>
      <c r="S16" s="14">
        <f>_xll.BDH("ITCI US Equity","LOW_PRICE_TO_TANGIBLE_BPS","FQ3 2023","FQ3 2023","Currency=USD","Period=FQ","BEST_FPERIOD_OVERRIDE=FQ","FILING_STATUS=MR","Sort=A","Dates=H","DateFormat=P","Fill=—","Direction=H","UseDPDF=Y")</f>
        <v>8.3297000000000008</v>
      </c>
      <c r="T16" s="14">
        <f>_xll.BDH("ITCI US Equity","LOW_PRICE_TO_TANGIBLE_BPS","FQ4 2023","FQ4 2023","Currency=USD","Period=FQ","BEST_FPERIOD_OVERRIDE=FQ","FILING_STATUS=MR","Sort=A","Dates=H","DateFormat=P","Fill=—","Direction=H","UseDPDF=Y")</f>
        <v>7.4282000000000004</v>
      </c>
      <c r="U16" s="14">
        <f>_xll.BDH("ITCI US Equity","LOW_PRICE_TO_TANGIBLE_BPS","FQ1 2024","FQ1 2024","Currency=USD","Period=FQ","BEST_FPERIOD_OVERRIDE=FQ","FILING_STATUS=MR","Sort=A","Dates=H","DateFormat=P","Fill=—","Direction=H","UseDPDF=Y")</f>
        <v>10.4899</v>
      </c>
      <c r="V16" s="14">
        <f>_xll.BDH("ITCI US Equity","LOW_PRICE_TO_TANGIBLE_BPS","FQ2 2024","FQ2 2024","Currency=USD","Period=FQ","BEST_FPERIOD_OVERRIDE=FQ","FILING_STATUS=MR","Sort=A","Dates=H","DateFormat=P","Fill=—","Direction=H","UseDPDF=Y")</f>
        <v>6.3202999999999996</v>
      </c>
      <c r="W16" s="14">
        <f>_xll.BDH("ITCI US Equity","LOW_PRICE_TO_TANGIBLE_BPS","FQ3 2024","FQ3 2024","Currency=USD","Period=FQ","BEST_FPERIOD_OVERRIDE=FQ","FILING_STATUS=MR","Sort=A","Dates=H","DateFormat=P","Fill=—","Direction=H","UseDPDF=Y")</f>
        <v>6.2740999999999998</v>
      </c>
      <c r="X16" s="14">
        <f>_xll.BDH("ITCI US Equity","LOW_PRICE_TO_TANGIBLE_BPS","FQ4 2024","FQ4 2024","Currency=USD","Period=FQ","BEST_FPERIOD_OVERRIDE=FQ","FILING_STATUS=MR","Sort=A","Dates=H","DateFormat=P","Fill=—","Direction=H","UseDPDF=Y")</f>
        <v>6.5914000000000001</v>
      </c>
      <c r="Y16" s="17"/>
      <c r="Z16" s="14"/>
      <c r="AA16" s="14"/>
    </row>
    <row r="17" spans="1:27" x14ac:dyDescent="0.25">
      <c r="A17" s="6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21"/>
      <c r="Z17" s="18"/>
      <c r="AA17" s="18"/>
    </row>
    <row r="18" spans="1:27" x14ac:dyDescent="0.25">
      <c r="A18" s="6" t="s">
        <v>211</v>
      </c>
      <c r="B18" s="6" t="s">
        <v>212</v>
      </c>
      <c r="C18" s="20" t="str">
        <f>_xll.BDH("ITCI US Equity","PX_TO_SALES_RATIO","FQ3 2019","FQ3 2019","Currency=USD","Period=FQ","BEST_FPERIOD_OVERRIDE=FQ","FILING_STATUS=MR","FA_ADJUSTED=GAAP","Sort=A","Dates=H","DateFormat=P","Fill=—","Direction=H","UseDPDF=Y")</f>
        <v>—</v>
      </c>
      <c r="D18" s="20">
        <f>_xll.BDH("ITCI US Equity","PX_TO_SALES_RATIO","FQ4 2019","FQ4 2019","Currency=USD","Period=FQ","BEST_FPERIOD_OVERRIDE=FQ","FILING_STATUS=MR","FA_ADJUSTED=GAAP","Sort=A","Dates=H","DateFormat=P","Fill=—","Direction=H","UseDPDF=Y")</f>
        <v>31289.1322</v>
      </c>
      <c r="E18" s="20">
        <f>_xll.BDH("ITCI US Equity","PX_TO_SALES_RATIO","FQ1 2020","FQ1 2020","Currency=USD","Period=FQ","BEST_FPERIOD_OVERRIDE=FQ","FILING_STATUS=MR","FA_ADJUSTED=GAAP","Sort=A","Dates=H","DateFormat=P","Fill=—","Direction=H","UseDPDF=Y")</f>
        <v>866.48720000000003</v>
      </c>
      <c r="F18" s="20">
        <f>_xll.BDH("ITCI US Equity","PX_TO_SALES_RATIO","FQ2 2020","FQ2 2020","Currency=USD","Period=FQ","BEST_FPERIOD_OVERRIDE=FQ","FILING_STATUS=MR","FA_ADJUSTED=GAAP","Sort=A","Dates=H","DateFormat=P","Fill=—","Direction=H","UseDPDF=Y")</f>
        <v>552.75630000000001</v>
      </c>
      <c r="G18" s="20">
        <f>_xll.BDH("ITCI US Equity","PX_TO_SALES_RATIO","FQ3 2020","FQ3 2020","Currency=USD","Period=FQ","BEST_FPERIOD_OVERRIDE=FQ","FILING_STATUS=MR","FA_ADJUSTED=GAAP","Sort=A","Dates=H","DateFormat=P","Fill=—","Direction=H","UseDPDF=Y")</f>
        <v>168.35380000000001</v>
      </c>
      <c r="H18" s="20">
        <f>_xll.BDH("ITCI US Equity","PX_TO_SALES_RATIO","FQ4 2020","FQ4 2020","Currency=USD","Period=FQ","BEST_FPERIOD_OVERRIDE=FQ","FILING_STATUS=MR","FA_ADJUSTED=GAAP","Sort=A","Dates=H","DateFormat=P","Fill=—","Direction=H","UseDPDF=Y")</f>
        <v>103.77589999999999</v>
      </c>
      <c r="I18" s="20">
        <f>_xll.BDH("ITCI US Equity","PX_TO_SALES_RATIO","FQ1 2021","FQ1 2021","Currency=USD","Period=FQ","BEST_FPERIOD_OVERRIDE=FQ","FILING_STATUS=MR","FA_ADJUSTED=GAAP","Sort=A","Dates=H","DateFormat=P","Fill=—","Direction=H","UseDPDF=Y")</f>
        <v>69.822599999999994</v>
      </c>
      <c r="J18" s="20">
        <f>_xll.BDH("ITCI US Equity","PX_TO_SALES_RATIO","FQ2 2021","FQ2 2021","Currency=USD","Period=FQ","BEST_FPERIOD_OVERRIDE=FQ","FILING_STATUS=MR","FA_ADJUSTED=GAAP","Sort=A","Dates=H","DateFormat=P","Fill=—","Direction=H","UseDPDF=Y")</f>
        <v>57.9803</v>
      </c>
      <c r="K18" s="20">
        <f>_xll.BDH("ITCI US Equity","PX_TO_SALES_RATIO","FQ3 2021","FQ3 2021","Currency=USD","Period=FQ","BEST_FPERIOD_OVERRIDE=FQ","FILING_STATUS=MR","FA_ADJUSTED=GAAP","Sort=A","Dates=H","DateFormat=P","Fill=—","Direction=H","UseDPDF=Y")</f>
        <v>42.800199999999997</v>
      </c>
      <c r="L18" s="20">
        <f>_xll.BDH("ITCI US Equity","PX_TO_SALES_RATIO","FQ4 2021","FQ4 2021","Currency=USD","Period=FQ","BEST_FPERIOD_OVERRIDE=FQ","FILING_STATUS=MR","FA_ADJUSTED=GAAP","Sort=A","Dates=H","DateFormat=P","Fill=—","Direction=H","UseDPDF=Y")</f>
        <v>50.766800000000003</v>
      </c>
      <c r="M18" s="20">
        <f>_xll.BDH("ITCI US Equity","PX_TO_SALES_RATIO","FQ1 2022","FQ1 2022","Currency=USD","Period=FQ","BEST_FPERIOD_OVERRIDE=FQ","FILING_STATUS=MR","FA_ADJUSTED=GAAP","Sort=A","Dates=H","DateFormat=P","Fill=—","Direction=H","UseDPDF=Y")</f>
        <v>50.456000000000003</v>
      </c>
      <c r="N18" s="20">
        <f>_xll.BDH("ITCI US Equity","PX_TO_SALES_RATIO","FQ2 2022","FQ2 2022","Currency=USD","Period=FQ","BEST_FPERIOD_OVERRIDE=FQ","FILING_STATUS=MR","FA_ADJUSTED=GAAP","Sort=A","Dates=H","DateFormat=P","Fill=—","Direction=H","UseDPDF=Y")</f>
        <v>36.697299999999998</v>
      </c>
      <c r="O18" s="20">
        <f>_xll.BDH("ITCI US Equity","PX_TO_SALES_RATIO","FQ3 2022","FQ3 2022","Currency=USD","Period=FQ","BEST_FPERIOD_OVERRIDE=FQ","FILING_STATUS=MR","FA_ADJUSTED=GAAP","Sort=A","Dates=H","DateFormat=P","Fill=—","Direction=H","UseDPDF=Y")</f>
        <v>22.776900000000001</v>
      </c>
      <c r="P18" s="20">
        <f>_xll.BDH("ITCI US Equity","PX_TO_SALES_RATIO","FQ4 2022","FQ4 2022","Currency=USD","Period=FQ","BEST_FPERIOD_OVERRIDE=FQ","FILING_STATUS=MR","FA_ADJUSTED=GAAP","Sort=A","Dates=H","DateFormat=P","Fill=—","Direction=H","UseDPDF=Y")</f>
        <v>19.931100000000001</v>
      </c>
      <c r="Q18" s="20">
        <f>_xll.BDH("ITCI US Equity","PX_TO_SALES_RATIO","FQ1 2023","FQ1 2023","Currency=USD","Period=FQ","BEST_FPERIOD_OVERRIDE=FQ","FILING_STATUS=MR","FA_ADJUSTED=GAAP","Sort=A","Dates=H","DateFormat=P","Fill=—","Direction=H","UseDPDF=Y")</f>
        <v>16.513999999999999</v>
      </c>
      <c r="R18" s="20">
        <f>_xll.BDH("ITCI US Equity","PX_TO_SALES_RATIO","FQ2 2023","FQ2 2023","Currency=USD","Period=FQ","BEST_FPERIOD_OVERRIDE=FQ","FILING_STATUS=MR","FA_ADJUSTED=GAAP","Sort=A","Dates=H","DateFormat=P","Fill=—","Direction=H","UseDPDF=Y")</f>
        <v>16.471299999999999</v>
      </c>
      <c r="S18" s="20">
        <f>_xll.BDH("ITCI US Equity","PX_TO_SALES_RATIO","FQ3 2023","FQ3 2023","Currency=USD","Period=FQ","BEST_FPERIOD_OVERRIDE=FQ","FILING_STATUS=MR","FA_ADJUSTED=GAAP","Sort=A","Dates=H","DateFormat=P","Fill=—","Direction=H","UseDPDF=Y")</f>
        <v>11.848800000000001</v>
      </c>
      <c r="T18" s="20">
        <f>_xll.BDH("ITCI US Equity","PX_TO_SALES_RATIO","FQ4 2023","FQ4 2023","Currency=USD","Period=FQ","BEST_FPERIOD_OVERRIDE=FQ","FILING_STATUS=MR","FA_ADJUSTED=GAAP","Sort=A","Dates=H","DateFormat=P","Fill=—","Direction=H","UseDPDF=Y")</f>
        <v>14.7951</v>
      </c>
      <c r="U18" s="20">
        <f>_xll.BDH("ITCI US Equity","PX_TO_SALES_RATIO","FQ1 2024","FQ1 2024","Currency=USD","Period=FQ","BEST_FPERIOD_OVERRIDE=FQ","FILING_STATUS=MR","FA_ADJUSTED=GAAP","Sort=A","Dates=H","DateFormat=P","Fill=—","Direction=H","UseDPDF=Y")</f>
        <v>12.9724</v>
      </c>
      <c r="V18" s="20">
        <f>_xll.BDH("ITCI US Equity","PX_TO_SALES_RATIO","FQ2 2024","FQ2 2024","Currency=USD","Period=FQ","BEST_FPERIOD_OVERRIDE=FQ","FILING_STATUS=MR","FA_ADJUSTED=GAAP","Sort=A","Dates=H","DateFormat=P","Fill=—","Direction=H","UseDPDF=Y")</f>
        <v>11.9411</v>
      </c>
      <c r="W18" s="20">
        <f>_xll.BDH("ITCI US Equity","PX_TO_SALES_RATIO","FQ3 2024","FQ3 2024","Currency=USD","Period=FQ","BEST_FPERIOD_OVERRIDE=FQ","FILING_STATUS=MR","FA_ADJUSTED=GAAP","Sort=A","Dates=H","DateFormat=P","Fill=—","Direction=H","UseDPDF=Y")</f>
        <v>12.0318</v>
      </c>
      <c r="X18" s="20">
        <f>_xll.BDH("ITCI US Equity","PX_TO_SALES_RATIO","FQ4 2024","FQ4 2024","Currency=USD","Period=FQ","BEST_FPERIOD_OVERRIDE=FQ","FILING_STATUS=MR","FA_ADJUSTED=GAAP","Sort=A","Dates=H","DateFormat=P","Fill=—","Direction=H","UseDPDF=Y")</f>
        <v>12.6791</v>
      </c>
      <c r="Y18" s="23">
        <v>20.009997089917501</v>
      </c>
      <c r="Z18" s="20">
        <v>15.171948037889001</v>
      </c>
      <c r="AA18" s="20"/>
    </row>
    <row r="19" spans="1:27" x14ac:dyDescent="0.25">
      <c r="A19" s="10" t="s">
        <v>200</v>
      </c>
      <c r="B19" s="10" t="s">
        <v>213</v>
      </c>
      <c r="C19" s="14" t="str">
        <f>_xll.BDH("ITCI US Equity","AVERAGE_PRICE_TO_SALES_RATIO","FQ3 2019","FQ3 2019","Currency=USD","Period=FQ","BEST_FPERIOD_OVERRIDE=FQ","FILING_STATUS=MR","FA_ADJUSTED=GAAP","Sort=A","Dates=H","DateFormat=P","Fill=—","Direction=H","UseDPDF=Y")</f>
        <v>—</v>
      </c>
      <c r="D19" s="14">
        <f>_xll.BDH("ITCI US Equity","AVERAGE_PRICE_TO_SALES_RATIO","FQ4 2019","FQ4 2019","Currency=USD","Period=FQ","BEST_FPERIOD_OVERRIDE=FQ","FILING_STATUS=MR","FA_ADJUSTED=GAAP","Sort=A","Dates=H","DateFormat=P","Fill=—","Direction=H","UseDPDF=Y")</f>
        <v>31289.1322</v>
      </c>
      <c r="E19" s="14">
        <f>_xll.BDH("ITCI US Equity","AVERAGE_PRICE_TO_SALES_RATIO","FQ1 2020","FQ1 2020","Currency=USD","Period=FQ","BEST_FPERIOD_OVERRIDE=FQ","FILING_STATUS=MR","FA_ADJUSTED=GAAP","Sort=A","Dates=H","DateFormat=P","Fill=—","Direction=H","UseDPDF=Y")</f>
        <v>19593.695599999999</v>
      </c>
      <c r="F19" s="14">
        <f>_xll.BDH("ITCI US Equity","AVERAGE_PRICE_TO_SALES_RATIO","FQ2 2020","FQ2 2020","Currency=USD","Period=FQ","BEST_FPERIOD_OVERRIDE=FQ","FILING_STATUS=MR","FA_ADJUSTED=GAAP","Sort=A","Dates=H","DateFormat=P","Fill=—","Direction=H","UseDPDF=Y")</f>
        <v>1126.9854</v>
      </c>
      <c r="G19" s="14">
        <f>_xll.BDH("ITCI US Equity","AVERAGE_PRICE_TO_SALES_RATIO","FQ3 2020","FQ3 2020","Currency=USD","Period=FQ","BEST_FPERIOD_OVERRIDE=FQ","FILING_STATUS=MR","FA_ADJUSTED=GAAP","Sort=A","Dates=H","DateFormat=P","Fill=—","Direction=H","UseDPDF=Y")</f>
        <v>485.28460000000001</v>
      </c>
      <c r="H19" s="14">
        <f>_xll.BDH("ITCI US Equity","AVERAGE_PRICE_TO_SALES_RATIO","FQ4 2020","FQ4 2020","Currency=USD","Period=FQ","BEST_FPERIOD_OVERRIDE=FQ","FILING_STATUS=MR","FA_ADJUSTED=GAAP","Sort=A","Dates=H","DateFormat=P","Fill=—","Direction=H","UseDPDF=Y")</f>
        <v>170.78720000000001</v>
      </c>
      <c r="I19" s="14">
        <f>_xll.BDH("ITCI US Equity","AVERAGE_PRICE_TO_SALES_RATIO","FQ1 2021","FQ1 2021","Currency=USD","Period=FQ","BEST_FPERIOD_OVERRIDE=FQ","FILING_STATUS=MR","FA_ADJUSTED=GAAP","Sort=A","Dates=H","DateFormat=P","Fill=—","Direction=H","UseDPDF=Y")</f>
        <v>112.5401</v>
      </c>
      <c r="J19" s="14">
        <f>_xll.BDH("ITCI US Equity","AVERAGE_PRICE_TO_SALES_RATIO","FQ2 2021","FQ2 2021","Currency=USD","Period=FQ","BEST_FPERIOD_OVERRIDE=FQ","FILING_STATUS=MR","FA_ADJUSTED=GAAP","Sort=A","Dates=H","DateFormat=P","Fill=—","Direction=H","UseDPDF=Y")</f>
        <v>75.652000000000001</v>
      </c>
      <c r="K19" s="14">
        <f>_xll.BDH("ITCI US Equity","AVERAGE_PRICE_TO_SALES_RATIO","FQ3 2021","FQ3 2021","Currency=USD","Period=FQ","BEST_FPERIOD_OVERRIDE=FQ","FILING_STATUS=MR","FA_ADJUSTED=GAAP","Sort=A","Dates=H","DateFormat=P","Fill=—","Direction=H","UseDPDF=Y")</f>
        <v>49.219499999999996</v>
      </c>
      <c r="L19" s="14">
        <f>_xll.BDH("ITCI US Equity","AVERAGE_PRICE_TO_SALES_RATIO","FQ4 2021","FQ4 2021","Currency=USD","Period=FQ","BEST_FPERIOD_OVERRIDE=FQ","FILING_STATUS=MR","FA_ADJUSTED=GAAP","Sort=A","Dates=H","DateFormat=P","Fill=—","Direction=H","UseDPDF=Y")</f>
        <v>48.081499999999998</v>
      </c>
      <c r="M19" s="14">
        <f>_xll.BDH("ITCI US Equity","AVERAGE_PRICE_TO_SALES_RATIO","FQ1 2022","FQ1 2022","Currency=USD","Period=FQ","BEST_FPERIOD_OVERRIDE=FQ","FILING_STATUS=MR","FA_ADJUSTED=GAAP","Sort=A","Dates=H","DateFormat=P","Fill=—","Direction=H","UseDPDF=Y")</f>
        <v>50.228499999999997</v>
      </c>
      <c r="N19" s="14">
        <f>_xll.BDH("ITCI US Equity","AVERAGE_PRICE_TO_SALES_RATIO","FQ2 2022","FQ2 2022","Currency=USD","Period=FQ","BEST_FPERIOD_OVERRIDE=FQ","FILING_STATUS=MR","FA_ADJUSTED=GAAP","Sort=A","Dates=H","DateFormat=P","Fill=—","Direction=H","UseDPDF=Y")</f>
        <v>46.586100000000002</v>
      </c>
      <c r="O19" s="14">
        <f>_xll.BDH("ITCI US Equity","AVERAGE_PRICE_TO_SALES_RATIO","FQ3 2022","FQ3 2022","Currency=USD","Period=FQ","BEST_FPERIOD_OVERRIDE=FQ","FILING_STATUS=MR","FA_ADJUSTED=GAAP","Sort=A","Dates=H","DateFormat=P","Fill=—","Direction=H","UseDPDF=Y")</f>
        <v>33.473399999999998</v>
      </c>
      <c r="P19" s="14">
        <f>_xll.BDH("ITCI US Equity","AVERAGE_PRICE_TO_SALES_RATIO","FQ4 2022","FQ4 2022","Currency=USD","Period=FQ","BEST_FPERIOD_OVERRIDE=FQ","FILING_STATUS=MR","FA_ADJUSTED=GAAP","Sort=A","Dates=H","DateFormat=P","Fill=—","Direction=H","UseDPDF=Y")</f>
        <v>24.436699999999998</v>
      </c>
      <c r="Q19" s="14">
        <f>_xll.BDH("ITCI US Equity","AVERAGE_PRICE_TO_SALES_RATIO","FQ1 2023","FQ1 2023","Currency=USD","Period=FQ","BEST_FPERIOD_OVERRIDE=FQ","FILING_STATUS=MR","FA_ADJUSTED=GAAP","Sort=A","Dates=H","DateFormat=P","Fill=—","Direction=H","UseDPDF=Y")</f>
        <v>18.146899999999999</v>
      </c>
      <c r="R19" s="14">
        <f>_xll.BDH("ITCI US Equity","AVERAGE_PRICE_TO_SALES_RATIO","FQ2 2023","FQ2 2023","Currency=USD","Period=FQ","BEST_FPERIOD_OVERRIDE=FQ","FILING_STATUS=MR","FA_ADJUSTED=GAAP","Sort=A","Dates=H","DateFormat=P","Fill=—","Direction=H","UseDPDF=Y")</f>
        <v>18.957999999999998</v>
      </c>
      <c r="S19" s="14">
        <f>_xll.BDH("ITCI US Equity","AVERAGE_PRICE_TO_SALES_RATIO","FQ3 2023","FQ3 2023","Currency=USD","Period=FQ","BEST_FPERIOD_OVERRIDE=FQ","FILING_STATUS=MR","FA_ADJUSTED=GAAP","Sort=A","Dates=H","DateFormat=P","Fill=—","Direction=H","UseDPDF=Y")</f>
        <v>15.1275</v>
      </c>
      <c r="T19" s="14">
        <f>_xll.BDH("ITCI US Equity","AVERAGE_PRICE_TO_SALES_RATIO","FQ4 2023","FQ4 2023","Currency=USD","Period=FQ","BEST_FPERIOD_OVERRIDE=FQ","FILING_STATUS=MR","FA_ADJUSTED=GAAP","Sort=A","Dates=H","DateFormat=P","Fill=—","Direction=H","UseDPDF=Y")</f>
        <v>13.061500000000001</v>
      </c>
      <c r="U19" s="14">
        <f>_xll.BDH("ITCI US Equity","AVERAGE_PRICE_TO_SALES_RATIO","FQ1 2024","FQ1 2024","Currency=USD","Period=FQ","BEST_FPERIOD_OVERRIDE=FQ","FILING_STATUS=MR","FA_ADJUSTED=GAAP","Sort=A","Dates=H","DateFormat=P","Fill=—","Direction=H","UseDPDF=Y")</f>
        <v>14.176399999999999</v>
      </c>
      <c r="V19" s="14">
        <f>_xll.BDH("ITCI US Equity","AVERAGE_PRICE_TO_SALES_RATIO","FQ2 2024","FQ2 2024","Currency=USD","Period=FQ","BEST_FPERIOD_OVERRIDE=FQ","FILING_STATUS=MR","FA_ADJUSTED=GAAP","Sort=A","Dates=H","DateFormat=P","Fill=—","Direction=H","UseDPDF=Y")</f>
        <v>12.987500000000001</v>
      </c>
      <c r="W19" s="14">
        <f>_xll.BDH("ITCI US Equity","AVERAGE_PRICE_TO_SALES_RATIO","FQ3 2024","FQ3 2024","Currency=USD","Period=FQ","BEST_FPERIOD_OVERRIDE=FQ","FILING_STATUS=MR","FA_ADJUSTED=GAAP","Sort=A","Dates=H","DateFormat=P","Fill=—","Direction=H","UseDPDF=Y")</f>
        <v>13.0922</v>
      </c>
      <c r="X19" s="14">
        <f>_xll.BDH("ITCI US Equity","AVERAGE_PRICE_TO_SALES_RATIO","FQ4 2024","FQ4 2024","Currency=USD","Period=FQ","BEST_FPERIOD_OVERRIDE=FQ","FILING_STATUS=MR","FA_ADJUSTED=GAAP","Sort=A","Dates=H","DateFormat=P","Fill=—","Direction=H","UseDPDF=Y")</f>
        <v>13.495699999999999</v>
      </c>
      <c r="Y19" s="17"/>
      <c r="Z19" s="14"/>
      <c r="AA19" s="14"/>
    </row>
    <row r="20" spans="1:27" x14ac:dyDescent="0.25">
      <c r="A20" s="10" t="s">
        <v>202</v>
      </c>
      <c r="B20" s="10" t="s">
        <v>214</v>
      </c>
      <c r="C20" s="14" t="str">
        <f>_xll.BDH("ITCI US Equity","HIGH_PX_TO_SALES_RATIO","FQ3 2019","FQ3 2019","Currency=USD","Period=FQ","BEST_FPERIOD_OVERRIDE=FQ","FILING_STATUS=MR","FA_ADJUSTED=GAAP","Sort=A","Dates=H","DateFormat=P","Fill=—","Direction=H","UseDPDF=Y")</f>
        <v>—</v>
      </c>
      <c r="D20" s="14">
        <f>_xll.BDH("ITCI US Equity","HIGH_PX_TO_SALES_RATIO","FQ4 2019","FQ4 2019","Currency=USD","Period=FQ","BEST_FPERIOD_OVERRIDE=FQ","FILING_STATUS=MR","FA_ADJUSTED=GAAP","Sort=A","Dates=H","DateFormat=P","Fill=—","Direction=H","UseDPDF=Y")</f>
        <v>31672.1528</v>
      </c>
      <c r="E20" s="14">
        <f>_xll.BDH("ITCI US Equity","HIGH_PX_TO_SALES_RATIO","FQ1 2020","FQ1 2020","Currency=USD","Period=FQ","BEST_FPERIOD_OVERRIDE=FQ","FILING_STATUS=MR","FA_ADJUSTED=GAAP","Sort=A","Dates=H","DateFormat=P","Fill=—","Direction=H","UseDPDF=Y")</f>
        <v>31289.1322</v>
      </c>
      <c r="F20" s="14">
        <f>_xll.BDH("ITCI US Equity","HIGH_PX_TO_SALES_RATIO","FQ2 2020","FQ2 2020","Currency=USD","Period=FQ","BEST_FPERIOD_OVERRIDE=FQ","FILING_STATUS=MR","FA_ADJUSTED=GAAP","Sort=A","Dates=H","DateFormat=P","Fill=—","Direction=H","UseDPDF=Y")</f>
        <v>1558.7748999999999</v>
      </c>
      <c r="G20" s="14">
        <f>_xll.BDH("ITCI US Equity","HIGH_PX_TO_SALES_RATIO","FQ3 2020","FQ3 2020","Currency=USD","Period=FQ","BEST_FPERIOD_OVERRIDE=FQ","FILING_STATUS=MR","FA_ADJUSTED=GAAP","Sort=A","Dates=H","DateFormat=P","Fill=—","Direction=H","UseDPDF=Y")</f>
        <v>726.529</v>
      </c>
      <c r="H20" s="14">
        <f>_xll.BDH("ITCI US Equity","HIGH_PX_TO_SALES_RATIO","FQ4 2020","FQ4 2020","Currency=USD","Period=FQ","BEST_FPERIOD_OVERRIDE=FQ","FILING_STATUS=MR","FA_ADJUSTED=GAAP","Sort=A","Dates=H","DateFormat=P","Fill=—","Direction=H","UseDPDF=Y")</f>
        <v>213.55869999999999</v>
      </c>
      <c r="I20" s="14">
        <f>_xll.BDH("ITCI US Equity","HIGH_PX_TO_SALES_RATIO","FQ1 2021","FQ1 2021","Currency=USD","Period=FQ","BEST_FPERIOD_OVERRIDE=FQ","FILING_STATUS=MR","FA_ADJUSTED=GAAP","Sort=A","Dates=H","DateFormat=P","Fill=—","Direction=H","UseDPDF=Y")</f>
        <v>130.5521</v>
      </c>
      <c r="J20" s="14">
        <f>_xll.BDH("ITCI US Equity","HIGH_PX_TO_SALES_RATIO","FQ2 2021","FQ2 2021","Currency=USD","Period=FQ","BEST_FPERIOD_OVERRIDE=FQ","FILING_STATUS=MR","FA_ADJUSTED=GAAP","Sort=A","Dates=H","DateFormat=P","Fill=—","Direction=H","UseDPDF=Y")</f>
        <v>92.191299999999998</v>
      </c>
      <c r="K20" s="14">
        <f>_xll.BDH("ITCI US Equity","HIGH_PX_TO_SALES_RATIO","FQ3 2021","FQ3 2021","Currency=USD","Period=FQ","BEST_FPERIOD_OVERRIDE=FQ","FILING_STATUS=MR","FA_ADJUSTED=GAAP","Sort=A","Dates=H","DateFormat=P","Fill=—","Direction=H","UseDPDF=Y")</f>
        <v>61.0625</v>
      </c>
      <c r="L20" s="14">
        <f>_xll.BDH("ITCI US Equity","HIGH_PX_TO_SALES_RATIO","FQ4 2021","FQ4 2021","Currency=USD","Period=FQ","BEST_FPERIOD_OVERRIDE=FQ","FILING_STATUS=MR","FA_ADJUSTED=GAAP","Sort=A","Dates=H","DateFormat=P","Fill=—","Direction=H","UseDPDF=Y")</f>
        <v>63.368000000000002</v>
      </c>
      <c r="M20" s="14">
        <f>_xll.BDH("ITCI US Equity","HIGH_PX_TO_SALES_RATIO","FQ1 2022","FQ1 2022","Currency=USD","Period=FQ","BEST_FPERIOD_OVERRIDE=FQ","FILING_STATUS=MR","FA_ADJUSTED=GAAP","Sort=A","Dates=H","DateFormat=P","Fill=—","Direction=H","UseDPDF=Y")</f>
        <v>63.718899999999998</v>
      </c>
      <c r="N20" s="14">
        <f>_xll.BDH("ITCI US Equity","HIGH_PX_TO_SALES_RATIO","FQ2 2022","FQ2 2022","Currency=USD","Period=FQ","BEST_FPERIOD_OVERRIDE=FQ","FILING_STATUS=MR","FA_ADJUSTED=GAAP","Sort=A","Dates=H","DateFormat=P","Fill=—","Direction=H","UseDPDF=Y")</f>
        <v>54.422199999999997</v>
      </c>
      <c r="O20" s="14">
        <f>_xll.BDH("ITCI US Equity","HIGH_PX_TO_SALES_RATIO","FQ3 2022","FQ3 2022","Currency=USD","Period=FQ","BEST_FPERIOD_OVERRIDE=FQ","FILING_STATUS=MR","FA_ADJUSTED=GAAP","Sort=A","Dates=H","DateFormat=P","Fill=—","Direction=H","UseDPDF=Y")</f>
        <v>39.217500000000001</v>
      </c>
      <c r="P20" s="14">
        <f>_xll.BDH("ITCI US Equity","HIGH_PX_TO_SALES_RATIO","FQ4 2022","FQ4 2022","Currency=USD","Period=FQ","BEST_FPERIOD_OVERRIDE=FQ","FILING_STATUS=MR","FA_ADJUSTED=GAAP","Sort=A","Dates=H","DateFormat=P","Fill=—","Direction=H","UseDPDF=Y")</f>
        <v>26.923100000000002</v>
      </c>
      <c r="Q20" s="14">
        <f>_xll.BDH("ITCI US Equity","HIGH_PX_TO_SALES_RATIO","FQ1 2023","FQ1 2023","Currency=USD","Period=FQ","BEST_FPERIOD_OVERRIDE=FQ","FILING_STATUS=MR","FA_ADJUSTED=GAAP","Sort=A","Dates=H","DateFormat=P","Fill=—","Direction=H","UseDPDF=Y")</f>
        <v>21.806699999999999</v>
      </c>
      <c r="R20" s="14">
        <f>_xll.BDH("ITCI US Equity","HIGH_PX_TO_SALES_RATIO","FQ2 2023","FQ2 2023","Currency=USD","Period=FQ","BEST_FPERIOD_OVERRIDE=FQ","FILING_STATUS=MR","FA_ADJUSTED=GAAP","Sort=A","Dates=H","DateFormat=P","Fill=—","Direction=H","UseDPDF=Y")</f>
        <v>20.4481</v>
      </c>
      <c r="S20" s="14">
        <f>_xll.BDH("ITCI US Equity","HIGH_PX_TO_SALES_RATIO","FQ3 2023","FQ3 2023","Currency=USD","Period=FQ","BEST_FPERIOD_OVERRIDE=FQ","FILING_STATUS=MR","FA_ADJUSTED=GAAP","Sort=A","Dates=H","DateFormat=P","Fill=—","Direction=H","UseDPDF=Y")</f>
        <v>16.908300000000001</v>
      </c>
      <c r="T20" s="14">
        <f>_xll.BDH("ITCI US Equity","HIGH_PX_TO_SALES_RATIO","FQ4 2023","FQ4 2023","Currency=USD","Period=FQ","BEST_FPERIOD_OVERRIDE=FQ","FILING_STATUS=MR","FA_ADJUSTED=GAAP","Sort=A","Dates=H","DateFormat=P","Fill=—","Direction=H","UseDPDF=Y")</f>
        <v>16.870200000000001</v>
      </c>
      <c r="U20" s="14">
        <f>_xll.BDH("ITCI US Equity","HIGH_PX_TO_SALES_RATIO","FQ1 2024","FQ1 2024","Currency=USD","Period=FQ","BEST_FPERIOD_OVERRIDE=FQ","FILING_STATUS=MR","FA_ADJUSTED=GAAP","Sort=A","Dates=H","DateFormat=P","Fill=—","Direction=H","UseDPDF=Y")</f>
        <v>15.7226</v>
      </c>
      <c r="V20" s="14">
        <f>_xll.BDH("ITCI US Equity","HIGH_PX_TO_SALES_RATIO","FQ2 2024","FQ2 2024","Currency=USD","Period=FQ","BEST_FPERIOD_OVERRIDE=FQ","FILING_STATUS=MR","FA_ADJUSTED=GAAP","Sort=A","Dates=H","DateFormat=P","Fill=—","Direction=H","UseDPDF=Y")</f>
        <v>15.9137</v>
      </c>
      <c r="W20" s="14">
        <f>_xll.BDH("ITCI US Equity","HIGH_PX_TO_SALES_RATIO","FQ3 2024","FQ3 2024","Currency=USD","Period=FQ","BEST_FPERIOD_OVERRIDE=FQ","FILING_STATUS=MR","FA_ADJUSTED=GAAP","Sort=A","Dates=H","DateFormat=P","Fill=—","Direction=H","UseDPDF=Y")</f>
        <v>14.2966</v>
      </c>
      <c r="X20" s="14">
        <f>_xll.BDH("ITCI US Equity","HIGH_PX_TO_SALES_RATIO","FQ4 2024","FQ4 2024","Currency=USD","Period=FQ","BEST_FPERIOD_OVERRIDE=FQ","FILING_STATUS=MR","FA_ADJUSTED=GAAP","Sort=A","Dates=H","DateFormat=P","Fill=—","Direction=H","UseDPDF=Y")</f>
        <v>15.3665</v>
      </c>
      <c r="Y20" s="17"/>
      <c r="Z20" s="14"/>
      <c r="AA20" s="14"/>
    </row>
    <row r="21" spans="1:27" x14ac:dyDescent="0.25">
      <c r="A21" s="10" t="s">
        <v>204</v>
      </c>
      <c r="B21" s="10" t="s">
        <v>215</v>
      </c>
      <c r="C21" s="14" t="str">
        <f>_xll.BDH("ITCI US Equity","LOW_PX_TO_SALES_RATIO","FQ3 2019","FQ3 2019","Currency=USD","Period=FQ","BEST_FPERIOD_OVERRIDE=FQ","FILING_STATUS=MR","FA_ADJUSTED=GAAP","Sort=A","Dates=H","DateFormat=P","Fill=—","Direction=H","UseDPDF=Y")</f>
        <v>—</v>
      </c>
      <c r="D21" s="14">
        <f>_xll.BDH("ITCI US Equity","LOW_PX_TO_SALES_RATIO","FQ4 2019","FQ4 2019","Currency=USD","Period=FQ","BEST_FPERIOD_OVERRIDE=FQ","FILING_STATUS=MR","FA_ADJUSTED=GAAP","Sort=A","Dates=H","DateFormat=P","Fill=—","Direction=H","UseDPDF=Y")</f>
        <v>29975.918900000001</v>
      </c>
      <c r="E21" s="14">
        <f>_xll.BDH("ITCI US Equity","LOW_PX_TO_SALES_RATIO","FQ1 2020","FQ1 2020","Currency=USD","Period=FQ","BEST_FPERIOD_OVERRIDE=FQ","FILING_STATUS=MR","FA_ADJUSTED=GAAP","Sort=A","Dates=H","DateFormat=P","Fill=—","Direction=H","UseDPDF=Y")</f>
        <v>843.37329999999997</v>
      </c>
      <c r="F21" s="14">
        <f>_xll.BDH("ITCI US Equity","LOW_PX_TO_SALES_RATIO","FQ2 2020","FQ2 2020","Currency=USD","Period=FQ","BEST_FPERIOD_OVERRIDE=FQ","FILING_STATUS=MR","FA_ADJUSTED=GAAP","Sort=A","Dates=H","DateFormat=P","Fill=—","Direction=H","UseDPDF=Y")</f>
        <v>531.68399999999997</v>
      </c>
      <c r="G21" s="14">
        <f>_xll.BDH("ITCI US Equity","LOW_PX_TO_SALES_RATIO","FQ3 2020","FQ3 2020","Currency=USD","Period=FQ","BEST_FPERIOD_OVERRIDE=FQ","FILING_STATUS=MR","FA_ADJUSTED=GAAP","Sort=A","Dates=H","DateFormat=P","Fill=—","Direction=H","UseDPDF=Y")</f>
        <v>165.07329999999999</v>
      </c>
      <c r="H21" s="14">
        <f>_xll.BDH("ITCI US Equity","LOW_PX_TO_SALES_RATIO","FQ4 2020","FQ4 2020","Currency=USD","Period=FQ","BEST_FPERIOD_OVERRIDE=FQ","FILING_STATUS=MR","FA_ADJUSTED=GAAP","Sort=A","Dates=H","DateFormat=P","Fill=—","Direction=H","UseDPDF=Y")</f>
        <v>103.2864</v>
      </c>
      <c r="I21" s="14">
        <f>_xll.BDH("ITCI US Equity","LOW_PX_TO_SALES_RATIO","FQ1 2021","FQ1 2021","Currency=USD","Period=FQ","BEST_FPERIOD_OVERRIDE=FQ","FILING_STATUS=MR","FA_ADJUSTED=GAAP","Sort=A","Dates=H","DateFormat=P","Fill=—","Direction=H","UseDPDF=Y")</f>
        <v>66.879800000000003</v>
      </c>
      <c r="J21" s="14">
        <f>_xll.BDH("ITCI US Equity","LOW_PX_TO_SALES_RATIO","FQ2 2021","FQ2 2021","Currency=USD","Period=FQ","BEST_FPERIOD_OVERRIDE=FQ","FILING_STATUS=MR","FA_ADJUSTED=GAAP","Sort=A","Dates=H","DateFormat=P","Fill=—","Direction=H","UseDPDF=Y")</f>
        <v>55.792900000000003</v>
      </c>
      <c r="K21" s="14">
        <f>_xll.BDH("ITCI US Equity","LOW_PX_TO_SALES_RATIO","FQ3 2021","FQ3 2021","Currency=USD","Period=FQ","BEST_FPERIOD_OVERRIDE=FQ","FILING_STATUS=MR","FA_ADJUSTED=GAAP","Sort=A","Dates=H","DateFormat=P","Fill=—","Direction=H","UseDPDF=Y")</f>
        <v>40.338999999999999</v>
      </c>
      <c r="L21" s="14">
        <f>_xll.BDH("ITCI US Equity","LOW_PX_TO_SALES_RATIO","FQ4 2021","FQ4 2021","Currency=USD","Period=FQ","BEST_FPERIOD_OVERRIDE=FQ","FILING_STATUS=MR","FA_ADJUSTED=GAAP","Sort=A","Dates=H","DateFormat=P","Fill=—","Direction=H","UseDPDF=Y")</f>
        <v>39.528199999999998</v>
      </c>
      <c r="M21" s="14">
        <f>_xll.BDH("ITCI US Equity","LOW_PX_TO_SALES_RATIO","FQ1 2022","FQ1 2022","Currency=USD","Period=FQ","BEST_FPERIOD_OVERRIDE=FQ","FILING_STATUS=MR","FA_ADJUSTED=GAAP","Sort=A","Dates=H","DateFormat=P","Fill=—","Direction=H","UseDPDF=Y")</f>
        <v>37.352499999999999</v>
      </c>
      <c r="N21" s="14">
        <f>_xll.BDH("ITCI US Equity","LOW_PX_TO_SALES_RATIO","FQ2 2022","FQ2 2022","Currency=USD","Period=FQ","BEST_FPERIOD_OVERRIDE=FQ","FILING_STATUS=MR","FA_ADJUSTED=GAAP","Sort=A","Dates=H","DateFormat=P","Fill=—","Direction=H","UseDPDF=Y")</f>
        <v>34.978700000000003</v>
      </c>
      <c r="O21" s="14">
        <f>_xll.BDH("ITCI US Equity","LOW_PX_TO_SALES_RATIO","FQ3 2022","FQ3 2022","Currency=USD","Period=FQ","BEST_FPERIOD_OVERRIDE=FQ","FILING_STATUS=MR","FA_ADJUSTED=GAAP","Sort=A","Dates=H","DateFormat=P","Fill=—","Direction=H","UseDPDF=Y")</f>
        <v>22.145499999999998</v>
      </c>
      <c r="P21" s="14">
        <f>_xll.BDH("ITCI US Equity","LOW_PX_TO_SALES_RATIO","FQ4 2022","FQ4 2022","Currency=USD","Period=FQ","BEST_FPERIOD_OVERRIDE=FQ","FILING_STATUS=MR","FA_ADJUSTED=GAAP","Sort=A","Dates=H","DateFormat=P","Fill=—","Direction=H","UseDPDF=Y")</f>
        <v>19.776700000000002</v>
      </c>
      <c r="Q21" s="14">
        <f>_xll.BDH("ITCI US Equity","LOW_PX_TO_SALES_RATIO","FQ1 2023","FQ1 2023","Currency=USD","Period=FQ","BEST_FPERIOD_OVERRIDE=FQ","FILING_STATUS=MR","FA_ADJUSTED=GAAP","Sort=A","Dates=H","DateFormat=P","Fill=—","Direction=H","UseDPDF=Y")</f>
        <v>15.822100000000001</v>
      </c>
      <c r="R21" s="14">
        <f>_xll.BDH("ITCI US Equity","LOW_PX_TO_SALES_RATIO","FQ2 2023","FQ2 2023","Currency=USD","Period=FQ","BEST_FPERIOD_OVERRIDE=FQ","FILING_STATUS=MR","FA_ADJUSTED=GAAP","Sort=A","Dates=H","DateFormat=P","Fill=—","Direction=H","UseDPDF=Y")</f>
        <v>16.120100000000001</v>
      </c>
      <c r="S21" s="14">
        <f>_xll.BDH("ITCI US Equity","LOW_PX_TO_SALES_RATIO","FQ3 2023","FQ3 2023","Currency=USD","Period=FQ","BEST_FPERIOD_OVERRIDE=FQ","FILING_STATUS=MR","FA_ADJUSTED=GAAP","Sort=A","Dates=H","DateFormat=P","Fill=—","Direction=H","UseDPDF=Y")</f>
        <v>11.8124</v>
      </c>
      <c r="T21" s="14">
        <f>_xll.BDH("ITCI US Equity","LOW_PX_TO_SALES_RATIO","FQ4 2023","FQ4 2023","Currency=USD","Period=FQ","BEST_FPERIOD_OVERRIDE=FQ","FILING_STATUS=MR","FA_ADJUSTED=GAAP","Sort=A","Dates=H","DateFormat=P","Fill=—","Direction=H","UseDPDF=Y")</f>
        <v>10.3498</v>
      </c>
      <c r="U21" s="14">
        <f>_xll.BDH("ITCI US Equity","LOW_PX_TO_SALES_RATIO","FQ1 2024","FQ1 2024","Currency=USD","Period=FQ","BEST_FPERIOD_OVERRIDE=FQ","FILING_STATUS=MR","FA_ADJUSTED=GAAP","Sort=A","Dates=H","DateFormat=P","Fill=—","Direction=H","UseDPDF=Y")</f>
        <v>12.7737</v>
      </c>
      <c r="V21" s="14">
        <f>_xll.BDH("ITCI US Equity","LOW_PX_TO_SALES_RATIO","FQ2 2024","FQ2 2024","Currency=USD","Period=FQ","BEST_FPERIOD_OVERRIDE=FQ","FILING_STATUS=MR","FA_ADJUSTED=GAAP","Sort=A","Dates=H","DateFormat=P","Fill=—","Direction=H","UseDPDF=Y")</f>
        <v>11.8017</v>
      </c>
      <c r="W21" s="14">
        <f>_xll.BDH("ITCI US Equity","LOW_PX_TO_SALES_RATIO","FQ3 2024","FQ3 2024","Currency=USD","Period=FQ","BEST_FPERIOD_OVERRIDE=FQ","FILING_STATUS=MR","FA_ADJUSTED=GAAP","Sort=A","Dates=H","DateFormat=P","Fill=—","Direction=H","UseDPDF=Y")</f>
        <v>11.552300000000001</v>
      </c>
      <c r="X21" s="14">
        <f>_xll.BDH("ITCI US Equity","LOW_PX_TO_SALES_RATIO","FQ4 2024","FQ4 2024","Currency=USD","Period=FQ","BEST_FPERIOD_OVERRIDE=FQ","FILING_STATUS=MR","FA_ADJUSTED=GAAP","Sort=A","Dates=H","DateFormat=P","Fill=—","Direction=H","UseDPDF=Y")</f>
        <v>11.6585</v>
      </c>
      <c r="Y21" s="17"/>
      <c r="Z21" s="14"/>
      <c r="AA21" s="14"/>
    </row>
    <row r="22" spans="1:27" x14ac:dyDescent="0.25">
      <c r="A22" s="6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1"/>
      <c r="Z22" s="18"/>
      <c r="AA22" s="18"/>
    </row>
    <row r="23" spans="1:27" x14ac:dyDescent="0.25">
      <c r="A23" s="6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21"/>
      <c r="Z23" s="18"/>
      <c r="AA23" s="18"/>
    </row>
    <row r="24" spans="1:27" x14ac:dyDescent="0.25">
      <c r="A24" s="6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21"/>
      <c r="Z24" s="18"/>
      <c r="AA24" s="18"/>
    </row>
    <row r="25" spans="1:27" x14ac:dyDescent="0.25">
      <c r="A25" s="6" t="s">
        <v>177</v>
      </c>
      <c r="B25" s="6" t="s">
        <v>178</v>
      </c>
      <c r="C25" s="20" t="str">
        <f>_xll.BDH("ITCI US Equity","EV_TO_T12M_SALES","FQ3 2019","FQ3 2019","Currency=USD","Period=FQ","BEST_FPERIOD_OVERRIDE=FQ","FILING_STATUS=MR","FA_ADJUSTED=GAAP","Sort=A","Dates=H","DateFormat=P","Fill=—","Direction=H","UseDPDF=Y")</f>
        <v>—</v>
      </c>
      <c r="D25" s="20">
        <f>_xll.BDH("ITCI US Equity","EV_TO_T12M_SALES","FQ4 2019","FQ4 2019","Currency=USD","Period=FQ","BEST_FPERIOD_OVERRIDE=FQ","FILING_STATUS=MR","FA_ADJUSTED=GAAP","Sort=A","Dates=H","DateFormat=P","Fill=—","Direction=H","UseDPDF=Y")</f>
        <v>28106.093700000001</v>
      </c>
      <c r="E25" s="20">
        <f>_xll.BDH("ITCI US Equity","EV_TO_T12M_SALES","FQ1 2020","FQ1 2020","Currency=USD","Period=FQ","BEST_FPERIOD_OVERRIDE=FQ","FILING_STATUS=MR","FA_ADJUSTED=GAAP","Sort=A","Dates=H","DateFormat=P","Fill=—","Direction=H","UseDPDF=Y")</f>
        <v>516.9873</v>
      </c>
      <c r="F25" s="20">
        <f>_xll.BDH("ITCI US Equity","EV_TO_T12M_SALES","FQ2 2020","FQ2 2020","Currency=USD","Period=FQ","BEST_FPERIOD_OVERRIDE=FQ","FILING_STATUS=MR","FA_ADJUSTED=GAAP","Sort=A","Dates=H","DateFormat=P","Fill=—","Direction=H","UseDPDF=Y")</f>
        <v>436.47210000000001</v>
      </c>
      <c r="G25" s="20">
        <f>_xll.BDH("ITCI US Equity","EV_TO_T12M_SALES","FQ3 2020","FQ3 2020","Currency=USD","Period=FQ","BEST_FPERIOD_OVERRIDE=FQ","FILING_STATUS=MR","FA_ADJUSTED=GAAP","Sort=A","Dates=H","DateFormat=P","Fill=—","Direction=H","UseDPDF=Y")</f>
        <v>130.87739999999999</v>
      </c>
      <c r="H25" s="20">
        <f>_xll.BDH("ITCI US Equity","EV_TO_T12M_SALES","FQ4 2020","FQ4 2020","Currency=USD","Period=FQ","BEST_FPERIOD_OVERRIDE=FQ","FILING_STATUS=MR","FA_ADJUSTED=GAAP","Sort=A","Dates=H","DateFormat=P","Fill=—","Direction=H","UseDPDF=Y")</f>
        <v>84.619399999999999</v>
      </c>
      <c r="I25" s="20">
        <f>_xll.BDH("ITCI US Equity","EV_TO_T12M_SALES","FQ1 2021","FQ1 2021","Currency=USD","Period=FQ","BEST_FPERIOD_OVERRIDE=FQ","FILING_STATUS=MR","FA_ADJUSTED=GAAP","Sort=A","Dates=H","DateFormat=P","Fill=—","Direction=H","UseDPDF=Y")</f>
        <v>57.677300000000002</v>
      </c>
      <c r="J25" s="20">
        <f>_xll.BDH("ITCI US Equity","EV_TO_T12M_SALES","FQ2 2021","FQ2 2021","Currency=USD","Period=FQ","BEST_FPERIOD_OVERRIDE=FQ","FILING_STATUS=MR","FA_ADJUSTED=GAAP","Sort=A","Dates=H","DateFormat=P","Fill=—","Direction=H","UseDPDF=Y")</f>
        <v>50.076900000000002</v>
      </c>
      <c r="K25" s="20">
        <f>_xll.BDH("ITCI US Equity","EV_TO_T12M_SALES","FQ3 2021","FQ3 2021","Currency=USD","Period=FQ","BEST_FPERIOD_OVERRIDE=FQ","FILING_STATUS=MR","FA_ADJUSTED=GAAP","Sort=A","Dates=H","DateFormat=P","Fill=—","Direction=H","UseDPDF=Y")</f>
        <v>36.591700000000003</v>
      </c>
      <c r="L25" s="20">
        <f>_xll.BDH("ITCI US Equity","EV_TO_T12M_SALES","FQ4 2021","FQ4 2021","Currency=USD","Period=FQ","BEST_FPERIOD_OVERRIDE=FQ","FILING_STATUS=MR","FA_ADJUSTED=GAAP","Sort=A","Dates=H","DateFormat=P","Fill=—","Direction=H","UseDPDF=Y")</f>
        <v>46.526200000000003</v>
      </c>
      <c r="M25" s="20">
        <f>_xll.BDH("ITCI US Equity","EV_TO_T12M_SALES","FQ1 2022","FQ1 2022","Currency=USD","Period=FQ","BEST_FPERIOD_OVERRIDE=FQ","FILING_STATUS=MR","FA_ADJUSTED=GAAP","Sort=A","Dates=H","DateFormat=P","Fill=—","Direction=H","UseDPDF=Y")</f>
        <v>48.636000000000003</v>
      </c>
      <c r="N25" s="20">
        <f>_xll.BDH("ITCI US Equity","EV_TO_T12M_SALES","FQ2 2022","FQ2 2022","Currency=USD","Period=FQ","BEST_FPERIOD_OVERRIDE=FQ","FILING_STATUS=MR","FA_ADJUSTED=GAAP","Sort=A","Dates=H","DateFormat=P","Fill=—","Direction=H","UseDPDF=Y")</f>
        <v>34.2027</v>
      </c>
      <c r="O25" s="20">
        <f>_xll.BDH("ITCI US Equity","EV_TO_T12M_SALES","FQ3 2022","FQ3 2022","Currency=USD","Period=FQ","BEST_FPERIOD_OVERRIDE=FQ","FILING_STATUS=MR","FA_ADJUSTED=GAAP","Sort=A","Dates=H","DateFormat=P","Fill=—","Direction=H","UseDPDF=Y")</f>
        <v>20.222300000000001</v>
      </c>
      <c r="P25" s="20">
        <f>_xll.BDH("ITCI US Equity","EV_TO_T12M_SALES","FQ4 2022","FQ4 2022","Currency=USD","Period=FQ","BEST_FPERIOD_OVERRIDE=FQ","FILING_STATUS=MR","FA_ADJUSTED=GAAP","Sort=A","Dates=H","DateFormat=P","Fill=—","Direction=H","UseDPDF=Y")</f>
        <v>17.7638</v>
      </c>
      <c r="Q25" s="20">
        <f>_xll.BDH("ITCI US Equity","EV_TO_T12M_SALES","FQ1 2023","FQ1 2023","Currency=USD","Period=FQ","BEST_FPERIOD_OVERRIDE=FQ","FILING_STATUS=MR","FA_ADJUSTED=GAAP","Sort=A","Dates=H","DateFormat=P","Fill=—","Direction=H","UseDPDF=Y")</f>
        <v>15.004799999999999</v>
      </c>
      <c r="R25" s="20">
        <f>_xll.BDH("ITCI US Equity","EV_TO_T12M_SALES","FQ2 2023","FQ2 2023","Currency=USD","Period=FQ","BEST_FPERIOD_OVERRIDE=FQ","FILING_STATUS=MR","FA_ADJUSTED=GAAP","Sort=A","Dates=H","DateFormat=P","Fill=—","Direction=H","UseDPDF=Y")</f>
        <v>15.277699999999999</v>
      </c>
      <c r="S25" s="20">
        <f>_xll.BDH("ITCI US Equity","EV_TO_T12M_SALES","FQ3 2023","FQ3 2023","Currency=USD","Period=FQ","BEST_FPERIOD_OVERRIDE=FQ","FILING_STATUS=MR","FA_ADJUSTED=GAAP","Sort=A","Dates=H","DateFormat=P","Fill=—","Direction=H","UseDPDF=Y")</f>
        <v>10.798400000000001</v>
      </c>
      <c r="T25" s="20">
        <f>_xll.BDH("ITCI US Equity","EV_TO_T12M_SALES","FQ4 2023","FQ4 2023","Currency=USD","Period=FQ","BEST_FPERIOD_OVERRIDE=FQ","FILING_STATUS=MR","FA_ADJUSTED=GAAP","Sort=A","Dates=H","DateFormat=P","Fill=—","Direction=H","UseDPDF=Y")</f>
        <v>13.828900000000001</v>
      </c>
      <c r="U25" s="20">
        <f>_xll.BDH("ITCI US Equity","EV_TO_T12M_SALES","FQ1 2024","FQ1 2024","Currency=USD","Period=FQ","BEST_FPERIOD_OVERRIDE=FQ","FILING_STATUS=MR","FA_ADJUSTED=GAAP","Sort=A","Dates=H","DateFormat=P","Fill=—","Direction=H","UseDPDF=Y")</f>
        <v>12.2317</v>
      </c>
      <c r="V25" s="20">
        <f>_xll.BDH("ITCI US Equity","EV_TO_T12M_SALES","FQ2 2024","FQ2 2024","Currency=USD","Period=FQ","BEST_FPERIOD_OVERRIDE=FQ","FILING_STATUS=MR","FA_ADJUSTED=GAAP","Sort=A","Dates=H","DateFormat=P","Fill=—","Direction=H","UseDPDF=Y")</f>
        <v>11.0352</v>
      </c>
      <c r="W25" s="20">
        <f>_xll.BDH("ITCI US Equity","EV_TO_T12M_SALES","FQ3 2024","FQ3 2024","Currency=USD","Period=FQ","BEST_FPERIOD_OVERRIDE=FQ","FILING_STATUS=MR","FA_ADJUSTED=GAAP","Sort=A","Dates=H","DateFormat=P","Fill=—","Direction=H","UseDPDF=Y")</f>
        <v>11.026199999999999</v>
      </c>
      <c r="X25" s="20">
        <f>_xll.BDH("ITCI US Equity","EV_TO_T12M_SALES","FQ4 2024","FQ4 2024","Currency=USD","Period=FQ","BEST_FPERIOD_OVERRIDE=FQ","FILING_STATUS=MR","FA_ADJUSTED=GAAP","Sort=A","Dates=H","DateFormat=P","Fill=—","Direction=H","UseDPDF=Y")</f>
        <v>11.5871</v>
      </c>
      <c r="Y25" s="23">
        <v>19.1392583896647</v>
      </c>
      <c r="Z25" s="20">
        <v>14.106633129223299</v>
      </c>
      <c r="AA25" s="20"/>
    </row>
    <row r="26" spans="1:27" x14ac:dyDescent="0.25">
      <c r="A26" s="10" t="s">
        <v>200</v>
      </c>
      <c r="B26" s="10" t="s">
        <v>216</v>
      </c>
      <c r="C26" s="14" t="str">
        <f>_xll.BDH("ITCI US Equity","AVERAGE_EV_TO_T12M_SALES","FQ3 2019","FQ3 2019","Currency=USD","Period=FQ","BEST_FPERIOD_OVERRIDE=FQ","FILING_STATUS=MR","FA_ADJUSTED=GAAP","Sort=A","Dates=H","DateFormat=P","Fill=—","Direction=H","UseDPDF=Y")</f>
        <v>—</v>
      </c>
      <c r="D26" s="14">
        <f>_xll.BDH("ITCI US Equity","AVERAGE_EV_TO_T12M_SALES","FQ4 2019","FQ4 2019","Currency=USD","Period=FQ","BEST_FPERIOD_OVERRIDE=FQ","FILING_STATUS=MR","FA_ADJUSTED=GAAP","Sort=A","Dates=H","DateFormat=P","Fill=—","Direction=H","UseDPDF=Y")</f>
        <v>27966.579300000001</v>
      </c>
      <c r="E26" s="14">
        <f>_xll.BDH("ITCI US Equity","AVERAGE_EV_TO_T12M_SALES","FQ1 2020","FQ1 2020","Currency=USD","Period=FQ","BEST_FPERIOD_OVERRIDE=FQ","FILING_STATUS=MR","FA_ADJUSTED=GAAP","Sort=A","Dates=H","DateFormat=P","Fill=—","Direction=H","UseDPDF=Y")</f>
        <v>19609.2163</v>
      </c>
      <c r="F26" s="14">
        <f>_xll.BDH("ITCI US Equity","AVERAGE_EV_TO_T12M_SALES","FQ2 2020","FQ2 2020","Currency=USD","Period=FQ","BEST_FPERIOD_OVERRIDE=FQ","FILING_STATUS=MR","FA_ADJUSTED=GAAP","Sort=A","Dates=H","DateFormat=P","Fill=—","Direction=H","UseDPDF=Y")</f>
        <v>790.90700000000004</v>
      </c>
      <c r="G26" s="14">
        <f>_xll.BDH("ITCI US Equity","AVERAGE_EV_TO_T12M_SALES","FQ3 2020","FQ3 2020","Currency=USD","Period=FQ","BEST_FPERIOD_OVERRIDE=FQ","FILING_STATUS=MR","FA_ADJUSTED=GAAP","Sort=A","Dates=H","DateFormat=P","Fill=—","Direction=H","UseDPDF=Y")</f>
        <v>391.63080000000002</v>
      </c>
      <c r="H26" s="14">
        <f>_xll.BDH("ITCI US Equity","AVERAGE_EV_TO_T12M_SALES","FQ4 2020","FQ4 2020","Currency=USD","Period=FQ","BEST_FPERIOD_OVERRIDE=FQ","FILING_STATUS=MR","FA_ADJUSTED=GAAP","Sort=A","Dates=H","DateFormat=P","Fill=—","Direction=H","UseDPDF=Y")</f>
        <v>132.45670000000001</v>
      </c>
      <c r="I26" s="14">
        <f>_xll.BDH("ITCI US Equity","AVERAGE_EV_TO_T12M_SALES","FQ1 2021","FQ1 2021","Currency=USD","Period=FQ","BEST_FPERIOD_OVERRIDE=FQ","FILING_STATUS=MR","FA_ADJUSTED=GAAP","Sort=A","Dates=H","DateFormat=P","Fill=—","Direction=H","UseDPDF=Y")</f>
        <v>94.240099999999998</v>
      </c>
      <c r="J26" s="14">
        <f>_xll.BDH("ITCI US Equity","AVERAGE_EV_TO_T12M_SALES","FQ2 2021","FQ2 2021","Currency=USD","Period=FQ","BEST_FPERIOD_OVERRIDE=FQ","FILING_STATUS=MR","FA_ADJUSTED=GAAP","Sort=A","Dates=H","DateFormat=P","Fill=—","Direction=H","UseDPDF=Y")</f>
        <v>63.873100000000001</v>
      </c>
      <c r="K26" s="14">
        <f>_xll.BDH("ITCI US Equity","AVERAGE_EV_TO_T12M_SALES","FQ3 2021","FQ3 2021","Currency=USD","Period=FQ","BEST_FPERIOD_OVERRIDE=FQ","FILING_STATUS=MR","FA_ADJUSTED=GAAP","Sort=A","Dates=H","DateFormat=P","Fill=—","Direction=H","UseDPDF=Y")</f>
        <v>41.093000000000004</v>
      </c>
      <c r="L26" s="14">
        <f>_xll.BDH("ITCI US Equity","AVERAGE_EV_TO_T12M_SALES","FQ4 2021","FQ4 2021","Currency=USD","Period=FQ","BEST_FPERIOD_OVERRIDE=FQ","FILING_STATUS=MR","FA_ADJUSTED=GAAP","Sort=A","Dates=H","DateFormat=P","Fill=—","Direction=H","UseDPDF=Y")</f>
        <v>41.941000000000003</v>
      </c>
      <c r="M26" s="14">
        <f>_xll.BDH("ITCI US Equity","AVERAGE_EV_TO_T12M_SALES","FQ1 2022","FQ1 2022","Currency=USD","Period=FQ","BEST_FPERIOD_OVERRIDE=FQ","FILING_STATUS=MR","FA_ADJUSTED=GAAP","Sort=A","Dates=H","DateFormat=P","Fill=—","Direction=H","UseDPDF=Y")</f>
        <v>52.4773</v>
      </c>
      <c r="N26" s="14">
        <f>_xll.BDH("ITCI US Equity","AVERAGE_EV_TO_T12M_SALES","FQ2 2022","FQ2 2022","Currency=USD","Period=FQ","BEST_FPERIOD_OVERRIDE=FQ","FILING_STATUS=MR","FA_ADJUSTED=GAAP","Sort=A","Dates=H","DateFormat=P","Fill=—","Direction=H","UseDPDF=Y")</f>
        <v>44.3872</v>
      </c>
      <c r="O26" s="14">
        <f>_xll.BDH("ITCI US Equity","AVERAGE_EV_TO_T12M_SALES","FQ3 2022","FQ3 2022","Currency=USD","Period=FQ","BEST_FPERIOD_OVERRIDE=FQ","FILING_STATUS=MR","FA_ADJUSTED=GAAP","Sort=A","Dates=H","DateFormat=P","Fill=—","Direction=H","UseDPDF=Y")</f>
        <v>30.796099999999999</v>
      </c>
      <c r="P26" s="14">
        <f>_xll.BDH("ITCI US Equity","AVERAGE_EV_TO_T12M_SALES","FQ4 2022","FQ4 2022","Currency=USD","Period=FQ","BEST_FPERIOD_OVERRIDE=FQ","FILING_STATUS=MR","FA_ADJUSTED=GAAP","Sort=A","Dates=H","DateFormat=P","Fill=—","Direction=H","UseDPDF=Y")</f>
        <v>21.909700000000001</v>
      </c>
      <c r="Q26" s="14">
        <f>_xll.BDH("ITCI US Equity","AVERAGE_EV_TO_T12M_SALES","FQ1 2023","FQ1 2023","Currency=USD","Period=FQ","BEST_FPERIOD_OVERRIDE=FQ","FILING_STATUS=MR","FA_ADJUSTED=GAAP","Sort=A","Dates=H","DateFormat=P","Fill=—","Direction=H","UseDPDF=Y")</f>
        <v>15.9939</v>
      </c>
      <c r="R26" s="14">
        <f>_xll.BDH("ITCI US Equity","AVERAGE_EV_TO_T12M_SALES","FQ2 2023","FQ2 2023","Currency=USD","Period=FQ","BEST_FPERIOD_OVERRIDE=FQ","FILING_STATUS=MR","FA_ADJUSTED=GAAP","Sort=A","Dates=H","DateFormat=P","Fill=—","Direction=H","UseDPDF=Y")</f>
        <v>17.486999999999998</v>
      </c>
      <c r="S26" s="14">
        <f>_xll.BDH("ITCI US Equity","AVERAGE_EV_TO_T12M_SALES","FQ3 2023","FQ3 2023","Currency=USD","Period=FQ","BEST_FPERIOD_OVERRIDE=FQ","FILING_STATUS=MR","FA_ADJUSTED=GAAP","Sort=A","Dates=H","DateFormat=P","Fill=—","Direction=H","UseDPDF=Y")</f>
        <v>13.915100000000001</v>
      </c>
      <c r="T26" s="14">
        <f>_xll.BDH("ITCI US Equity","AVERAGE_EV_TO_T12M_SALES","FQ4 2023","FQ4 2023","Currency=USD","Period=FQ","BEST_FPERIOD_OVERRIDE=FQ","FILING_STATUS=MR","FA_ADJUSTED=GAAP","Sort=A","Dates=H","DateFormat=P","Fill=—","Direction=H","UseDPDF=Y")</f>
        <v>12.0153</v>
      </c>
      <c r="U26" s="14">
        <f>_xll.BDH("ITCI US Equity","AVERAGE_EV_TO_T12M_SALES","FQ1 2024","FQ1 2024","Currency=USD","Period=FQ","BEST_FPERIOD_OVERRIDE=FQ","FILING_STATUS=MR","FA_ADJUSTED=GAAP","Sort=A","Dates=H","DateFormat=P","Fill=—","Direction=H","UseDPDF=Y")</f>
        <v>13.2232</v>
      </c>
      <c r="V26" s="14">
        <f>_xll.BDH("ITCI US Equity","AVERAGE_EV_TO_T12M_SALES","FQ2 2024","FQ2 2024","Currency=USD","Period=FQ","BEST_FPERIOD_OVERRIDE=FQ","FILING_STATUS=MR","FA_ADJUSTED=GAAP","Sort=A","Dates=H","DateFormat=P","Fill=—","Direction=H","UseDPDF=Y")</f>
        <v>13.0329</v>
      </c>
      <c r="W26" s="14">
        <f>_xll.BDH("ITCI US Equity","AVERAGE_EV_TO_T12M_SALES","FQ3 2024","FQ3 2024","Currency=USD","Period=FQ","BEST_FPERIOD_OVERRIDE=FQ","FILING_STATUS=MR","FA_ADJUSTED=GAAP","Sort=A","Dates=H","DateFormat=P","Fill=—","Direction=H","UseDPDF=Y")</f>
        <v>12.268599999999999</v>
      </c>
      <c r="X26" s="14">
        <f>_xll.BDH("ITCI US Equity","AVERAGE_EV_TO_T12M_SALES","FQ4 2024","FQ4 2024","Currency=USD","Period=FQ","BEST_FPERIOD_OVERRIDE=FQ","FILING_STATUS=MR","FA_ADJUSTED=GAAP","Sort=A","Dates=H","DateFormat=P","Fill=—","Direction=H","UseDPDF=Y")</f>
        <v>12.549899999999999</v>
      </c>
      <c r="Y26" s="17"/>
      <c r="Z26" s="14"/>
      <c r="AA26" s="14"/>
    </row>
    <row r="27" spans="1:27" x14ac:dyDescent="0.25">
      <c r="A27" s="10" t="s">
        <v>202</v>
      </c>
      <c r="B27" s="10" t="s">
        <v>217</v>
      </c>
      <c r="C27" s="14" t="str">
        <f>_xll.BDH("ITCI US Equity","HIGH_EV_TO_T12M_SALES","FQ3 2019","FQ3 2019","Currency=USD","Period=FQ","BEST_FPERIOD_OVERRIDE=FQ","FILING_STATUS=MR","FA_ADJUSTED=GAAP","Sort=A","Dates=H","DateFormat=P","Fill=—","Direction=H","UseDPDF=Y")</f>
        <v>—</v>
      </c>
      <c r="D27" s="14">
        <f>_xll.BDH("ITCI US Equity","HIGH_EV_TO_T12M_SALES","FQ4 2019","FQ4 2019","Currency=USD","Period=FQ","BEST_FPERIOD_OVERRIDE=FQ","FILING_STATUS=MR","FA_ADJUSTED=GAAP","Sort=A","Dates=H","DateFormat=P","Fill=—","Direction=H","UseDPDF=Y")</f>
        <v>27966.579300000001</v>
      </c>
      <c r="E27" s="14">
        <f>_xll.BDH("ITCI US Equity","HIGH_EV_TO_T12M_SALES","FQ1 2020","FQ1 2020","Currency=USD","Period=FQ","BEST_FPERIOD_OVERRIDE=FQ","FILING_STATUS=MR","FA_ADJUSTED=GAAP","Sort=A","Dates=H","DateFormat=P","Fill=—","Direction=H","UseDPDF=Y")</f>
        <v>26881.653300000002</v>
      </c>
      <c r="F27" s="14">
        <f>_xll.BDH("ITCI US Equity","HIGH_EV_TO_T12M_SALES","FQ2 2020","FQ2 2020","Currency=USD","Period=FQ","BEST_FPERIOD_OVERRIDE=FQ","FILING_STATUS=MR","FA_ADJUSTED=GAAP","Sort=A","Dates=H","DateFormat=P","Fill=—","Direction=H","UseDPDF=Y")</f>
        <v>1174.9205999999999</v>
      </c>
      <c r="G27" s="14">
        <f>_xll.BDH("ITCI US Equity","HIGH_EV_TO_T12M_SALES","FQ3 2020","FQ3 2020","Currency=USD","Period=FQ","BEST_FPERIOD_OVERRIDE=FQ","FILING_STATUS=MR","FA_ADJUSTED=GAAP","Sort=A","Dates=H","DateFormat=P","Fill=—","Direction=H","UseDPDF=Y")</f>
        <v>683.26310000000001</v>
      </c>
      <c r="H27" s="14">
        <f>_xll.BDH("ITCI US Equity","HIGH_EV_TO_T12M_SALES","FQ4 2020","FQ4 2020","Currency=USD","Period=FQ","BEST_FPERIOD_OVERRIDE=FQ","FILING_STATUS=MR","FA_ADJUSTED=GAAP","Sort=A","Dates=H","DateFormat=P","Fill=—","Direction=H","UseDPDF=Y")</f>
        <v>181.3809</v>
      </c>
      <c r="I27" s="14">
        <f>_xll.BDH("ITCI US Equity","HIGH_EV_TO_T12M_SALES","FQ1 2021","FQ1 2021","Currency=USD","Period=FQ","BEST_FPERIOD_OVERRIDE=FQ","FILING_STATUS=MR","FA_ADJUSTED=GAAP","Sort=A","Dates=H","DateFormat=P","Fill=—","Direction=H","UseDPDF=Y")</f>
        <v>111.28400000000001</v>
      </c>
      <c r="J27" s="14">
        <f>_xll.BDH("ITCI US Equity","HIGH_EV_TO_T12M_SALES","FQ2 2021","FQ2 2021","Currency=USD","Period=FQ","BEST_FPERIOD_OVERRIDE=FQ","FILING_STATUS=MR","FA_ADJUSTED=GAAP","Sort=A","Dates=H","DateFormat=P","Fill=—","Direction=H","UseDPDF=Y")</f>
        <v>80.561499999999995</v>
      </c>
      <c r="K27" s="14">
        <f>_xll.BDH("ITCI US Equity","HIGH_EV_TO_T12M_SALES","FQ3 2021","FQ3 2021","Currency=USD","Period=FQ","BEST_FPERIOD_OVERRIDE=FQ","FILING_STATUS=MR","FA_ADJUSTED=GAAP","Sort=A","Dates=H","DateFormat=P","Fill=—","Direction=H","UseDPDF=Y")</f>
        <v>52.427100000000003</v>
      </c>
      <c r="L27" s="14">
        <f>_xll.BDH("ITCI US Equity","HIGH_EV_TO_T12M_SALES","FQ4 2021","FQ4 2021","Currency=USD","Period=FQ","BEST_FPERIOD_OVERRIDE=FQ","FILING_STATUS=MR","FA_ADJUSTED=GAAP","Sort=A","Dates=H","DateFormat=P","Fill=—","Direction=H","UseDPDF=Y")</f>
        <v>55.264099999999999</v>
      </c>
      <c r="M27" s="14">
        <f>_xll.BDH("ITCI US Equity","HIGH_EV_TO_T12M_SALES","FQ1 2022","FQ1 2022","Currency=USD","Period=FQ","BEST_FPERIOD_OVERRIDE=FQ","FILING_STATUS=MR","FA_ADJUSTED=GAAP","Sort=A","Dates=H","DateFormat=P","Fill=—","Direction=H","UseDPDF=Y")</f>
        <v>64.726900000000001</v>
      </c>
      <c r="N27" s="14">
        <f>_xll.BDH("ITCI US Equity","HIGH_EV_TO_T12M_SALES","FQ2 2022","FQ2 2022","Currency=USD","Period=FQ","BEST_FPERIOD_OVERRIDE=FQ","FILING_STATUS=MR","FA_ADJUSTED=GAAP","Sort=A","Dates=H","DateFormat=P","Fill=—","Direction=H","UseDPDF=Y")</f>
        <v>52.429099999999998</v>
      </c>
      <c r="O27" s="14">
        <f>_xll.BDH("ITCI US Equity","HIGH_EV_TO_T12M_SALES","FQ3 2022","FQ3 2022","Currency=USD","Period=FQ","BEST_FPERIOD_OVERRIDE=FQ","FILING_STATUS=MR","FA_ADJUSTED=GAAP","Sort=A","Dates=H","DateFormat=P","Fill=—","Direction=H","UseDPDF=Y")</f>
        <v>36.167499999999997</v>
      </c>
      <c r="P27" s="14">
        <f>_xll.BDH("ITCI US Equity","HIGH_EV_TO_T12M_SALES","FQ4 2022","FQ4 2022","Currency=USD","Period=FQ","BEST_FPERIOD_OVERRIDE=FQ","FILING_STATUS=MR","FA_ADJUSTED=GAAP","Sort=A","Dates=H","DateFormat=P","Fill=—","Direction=H","UseDPDF=Y")</f>
        <v>24.2104</v>
      </c>
      <c r="Q27" s="14">
        <f>_xll.BDH("ITCI US Equity","HIGH_EV_TO_T12M_SALES","FQ1 2023","FQ1 2023","Currency=USD","Period=FQ","BEST_FPERIOD_OVERRIDE=FQ","FILING_STATUS=MR","FA_ADJUSTED=GAAP","Sort=A","Dates=H","DateFormat=P","Fill=—","Direction=H","UseDPDF=Y")</f>
        <v>19.408200000000001</v>
      </c>
      <c r="R27" s="14">
        <f>_xll.BDH("ITCI US Equity","HIGH_EV_TO_T12M_SALES","FQ2 2023","FQ2 2023","Currency=USD","Period=FQ","BEST_FPERIOD_OVERRIDE=FQ","FILING_STATUS=MR","FA_ADJUSTED=GAAP","Sort=A","Dates=H","DateFormat=P","Fill=—","Direction=H","UseDPDF=Y")</f>
        <v>18.843</v>
      </c>
      <c r="S27" s="14">
        <f>_xll.BDH("ITCI US Equity","HIGH_EV_TO_T12M_SALES","FQ3 2023","FQ3 2023","Currency=USD","Period=FQ","BEST_FPERIOD_OVERRIDE=FQ","FILING_STATUS=MR","FA_ADJUSTED=GAAP","Sort=A","Dates=H","DateFormat=P","Fill=—","Direction=H","UseDPDF=Y")</f>
        <v>15.4549</v>
      </c>
      <c r="T27" s="14">
        <f>_xll.BDH("ITCI US Equity","HIGH_EV_TO_T12M_SALES","FQ4 2023","FQ4 2023","Currency=USD","Period=FQ","BEST_FPERIOD_OVERRIDE=FQ","FILING_STATUS=MR","FA_ADJUSTED=GAAP","Sort=A","Dates=H","DateFormat=P","Fill=—","Direction=H","UseDPDF=Y")</f>
        <v>15.7385</v>
      </c>
      <c r="U27" s="14">
        <f>_xll.BDH("ITCI US Equity","HIGH_EV_TO_T12M_SALES","FQ1 2024","FQ1 2024","Currency=USD","Period=FQ","BEST_FPERIOD_OVERRIDE=FQ","FILING_STATUS=MR","FA_ADJUSTED=GAAP","Sort=A","Dates=H","DateFormat=P","Fill=—","Direction=H","UseDPDF=Y")</f>
        <v>14.642200000000001</v>
      </c>
      <c r="V27" s="14">
        <f>_xll.BDH("ITCI US Equity","HIGH_EV_TO_T12M_SALES","FQ2 2024","FQ2 2024","Currency=USD","Period=FQ","BEST_FPERIOD_OVERRIDE=FQ","FILING_STATUS=MR","FA_ADJUSTED=GAAP","Sort=A","Dates=H","DateFormat=P","Fill=—","Direction=H","UseDPDF=Y")</f>
        <v>14.837999999999999</v>
      </c>
      <c r="W27" s="14">
        <f>_xll.BDH("ITCI US Equity","HIGH_EV_TO_T12M_SALES","FQ3 2024","FQ3 2024","Currency=USD","Period=FQ","BEST_FPERIOD_OVERRIDE=FQ","FILING_STATUS=MR","FA_ADJUSTED=GAAP","Sort=A","Dates=H","DateFormat=P","Fill=—","Direction=H","UseDPDF=Y")</f>
        <v>13.338699999999999</v>
      </c>
      <c r="X27" s="14">
        <f>_xll.BDH("ITCI US Equity","HIGH_EV_TO_T12M_SALES","FQ4 2024","FQ4 2024","Currency=USD","Period=FQ","BEST_FPERIOD_OVERRIDE=FQ","FILING_STATUS=MR","FA_ADJUSTED=GAAP","Sort=A","Dates=H","DateFormat=P","Fill=—","Direction=H","UseDPDF=Y")</f>
        <v>14.206799999999999</v>
      </c>
      <c r="Y27" s="17"/>
      <c r="Z27" s="14"/>
      <c r="AA27" s="14"/>
    </row>
    <row r="28" spans="1:27" x14ac:dyDescent="0.25">
      <c r="A28" s="10" t="s">
        <v>204</v>
      </c>
      <c r="B28" s="10" t="s">
        <v>218</v>
      </c>
      <c r="C28" s="14" t="str">
        <f>_xll.BDH("ITCI US Equity","LOW_EV_TO_T12M_SALES","FQ3 2019","FQ3 2019","Currency=USD","Period=FQ","BEST_FPERIOD_OVERRIDE=FQ","FILING_STATUS=MR","FA_ADJUSTED=GAAP","Sort=A","Dates=H","DateFormat=P","Fill=—","Direction=H","UseDPDF=Y")</f>
        <v>—</v>
      </c>
      <c r="D28" s="14">
        <f>_xll.BDH("ITCI US Equity","LOW_EV_TO_T12M_SALES","FQ4 2019","FQ4 2019","Currency=USD","Period=FQ","BEST_FPERIOD_OVERRIDE=FQ","FILING_STATUS=MR","FA_ADJUSTED=GAAP","Sort=A","Dates=H","DateFormat=P","Fill=—","Direction=H","UseDPDF=Y")</f>
        <v>27966.579300000001</v>
      </c>
      <c r="E28" s="14">
        <f>_xll.BDH("ITCI US Equity","LOW_EV_TO_T12M_SALES","FQ1 2020","FQ1 2020","Currency=USD","Period=FQ","BEST_FPERIOD_OVERRIDE=FQ","FILING_STATUS=MR","FA_ADJUSTED=GAAP","Sort=A","Dates=H","DateFormat=P","Fill=—","Direction=H","UseDPDF=Y")</f>
        <v>516.07939999999996</v>
      </c>
      <c r="F28" s="14">
        <f>_xll.BDH("ITCI US Equity","LOW_EV_TO_T12M_SALES","FQ2 2020","FQ2 2020","Currency=USD","Period=FQ","BEST_FPERIOD_OVERRIDE=FQ","FILING_STATUS=MR","FA_ADJUSTED=GAAP","Sort=A","Dates=H","DateFormat=P","Fill=—","Direction=H","UseDPDF=Y")</f>
        <v>433.71879999999999</v>
      </c>
      <c r="G28" s="14">
        <f>_xll.BDH("ITCI US Equity","LOW_EV_TO_T12M_SALES","FQ3 2020","FQ3 2020","Currency=USD","Period=FQ","BEST_FPERIOD_OVERRIDE=FQ","FILING_STATUS=MR","FA_ADJUSTED=GAAP","Sort=A","Dates=H","DateFormat=P","Fill=—","Direction=H","UseDPDF=Y")</f>
        <v>126.6947</v>
      </c>
      <c r="H28" s="14">
        <f>_xll.BDH("ITCI US Equity","LOW_EV_TO_T12M_SALES","FQ4 2020","FQ4 2020","Currency=USD","Period=FQ","BEST_FPERIOD_OVERRIDE=FQ","FILING_STATUS=MR","FA_ADJUSTED=GAAP","Sort=A","Dates=H","DateFormat=P","Fill=—","Direction=H","UseDPDF=Y")</f>
        <v>84.1935</v>
      </c>
      <c r="I28" s="14">
        <f>_xll.BDH("ITCI US Equity","LOW_EV_TO_T12M_SALES","FQ1 2021","FQ1 2021","Currency=USD","Period=FQ","BEST_FPERIOD_OVERRIDE=FQ","FILING_STATUS=MR","FA_ADJUSTED=GAAP","Sort=A","Dates=H","DateFormat=P","Fill=—","Direction=H","UseDPDF=Y")</f>
        <v>57.4816</v>
      </c>
      <c r="J28" s="14">
        <f>_xll.BDH("ITCI US Equity","LOW_EV_TO_T12M_SALES","FQ2 2021","FQ2 2021","Currency=USD","Period=FQ","BEST_FPERIOD_OVERRIDE=FQ","FILING_STATUS=MR","FA_ADJUSTED=GAAP","Sort=A","Dates=H","DateFormat=P","Fill=—","Direction=H","UseDPDF=Y")</f>
        <v>47.688699999999997</v>
      </c>
      <c r="K28" s="14">
        <f>_xll.BDH("ITCI US Equity","LOW_EV_TO_T12M_SALES","FQ3 2021","FQ3 2021","Currency=USD","Period=FQ","BEST_FPERIOD_OVERRIDE=FQ","FILING_STATUS=MR","FA_ADJUSTED=GAAP","Sort=A","Dates=H","DateFormat=P","Fill=—","Direction=H","UseDPDF=Y")</f>
        <v>32.443600000000004</v>
      </c>
      <c r="L28" s="14">
        <f>_xll.BDH("ITCI US Equity","LOW_EV_TO_T12M_SALES","FQ4 2021","FQ4 2021","Currency=USD","Period=FQ","BEST_FPERIOD_OVERRIDE=FQ","FILING_STATUS=MR","FA_ADJUSTED=GAAP","Sort=A","Dates=H","DateFormat=P","Fill=—","Direction=H","UseDPDF=Y")</f>
        <v>34.236499999999999</v>
      </c>
      <c r="M28" s="14">
        <f>_xll.BDH("ITCI US Equity","LOW_EV_TO_T12M_SALES","FQ1 2022","FQ1 2022","Currency=USD","Period=FQ","BEST_FPERIOD_OVERRIDE=FQ","FILING_STATUS=MR","FA_ADJUSTED=GAAP","Sort=A","Dates=H","DateFormat=P","Fill=—","Direction=H","UseDPDF=Y")</f>
        <v>38.064599999999999</v>
      </c>
      <c r="N28" s="14">
        <f>_xll.BDH("ITCI US Equity","LOW_EV_TO_T12M_SALES","FQ2 2022","FQ2 2022","Currency=USD","Period=FQ","BEST_FPERIOD_OVERRIDE=FQ","FILING_STATUS=MR","FA_ADJUSTED=GAAP","Sort=A","Dates=H","DateFormat=P","Fill=—","Direction=H","UseDPDF=Y")</f>
        <v>31.963999999999999</v>
      </c>
      <c r="O28" s="14">
        <f>_xll.BDH("ITCI US Equity","LOW_EV_TO_T12M_SALES","FQ3 2022","FQ3 2022","Currency=USD","Period=FQ","BEST_FPERIOD_OVERRIDE=FQ","FILING_STATUS=MR","FA_ADJUSTED=GAAP","Sort=A","Dates=H","DateFormat=P","Fill=—","Direction=H","UseDPDF=Y")</f>
        <v>20.148099999999999</v>
      </c>
      <c r="P28" s="14">
        <f>_xll.BDH("ITCI US Equity","LOW_EV_TO_T12M_SALES","FQ4 2022","FQ4 2022","Currency=USD","Period=FQ","BEST_FPERIOD_OVERRIDE=FQ","FILING_STATUS=MR","FA_ADJUSTED=GAAP","Sort=A","Dates=H","DateFormat=P","Fill=—","Direction=H","UseDPDF=Y")</f>
        <v>17.737400000000001</v>
      </c>
      <c r="Q28" s="14">
        <f>_xll.BDH("ITCI US Equity","LOW_EV_TO_T12M_SALES","FQ1 2023","FQ1 2023","Currency=USD","Period=FQ","BEST_FPERIOD_OVERRIDE=FQ","FILING_STATUS=MR","FA_ADJUSTED=GAAP","Sort=A","Dates=H","DateFormat=P","Fill=—","Direction=H","UseDPDF=Y")</f>
        <v>14.387499999999999</v>
      </c>
      <c r="R28" s="14">
        <f>_xll.BDH("ITCI US Equity","LOW_EV_TO_T12M_SALES","FQ2 2023","FQ2 2023","Currency=USD","Period=FQ","BEST_FPERIOD_OVERRIDE=FQ","FILING_STATUS=MR","FA_ADJUSTED=GAAP","Sort=A","Dates=H","DateFormat=P","Fill=—","Direction=H","UseDPDF=Y")</f>
        <v>15.0946</v>
      </c>
      <c r="S28" s="14">
        <f>_xll.BDH("ITCI US Equity","LOW_EV_TO_T12M_SALES","FQ3 2023","FQ3 2023","Currency=USD","Period=FQ","BEST_FPERIOD_OVERRIDE=FQ","FILING_STATUS=MR","FA_ADJUSTED=GAAP","Sort=A","Dates=H","DateFormat=P","Fill=—","Direction=H","UseDPDF=Y")</f>
        <v>10.7818</v>
      </c>
      <c r="T28" s="14">
        <f>_xll.BDH("ITCI US Equity","LOW_EV_TO_T12M_SALES","FQ4 2023","FQ4 2023","Currency=USD","Period=FQ","BEST_FPERIOD_OVERRIDE=FQ","FILING_STATUS=MR","FA_ADJUSTED=GAAP","Sort=A","Dates=H","DateFormat=P","Fill=—","Direction=H","UseDPDF=Y")</f>
        <v>9.4735999999999994</v>
      </c>
      <c r="U28" s="14">
        <f>_xll.BDH("ITCI US Equity","LOW_EV_TO_T12M_SALES","FQ1 2024","FQ1 2024","Currency=USD","Period=FQ","BEST_FPERIOD_OVERRIDE=FQ","FILING_STATUS=MR","FA_ADJUSTED=GAAP","Sort=A","Dates=H","DateFormat=P","Fill=—","Direction=H","UseDPDF=Y")</f>
        <v>12.141400000000001</v>
      </c>
      <c r="V28" s="14">
        <f>_xll.BDH("ITCI US Equity","LOW_EV_TO_T12M_SALES","FQ2 2024","FQ2 2024","Currency=USD","Period=FQ","BEST_FPERIOD_OVERRIDE=FQ","FILING_STATUS=MR","FA_ADJUSTED=GAAP","Sort=A","Dates=H","DateFormat=P","Fill=—","Direction=H","UseDPDF=Y")</f>
        <v>11.0291</v>
      </c>
      <c r="W28" s="14">
        <f>_xll.BDH("ITCI US Equity","LOW_EV_TO_T12M_SALES","FQ3 2024","FQ3 2024","Currency=USD","Period=FQ","BEST_FPERIOD_OVERRIDE=FQ","FILING_STATUS=MR","FA_ADJUSTED=GAAP","Sort=A","Dates=H","DateFormat=P","Fill=—","Direction=H","UseDPDF=Y")</f>
        <v>10.935600000000001</v>
      </c>
      <c r="X28" s="14">
        <f>_xll.BDH("ITCI US Equity","LOW_EV_TO_T12M_SALES","FQ4 2024","FQ4 2024","Currency=USD","Period=FQ","BEST_FPERIOD_OVERRIDE=FQ","FILING_STATUS=MR","FA_ADJUSTED=GAAP","Sort=A","Dates=H","DateFormat=P","Fill=—","Direction=H","UseDPDF=Y")</f>
        <v>10.6457</v>
      </c>
      <c r="Y28" s="17"/>
      <c r="Z28" s="14"/>
      <c r="AA28" s="14"/>
    </row>
    <row r="29" spans="1:27" x14ac:dyDescent="0.25">
      <c r="A29" s="6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21"/>
      <c r="Z29" s="18"/>
      <c r="AA29" s="18"/>
    </row>
    <row r="30" spans="1:27" x14ac:dyDescent="0.25">
      <c r="A30" s="6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21"/>
      <c r="Z30" s="18"/>
      <c r="AA30" s="18"/>
    </row>
    <row r="31" spans="1:27" x14ac:dyDescent="0.25">
      <c r="A31" s="6" t="s">
        <v>179</v>
      </c>
      <c r="B31" s="6" t="s">
        <v>180</v>
      </c>
      <c r="C31" s="20" t="str">
        <f>_xll.BDH("ITCI US Equity","EV_TO_T12M_EBIT","FQ3 2019","FQ3 2019","Currency=USD","Period=FQ","BEST_FPERIOD_OVERRIDE=FQ","FILING_STATUS=MR","FA_ADJUSTED=GAAP","Sort=A","Dates=H","DateFormat=P","Fill=—","Direction=H","UseDPDF=Y")</f>
        <v>—</v>
      </c>
      <c r="D31" s="20" t="str">
        <f>_xll.BDH("ITCI US Equity","EV_TO_T12M_EBIT","FQ4 2019","FQ4 2019","Currency=USD","Period=FQ","BEST_FPERIOD_OVERRIDE=FQ","FILING_STATUS=MR","FA_ADJUSTED=GAAP","Sort=A","Dates=H","DateFormat=P","Fill=—","Direction=H","UseDPDF=Y")</f>
        <v>—</v>
      </c>
      <c r="E31" s="20" t="str">
        <f>_xll.BDH("ITCI US Equity","EV_TO_T12M_EBIT","FQ1 2020","FQ1 2020","Currency=USD","Period=FQ","BEST_FPERIOD_OVERRIDE=FQ","FILING_STATUS=MR","FA_ADJUSTED=GAAP","Sort=A","Dates=H","DateFormat=P","Fill=—","Direction=H","UseDPDF=Y")</f>
        <v>—</v>
      </c>
      <c r="F31" s="20" t="str">
        <f>_xll.BDH("ITCI US Equity","EV_TO_T12M_EBIT","FQ2 2020","FQ2 2020","Currency=USD","Period=FQ","BEST_FPERIOD_OVERRIDE=FQ","FILING_STATUS=MR","FA_ADJUSTED=GAAP","Sort=A","Dates=H","DateFormat=P","Fill=—","Direction=H","UseDPDF=Y")</f>
        <v>—</v>
      </c>
      <c r="G31" s="20" t="str">
        <f>_xll.BDH("ITCI US Equity","EV_TO_T12M_EBIT","FQ3 2020","FQ3 2020","Currency=USD","Period=FQ","BEST_FPERIOD_OVERRIDE=FQ","FILING_STATUS=MR","FA_ADJUSTED=GAAP","Sort=A","Dates=H","DateFormat=P","Fill=—","Direction=H","UseDPDF=Y")</f>
        <v>—</v>
      </c>
      <c r="H31" s="20" t="str">
        <f>_xll.BDH("ITCI US Equity","EV_TO_T12M_EBIT","FQ4 2020","FQ4 2020","Currency=USD","Period=FQ","BEST_FPERIOD_OVERRIDE=FQ","FILING_STATUS=MR","FA_ADJUSTED=GAAP","Sort=A","Dates=H","DateFormat=P","Fill=—","Direction=H","UseDPDF=Y")</f>
        <v>—</v>
      </c>
      <c r="I31" s="20" t="str">
        <f>_xll.BDH("ITCI US Equity","EV_TO_T12M_EBIT","FQ1 2021","FQ1 2021","Currency=USD","Period=FQ","BEST_FPERIOD_OVERRIDE=FQ","FILING_STATUS=MR","FA_ADJUSTED=GAAP","Sort=A","Dates=H","DateFormat=P","Fill=—","Direction=H","UseDPDF=Y")</f>
        <v>—</v>
      </c>
      <c r="J31" s="20" t="str">
        <f>_xll.BDH("ITCI US Equity","EV_TO_T12M_EBIT","FQ2 2021","FQ2 2021","Currency=USD","Period=FQ","BEST_FPERIOD_OVERRIDE=FQ","FILING_STATUS=MR","FA_ADJUSTED=GAAP","Sort=A","Dates=H","DateFormat=P","Fill=—","Direction=H","UseDPDF=Y")</f>
        <v>—</v>
      </c>
      <c r="K31" s="20" t="str">
        <f>_xll.BDH("ITCI US Equity","EV_TO_T12M_EBIT","FQ3 2021","FQ3 2021","Currency=USD","Period=FQ","BEST_FPERIOD_OVERRIDE=FQ","FILING_STATUS=MR","FA_ADJUSTED=GAAP","Sort=A","Dates=H","DateFormat=P","Fill=—","Direction=H","UseDPDF=Y")</f>
        <v>—</v>
      </c>
      <c r="L31" s="20" t="str">
        <f>_xll.BDH("ITCI US Equity","EV_TO_T12M_EBIT","FQ4 2021","FQ4 2021","Currency=USD","Period=FQ","BEST_FPERIOD_OVERRIDE=FQ","FILING_STATUS=MR","FA_ADJUSTED=GAAP","Sort=A","Dates=H","DateFormat=P","Fill=—","Direction=H","UseDPDF=Y")</f>
        <v>—</v>
      </c>
      <c r="M31" s="20" t="str">
        <f>_xll.BDH("ITCI US Equity","EV_TO_T12M_EBIT","FQ1 2022","FQ1 2022","Currency=USD","Period=FQ","BEST_FPERIOD_OVERRIDE=FQ","FILING_STATUS=MR","FA_ADJUSTED=GAAP","Sort=A","Dates=H","DateFormat=P","Fill=—","Direction=H","UseDPDF=Y")</f>
        <v>—</v>
      </c>
      <c r="N31" s="20" t="str">
        <f>_xll.BDH("ITCI US Equity","EV_TO_T12M_EBIT","FQ2 2022","FQ2 2022","Currency=USD","Period=FQ","BEST_FPERIOD_OVERRIDE=FQ","FILING_STATUS=MR","FA_ADJUSTED=GAAP","Sort=A","Dates=H","DateFormat=P","Fill=—","Direction=H","UseDPDF=Y")</f>
        <v>—</v>
      </c>
      <c r="O31" s="20" t="str">
        <f>_xll.BDH("ITCI US Equity","EV_TO_T12M_EBIT","FQ3 2022","FQ3 2022","Currency=USD","Period=FQ","BEST_FPERIOD_OVERRIDE=FQ","FILING_STATUS=MR","FA_ADJUSTED=GAAP","Sort=A","Dates=H","DateFormat=P","Fill=—","Direction=H","UseDPDF=Y")</f>
        <v>—</v>
      </c>
      <c r="P31" s="20" t="str">
        <f>_xll.BDH("ITCI US Equity","EV_TO_T12M_EBIT","FQ4 2022","FQ4 2022","Currency=USD","Period=FQ","BEST_FPERIOD_OVERRIDE=FQ","FILING_STATUS=MR","FA_ADJUSTED=GAAP","Sort=A","Dates=H","DateFormat=P","Fill=—","Direction=H","UseDPDF=Y")</f>
        <v>—</v>
      </c>
      <c r="Q31" s="20" t="str">
        <f>_xll.BDH("ITCI US Equity","EV_TO_T12M_EBIT","FQ1 2023","FQ1 2023","Currency=USD","Period=FQ","BEST_FPERIOD_OVERRIDE=FQ","FILING_STATUS=MR","FA_ADJUSTED=GAAP","Sort=A","Dates=H","DateFormat=P","Fill=—","Direction=H","UseDPDF=Y")</f>
        <v>—</v>
      </c>
      <c r="R31" s="20" t="str">
        <f>_xll.BDH("ITCI US Equity","EV_TO_T12M_EBIT","FQ2 2023","FQ2 2023","Currency=USD","Period=FQ","BEST_FPERIOD_OVERRIDE=FQ","FILING_STATUS=MR","FA_ADJUSTED=GAAP","Sort=A","Dates=H","DateFormat=P","Fill=—","Direction=H","UseDPDF=Y")</f>
        <v>—</v>
      </c>
      <c r="S31" s="20" t="str">
        <f>_xll.BDH("ITCI US Equity","EV_TO_T12M_EBIT","FQ3 2023","FQ3 2023","Currency=USD","Period=FQ","BEST_FPERIOD_OVERRIDE=FQ","FILING_STATUS=MR","FA_ADJUSTED=GAAP","Sort=A","Dates=H","DateFormat=P","Fill=—","Direction=H","UseDPDF=Y")</f>
        <v>—</v>
      </c>
      <c r="T31" s="20" t="str">
        <f>_xll.BDH("ITCI US Equity","EV_TO_T12M_EBIT","FQ4 2023","FQ4 2023","Currency=USD","Period=FQ","BEST_FPERIOD_OVERRIDE=FQ","FILING_STATUS=MR","FA_ADJUSTED=GAAP","Sort=A","Dates=H","DateFormat=P","Fill=—","Direction=H","UseDPDF=Y")</f>
        <v>—</v>
      </c>
      <c r="U31" s="20" t="str">
        <f>_xll.BDH("ITCI US Equity","EV_TO_T12M_EBIT","FQ1 2024","FQ1 2024","Currency=USD","Period=FQ","BEST_FPERIOD_OVERRIDE=FQ","FILING_STATUS=MR","FA_ADJUSTED=GAAP","Sort=A","Dates=H","DateFormat=P","Fill=—","Direction=H","UseDPDF=Y")</f>
        <v>—</v>
      </c>
      <c r="V31" s="20" t="str">
        <f>_xll.BDH("ITCI US Equity","EV_TO_T12M_EBIT","FQ2 2024","FQ2 2024","Currency=USD","Period=FQ","BEST_FPERIOD_OVERRIDE=FQ","FILING_STATUS=MR","FA_ADJUSTED=GAAP","Sort=A","Dates=H","DateFormat=P","Fill=—","Direction=H","UseDPDF=Y")</f>
        <v>—</v>
      </c>
      <c r="W31" s="20" t="str">
        <f>_xll.BDH("ITCI US Equity","EV_TO_T12M_EBIT","FQ3 2024","FQ3 2024","Currency=USD","Period=FQ","BEST_FPERIOD_OVERRIDE=FQ","FILING_STATUS=MR","FA_ADJUSTED=GAAP","Sort=A","Dates=H","DateFormat=P","Fill=—","Direction=H","UseDPDF=Y")</f>
        <v>—</v>
      </c>
      <c r="X31" s="20" t="str">
        <f>_xll.BDH("ITCI US Equity","EV_TO_T12M_EBIT","FQ4 2024","FQ4 2024","Currency=USD","Period=FQ","BEST_FPERIOD_OVERRIDE=FQ","FILING_STATUS=MR","FA_ADJUSTED=GAAP","Sort=A","Dates=H","DateFormat=P","Fill=—","Direction=H","UseDPDF=Y")</f>
        <v>—</v>
      </c>
      <c r="Y31" s="23"/>
      <c r="Z31" s="20">
        <v>-384.57686085232001</v>
      </c>
      <c r="AA31" s="20"/>
    </row>
    <row r="32" spans="1:27" x14ac:dyDescent="0.25">
      <c r="A32" s="6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21"/>
      <c r="Z32" s="18"/>
      <c r="AA32" s="18"/>
    </row>
    <row r="33" spans="1:27" x14ac:dyDescent="0.25">
      <c r="A33" s="6" t="s">
        <v>219</v>
      </c>
      <c r="B33" s="6" t="s">
        <v>220</v>
      </c>
      <c r="C33" s="20">
        <f>_xll.BDH("ITCI US Equity","PX_LAST","FQ3 2019","FQ3 2019","Currency=USD","Period=FQ","BEST_FPERIOD_OVERRIDE=FQ","FILING_STATUS=MR","Sort=A","Dates=H","DateFormat=P","Fill=—","Direction=H","UseDPDF=Y")</f>
        <v>7.47</v>
      </c>
      <c r="D33" s="20">
        <f>_xll.BDH("ITCI US Equity","PX_LAST","FQ4 2019","FQ4 2019","Currency=USD","Period=FQ","BEST_FPERIOD_OVERRIDE=FQ","FILING_STATUS=MR","Sort=A","Dates=H","DateFormat=P","Fill=—","Direction=H","UseDPDF=Y")</f>
        <v>34.31</v>
      </c>
      <c r="E33" s="20">
        <f>_xll.BDH("ITCI US Equity","PX_LAST","FQ1 2020","FQ1 2020","Currency=USD","Period=FQ","BEST_FPERIOD_OVERRIDE=FQ","FILING_STATUS=MR","Sort=A","Dates=H","DateFormat=P","Fill=—","Direction=H","UseDPDF=Y")</f>
        <v>15.37</v>
      </c>
      <c r="F33" s="20">
        <f>_xll.BDH("ITCI US Equity","PX_LAST","FQ2 2020","FQ2 2020","Currency=USD","Period=FQ","BEST_FPERIOD_OVERRIDE=FQ","FILING_STATUS=MR","Sort=A","Dates=H","DateFormat=P","Fill=—","Direction=H","UseDPDF=Y")</f>
        <v>25.67</v>
      </c>
      <c r="G33" s="20">
        <f>_xll.BDH("ITCI US Equity","PX_LAST","FQ3 2020","FQ3 2020","Currency=USD","Period=FQ","BEST_FPERIOD_OVERRIDE=FQ","FILING_STATUS=MR","Sort=A","Dates=H","DateFormat=P","Fill=—","Direction=H","UseDPDF=Y")</f>
        <v>25.66</v>
      </c>
      <c r="H33" s="20">
        <f>_xll.BDH("ITCI US Equity","PX_LAST","FQ4 2020","FQ4 2020","Currency=USD","Period=FQ","BEST_FPERIOD_OVERRIDE=FQ","FILING_STATUS=MR","Sort=A","Dates=H","DateFormat=P","Fill=—","Direction=H","UseDPDF=Y")</f>
        <v>31.8</v>
      </c>
      <c r="I33" s="20">
        <f>_xll.BDH("ITCI US Equity","PX_LAST","FQ1 2021","FQ1 2021","Currency=USD","Period=FQ","BEST_FPERIOD_OVERRIDE=FQ","FILING_STATUS=MR","Sort=A","Dates=H","DateFormat=P","Fill=—","Direction=H","UseDPDF=Y")</f>
        <v>33.93</v>
      </c>
      <c r="J33" s="20">
        <f>_xll.BDH("ITCI US Equity","PX_LAST","FQ2 2021","FQ2 2021","Currency=USD","Period=FQ","BEST_FPERIOD_OVERRIDE=FQ","FILING_STATUS=MR","Sort=A","Dates=H","DateFormat=P","Fill=—","Direction=H","UseDPDF=Y")</f>
        <v>40.82</v>
      </c>
      <c r="K33" s="20">
        <f>_xll.BDH("ITCI US Equity","PX_LAST","FQ3 2021","FQ3 2021","Currency=USD","Period=FQ","BEST_FPERIOD_OVERRIDE=FQ","FILING_STATUS=MR","Sort=A","Dates=H","DateFormat=P","Fill=—","Direction=H","UseDPDF=Y")</f>
        <v>37.28</v>
      </c>
      <c r="L33" s="20">
        <f>_xll.BDH("ITCI US Equity","PX_LAST","FQ4 2021","FQ4 2021","Currency=USD","Period=FQ","BEST_FPERIOD_OVERRIDE=FQ","FILING_STATUS=MR","Sort=A","Dates=H","DateFormat=P","Fill=—","Direction=H","UseDPDF=Y")</f>
        <v>52.34</v>
      </c>
      <c r="M33" s="20">
        <f>_xll.BDH("ITCI US Equity","PX_LAST","FQ1 2022","FQ1 2022","Currency=USD","Period=FQ","BEST_FPERIOD_OVERRIDE=FQ","FILING_STATUS=MR","Sort=A","Dates=H","DateFormat=P","Fill=—","Direction=H","UseDPDF=Y")</f>
        <v>61.19</v>
      </c>
      <c r="N33" s="20">
        <f>_xll.BDH("ITCI US Equity","PX_LAST","FQ2 2022","FQ2 2022","Currency=USD","Period=FQ","BEST_FPERIOD_OVERRIDE=FQ","FILING_STATUS=MR","Sort=A","Dates=H","DateFormat=P","Fill=—","Direction=H","UseDPDF=Y")</f>
        <v>57.08</v>
      </c>
      <c r="O33" s="20">
        <f>_xll.BDH("ITCI US Equity","PX_LAST","FQ3 2022","FQ3 2022","Currency=USD","Period=FQ","BEST_FPERIOD_OVERRIDE=FQ","FILING_STATUS=MR","Sort=A","Dates=H","DateFormat=P","Fill=—","Direction=H","UseDPDF=Y")</f>
        <v>46.53</v>
      </c>
      <c r="P33" s="20">
        <f>_xll.BDH("ITCI US Equity","PX_LAST","FQ4 2022","FQ4 2022","Currency=USD","Period=FQ","BEST_FPERIOD_OVERRIDE=FQ","FILING_STATUS=MR","Sort=A","Dates=H","DateFormat=P","Fill=—","Direction=H","UseDPDF=Y")</f>
        <v>52.92</v>
      </c>
      <c r="Q33" s="20">
        <f>_xll.BDH("ITCI US Equity","PX_LAST","FQ1 2023","FQ1 2023","Currency=USD","Period=FQ","BEST_FPERIOD_OVERRIDE=FQ","FILING_STATUS=MR","Sort=A","Dates=H","DateFormat=P","Fill=—","Direction=H","UseDPDF=Y")</f>
        <v>54.15</v>
      </c>
      <c r="R33" s="20">
        <f>_xll.BDH("ITCI US Equity","PX_LAST","FQ2 2023","FQ2 2023","Currency=USD","Period=FQ","BEST_FPERIOD_OVERRIDE=FQ","FILING_STATUS=MR","Sort=A","Dates=H","DateFormat=P","Fill=—","Direction=H","UseDPDF=Y")</f>
        <v>63.32</v>
      </c>
      <c r="S33" s="20">
        <f>_xll.BDH("ITCI US Equity","PX_LAST","FQ3 2023","FQ3 2023","Currency=USD","Period=FQ","BEST_FPERIOD_OVERRIDE=FQ","FILING_STATUS=MR","Sort=A","Dates=H","DateFormat=P","Fill=—","Direction=H","UseDPDF=Y")</f>
        <v>52.09</v>
      </c>
      <c r="T33" s="20">
        <f>_xll.BDH("ITCI US Equity","PX_LAST","FQ4 2023","FQ4 2023","Currency=USD","Period=FQ","BEST_FPERIOD_OVERRIDE=FQ","FILING_STATUS=MR","Sort=A","Dates=H","DateFormat=P","Fill=—","Direction=H","UseDPDF=Y")</f>
        <v>71.62</v>
      </c>
      <c r="U33" s="20">
        <f>_xll.BDH("ITCI US Equity","PX_LAST","FQ1 2024","FQ1 2024","Currency=USD","Period=FQ","BEST_FPERIOD_OVERRIDE=FQ","FILING_STATUS=MR","Sort=A","Dates=H","DateFormat=P","Fill=—","Direction=H","UseDPDF=Y")</f>
        <v>69.2</v>
      </c>
      <c r="V33" s="20">
        <f>_xll.BDH("ITCI US Equity","PX_LAST","FQ2 2024","FQ2 2024","Currency=USD","Period=FQ","BEST_FPERIOD_OVERRIDE=FQ","FILING_STATUS=MR","Sort=A","Dates=H","DateFormat=P","Fill=—","Direction=H","UseDPDF=Y")</f>
        <v>68.489999999999995</v>
      </c>
      <c r="W33" s="20">
        <f>_xll.BDH("ITCI US Equity","PX_LAST","FQ3 2024","FQ3 2024","Currency=USD","Period=FQ","BEST_FPERIOD_OVERRIDE=FQ","FILING_STATUS=MR","Sort=A","Dates=H","DateFormat=P","Fill=—","Direction=H","UseDPDF=Y")</f>
        <v>73.17</v>
      </c>
      <c r="X33" s="20">
        <f>_xll.BDH("ITCI US Equity","PX_LAST","FQ4 2024","FQ4 2024","Currency=USD","Period=FQ","BEST_FPERIOD_OVERRIDE=FQ","FILING_STATUS=MR","Sort=A","Dates=H","DateFormat=P","Fill=—","Direction=H","UseDPDF=Y")</f>
        <v>83.52</v>
      </c>
      <c r="Y33" s="23">
        <v>131.80999755859401</v>
      </c>
      <c r="Z33" s="20"/>
      <c r="AA33" s="20"/>
    </row>
    <row r="34" spans="1:27" x14ac:dyDescent="0.25">
      <c r="A34" s="10" t="s">
        <v>202</v>
      </c>
      <c r="B34" s="10" t="s">
        <v>221</v>
      </c>
      <c r="C34" s="14">
        <f>_xll.BDH("ITCI US Equity","PX_HIGH","FQ3 2019","FQ3 2019","Currency=USD","Period=FQ","BEST_FPERIOD_OVERRIDE=FQ","FILING_STATUS=MR","Sort=A","Dates=H","DateFormat=P","Fill=—","Direction=H","UseDPDF=Y")</f>
        <v>14.73</v>
      </c>
      <c r="D34" s="14">
        <f>_xll.BDH("ITCI US Equity","PX_HIGH","FQ4 2019","FQ4 2019","Currency=USD","Period=FQ","BEST_FPERIOD_OVERRIDE=FQ","FILING_STATUS=MR","Sort=A","Dates=H","DateFormat=P","Fill=—","Direction=H","UseDPDF=Y")</f>
        <v>43.56</v>
      </c>
      <c r="E34" s="14">
        <f>_xll.BDH("ITCI US Equity","PX_HIGH","FQ1 2020","FQ1 2020","Currency=USD","Period=FQ","BEST_FPERIOD_OVERRIDE=FQ","FILING_STATUS=MR","Sort=A","Dates=H","DateFormat=P","Fill=—","Direction=H","UseDPDF=Y")</f>
        <v>34.31</v>
      </c>
      <c r="F34" s="14">
        <f>_xll.BDH("ITCI US Equity","PX_HIGH","FQ2 2020","FQ2 2020","Currency=USD","Period=FQ","BEST_FPERIOD_OVERRIDE=FQ","FILING_STATUS=MR","Sort=A","Dates=H","DateFormat=P","Fill=—","Direction=H","UseDPDF=Y")</f>
        <v>27.65</v>
      </c>
      <c r="G34" s="14">
        <f>_xll.BDH("ITCI US Equity","PX_HIGH","FQ3 2020","FQ3 2020","Currency=USD","Period=FQ","BEST_FPERIOD_OVERRIDE=FQ","FILING_STATUS=MR","Sort=A","Dates=H","DateFormat=P","Fill=—","Direction=H","UseDPDF=Y")</f>
        <v>33.74</v>
      </c>
      <c r="H34" s="14">
        <f>_xll.BDH("ITCI US Equity","PX_HIGH","FQ4 2020","FQ4 2020","Currency=USD","Period=FQ","BEST_FPERIOD_OVERRIDE=FQ","FILING_STATUS=MR","Sort=A","Dates=H","DateFormat=P","Fill=—","Direction=H","UseDPDF=Y")</f>
        <v>32.549999999999997</v>
      </c>
      <c r="I34" s="14">
        <f>_xll.BDH("ITCI US Equity","PX_HIGH","FQ1 2021","FQ1 2021","Currency=USD","Period=FQ","BEST_FPERIOD_OVERRIDE=FQ","FILING_STATUS=MR","Sort=A","Dates=H","DateFormat=P","Fill=—","Direction=H","UseDPDF=Y")</f>
        <v>40.005000000000003</v>
      </c>
      <c r="J34" s="14">
        <f>_xll.BDH("ITCI US Equity","PX_HIGH","FQ2 2021","FQ2 2021","Currency=USD","Period=FQ","BEST_FPERIOD_OVERRIDE=FQ","FILING_STATUS=MR","Sort=A","Dates=H","DateFormat=P","Fill=—","Direction=H","UseDPDF=Y")</f>
        <v>44.8</v>
      </c>
      <c r="K34" s="14">
        <f>_xll.BDH("ITCI US Equity","PX_HIGH","FQ3 2021","FQ3 2021","Currency=USD","Period=FQ","BEST_FPERIOD_OVERRIDE=FQ","FILING_STATUS=MR","Sort=A","Dates=H","DateFormat=P","Fill=—","Direction=H","UseDPDF=Y")</f>
        <v>42.99</v>
      </c>
      <c r="L34" s="14">
        <f>_xll.BDH("ITCI US Equity","PX_HIGH","FQ4 2021","FQ4 2021","Currency=USD","Period=FQ","BEST_FPERIOD_OVERRIDE=FQ","FILING_STATUS=MR","Sort=A","Dates=H","DateFormat=P","Fill=—","Direction=H","UseDPDF=Y")</f>
        <v>55.195</v>
      </c>
      <c r="M34" s="14">
        <f>_xll.BDH("ITCI US Equity","PX_HIGH","FQ1 2022","FQ1 2022","Currency=USD","Period=FQ","BEST_FPERIOD_OVERRIDE=FQ","FILING_STATUS=MR","Sort=A","Dates=H","DateFormat=P","Fill=—","Direction=H","UseDPDF=Y")</f>
        <v>65.6935</v>
      </c>
      <c r="N34" s="14">
        <f>_xll.BDH("ITCI US Equity","PX_HIGH","FQ2 2022","FQ2 2022","Currency=USD","Period=FQ","BEST_FPERIOD_OVERRIDE=FQ","FILING_STATUS=MR","Sort=A","Dates=H","DateFormat=P","Fill=—","Direction=H","UseDPDF=Y")</f>
        <v>66</v>
      </c>
      <c r="O34" s="14">
        <f>_xll.BDH("ITCI US Equity","PX_HIGH","FQ3 2022","FQ3 2022","Currency=USD","Period=FQ","BEST_FPERIOD_OVERRIDE=FQ","FILING_STATUS=MR","Sort=A","Dates=H","DateFormat=P","Fill=—","Direction=H","UseDPDF=Y")</f>
        <v>61</v>
      </c>
      <c r="P34" s="14">
        <f>_xll.BDH("ITCI US Equity","PX_HIGH","FQ4 2022","FQ4 2022","Currency=USD","Period=FQ","BEST_FPERIOD_OVERRIDE=FQ","FILING_STATUS=MR","Sort=A","Dates=H","DateFormat=P","Fill=—","Direction=H","UseDPDF=Y")</f>
        <v>55</v>
      </c>
      <c r="Q34" s="14">
        <f>_xll.BDH("ITCI US Equity","PX_HIGH","FQ1 2023","FQ1 2023","Currency=USD","Period=FQ","BEST_FPERIOD_OVERRIDE=FQ","FILING_STATUS=MR","Sort=A","Dates=H","DateFormat=P","Fill=—","Direction=H","UseDPDF=Y")</f>
        <v>57.9</v>
      </c>
      <c r="R34" s="14">
        <f>_xll.BDH("ITCI US Equity","PX_HIGH","FQ2 2023","FQ2 2023","Currency=USD","Period=FQ","BEST_FPERIOD_OVERRIDE=FQ","FILING_STATUS=MR","Sort=A","Dates=H","DateFormat=P","Fill=—","Direction=H","UseDPDF=Y")</f>
        <v>67.05</v>
      </c>
      <c r="S34" s="14">
        <f>_xll.BDH("ITCI US Equity","PX_HIGH","FQ3 2023","FQ3 2023","Currency=USD","Period=FQ","BEST_FPERIOD_OVERRIDE=FQ","FILING_STATUS=MR","Sort=A","Dates=H","DateFormat=P","Fill=—","Direction=H","UseDPDF=Y")</f>
        <v>65</v>
      </c>
      <c r="T34" s="14">
        <f>_xll.BDH("ITCI US Equity","PX_HIGH","FQ4 2023","FQ4 2023","Currency=USD","Period=FQ","BEST_FPERIOD_OVERRIDE=FQ","FILING_STATUS=MR","Sort=A","Dates=H","DateFormat=P","Fill=—","Direction=H","UseDPDF=Y")</f>
        <v>74.165000000000006</v>
      </c>
      <c r="U34" s="14">
        <f>_xll.BDH("ITCI US Equity","PX_HIGH","FQ1 2024","FQ1 2024","Currency=USD","Period=FQ","BEST_FPERIOD_OVERRIDE=FQ","FILING_STATUS=MR","Sort=A","Dates=H","DateFormat=P","Fill=—","Direction=H","UseDPDF=Y")</f>
        <v>76.11</v>
      </c>
      <c r="V34" s="14">
        <f>_xll.BDH("ITCI US Equity","PX_HIGH","FQ2 2024","FQ2 2024","Currency=USD","Period=FQ","BEST_FPERIOD_OVERRIDE=FQ","FILING_STATUS=MR","Sort=A","Dates=H","DateFormat=P","Fill=—","Direction=H","UseDPDF=Y")</f>
        <v>84.89</v>
      </c>
      <c r="W34" s="14">
        <f>_xll.BDH("ITCI US Equity","PX_HIGH","FQ3 2024","FQ3 2024","Currency=USD","Period=FQ","BEST_FPERIOD_OVERRIDE=FQ","FILING_STATUS=MR","Sort=A","Dates=H","DateFormat=P","Fill=—","Direction=H","UseDPDF=Y")</f>
        <v>82</v>
      </c>
      <c r="X34" s="14">
        <f>_xll.BDH("ITCI US Equity","PX_HIGH","FQ4 2024","FQ4 2024","Currency=USD","Period=FQ","BEST_FPERIOD_OVERRIDE=FQ","FILING_STATUS=MR","Sort=A","Dates=H","DateFormat=P","Fill=—","Direction=H","UseDPDF=Y")</f>
        <v>93.45</v>
      </c>
      <c r="Y34" s="17">
        <v>131.86999511718801</v>
      </c>
      <c r="Z34" s="14"/>
      <c r="AA34" s="14"/>
    </row>
    <row r="35" spans="1:27" x14ac:dyDescent="0.25">
      <c r="A35" s="10" t="s">
        <v>204</v>
      </c>
      <c r="B35" s="10" t="s">
        <v>222</v>
      </c>
      <c r="C35" s="14">
        <f>_xll.BDH("ITCI US Equity","PX_LOW","FQ3 2019","FQ3 2019","Currency=USD","Period=FQ","BEST_FPERIOD_OVERRIDE=FQ","FILING_STATUS=MR","Sort=A","Dates=H","DateFormat=P","Fill=—","Direction=H","UseDPDF=Y")</f>
        <v>7.28</v>
      </c>
      <c r="D35" s="14">
        <f>_xll.BDH("ITCI US Equity","PX_LOW","FQ4 2019","FQ4 2019","Currency=USD","Period=FQ","BEST_FPERIOD_OVERRIDE=FQ","FILING_STATUS=MR","Sort=A","Dates=H","DateFormat=P","Fill=—","Direction=H","UseDPDF=Y")</f>
        <v>6.75</v>
      </c>
      <c r="E35" s="14">
        <f>_xll.BDH("ITCI US Equity","PX_LOW","FQ1 2020","FQ1 2020","Currency=USD","Period=FQ","BEST_FPERIOD_OVERRIDE=FQ","FILING_STATUS=MR","Sort=A","Dates=H","DateFormat=P","Fill=—","Direction=H","UseDPDF=Y")</f>
        <v>10.935</v>
      </c>
      <c r="F35" s="14">
        <f>_xll.BDH("ITCI US Equity","PX_LOW","FQ2 2020","FQ2 2020","Currency=USD","Period=FQ","BEST_FPERIOD_OVERRIDE=FQ","FILING_STATUS=MR","Sort=A","Dates=H","DateFormat=P","Fill=—","Direction=H","UseDPDF=Y")</f>
        <v>14</v>
      </c>
      <c r="G35" s="14">
        <f>_xll.BDH("ITCI US Equity","PX_LOW","FQ3 2020","FQ3 2020","Currency=USD","Period=FQ","BEST_FPERIOD_OVERRIDE=FQ","FILING_STATUS=MR","Sort=A","Dates=H","DateFormat=P","Fill=—","Direction=H","UseDPDF=Y")</f>
        <v>17.260000000000002</v>
      </c>
      <c r="H35" s="14">
        <f>_xll.BDH("ITCI US Equity","PX_LOW","FQ4 2020","FQ4 2020","Currency=USD","Period=FQ","BEST_FPERIOD_OVERRIDE=FQ","FILING_STATUS=MR","Sort=A","Dates=H","DateFormat=P","Fill=—","Direction=H","UseDPDF=Y")</f>
        <v>22.914999999999999</v>
      </c>
      <c r="I35" s="14">
        <f>_xll.BDH("ITCI US Equity","PX_LOW","FQ1 2021","FQ1 2021","Currency=USD","Period=FQ","BEST_FPERIOD_OVERRIDE=FQ","FILING_STATUS=MR","Sort=A","Dates=H","DateFormat=P","Fill=—","Direction=H","UseDPDF=Y")</f>
        <v>30.26</v>
      </c>
      <c r="J35" s="14">
        <f>_xll.BDH("ITCI US Equity","PX_LOW","FQ2 2021","FQ2 2021","Currency=USD","Period=FQ","BEST_FPERIOD_OVERRIDE=FQ","FILING_STATUS=MR","Sort=A","Dates=H","DateFormat=P","Fill=—","Direction=H","UseDPDF=Y")</f>
        <v>28.8</v>
      </c>
      <c r="K35" s="14">
        <f>_xll.BDH("ITCI US Equity","PX_LOW","FQ3 2021","FQ3 2021","Currency=USD","Period=FQ","BEST_FPERIOD_OVERRIDE=FQ","FILING_STATUS=MR","Sort=A","Dates=H","DateFormat=P","Fill=—","Direction=H","UseDPDF=Y")</f>
        <v>28.4</v>
      </c>
      <c r="L35" s="14">
        <f>_xll.BDH("ITCI US Equity","PX_LOW","FQ4 2021","FQ4 2021","Currency=USD","Period=FQ","BEST_FPERIOD_OVERRIDE=FQ","FILING_STATUS=MR","Sort=A","Dates=H","DateFormat=P","Fill=—","Direction=H","UseDPDF=Y")</f>
        <v>34.43</v>
      </c>
      <c r="M35" s="14">
        <f>_xll.BDH("ITCI US Equity","PX_LOW","FQ1 2022","FQ1 2022","Currency=USD","Period=FQ","BEST_FPERIOD_OVERRIDE=FQ","FILING_STATUS=MR","Sort=A","Dates=H","DateFormat=P","Fill=—","Direction=H","UseDPDF=Y")</f>
        <v>38.51</v>
      </c>
      <c r="N35" s="14">
        <f>_xll.BDH("ITCI US Equity","PX_LOW","FQ2 2022","FQ2 2022","Currency=USD","Period=FQ","BEST_FPERIOD_OVERRIDE=FQ","FILING_STATUS=MR","Sort=A","Dates=H","DateFormat=P","Fill=—","Direction=H","UseDPDF=Y")</f>
        <v>42.42</v>
      </c>
      <c r="O35" s="14">
        <f>_xll.BDH("ITCI US Equity","PX_LOW","FQ3 2022","FQ3 2022","Currency=USD","Period=FQ","BEST_FPERIOD_OVERRIDE=FQ","FILING_STATUS=MR","Sort=A","Dates=H","DateFormat=P","Fill=—","Direction=H","UseDPDF=Y")</f>
        <v>42.43</v>
      </c>
      <c r="P35" s="14">
        <f>_xll.BDH("ITCI US Equity","PX_LOW","FQ4 2022","FQ4 2022","Currency=USD","Period=FQ","BEST_FPERIOD_OVERRIDE=FQ","FILING_STATUS=MR","Sort=A","Dates=H","DateFormat=P","Fill=—","Direction=H","UseDPDF=Y")</f>
        <v>43.856999999999999</v>
      </c>
      <c r="Q35" s="14">
        <f>_xll.BDH("ITCI US Equity","PX_LOW","FQ1 2023","FQ1 2023","Currency=USD","Period=FQ","BEST_FPERIOD_OVERRIDE=FQ","FILING_STATUS=MR","Sort=A","Dates=H","DateFormat=P","Fill=—","Direction=H","UseDPDF=Y")</f>
        <v>42.01</v>
      </c>
      <c r="R35" s="14">
        <f>_xll.BDH("ITCI US Equity","PX_LOW","FQ2 2023","FQ2 2023","Currency=USD","Period=FQ","BEST_FPERIOD_OVERRIDE=FQ","FILING_STATUS=MR","Sort=A","Dates=H","DateFormat=P","Fill=—","Direction=H","UseDPDF=Y")</f>
        <v>53.52</v>
      </c>
      <c r="S35" s="14">
        <f>_xll.BDH("ITCI US Equity","PX_LOW","FQ3 2023","FQ3 2023","Currency=USD","Period=FQ","BEST_FPERIOD_OVERRIDE=FQ","FILING_STATUS=MR","Sort=A","Dates=H","DateFormat=P","Fill=—","Direction=H","UseDPDF=Y")</f>
        <v>51.93</v>
      </c>
      <c r="T35" s="14">
        <f>_xll.BDH("ITCI US Equity","PX_LOW","FQ4 2023","FQ4 2023","Currency=USD","Period=FQ","BEST_FPERIOD_OVERRIDE=FQ","FILING_STATUS=MR","Sort=A","Dates=H","DateFormat=P","Fill=—","Direction=H","UseDPDF=Y")</f>
        <v>45.5</v>
      </c>
      <c r="U35" s="14">
        <f>_xll.BDH("ITCI US Equity","PX_LOW","FQ1 2024","FQ1 2024","Currency=USD","Period=FQ","BEST_FPERIOD_OVERRIDE=FQ","FILING_STATUS=MR","Sort=A","Dates=H","DateFormat=P","Fill=—","Direction=H","UseDPDF=Y")</f>
        <v>62.78</v>
      </c>
      <c r="V35" s="14">
        <f>_xll.BDH("ITCI US Equity","PX_LOW","FQ2 2024","FQ2 2024","Currency=USD","Period=FQ","BEST_FPERIOD_OVERRIDE=FQ","FILING_STATUS=MR","Sort=A","Dates=H","DateFormat=P","Fill=—","Direction=H","UseDPDF=Y")</f>
        <v>64.09</v>
      </c>
      <c r="W35" s="14">
        <f>_xll.BDH("ITCI US Equity","PX_LOW","FQ3 2024","FQ3 2024","Currency=USD","Period=FQ","BEST_FPERIOD_OVERRIDE=FQ","FILING_STATUS=MR","Sort=A","Dates=H","DateFormat=P","Fill=—","Direction=H","UseDPDF=Y")</f>
        <v>66.260000000000005</v>
      </c>
      <c r="X35" s="14">
        <f>_xll.BDH("ITCI US Equity","PX_LOW","FQ4 2024","FQ4 2024","Currency=USD","Period=FQ","BEST_FPERIOD_OVERRIDE=FQ","FILING_STATUS=MR","Sort=A","Dates=H","DateFormat=P","Fill=—","Direction=H","UseDPDF=Y")</f>
        <v>70.900000000000006</v>
      </c>
      <c r="Y35" s="17">
        <v>131.80000305175801</v>
      </c>
      <c r="Z35" s="14"/>
      <c r="AA35" s="14"/>
    </row>
    <row r="36" spans="1:27" x14ac:dyDescent="0.25">
      <c r="A36" s="6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21"/>
      <c r="Z36" s="18"/>
      <c r="AA36" s="18"/>
    </row>
    <row r="37" spans="1:27" x14ac:dyDescent="0.25">
      <c r="A37" s="6" t="s">
        <v>67</v>
      </c>
      <c r="B37" s="6" t="s">
        <v>68</v>
      </c>
      <c r="C37" s="19">
        <f>_xll.BDH("ITCI US Equity","ENTERPRISE_VALUE","FQ3 2019","FQ3 2019","Currency=USD","Period=FQ","BEST_FPERIOD_OVERRIDE=FQ","FILING_STATUS=MR","SCALING_FORMAT=MLN","Sort=A","Dates=H","DateFormat=P","Fill=—","Direction=H","UseDPDF=Y")</f>
        <v>179.82239999999999</v>
      </c>
      <c r="D37" s="19">
        <f>_xll.BDH("ITCI US Equity","ENTERPRISE_VALUE","FQ4 2019","FQ4 2019","Currency=USD","Period=FQ","BEST_FPERIOD_OVERRIDE=FQ","FILING_STATUS=MR","SCALING_FORMAT=MLN","Sort=A","Dates=H","DateFormat=P","Fill=—","Direction=H","UseDPDF=Y")</f>
        <v>1703.5947000000001</v>
      </c>
      <c r="E37" s="19">
        <f>_xll.BDH("ITCI US Equity","ENTERPRISE_VALUE","FQ1 2020","FQ1 2020","Currency=USD","Period=FQ","BEST_FPERIOD_OVERRIDE=FQ","FILING_STATUS=MR","SCALING_FORMAT=MLN","Sort=A","Dates=H","DateFormat=P","Fill=—","Direction=H","UseDPDF=Y")</f>
        <v>591.48099999999999</v>
      </c>
      <c r="F37" s="19">
        <f>_xll.BDH("ITCI US Equity","ENTERPRISE_VALUE","FQ2 2020","FQ2 2020","Currency=USD","Period=FQ","BEST_FPERIOD_OVERRIDE=FQ","FILING_STATUS=MR","SCALING_FORMAT=MLN","Sort=A","Dates=H","DateFormat=P","Fill=—","Direction=H","UseDPDF=Y")</f>
        <v>1331.5577000000001</v>
      </c>
      <c r="G37" s="19">
        <f>_xll.BDH("ITCI US Equity","ENTERPRISE_VALUE","FQ3 2020","FQ3 2020","Currency=USD","Period=FQ","BEST_FPERIOD_OVERRIDE=FQ","FILING_STATUS=MR","SCALING_FORMAT=MLN","Sort=A","Dates=H","DateFormat=P","Fill=—","Direction=H","UseDPDF=Y")</f>
        <v>1363.6534999999999</v>
      </c>
      <c r="H37" s="19">
        <f>_xll.BDH("ITCI US Equity","ENTERPRISE_VALUE","FQ4 2020","FQ4 2020","Currency=USD","Period=FQ","BEST_FPERIOD_OVERRIDE=FQ","FILING_STATUS=MR","SCALING_FORMAT=MLN","Sort=A","Dates=H","DateFormat=P","Fill=—","Direction=H","UseDPDF=Y")</f>
        <v>1930.4203</v>
      </c>
      <c r="I37" s="19">
        <f>_xll.BDH("ITCI US Equity","ENTERPRISE_VALUE","FQ1 2021","FQ1 2021","Currency=USD","Period=FQ","BEST_FPERIOD_OVERRIDE=FQ","FILING_STATUS=MR","SCALING_FORMAT=MLN","Sort=A","Dates=H","DateFormat=P","Fill=—","Direction=H","UseDPDF=Y")</f>
        <v>2169.1172000000001</v>
      </c>
      <c r="J37" s="19">
        <f>_xll.BDH("ITCI US Equity","ENTERPRISE_VALUE","FQ2 2021","FQ2 2021","Currency=USD","Period=FQ","BEST_FPERIOD_OVERRIDE=FQ","FILING_STATUS=MR","SCALING_FORMAT=MLN","Sort=A","Dates=H","DateFormat=P","Fill=—","Direction=H","UseDPDF=Y")</f>
        <v>2791.6774</v>
      </c>
      <c r="K37" s="19">
        <f>_xll.BDH("ITCI US Equity","ENTERPRISE_VALUE","FQ3 2021","FQ3 2021","Currency=USD","Period=FQ","BEST_FPERIOD_OVERRIDE=FQ","FILING_STATUS=MR","SCALING_FORMAT=MLN","Sort=A","Dates=H","DateFormat=P","Fill=—","Direction=H","UseDPDF=Y")</f>
        <v>2582.8717000000001</v>
      </c>
      <c r="L37" s="19">
        <f>_xll.BDH("ITCI US Equity","ENTERPRISE_VALUE","FQ4 2021","FQ4 2021","Currency=USD","Period=FQ","BEST_FPERIOD_OVERRIDE=FQ","FILING_STATUS=MR","SCALING_FORMAT=MLN","Sort=A","Dates=H","DateFormat=P","Fill=—","Direction=H","UseDPDF=Y")</f>
        <v>3899.0371</v>
      </c>
      <c r="M37" s="19">
        <f>_xll.BDH("ITCI US Equity","ENTERPRISE_VALUE","FQ1 2022","FQ1 2022","Currency=USD","Period=FQ","BEST_FPERIOD_OVERRIDE=FQ","FILING_STATUS=MR","SCALING_FORMAT=MLN","Sort=A","Dates=H","DateFormat=P","Fill=—","Direction=H","UseDPDF=Y")</f>
        <v>5005.6538</v>
      </c>
      <c r="N37" s="19">
        <f>_xll.BDH("ITCI US Equity","ENTERPRISE_VALUE","FQ2 2022","FQ2 2022","Currency=USD","Period=FQ","BEST_FPERIOD_OVERRIDE=FQ","FILING_STATUS=MR","SCALING_FORMAT=MLN","Sort=A","Dates=H","DateFormat=P","Fill=—","Direction=H","UseDPDF=Y")</f>
        <v>4735.4706999999999</v>
      </c>
      <c r="O37" s="19">
        <f>_xll.BDH("ITCI US Equity","ENTERPRISE_VALUE","FQ3 2022","FQ3 2022","Currency=USD","Period=FQ","BEST_FPERIOD_OVERRIDE=FQ","FILING_STATUS=MR","SCALING_FORMAT=MLN","Sort=A","Dates=H","DateFormat=P","Fill=—","Direction=H","UseDPDF=Y")</f>
        <v>3804.1392999999998</v>
      </c>
      <c r="P37" s="19">
        <f>_xll.BDH("ITCI US Equity","ENTERPRISE_VALUE","FQ4 2022","FQ4 2022","Currency=USD","Period=FQ","BEST_FPERIOD_OVERRIDE=FQ","FILING_STATUS=MR","SCALING_FORMAT=MLN","Sort=A","Dates=H","DateFormat=P","Fill=—","Direction=H","UseDPDF=Y")</f>
        <v>4446.5286999999998</v>
      </c>
      <c r="Q37" s="19">
        <f>_xll.BDH("ITCI US Equity","ENTERPRISE_VALUE","FQ1 2023","FQ1 2023","Currency=USD","Period=FQ","BEST_FPERIOD_OVERRIDE=FQ","FILING_STATUS=MR","SCALING_FORMAT=MLN","Sort=A","Dates=H","DateFormat=P","Fill=—","Direction=H","UseDPDF=Y")</f>
        <v>4660.8576000000003</v>
      </c>
      <c r="R37" s="19">
        <f>_xll.BDH("ITCI US Equity","ENTERPRISE_VALUE","FQ2 2023","FQ2 2023","Currency=USD","Period=FQ","BEST_FPERIOD_OVERRIDE=FQ","FILING_STATUS=MR","SCALING_FORMAT=MLN","Sort=A","Dates=H","DateFormat=P","Fill=—","Direction=H","UseDPDF=Y")</f>
        <v>5589.1360999999997</v>
      </c>
      <c r="S37" s="19">
        <f>_xll.BDH("ITCI US Equity","ENTERPRISE_VALUE","FQ3 2023","FQ3 2023","Currency=USD","Period=FQ","BEST_FPERIOD_OVERRIDE=FQ","FILING_STATUS=MR","SCALING_FORMAT=MLN","Sort=A","Dates=H","DateFormat=P","Fill=—","Direction=H","UseDPDF=Y")</f>
        <v>4536.8464000000004</v>
      </c>
      <c r="T37" s="19">
        <f>_xll.BDH("ITCI US Equity","ENTERPRISE_VALUE","FQ4 2023","FQ4 2023","Currency=USD","Period=FQ","BEST_FPERIOD_OVERRIDE=FQ","FILING_STATUS=MR","SCALING_FORMAT=MLN","Sort=A","Dates=H","DateFormat=P","Fill=—","Direction=H","UseDPDF=Y")</f>
        <v>6421.7191000000003</v>
      </c>
      <c r="U37" s="19">
        <f>_xll.BDH("ITCI US Equity","ENTERPRISE_VALUE","FQ1 2024","FQ1 2024","Currency=USD","Period=FQ","BEST_FPERIOD_OVERRIDE=FQ","FILING_STATUS=MR","SCALING_FORMAT=MLN","Sort=A","Dates=H","DateFormat=P","Fill=—","Direction=H","UseDPDF=Y")</f>
        <v>6286.2179999999998</v>
      </c>
      <c r="V37" s="19">
        <f>_xll.BDH("ITCI US Equity","ENTERPRISE_VALUE","FQ2 2024","FQ2 2024","Currency=USD","Period=FQ","BEST_FPERIOD_OVERRIDE=FQ","FILING_STATUS=MR","SCALING_FORMAT=MLN","Sort=A","Dates=H","DateFormat=P","Fill=—","Direction=H","UseDPDF=Y")</f>
        <v>6229.6305000000002</v>
      </c>
      <c r="W37" s="19">
        <f>_xll.BDH("ITCI US Equity","ENTERPRISE_VALUE","FQ3 2024","FQ3 2024","Currency=USD","Period=FQ","BEST_FPERIOD_OVERRIDE=FQ","FILING_STATUS=MR","SCALING_FORMAT=MLN","Sort=A","Dates=H","DateFormat=P","Fill=—","Direction=H","UseDPDF=Y")</f>
        <v>6767.0781999999999</v>
      </c>
      <c r="X37" s="19">
        <f>_xll.BDH("ITCI US Equity","ENTERPRISE_VALUE","FQ4 2024","FQ4 2024","Currency=USD","Period=FQ","BEST_FPERIOD_OVERRIDE=FQ","FILING_STATUS=MR","SCALING_FORMAT=MLN","Sort=A","Dates=H","DateFormat=P","Fill=—","Direction=H","UseDPDF=Y")</f>
        <v>7889.0806000000002</v>
      </c>
      <c r="Y37" s="22">
        <v>13031.00235312</v>
      </c>
      <c r="Z37" s="19"/>
      <c r="AA37" s="19"/>
    </row>
    <row r="38" spans="1:27" x14ac:dyDescent="0.25">
      <c r="A38" s="10" t="s">
        <v>200</v>
      </c>
      <c r="B38" s="10" t="s">
        <v>223</v>
      </c>
      <c r="C38" s="13">
        <f>_xll.BDH("ITCI US Equity","AVERAGE_ENTERPRISE_VALUE","FQ3 2019","FQ3 2019","Currency=USD","Period=FQ","BEST_FPERIOD_OVERRIDE=FQ","FILING_STATUS=MR","SCALING_FORMAT=MLN","Sort=A","Dates=H","DateFormat=P","Fill=—","Direction=H","UseDPDF=Y")</f>
        <v>266.82749999999999</v>
      </c>
      <c r="D38" s="13">
        <f>_xll.BDH("ITCI US Equity","AVERAGE_ENTERPRISE_VALUE","FQ4 2019","FQ4 2019","Currency=USD","Period=FQ","BEST_FPERIOD_OVERRIDE=FQ","FILING_STATUS=MR","SCALING_FORMAT=MLN","Sort=A","Dates=H","DateFormat=P","Fill=—","Direction=H","UseDPDF=Y")</f>
        <v>430.5188</v>
      </c>
      <c r="E38" s="13">
        <f>_xll.BDH("ITCI US Equity","AVERAGE_ENTERPRISE_VALUE","FQ1 2020","FQ1 2020","Currency=USD","Period=FQ","BEST_FPERIOD_OVERRIDE=FQ","FILING_STATUS=MR","SCALING_FORMAT=MLN","Sort=A","Dates=H","DateFormat=P","Fill=—","Direction=H","UseDPDF=Y")</f>
        <v>1197.5922</v>
      </c>
      <c r="F38" s="13">
        <f>_xll.BDH("ITCI US Equity","AVERAGE_ENTERPRISE_VALUE","FQ2 2020","FQ2 2020","Currency=USD","Period=FQ","BEST_FPERIOD_OVERRIDE=FQ","FILING_STATUS=MR","SCALING_FORMAT=MLN","Sort=A","Dates=H","DateFormat=P","Fill=—","Direction=H","UseDPDF=Y")</f>
        <v>917.99639999999999</v>
      </c>
      <c r="G38" s="13">
        <f>_xll.BDH("ITCI US Equity","AVERAGE_ENTERPRISE_VALUE","FQ3 2020","FQ3 2020","Currency=USD","Period=FQ","BEST_FPERIOD_OVERRIDE=FQ","FILING_STATUS=MR","SCALING_FORMAT=MLN","Sort=A","Dates=H","DateFormat=P","Fill=—","Direction=H","UseDPDF=Y")</f>
        <v>1209.3459</v>
      </c>
      <c r="H38" s="13">
        <f>_xll.BDH("ITCI US Equity","AVERAGE_ENTERPRISE_VALUE","FQ4 2020","FQ4 2020","Currency=USD","Period=FQ","BEST_FPERIOD_OVERRIDE=FQ","FILING_STATUS=MR","SCALING_FORMAT=MLN","Sort=A","Dates=H","DateFormat=P","Fill=—","Direction=H","UseDPDF=Y")</f>
        <v>1396.413</v>
      </c>
      <c r="I38" s="13">
        <f>_xll.BDH("ITCI US Equity","AVERAGE_ENTERPRISE_VALUE","FQ1 2021","FQ1 2021","Currency=USD","Period=FQ","BEST_FPERIOD_OVERRIDE=FQ","FILING_STATUS=MR","SCALING_FORMAT=MLN","Sort=A","Dates=H","DateFormat=P","Fill=—","Direction=H","UseDPDF=Y")</f>
        <v>2163.8386999999998</v>
      </c>
      <c r="J38" s="13">
        <f>_xll.BDH("ITCI US Equity","AVERAGE_ENTERPRISE_VALUE","FQ2 2021","FQ2 2021","Currency=USD","Period=FQ","BEST_FPERIOD_OVERRIDE=FQ","FILING_STATUS=MR","SCALING_FORMAT=MLN","Sort=A","Dates=H","DateFormat=P","Fill=—","Direction=H","UseDPDF=Y")</f>
        <v>2416.5248999999999</v>
      </c>
      <c r="K38" s="13">
        <f>_xll.BDH("ITCI US Equity","AVERAGE_ENTERPRISE_VALUE","FQ3 2021","FQ3 2021","Currency=USD","Period=FQ","BEST_FPERIOD_OVERRIDE=FQ","FILING_STATUS=MR","SCALING_FORMAT=MLN","Sort=A","Dates=H","DateFormat=P","Fill=—","Direction=H","UseDPDF=Y")</f>
        <v>2299.3211999999999</v>
      </c>
      <c r="L38" s="13">
        <f>_xll.BDH("ITCI US Equity","AVERAGE_ENTERPRISE_VALUE","FQ4 2021","FQ4 2021","Currency=USD","Period=FQ","BEST_FPERIOD_OVERRIDE=FQ","FILING_STATUS=MR","SCALING_FORMAT=MLN","Sort=A","Dates=H","DateFormat=P","Fill=—","Direction=H","UseDPDF=Y")</f>
        <v>2970.0154000000002</v>
      </c>
      <c r="M38" s="13">
        <f>_xll.BDH("ITCI US Equity","AVERAGE_ENTERPRISE_VALUE","FQ1 2022","FQ1 2022","Currency=USD","Period=FQ","BEST_FPERIOD_OVERRIDE=FQ","FILING_STATUS=MR","SCALING_FORMAT=MLN","Sort=A","Dates=H","DateFormat=P","Fill=—","Direction=H","UseDPDF=Y")</f>
        <v>4412.6737999999996</v>
      </c>
      <c r="N38" s="13">
        <f>_xll.BDH("ITCI US Equity","AVERAGE_ENTERPRISE_VALUE","FQ2 2022","FQ2 2022","Currency=USD","Period=FQ","BEST_FPERIOD_OVERRIDE=FQ","FILING_STATUS=MR","SCALING_FORMAT=MLN","Sort=A","Dates=H","DateFormat=P","Fill=—","Direction=H","UseDPDF=Y")</f>
        <v>4587.9511000000002</v>
      </c>
      <c r="O38" s="13">
        <f>_xll.BDH("ITCI US Equity","AVERAGE_ENTERPRISE_VALUE","FQ3 2022","FQ3 2022","Currency=USD","Period=FQ","BEST_FPERIOD_OVERRIDE=FQ","FILING_STATUS=MR","SCALING_FORMAT=MLN","Sort=A","Dates=H","DateFormat=P","Fill=—","Direction=H","UseDPDF=Y")</f>
        <v>4279.4447</v>
      </c>
      <c r="P38" s="13">
        <f>_xll.BDH("ITCI US Equity","AVERAGE_ENTERPRISE_VALUE","FQ4 2022","FQ4 2022","Currency=USD","Period=FQ","BEST_FPERIOD_OVERRIDE=FQ","FILING_STATUS=MR","SCALING_FORMAT=MLN","Sort=A","Dates=H","DateFormat=P","Fill=—","Direction=H","UseDPDF=Y")</f>
        <v>4139.0707000000002</v>
      </c>
      <c r="Q38" s="13">
        <f>_xll.BDH("ITCI US Equity","AVERAGE_ENTERPRISE_VALUE","FQ1 2023","FQ1 2023","Currency=USD","Period=FQ","BEST_FPERIOD_OVERRIDE=FQ","FILING_STATUS=MR","SCALING_FORMAT=MLN","Sort=A","Dates=H","DateFormat=P","Fill=—","Direction=H","UseDPDF=Y")</f>
        <v>4018.0225</v>
      </c>
      <c r="R38" s="13">
        <f>_xll.BDH("ITCI US Equity","AVERAGE_ENTERPRISE_VALUE","FQ2 2023","FQ2 2023","Currency=USD","Period=FQ","BEST_FPERIOD_OVERRIDE=FQ","FILING_STATUS=MR","SCALING_FORMAT=MLN","Sort=A","Dates=H","DateFormat=P","Fill=—","Direction=H","UseDPDF=Y")</f>
        <v>5445.4656000000004</v>
      </c>
      <c r="S38" s="13">
        <f>_xll.BDH("ITCI US Equity","AVERAGE_ENTERPRISE_VALUE","FQ3 2023","FQ3 2023","Currency=USD","Period=FQ","BEST_FPERIOD_OVERRIDE=FQ","FILING_STATUS=MR","SCALING_FORMAT=MLN","Sort=A","Dates=H","DateFormat=P","Fill=—","Direction=H","UseDPDF=Y")</f>
        <v>5099.9503999999997</v>
      </c>
      <c r="T38" s="13">
        <f>_xll.BDH("ITCI US Equity","AVERAGE_ENTERPRISE_VALUE","FQ4 2023","FQ4 2023","Currency=USD","Period=FQ","BEST_FPERIOD_OVERRIDE=FQ","FILING_STATUS=MR","SCALING_FORMAT=MLN","Sort=A","Dates=H","DateFormat=P","Fill=—","Direction=H","UseDPDF=Y")</f>
        <v>5057.7870999999996</v>
      </c>
      <c r="U38" s="13">
        <f>_xll.BDH("ITCI US Equity","AVERAGE_ENTERPRISE_VALUE","FQ1 2024","FQ1 2024","Currency=USD","Period=FQ","BEST_FPERIOD_OVERRIDE=FQ","FILING_STATUS=MR","SCALING_FORMAT=MLN","Sort=A","Dates=H","DateFormat=P","Fill=—","Direction=H","UseDPDF=Y")</f>
        <v>6150.3137999999999</v>
      </c>
      <c r="V38" s="13">
        <f>_xll.BDH("ITCI US Equity","AVERAGE_ENTERPRISE_VALUE","FQ2 2024","FQ2 2024","Currency=USD","Period=FQ","BEST_FPERIOD_OVERRIDE=FQ","FILING_STATUS=MR","SCALING_FORMAT=MLN","Sort=A","Dates=H","DateFormat=P","Fill=—","Direction=H","UseDPDF=Y")</f>
        <v>6706.8779000000004</v>
      </c>
      <c r="W38" s="13">
        <f>_xll.BDH("ITCI US Equity","AVERAGE_ENTERPRISE_VALUE","FQ3 2024","FQ3 2024","Currency=USD","Period=FQ","BEST_FPERIOD_OVERRIDE=FQ","FILING_STATUS=MR","SCALING_FORMAT=MLN","Sort=A","Dates=H","DateFormat=P","Fill=—","Direction=H","UseDPDF=Y")</f>
        <v>6934.3769000000002</v>
      </c>
      <c r="X38" s="13">
        <f>_xll.BDH("ITCI US Equity","AVERAGE_ENTERPRISE_VALUE","FQ4 2024","FQ4 2024","Currency=USD","Period=FQ","BEST_FPERIOD_OVERRIDE=FQ","FILING_STATUS=MR","SCALING_FORMAT=MLN","Sort=A","Dates=H","DateFormat=P","Fill=—","Direction=H","UseDPDF=Y")</f>
        <v>7714.3752999999997</v>
      </c>
      <c r="Y38" s="16"/>
      <c r="Z38" s="13"/>
      <c r="AA38" s="13"/>
    </row>
    <row r="39" spans="1:27" x14ac:dyDescent="0.25">
      <c r="A39" s="10" t="s">
        <v>202</v>
      </c>
      <c r="B39" s="10" t="s">
        <v>224</v>
      </c>
      <c r="C39" s="13">
        <f>_xll.BDH("ITCI US Equity","HIGH_ENTERPRISE_VALUE","FQ3 2019","FQ3 2019","Currency=USD","Period=FQ","BEST_FPERIOD_OVERRIDE=FQ","FILING_STATUS=MR","SCALING_FORMAT=MLN","Sort=A","Dates=H","DateFormat=P","Fill=—","Direction=H","UseDPDF=Y")</f>
        <v>511.06939999999997</v>
      </c>
      <c r="D39" s="13">
        <f>_xll.BDH("ITCI US Equity","HIGH_ENTERPRISE_VALUE","FQ4 2019","FQ4 2019","Currency=USD","Period=FQ","BEST_FPERIOD_OVERRIDE=FQ","FILING_STATUS=MR","SCALING_FORMAT=MLN","Sort=A","Dates=H","DateFormat=P","Fill=—","Direction=H","UseDPDF=Y")</f>
        <v>1894.1198999999999</v>
      </c>
      <c r="E39" s="13">
        <f>_xll.BDH("ITCI US Equity","HIGH_ENTERPRISE_VALUE","FQ1 2020","FQ1 2020","Currency=USD","Period=FQ","BEST_FPERIOD_OVERRIDE=FQ","FILING_STATUS=MR","SCALING_FORMAT=MLN","Sort=A","Dates=H","DateFormat=P","Fill=—","Direction=H","UseDPDF=Y")</f>
        <v>1629.3777</v>
      </c>
      <c r="F39" s="13">
        <f>_xll.BDH("ITCI US Equity","HIGH_ENTERPRISE_VALUE","FQ2 2020","FQ2 2020","Currency=USD","Period=FQ","BEST_FPERIOD_OVERRIDE=FQ","FILING_STATUS=MR","SCALING_FORMAT=MLN","Sort=A","Dates=H","DateFormat=P","Fill=—","Direction=H","UseDPDF=Y")</f>
        <v>1344.2173</v>
      </c>
      <c r="G39" s="13">
        <f>_xll.BDH("ITCI US Equity","HIGH_ENTERPRISE_VALUE","FQ3 2020","FQ3 2020","Currency=USD","Period=FQ","BEST_FPERIOD_OVERRIDE=FQ","FILING_STATUS=MR","SCALING_FORMAT=MLN","Sort=A","Dates=H","DateFormat=P","Fill=—","Direction=H","UseDPDF=Y")</f>
        <v>2084.4497000000001</v>
      </c>
      <c r="H39" s="13">
        <f>_xll.BDH("ITCI US Equity","HIGH_ENTERPRISE_VALUE","FQ4 2020","FQ4 2020","Currency=USD","Period=FQ","BEST_FPERIOD_OVERRIDE=FQ","FILING_STATUS=MR","SCALING_FORMAT=MLN","Sort=A","Dates=H","DateFormat=P","Fill=—","Direction=H","UseDPDF=Y")</f>
        <v>1920.7043000000001</v>
      </c>
      <c r="I39" s="13">
        <f>_xll.BDH("ITCI US Equity","HIGH_ENTERPRISE_VALUE","FQ1 2021","FQ1 2021","Currency=USD","Period=FQ","BEST_FPERIOD_OVERRIDE=FQ","FILING_STATUS=MR","SCALING_FORMAT=MLN","Sort=A","Dates=H","DateFormat=P","Fill=—","Direction=H","UseDPDF=Y")</f>
        <v>2538.7190000000001</v>
      </c>
      <c r="J39" s="13">
        <f>_xll.BDH("ITCI US Equity","HIGH_ENTERPRISE_VALUE","FQ2 2021","FQ2 2021","Currency=USD","Period=FQ","BEST_FPERIOD_OVERRIDE=FQ","FILING_STATUS=MR","SCALING_FORMAT=MLN","Sort=A","Dates=H","DateFormat=P","Fill=—","Direction=H","UseDPDF=Y")</f>
        <v>3029.7447000000002</v>
      </c>
      <c r="K39" s="13">
        <f>_xll.BDH("ITCI US Equity","HIGH_ENTERPRISE_VALUE","FQ3 2021","FQ3 2021","Currency=USD","Period=FQ","BEST_FPERIOD_OVERRIDE=FQ","FILING_STATUS=MR","SCALING_FORMAT=MLN","Sort=A","Dates=H","DateFormat=P","Fill=—","Direction=H","UseDPDF=Y")</f>
        <v>2922.6949</v>
      </c>
      <c r="L39" s="13">
        <f>_xll.BDH("ITCI US Equity","HIGH_ENTERPRISE_VALUE","FQ4 2021","FQ4 2021","Currency=USD","Period=FQ","BEST_FPERIOD_OVERRIDE=FQ","FILING_STATUS=MR","SCALING_FORMAT=MLN","Sort=A","Dates=H","DateFormat=P","Fill=—","Direction=H","UseDPDF=Y")</f>
        <v>3900.8890000000001</v>
      </c>
      <c r="M39" s="13">
        <f>_xll.BDH("ITCI US Equity","HIGH_ENTERPRISE_VALUE","FQ1 2022","FQ1 2022","Currency=USD","Period=FQ","BEST_FPERIOD_OVERRIDE=FQ","FILING_STATUS=MR","SCALING_FORMAT=MLN","Sort=A","Dates=H","DateFormat=P","Fill=—","Direction=H","UseDPDF=Y")</f>
        <v>5424.3091999999997</v>
      </c>
      <c r="N39" s="13">
        <f>_xll.BDH("ITCI US Equity","HIGH_ENTERPRISE_VALUE","FQ2 2022","FQ2 2022","Currency=USD","Period=FQ","BEST_FPERIOD_OVERRIDE=FQ","FILING_STATUS=MR","SCALING_FORMAT=MLN","Sort=A","Dates=H","DateFormat=P","Fill=—","Direction=H","UseDPDF=Y")</f>
        <v>5396.0375999999997</v>
      </c>
      <c r="O39" s="13">
        <f>_xll.BDH("ITCI US Equity","HIGH_ENTERPRISE_VALUE","FQ3 2022","FQ3 2022","Currency=USD","Period=FQ","BEST_FPERIOD_OVERRIDE=FQ","FILING_STATUS=MR","SCALING_FORMAT=MLN","Sort=A","Dates=H","DateFormat=P","Fill=—","Direction=H","UseDPDF=Y")</f>
        <v>5007.5045</v>
      </c>
      <c r="P39" s="13">
        <f>_xll.BDH("ITCI US Equity","HIGH_ENTERPRISE_VALUE","FQ4 2022","FQ4 2022","Currency=USD","Period=FQ","BEST_FPERIOD_OVERRIDE=FQ","FILING_STATUS=MR","SCALING_FORMAT=MLN","Sort=A","Dates=H","DateFormat=P","Fill=—","Direction=H","UseDPDF=Y")</f>
        <v>4554.3612000000003</v>
      </c>
      <c r="Q39" s="13">
        <f>_xll.BDH("ITCI US Equity","HIGH_ENTERPRISE_VALUE","FQ1 2023","FQ1 2023","Currency=USD","Period=FQ","BEST_FPERIOD_OVERRIDE=FQ","FILING_STATUS=MR","SCALING_FORMAT=MLN","Sort=A","Dates=H","DateFormat=P","Fill=—","Direction=H","UseDPDF=Y")</f>
        <v>4858.1433999999999</v>
      </c>
      <c r="R39" s="13">
        <f>_xll.BDH("ITCI US Equity","HIGH_ENTERPRISE_VALUE","FQ2 2023","FQ2 2023","Currency=USD","Period=FQ","BEST_FPERIOD_OVERRIDE=FQ","FILING_STATUS=MR","SCALING_FORMAT=MLN","Sort=A","Dates=H","DateFormat=P","Fill=—","Direction=H","UseDPDF=Y")</f>
        <v>5853.0808999999999</v>
      </c>
      <c r="S39" s="13">
        <f>_xll.BDH("ITCI US Equity","HIGH_ENTERPRISE_VALUE","FQ3 2023","FQ3 2023","Currency=USD","Period=FQ","BEST_FPERIOD_OVERRIDE=FQ","FILING_STATUS=MR","SCALING_FORMAT=MLN","Sort=A","Dates=H","DateFormat=P","Fill=—","Direction=H","UseDPDF=Y")</f>
        <v>5653.9669999999996</v>
      </c>
      <c r="T39" s="13">
        <f>_xll.BDH("ITCI US Equity","HIGH_ENTERPRISE_VALUE","FQ4 2023","FQ4 2023","Currency=USD","Period=FQ","BEST_FPERIOD_OVERRIDE=FQ","FILING_STATUS=MR","SCALING_FORMAT=MLN","Sort=A","Dates=H","DateFormat=P","Fill=—","Direction=H","UseDPDF=Y")</f>
        <v>6612.3919999999998</v>
      </c>
      <c r="U39" s="13">
        <f>_xll.BDH("ITCI US Equity","HIGH_ENTERPRISE_VALUE","FQ1 2024","FQ1 2024","Currency=USD","Period=FQ","BEST_FPERIOD_OVERRIDE=FQ","FILING_STATUS=MR","SCALING_FORMAT=MLN","Sort=A","Dates=H","DateFormat=P","Fill=—","Direction=H","UseDPDF=Y")</f>
        <v>6799.4111999999996</v>
      </c>
      <c r="V39" s="13">
        <f>_xll.BDH("ITCI US Equity","HIGH_ENTERPRISE_VALUE","FQ2 2024","FQ2 2024","Currency=USD","Period=FQ","BEST_FPERIOD_OVERRIDE=FQ","FILING_STATUS=MR","SCALING_FORMAT=MLN","Sort=A","Dates=H","DateFormat=P","Fill=—","Direction=H","UseDPDF=Y")</f>
        <v>7625.6754000000001</v>
      </c>
      <c r="W39" s="13">
        <f>_xll.BDH("ITCI US Equity","HIGH_ENTERPRISE_VALUE","FQ3 2024","FQ3 2024","Currency=USD","Period=FQ","BEST_FPERIOD_OVERRIDE=FQ","FILING_STATUS=MR","SCALING_FORMAT=MLN","Sort=A","Dates=H","DateFormat=P","Fill=—","Direction=H","UseDPDF=Y")</f>
        <v>7530.0523000000003</v>
      </c>
      <c r="X39" s="13">
        <f>_xll.BDH("ITCI US Equity","HIGH_ENTERPRISE_VALUE","FQ4 2024","FQ4 2024","Currency=USD","Period=FQ","BEST_FPERIOD_OVERRIDE=FQ","FILING_STATUS=MR","SCALING_FORMAT=MLN","Sort=A","Dates=H","DateFormat=P","Fill=—","Direction=H","UseDPDF=Y")</f>
        <v>8719.1330999999991</v>
      </c>
      <c r="Y39" s="16"/>
      <c r="Z39" s="13"/>
      <c r="AA39" s="13"/>
    </row>
    <row r="40" spans="1:27" x14ac:dyDescent="0.25">
      <c r="A40" s="10" t="s">
        <v>204</v>
      </c>
      <c r="B40" s="10" t="s">
        <v>225</v>
      </c>
      <c r="C40" s="13">
        <f>_xll.BDH("ITCI US Equity","LOW_ENTERPRISE_VALUE","FQ3 2019","FQ3 2019","Currency=USD","Period=FQ","BEST_FPERIOD_OVERRIDE=FQ","FILING_STATUS=MR","SCALING_FORMAT=MLN","Sort=A","Dates=H","DateFormat=P","Fill=—","Direction=H","UseDPDF=Y")</f>
        <v>151.3297</v>
      </c>
      <c r="D40" s="13">
        <f>_xll.BDH("ITCI US Equity","LOW_ENTERPRISE_VALUE","FQ4 2019","FQ4 2019","Currency=USD","Period=FQ","BEST_FPERIOD_OVERRIDE=FQ","FILING_STATUS=MR","SCALING_FORMAT=MLN","Sort=A","Dates=H","DateFormat=P","Fill=—","Direction=H","UseDPDF=Y")</f>
        <v>167.68049999999999</v>
      </c>
      <c r="E40" s="13">
        <f>_xll.BDH("ITCI US Equity","LOW_ENTERPRISE_VALUE","FQ1 2020","FQ1 2020","Currency=USD","Period=FQ","BEST_FPERIOD_OVERRIDE=FQ","FILING_STATUS=MR","SCALING_FORMAT=MLN","Sort=A","Dates=H","DateFormat=P","Fill=—","Direction=H","UseDPDF=Y")</f>
        <v>590.44230000000005</v>
      </c>
      <c r="F40" s="13">
        <f>_xll.BDH("ITCI US Equity","LOW_ENTERPRISE_VALUE","FQ2 2020","FQ2 2020","Currency=USD","Period=FQ","BEST_FPERIOD_OVERRIDE=FQ","FILING_STATUS=MR","SCALING_FORMAT=MLN","Sort=A","Dates=H","DateFormat=P","Fill=—","Direction=H","UseDPDF=Y")</f>
        <v>522.98649999999998</v>
      </c>
      <c r="G40" s="13">
        <f>_xll.BDH("ITCI US Equity","LOW_ENTERPRISE_VALUE","FQ3 2020","FQ3 2020","Currency=USD","Period=FQ","BEST_FPERIOD_OVERRIDE=FQ","FILING_STATUS=MR","SCALING_FORMAT=MLN","Sort=A","Dates=H","DateFormat=P","Fill=—","Direction=H","UseDPDF=Y")</f>
        <v>802.6336</v>
      </c>
      <c r="H40" s="13">
        <f>_xll.BDH("ITCI US Equity","LOW_ENTERPRISE_VALUE","FQ4 2020","FQ4 2020","Currency=USD","Period=FQ","BEST_FPERIOD_OVERRIDE=FQ","FILING_STATUS=MR","SCALING_FORMAT=MLN","Sort=A","Dates=H","DateFormat=P","Fill=—","Direction=H","UseDPDF=Y")</f>
        <v>1138.0817</v>
      </c>
      <c r="I40" s="13">
        <f>_xll.BDH("ITCI US Equity","LOW_ENTERPRISE_VALUE","FQ1 2021","FQ1 2021","Currency=USD","Period=FQ","BEST_FPERIOD_OVERRIDE=FQ","FILING_STATUS=MR","SCALING_FORMAT=MLN","Sort=A","Dates=H","DateFormat=P","Fill=—","Direction=H","UseDPDF=Y")</f>
        <v>1863.9381000000001</v>
      </c>
      <c r="J40" s="13">
        <f>_xll.BDH("ITCI US Equity","LOW_ENTERPRISE_VALUE","FQ2 2021","FQ2 2021","Currency=USD","Period=FQ","BEST_FPERIOD_OVERRIDE=FQ","FILING_STATUS=MR","SCALING_FORMAT=MLN","Sort=A","Dates=H","DateFormat=P","Fill=—","Direction=H","UseDPDF=Y")</f>
        <v>1793.4674</v>
      </c>
      <c r="K40" s="13">
        <f>_xll.BDH("ITCI US Equity","LOW_ENTERPRISE_VALUE","FQ3 2021","FQ3 2021","Currency=USD","Period=FQ","BEST_FPERIOD_OVERRIDE=FQ","FILING_STATUS=MR","SCALING_FORMAT=MLN","Sort=A","Dates=H","DateFormat=P","Fill=—","Direction=H","UseDPDF=Y")</f>
        <v>1808.6569999999999</v>
      </c>
      <c r="L40" s="13">
        <f>_xll.BDH("ITCI US Equity","LOW_ENTERPRISE_VALUE","FQ4 2021","FQ4 2021","Currency=USD","Period=FQ","BEST_FPERIOD_OVERRIDE=FQ","FILING_STATUS=MR","SCALING_FORMAT=MLN","Sort=A","Dates=H","DateFormat=P","Fill=—","Direction=H","UseDPDF=Y")</f>
        <v>2416.6284999999998</v>
      </c>
      <c r="M40" s="13">
        <f>_xll.BDH("ITCI US Equity","LOW_ENTERPRISE_VALUE","FQ1 2022","FQ1 2022","Currency=USD","Period=FQ","BEST_FPERIOD_OVERRIDE=FQ","FILING_STATUS=MR","SCALING_FORMAT=MLN","Sort=A","Dates=H","DateFormat=P","Fill=—","Direction=H","UseDPDF=Y")</f>
        <v>3189.9292999999998</v>
      </c>
      <c r="N40" s="13">
        <f>_xll.BDH("ITCI US Equity","LOW_ENTERPRISE_VALUE","FQ2 2022","FQ2 2022","Currency=USD","Period=FQ","BEST_FPERIOD_OVERRIDE=FQ","FILING_STATUS=MR","SCALING_FORMAT=MLN","Sort=A","Dates=H","DateFormat=P","Fill=—","Direction=H","UseDPDF=Y")</f>
        <v>3289.76</v>
      </c>
      <c r="O40" s="13">
        <f>_xll.BDH("ITCI US Equity","LOW_ENTERPRISE_VALUE","FQ3 2022","FQ3 2022","Currency=USD","Period=FQ","BEST_FPERIOD_OVERRIDE=FQ","FILING_STATUS=MR","SCALING_FORMAT=MLN","Sort=A","Dates=H","DateFormat=P","Fill=—","Direction=H","UseDPDF=Y")</f>
        <v>3379.9434999999999</v>
      </c>
      <c r="P40" s="13">
        <f>_xll.BDH("ITCI US Equity","LOW_ENTERPRISE_VALUE","FQ4 2022","FQ4 2022","Currency=USD","Period=FQ","BEST_FPERIOD_OVERRIDE=FQ","FILING_STATUS=MR","SCALING_FORMAT=MLN","Sort=A","Dates=H","DateFormat=P","Fill=—","Direction=H","UseDPDF=Y")</f>
        <v>3557.9558999999999</v>
      </c>
      <c r="Q40" s="13">
        <f>_xll.BDH("ITCI US Equity","LOW_ENTERPRISE_VALUE","FQ1 2023","FQ1 2023","Currency=USD","Period=FQ","BEST_FPERIOD_OVERRIDE=FQ","FILING_STATUS=MR","SCALING_FORMAT=MLN","Sort=A","Dates=H","DateFormat=P","Fill=—","Direction=H","UseDPDF=Y")</f>
        <v>3601.4000999999998</v>
      </c>
      <c r="R40" s="13">
        <f>_xll.BDH("ITCI US Equity","LOW_ENTERPRISE_VALUE","FQ2 2023","FQ2 2023","Currency=USD","Period=FQ","BEST_FPERIOD_OVERRIDE=FQ","FILING_STATUS=MR","SCALING_FORMAT=MLN","Sort=A","Dates=H","DateFormat=P","Fill=—","Direction=H","UseDPDF=Y")</f>
        <v>4688.7417999999998</v>
      </c>
      <c r="S40" s="13">
        <f>_xll.BDH("ITCI US Equity","LOW_ENTERPRISE_VALUE","FQ3 2023","FQ3 2023","Currency=USD","Period=FQ","BEST_FPERIOD_OVERRIDE=FQ","FILING_STATUS=MR","SCALING_FORMAT=MLN","Sort=A","Dates=H","DateFormat=P","Fill=—","Direction=H","UseDPDF=Y")</f>
        <v>4529.8635999999997</v>
      </c>
      <c r="T40" s="13">
        <f>_xll.BDH("ITCI US Equity","LOW_ENTERPRISE_VALUE","FQ4 2023","FQ4 2023","Currency=USD","Period=FQ","BEST_FPERIOD_OVERRIDE=FQ","FILING_STATUS=MR","SCALING_FORMAT=MLN","Sort=A","Dates=H","DateFormat=P","Fill=—","Direction=H","UseDPDF=Y")</f>
        <v>3980.2197999999999</v>
      </c>
      <c r="U40" s="13">
        <f>_xll.BDH("ITCI US Equity","LOW_ENTERPRISE_VALUE","FQ1 2024","FQ1 2024","Currency=USD","Period=FQ","BEST_FPERIOD_OVERRIDE=FQ","FILING_STATUS=MR","SCALING_FORMAT=MLN","Sort=A","Dates=H","DateFormat=P","Fill=—","Direction=H","UseDPDF=Y")</f>
        <v>5750.4759000000004</v>
      </c>
      <c r="V40" s="13">
        <f>_xll.BDH("ITCI US Equity","LOW_ENTERPRISE_VALUE","FQ2 2024","FQ2 2024","Currency=USD","Period=FQ","BEST_FPERIOD_OVERRIDE=FQ","FILING_STATUS=MR","SCALING_FORMAT=MLN","Sort=A","Dates=H","DateFormat=P","Fill=—","Direction=H","UseDPDF=Y")</f>
        <v>5809.9867000000004</v>
      </c>
      <c r="W40" s="13">
        <f>_xll.BDH("ITCI US Equity","LOW_ENTERPRISE_VALUE","FQ3 2024","FQ3 2024","Currency=USD","Period=FQ","BEST_FPERIOD_OVERRIDE=FQ","FILING_STATUS=MR","SCALING_FORMAT=MLN","Sort=A","Dates=H","DateFormat=P","Fill=—","Direction=H","UseDPDF=Y")</f>
        <v>6173.4153999999999</v>
      </c>
      <c r="X40" s="13">
        <f>_xll.BDH("ITCI US Equity","LOW_ENTERPRISE_VALUE","FQ4 2024","FQ4 2024","Currency=USD","Period=FQ","BEST_FPERIOD_OVERRIDE=FQ","FILING_STATUS=MR","SCALING_FORMAT=MLN","Sort=A","Dates=H","DateFormat=P","Fill=—","Direction=H","UseDPDF=Y")</f>
        <v>6533.5753999999997</v>
      </c>
      <c r="Y40" s="16"/>
      <c r="Z40" s="13"/>
      <c r="AA40" s="13"/>
    </row>
    <row r="41" spans="1:27" x14ac:dyDescent="0.25">
      <c r="A41" s="7" t="s">
        <v>90</v>
      </c>
      <c r="B41" s="7"/>
      <c r="C41" s="7" t="s">
        <v>5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8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226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31</v>
      </c>
      <c r="AA4" s="4" t="s">
        <v>32</v>
      </c>
    </row>
    <row r="5" spans="1:27" x14ac:dyDescent="0.25">
      <c r="A5" s="9" t="s">
        <v>33</v>
      </c>
      <c r="B5" s="9"/>
      <c r="C5" s="5" t="s">
        <v>34</v>
      </c>
      <c r="D5" s="5" t="s">
        <v>35</v>
      </c>
      <c r="E5" s="5" t="s">
        <v>36</v>
      </c>
      <c r="F5" s="5" t="s">
        <v>37</v>
      </c>
      <c r="G5" s="5" t="s">
        <v>38</v>
      </c>
      <c r="H5" s="5" t="s">
        <v>39</v>
      </c>
      <c r="I5" s="5" t="s">
        <v>40</v>
      </c>
      <c r="J5" s="5" t="s">
        <v>41</v>
      </c>
      <c r="K5" s="5" t="s">
        <v>42</v>
      </c>
      <c r="L5" s="5" t="s">
        <v>43</v>
      </c>
      <c r="M5" s="5" t="s">
        <v>44</v>
      </c>
      <c r="N5" s="5" t="s">
        <v>45</v>
      </c>
      <c r="O5" s="5" t="s">
        <v>46</v>
      </c>
      <c r="P5" s="5" t="s">
        <v>47</v>
      </c>
      <c r="Q5" s="5" t="s">
        <v>48</v>
      </c>
      <c r="R5" s="5" t="s">
        <v>49</v>
      </c>
      <c r="S5" s="5" t="s">
        <v>50</v>
      </c>
      <c r="T5" s="5" t="s">
        <v>51</v>
      </c>
      <c r="U5" s="5" t="s">
        <v>52</v>
      </c>
      <c r="V5" s="5" t="s">
        <v>53</v>
      </c>
      <c r="W5" s="5" t="s">
        <v>54</v>
      </c>
      <c r="X5" s="5" t="s">
        <v>55</v>
      </c>
      <c r="Y5" s="5" t="s">
        <v>56</v>
      </c>
      <c r="Z5" s="5" t="s">
        <v>57</v>
      </c>
      <c r="AA5" s="5" t="s">
        <v>58</v>
      </c>
    </row>
    <row r="6" spans="1:27" x14ac:dyDescent="0.25">
      <c r="A6" s="10" t="s">
        <v>227</v>
      </c>
      <c r="B6" s="10" t="s">
        <v>121</v>
      </c>
      <c r="C6" s="13">
        <f>_xll.BDH("ITCI US Equity","BS_SH_OUT","FQ2 2019","FQ2 2019","Currency=USD","Period=FQ","BEST_FPERIOD_OVERRIDE=FQ","FILING_STATUS=MR","Sort=A","Dates=H","DateFormat=P","Fill=—","Direction=H","UseDPDF=Y")</f>
        <v>55.186700000000002</v>
      </c>
      <c r="D6" s="13">
        <f>_xll.BDH("ITCI US Equity","BS_SH_OUT","FQ3 2019","FQ3 2019","Currency=USD","Period=FQ","BEST_FPERIOD_OVERRIDE=FQ","FILING_STATUS=MR","Sort=A","Dates=H","DateFormat=P","Fill=—","Direction=H","UseDPDF=Y")</f>
        <v>55.247599999999998</v>
      </c>
      <c r="E6" s="13">
        <f>_xll.BDH("ITCI US Equity","BS_SH_OUT","FQ4 2019","FQ4 2019","Currency=USD","Period=FQ","BEST_FPERIOD_OVERRIDE=FQ","FILING_STATUS=MR","Sort=A","Dates=H","DateFormat=P","Fill=—","Direction=H","UseDPDF=Y")</f>
        <v>55.5075</v>
      </c>
      <c r="F6" s="13">
        <f>_xll.BDH("ITCI US Equity","BS_SH_OUT","FQ1 2020","FQ1 2020","Currency=USD","Period=FQ","BEST_FPERIOD_OVERRIDE=FQ","FILING_STATUS=MR","Sort=A","Dates=H","DateFormat=P","Fill=—","Direction=H","UseDPDF=Y")</f>
        <v>66.200800000000001</v>
      </c>
      <c r="G6" s="13">
        <f>_xll.BDH("ITCI US Equity","BS_SH_OUT","FQ2 2020","FQ2 2020","Currency=USD","Period=FQ","BEST_FPERIOD_OVERRIDE=FQ","FILING_STATUS=MR","Sort=A","Dates=H","DateFormat=P","Fill=—","Direction=H","UseDPDF=Y")</f>
        <v>66.777699999999996</v>
      </c>
      <c r="H6" s="13">
        <f>_xll.BDH("ITCI US Equity","BS_SH_OUT","FQ3 2020","FQ3 2020","Currency=USD","Period=FQ","BEST_FPERIOD_OVERRIDE=FQ","FILING_STATUS=MR","Sort=A","Dates=H","DateFormat=P","Fill=—","Direction=H","UseDPDF=Y")</f>
        <v>80.142799999999994</v>
      </c>
      <c r="I6" s="13">
        <f>_xll.BDH("ITCI US Equity","BS_SH_OUT","FQ4 2020","FQ4 2020","Currency=USD","Period=FQ","BEST_FPERIOD_OVERRIDE=FQ","FILING_STATUS=MR","Sort=A","Dates=H","DateFormat=P","Fill=—","Direction=H","UseDPDF=Y")</f>
        <v>80.463099999999997</v>
      </c>
      <c r="J6" s="13">
        <f>_xll.BDH("ITCI US Equity","BS_SH_OUT","FQ1 2021","FQ1 2021","Currency=USD","Period=FQ","BEST_FPERIOD_OVERRIDE=FQ","FILING_STATUS=MR","Sort=A","Dates=H","DateFormat=P","Fill=—","Direction=H","UseDPDF=Y")</f>
        <v>81.133799999999994</v>
      </c>
      <c r="K6" s="13">
        <f>_xll.BDH("ITCI US Equity","BS_SH_OUT","FQ2 2021","FQ2 2021","Currency=USD","Period=FQ","BEST_FPERIOD_OVERRIDE=FQ","FILING_STATUS=MR","Sort=A","Dates=H","DateFormat=P","Fill=—","Direction=H","UseDPDF=Y")</f>
        <v>81.311899999999994</v>
      </c>
      <c r="L6" s="13">
        <f>_xll.BDH("ITCI US Equity","BS_SH_OUT","FQ3 2021","FQ3 2021","Currency=USD","Period=FQ","BEST_FPERIOD_OVERRIDE=FQ","FILING_STATUS=MR","Sort=A","Dates=H","DateFormat=P","Fill=—","Direction=H","UseDPDF=Y")</f>
        <v>81.377399999999994</v>
      </c>
      <c r="M6" s="13">
        <f>_xll.BDH("ITCI US Equity","BS_SH_OUT","FQ4 2021","FQ4 2021","Currency=USD","Period=FQ","BEST_FPERIOD_OVERRIDE=FQ","FILING_STATUS=MR","Sort=A","Dates=H","DateFormat=P","Fill=—","Direction=H","UseDPDF=Y")</f>
        <v>81.887</v>
      </c>
      <c r="N6" s="13">
        <f>_xll.BDH("ITCI US Equity","BS_SH_OUT","FQ1 2022","FQ1 2022","Currency=USD","Period=FQ","BEST_FPERIOD_OVERRIDE=FQ","FILING_STATUS=MR","Sort=A","Dates=H","DateFormat=P","Fill=—","Direction=H","UseDPDF=Y")</f>
        <v>94.020399999999995</v>
      </c>
      <c r="O6" s="13">
        <f>_xll.BDH("ITCI US Equity","BS_SH_OUT","FQ2 2022","FQ2 2022","Currency=USD","Period=FQ","BEST_FPERIOD_OVERRIDE=FQ","FILING_STATUS=MR","Sort=A","Dates=H","DateFormat=P","Fill=—","Direction=H","UseDPDF=Y")</f>
        <v>94.367199999999997</v>
      </c>
      <c r="P6" s="13">
        <f>_xll.BDH("ITCI US Equity","BS_SH_OUT","FQ3 2022","FQ3 2022","Currency=USD","Period=FQ","BEST_FPERIOD_OVERRIDE=FQ","FILING_STATUS=MR","Sort=A","Dates=H","DateFormat=P","Fill=—","Direction=H","UseDPDF=Y")</f>
        <v>94.701700000000002</v>
      </c>
      <c r="Q6" s="13">
        <f>_xll.BDH("ITCI US Equity","BS_SH_OUT","FQ4 2022","FQ4 2022","Currency=USD","Period=FQ","BEST_FPERIOD_OVERRIDE=FQ","FILING_STATUS=MR","Sort=A","Dates=H","DateFormat=P","Fill=—","Direction=H","UseDPDF=Y")</f>
        <v>94.829800000000006</v>
      </c>
      <c r="R6" s="13">
        <f>_xll.BDH("ITCI US Equity","BS_SH_OUT","FQ1 2023","FQ1 2023","Currency=USD","Period=FQ","BEST_FPERIOD_OVERRIDE=FQ","FILING_STATUS=MR","Sort=A","Dates=H","DateFormat=P","Fill=—","Direction=H","UseDPDF=Y")</f>
        <v>95.68</v>
      </c>
      <c r="S6" s="13">
        <f>_xll.BDH("ITCI US Equity","BS_SH_OUT","FQ2 2023","FQ2 2023","Currency=USD","Period=FQ","BEST_FPERIOD_OVERRIDE=FQ","FILING_STATUS=MR","Sort=A","Dates=H","DateFormat=P","Fill=—","Direction=H","UseDPDF=Y")</f>
        <v>96.083399999999997</v>
      </c>
      <c r="T6" s="13">
        <f>_xll.BDH("ITCI US Equity","BS_SH_OUT","FQ3 2023","FQ3 2023","Currency=USD","Period=FQ","BEST_FPERIOD_OVERRIDE=FQ","FILING_STATUS=MR","Sort=A","Dates=H","DateFormat=P","Fill=—","Direction=H","UseDPDF=Y")</f>
        <v>96.2256</v>
      </c>
      <c r="U6" s="13">
        <f>_xll.BDH("ITCI US Equity","BS_SH_OUT","FQ4 2023","FQ4 2023","Currency=USD","Period=FQ","BEST_FPERIOD_OVERRIDE=FQ","FILING_STATUS=MR","Sort=A","Dates=H","DateFormat=P","Fill=—","Direction=H","UseDPDF=Y")</f>
        <v>96.379800000000003</v>
      </c>
      <c r="V6" s="13">
        <f>_xll.BDH("ITCI US Equity","BS_SH_OUT","FQ1 2024","FQ1 2024","Currency=USD","Period=FQ","BEST_FPERIOD_OVERRIDE=FQ","FILING_STATUS=MR","Sort=A","Dates=H","DateFormat=P","Fill=—","Direction=H","UseDPDF=Y")</f>
        <v>97.477800000000002</v>
      </c>
      <c r="W6" s="13">
        <f>_xll.BDH("ITCI US Equity","BS_SH_OUT","FQ2 2024","FQ2 2024","Currency=USD","Period=FQ","BEST_FPERIOD_OVERRIDE=FQ","FILING_STATUS=MR","Sort=A","Dates=H","DateFormat=P","Fill=—","Direction=H","UseDPDF=Y")</f>
        <v>105.6249</v>
      </c>
      <c r="X6" s="13">
        <f>_xll.BDH("ITCI US Equity","BS_SH_OUT","FQ3 2024","FQ3 2024","Currency=USD","Period=FQ","BEST_FPERIOD_OVERRIDE=FQ","FILING_STATUS=MR","Sort=A","Dates=H","DateFormat=P","Fill=—","Direction=H","UseDPDF=Y")</f>
        <v>105.9988</v>
      </c>
      <c r="Y6" s="13">
        <f>_xll.BDH("ITCI US Equity","BS_SH_OUT","FQ4 2024","FQ4 2024","Currency=USD","Period=FQ","BEST_FPERIOD_OVERRIDE=FQ","FILING_STATUS=MR","Sort=A","Dates=H","DateFormat=P","Fill=—","Direction=H","UseDPDF=Y")</f>
        <v>106.24</v>
      </c>
      <c r="Z6" s="13"/>
      <c r="AA6" s="13"/>
    </row>
    <row r="7" spans="1:27" x14ac:dyDescent="0.25">
      <c r="A7" s="10" t="s">
        <v>228</v>
      </c>
      <c r="B7" s="10" t="s">
        <v>108</v>
      </c>
      <c r="C7" s="13">
        <f>_xll.BDH("ITCI US Equity","IS_SH_FOR_DILUTED_EPS","FQ2 2019","FQ2 2019","Currency=USD","Period=FQ","BEST_FPERIOD_OVERRIDE=FQ","FILING_STATUS=MR","Sort=A","Dates=H","DateFormat=P","Fill=—","Direction=H","UseDPDF=Y")</f>
        <v>55.145899999999997</v>
      </c>
      <c r="D7" s="13">
        <f>_xll.BDH("ITCI US Equity","IS_SH_FOR_DILUTED_EPS","FQ3 2019","FQ3 2019","Currency=USD","Period=FQ","BEST_FPERIOD_OVERRIDE=FQ","FILING_STATUS=MR","Sort=A","Dates=H","DateFormat=P","Fill=—","Direction=H","UseDPDF=Y")</f>
        <v>55.2074</v>
      </c>
      <c r="E7" s="13">
        <f>_xll.BDH("ITCI US Equity","IS_SH_FOR_DILUTED_EPS","FQ4 2019","FQ4 2019","Currency=USD","Period=FQ","BEST_FPERIOD_OVERRIDE=FQ","FILING_STATUS=MR","Sort=A","Dates=H","DateFormat=P","Fill=—","Direction=H","UseDPDF=Y")</f>
        <v>55.276299999999999</v>
      </c>
      <c r="F7" s="13">
        <f>_xll.BDH("ITCI US Equity","IS_SH_FOR_DILUTED_EPS","FQ1 2020","FQ1 2020","Currency=USD","Period=FQ","BEST_FPERIOD_OVERRIDE=FQ","FILING_STATUS=MR","Sort=A","Dates=H","DateFormat=P","Fill=—","Direction=H","UseDPDF=Y")</f>
        <v>65.106099999999998</v>
      </c>
      <c r="G7" s="13">
        <f>_xll.BDH("ITCI US Equity","IS_SH_FOR_DILUTED_EPS","FQ2 2020","FQ2 2020","Currency=USD","Period=FQ","BEST_FPERIOD_OVERRIDE=FQ","FILING_STATUS=MR","Sort=A","Dates=H","DateFormat=P","Fill=—","Direction=H","UseDPDF=Y")</f>
        <v>66.429400000000001</v>
      </c>
      <c r="H7" s="13">
        <f>_xll.BDH("ITCI US Equity","IS_SH_FOR_DILUTED_EPS","FQ3 2020","FQ3 2020","Currency=USD","Period=FQ","BEST_FPERIOD_OVERRIDE=FQ","FILING_STATUS=MR","Sort=A","Dates=H","DateFormat=P","Fill=—","Direction=H","UseDPDF=Y")</f>
        <v>69.53</v>
      </c>
      <c r="I7" s="13">
        <f>_xll.BDH("ITCI US Equity","IS_SH_FOR_DILUTED_EPS","FQ4 2020","FQ4 2020","Currency=USD","Period=FQ","BEST_FPERIOD_OVERRIDE=FQ","FILING_STATUS=MR","Sort=A","Dates=H","DateFormat=P","Fill=—","Direction=H","UseDPDF=Y")</f>
        <v>80.293800000000005</v>
      </c>
      <c r="J7" s="13">
        <f>_xll.BDH("ITCI US Equity","IS_SH_FOR_DILUTED_EPS","FQ1 2021","FQ1 2021","Currency=USD","Period=FQ","BEST_FPERIOD_OVERRIDE=FQ","FILING_STATUS=MR","Sort=A","Dates=H","DateFormat=P","Fill=—","Direction=H","UseDPDF=Y")</f>
        <v>80.9465</v>
      </c>
      <c r="K7" s="13">
        <f>_xll.BDH("ITCI US Equity","IS_SH_FOR_DILUTED_EPS","FQ2 2021","FQ2 2021","Currency=USD","Period=FQ","BEST_FPERIOD_OVERRIDE=FQ","FILING_STATUS=MR","Sort=A","Dates=H","DateFormat=P","Fill=—","Direction=H","UseDPDF=Y")</f>
        <v>81.229799999999997</v>
      </c>
      <c r="L7" s="13">
        <f>_xll.BDH("ITCI US Equity","IS_SH_FOR_DILUTED_EPS","FQ3 2021","FQ3 2021","Currency=USD","Period=FQ","BEST_FPERIOD_OVERRIDE=FQ","FILING_STATUS=MR","Sort=A","Dates=H","DateFormat=P","Fill=—","Direction=H","UseDPDF=Y")</f>
        <v>81.354699999999994</v>
      </c>
      <c r="M7" s="13">
        <f>_xll.BDH("ITCI US Equity","IS_SH_FOR_DILUTED_EPS","FQ4 2021","FQ4 2021","Currency=USD","Period=FQ","BEST_FPERIOD_OVERRIDE=FQ","FILING_STATUS=MR","Sort=A","Dates=H","DateFormat=P","Fill=—","Direction=H","UseDPDF=Y")</f>
        <v>81.475700000000003</v>
      </c>
      <c r="N7" s="13">
        <f>_xll.BDH("ITCI US Equity","IS_SH_FOR_DILUTED_EPS","FQ1 2022","FQ1 2022","Currency=USD","Period=FQ","BEST_FPERIOD_OVERRIDE=FQ","FILING_STATUS=MR","Sort=A","Dates=H","DateFormat=P","Fill=—","Direction=H","UseDPDF=Y")</f>
        <v>92.604299999999995</v>
      </c>
      <c r="O7" s="13">
        <f>_xll.BDH("ITCI US Equity","IS_SH_FOR_DILUTED_EPS","FQ2 2022","FQ2 2022","Currency=USD","Period=FQ","BEST_FPERIOD_OVERRIDE=FQ","FILING_STATUS=MR","Sort=A","Dates=H","DateFormat=P","Fill=—","Direction=H","UseDPDF=Y")</f>
        <v>94.2851</v>
      </c>
      <c r="P7" s="13">
        <f>_xll.BDH("ITCI US Equity","IS_SH_FOR_DILUTED_EPS","FQ3 2022","FQ3 2022","Currency=USD","Period=FQ","BEST_FPERIOD_OVERRIDE=FQ","FILING_STATUS=MR","Sort=A","Dates=H","DateFormat=P","Fill=—","Direction=H","UseDPDF=Y")</f>
        <v>94.516800000000003</v>
      </c>
      <c r="Q7" s="13">
        <f>_xll.BDH("ITCI US Equity","IS_SH_FOR_DILUTED_EPS","FQ4 2022","FQ4 2022","Currency=USD","Period=FQ","BEST_FPERIOD_OVERRIDE=FQ","FILING_STATUS=MR","Sort=A","Dates=H","DateFormat=P","Fill=—","Direction=H","UseDPDF=Y")</f>
        <v>94.751599999999996</v>
      </c>
      <c r="R7" s="13">
        <f>_xll.BDH("ITCI US Equity","IS_SH_FOR_DILUTED_EPS","FQ1 2023","FQ1 2023","Currency=USD","Period=FQ","BEST_FPERIOD_OVERRIDE=FQ","FILING_STATUS=MR","Sort=A","Dates=H","DateFormat=P","Fill=—","Direction=H","UseDPDF=Y")</f>
        <v>95.134699999999995</v>
      </c>
      <c r="S7" s="13">
        <f>_xll.BDH("ITCI US Equity","IS_SH_FOR_DILUTED_EPS","FQ2 2023","FQ2 2023","Currency=USD","Period=FQ","BEST_FPERIOD_OVERRIDE=FQ","FILING_STATUS=MR","Sort=A","Dates=H","DateFormat=P","Fill=—","Direction=H","UseDPDF=Y")</f>
        <v>95.948099999999997</v>
      </c>
      <c r="T7" s="13">
        <f>_xll.BDH("ITCI US Equity","IS_SH_FOR_DILUTED_EPS","FQ3 2023","FQ3 2023","Currency=USD","Period=FQ","BEST_FPERIOD_OVERRIDE=FQ","FILING_STATUS=MR","Sort=A","Dates=H","DateFormat=P","Fill=—","Direction=H","UseDPDF=Y")</f>
        <v>96.143100000000004</v>
      </c>
      <c r="U7" s="13">
        <f>_xll.BDH("ITCI US Equity","IS_SH_FOR_DILUTED_EPS","FQ4 2023","FQ4 2023","Currency=USD","Period=FQ","BEST_FPERIOD_OVERRIDE=FQ","FILING_STATUS=MR","Sort=A","Dates=H","DateFormat=P","Fill=—","Direction=H","UseDPDF=Y")</f>
        <v>96.285600000000002</v>
      </c>
      <c r="V7" s="13">
        <f>_xll.BDH("ITCI US Equity","IS_SH_FOR_DILUTED_EPS","FQ1 2024","FQ1 2024","Currency=USD","Period=FQ","BEST_FPERIOD_OVERRIDE=FQ","FILING_STATUS=MR","Sort=A","Dates=H","DateFormat=P","Fill=—","Direction=H","UseDPDF=Y")</f>
        <v>96.875299999999996</v>
      </c>
      <c r="W7" s="13">
        <f>_xll.BDH("ITCI US Equity","IS_SH_FOR_DILUTED_EPS","FQ2 2024","FQ2 2024","Currency=USD","Period=FQ","BEST_FPERIOD_OVERRIDE=FQ","FILING_STATUS=MR","Sort=A","Dates=H","DateFormat=P","Fill=—","Direction=H","UseDPDF=Y")</f>
        <v>103.723</v>
      </c>
      <c r="X7" s="13">
        <f>_xll.BDH("ITCI US Equity","IS_SH_FOR_DILUTED_EPS","FQ3 2024","FQ3 2024","Currency=USD","Period=FQ","BEST_FPERIOD_OVERRIDE=FQ","FILING_STATUS=MR","Sort=A","Dates=H","DateFormat=P","Fill=—","Direction=H","UseDPDF=Y")</f>
        <v>105.7684</v>
      </c>
      <c r="Y7" s="13">
        <f>_xll.BDH("ITCI US Equity","IS_SH_FOR_DILUTED_EPS","FQ4 2024","FQ4 2024","Currency=USD","Period=FQ","BEST_FPERIOD_OVERRIDE=FQ","FILING_STATUS=MR","Sort=A","Dates=H","DateFormat=P","Fill=—","Direction=H","UseDPDF=Y")</f>
        <v>106.0958</v>
      </c>
      <c r="Z7" s="13"/>
      <c r="AA7" s="13"/>
    </row>
    <row r="8" spans="1:27" x14ac:dyDescent="0.25">
      <c r="A8" s="10" t="s">
        <v>229</v>
      </c>
      <c r="B8" s="10" t="s">
        <v>106</v>
      </c>
      <c r="C8" s="13">
        <f>_xll.BDH("ITCI US Equity","IS_AVG_NUM_SH_FOR_EPS","FQ2 2019","FQ2 2019","Currency=USD","Period=FQ","BEST_FPERIOD_OVERRIDE=FQ","FILING_STATUS=MR","Sort=A","Dates=H","DateFormat=P","Fill=—","Direction=H","UseDPDF=Y")</f>
        <v>55.145899999999997</v>
      </c>
      <c r="D8" s="13">
        <f>_xll.BDH("ITCI US Equity","IS_AVG_NUM_SH_FOR_EPS","FQ3 2019","FQ3 2019","Currency=USD","Period=FQ","BEST_FPERIOD_OVERRIDE=FQ","FILING_STATUS=MR","Sort=A","Dates=H","DateFormat=P","Fill=—","Direction=H","UseDPDF=Y")</f>
        <v>55.2074</v>
      </c>
      <c r="E8" s="13">
        <f>_xll.BDH("ITCI US Equity","IS_AVG_NUM_SH_FOR_EPS","FQ4 2019","FQ4 2019","Currency=USD","Period=FQ","BEST_FPERIOD_OVERRIDE=FQ","FILING_STATUS=MR","Sort=A","Dates=H","DateFormat=P","Fill=—","Direction=H","UseDPDF=Y")</f>
        <v>55.276299999999999</v>
      </c>
      <c r="F8" s="13">
        <f>_xll.BDH("ITCI US Equity","IS_AVG_NUM_SH_FOR_EPS","FQ1 2020","FQ1 2020","Currency=USD","Period=FQ","BEST_FPERIOD_OVERRIDE=FQ","FILING_STATUS=MR","Sort=A","Dates=H","DateFormat=P","Fill=—","Direction=H","UseDPDF=Y")</f>
        <v>65.106099999999998</v>
      </c>
      <c r="G8" s="13">
        <f>_xll.BDH("ITCI US Equity","IS_AVG_NUM_SH_FOR_EPS","FQ2 2020","FQ2 2020","Currency=USD","Period=FQ","BEST_FPERIOD_OVERRIDE=FQ","FILING_STATUS=MR","Sort=A","Dates=H","DateFormat=P","Fill=—","Direction=H","UseDPDF=Y")</f>
        <v>66.429400000000001</v>
      </c>
      <c r="H8" s="13">
        <f>_xll.BDH("ITCI US Equity","IS_AVG_NUM_SH_FOR_EPS","FQ3 2020","FQ3 2020","Currency=USD","Period=FQ","BEST_FPERIOD_OVERRIDE=FQ","FILING_STATUS=MR","Sort=A","Dates=H","DateFormat=P","Fill=—","Direction=H","UseDPDF=Y")</f>
        <v>69.53</v>
      </c>
      <c r="I8" s="13">
        <f>_xll.BDH("ITCI US Equity","IS_AVG_NUM_SH_FOR_EPS","FQ4 2020","FQ4 2020","Currency=USD","Period=FQ","BEST_FPERIOD_OVERRIDE=FQ","FILING_STATUS=MR","Sort=A","Dates=H","DateFormat=P","Fill=—","Direction=H","UseDPDF=Y")</f>
        <v>80.293800000000005</v>
      </c>
      <c r="J8" s="13">
        <f>_xll.BDH("ITCI US Equity","IS_AVG_NUM_SH_FOR_EPS","FQ1 2021","FQ1 2021","Currency=USD","Period=FQ","BEST_FPERIOD_OVERRIDE=FQ","FILING_STATUS=MR","Sort=A","Dates=H","DateFormat=P","Fill=—","Direction=H","UseDPDF=Y")</f>
        <v>80.9465</v>
      </c>
      <c r="K8" s="13">
        <f>_xll.BDH("ITCI US Equity","IS_AVG_NUM_SH_FOR_EPS","FQ2 2021","FQ2 2021","Currency=USD","Period=FQ","BEST_FPERIOD_OVERRIDE=FQ","FILING_STATUS=MR","Sort=A","Dates=H","DateFormat=P","Fill=—","Direction=H","UseDPDF=Y")</f>
        <v>81.229799999999997</v>
      </c>
      <c r="L8" s="13">
        <f>_xll.BDH("ITCI US Equity","IS_AVG_NUM_SH_FOR_EPS","FQ3 2021","FQ3 2021","Currency=USD","Period=FQ","BEST_FPERIOD_OVERRIDE=FQ","FILING_STATUS=MR","Sort=A","Dates=H","DateFormat=P","Fill=—","Direction=H","UseDPDF=Y")</f>
        <v>81.354699999999994</v>
      </c>
      <c r="M8" s="13">
        <f>_xll.BDH("ITCI US Equity","IS_AVG_NUM_SH_FOR_EPS","FQ4 2021","FQ4 2021","Currency=USD","Period=FQ","BEST_FPERIOD_OVERRIDE=FQ","FILING_STATUS=MR","Sort=A","Dates=H","DateFormat=P","Fill=—","Direction=H","UseDPDF=Y")</f>
        <v>81.475700000000003</v>
      </c>
      <c r="N8" s="13">
        <f>_xll.BDH("ITCI US Equity","IS_AVG_NUM_SH_FOR_EPS","FQ1 2022","FQ1 2022","Currency=USD","Period=FQ","BEST_FPERIOD_OVERRIDE=FQ","FILING_STATUS=MR","Sort=A","Dates=H","DateFormat=P","Fill=—","Direction=H","UseDPDF=Y")</f>
        <v>92.604299999999995</v>
      </c>
      <c r="O8" s="13">
        <f>_xll.BDH("ITCI US Equity","IS_AVG_NUM_SH_FOR_EPS","FQ2 2022","FQ2 2022","Currency=USD","Period=FQ","BEST_FPERIOD_OVERRIDE=FQ","FILING_STATUS=MR","Sort=A","Dates=H","DateFormat=P","Fill=—","Direction=H","UseDPDF=Y")</f>
        <v>94.2851</v>
      </c>
      <c r="P8" s="13">
        <f>_xll.BDH("ITCI US Equity","IS_AVG_NUM_SH_FOR_EPS","FQ3 2022","FQ3 2022","Currency=USD","Period=FQ","BEST_FPERIOD_OVERRIDE=FQ","FILING_STATUS=MR","Sort=A","Dates=H","DateFormat=P","Fill=—","Direction=H","UseDPDF=Y")</f>
        <v>94.516800000000003</v>
      </c>
      <c r="Q8" s="13">
        <f>_xll.BDH("ITCI US Equity","IS_AVG_NUM_SH_FOR_EPS","FQ4 2022","FQ4 2022","Currency=USD","Period=FQ","BEST_FPERIOD_OVERRIDE=FQ","FILING_STATUS=MR","Sort=A","Dates=H","DateFormat=P","Fill=—","Direction=H","UseDPDF=Y")</f>
        <v>94.751599999999996</v>
      </c>
      <c r="R8" s="13">
        <f>_xll.BDH("ITCI US Equity","IS_AVG_NUM_SH_FOR_EPS","FQ1 2023","FQ1 2023","Currency=USD","Period=FQ","BEST_FPERIOD_OVERRIDE=FQ","FILING_STATUS=MR","Sort=A","Dates=H","DateFormat=P","Fill=—","Direction=H","UseDPDF=Y")</f>
        <v>95.134699999999995</v>
      </c>
      <c r="S8" s="13">
        <f>_xll.BDH("ITCI US Equity","IS_AVG_NUM_SH_FOR_EPS","FQ2 2023","FQ2 2023","Currency=USD","Period=FQ","BEST_FPERIOD_OVERRIDE=FQ","FILING_STATUS=MR","Sort=A","Dates=H","DateFormat=P","Fill=—","Direction=H","UseDPDF=Y")</f>
        <v>95.948099999999997</v>
      </c>
      <c r="T8" s="13">
        <f>_xll.BDH("ITCI US Equity","IS_AVG_NUM_SH_FOR_EPS","FQ3 2023","FQ3 2023","Currency=USD","Period=FQ","BEST_FPERIOD_OVERRIDE=FQ","FILING_STATUS=MR","Sort=A","Dates=H","DateFormat=P","Fill=—","Direction=H","UseDPDF=Y")</f>
        <v>96.143100000000004</v>
      </c>
      <c r="U8" s="13">
        <f>_xll.BDH("ITCI US Equity","IS_AVG_NUM_SH_FOR_EPS","FQ4 2023","FQ4 2023","Currency=USD","Period=FQ","BEST_FPERIOD_OVERRIDE=FQ","FILING_STATUS=MR","Sort=A","Dates=H","DateFormat=P","Fill=—","Direction=H","UseDPDF=Y")</f>
        <v>96.285600000000002</v>
      </c>
      <c r="V8" s="13">
        <f>_xll.BDH("ITCI US Equity","IS_AVG_NUM_SH_FOR_EPS","FQ1 2024","FQ1 2024","Currency=USD","Period=FQ","BEST_FPERIOD_OVERRIDE=FQ","FILING_STATUS=MR","Sort=A","Dates=H","DateFormat=P","Fill=—","Direction=H","UseDPDF=Y")</f>
        <v>96.875299999999996</v>
      </c>
      <c r="W8" s="13">
        <f>_xll.BDH("ITCI US Equity","IS_AVG_NUM_SH_FOR_EPS","FQ2 2024","FQ2 2024","Currency=USD","Period=FQ","BEST_FPERIOD_OVERRIDE=FQ","FILING_STATUS=MR","Sort=A","Dates=H","DateFormat=P","Fill=—","Direction=H","UseDPDF=Y")</f>
        <v>103.723</v>
      </c>
      <c r="X8" s="13">
        <f>_xll.BDH("ITCI US Equity","IS_AVG_NUM_SH_FOR_EPS","FQ3 2024","FQ3 2024","Currency=USD","Period=FQ","BEST_FPERIOD_OVERRIDE=FQ","FILING_STATUS=MR","Sort=A","Dates=H","DateFormat=P","Fill=—","Direction=H","UseDPDF=Y")</f>
        <v>105.7684</v>
      </c>
      <c r="Y8" s="13">
        <f>_xll.BDH("ITCI US Equity","IS_AVG_NUM_SH_FOR_EPS","FQ4 2024","FQ4 2024","Currency=USD","Period=FQ","BEST_FPERIOD_OVERRIDE=FQ","FILING_STATUS=MR","Sort=A","Dates=H","DateFormat=P","Fill=—","Direction=H","UseDPDF=Y")</f>
        <v>106.0958</v>
      </c>
      <c r="Z8" s="13"/>
      <c r="AA8" s="13"/>
    </row>
    <row r="9" spans="1:27" x14ac:dyDescent="0.25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25">
      <c r="A10" s="6" t="s">
        <v>230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x14ac:dyDescent="0.25">
      <c r="A11" s="10" t="s">
        <v>0</v>
      </c>
      <c r="B11" s="10" t="s">
        <v>231</v>
      </c>
      <c r="C11" s="14">
        <f>_xll.BDH("ITCI US Equity","REVENUE_PER_SH","FQ2 2019","FQ2 2019","Currency=USD","Period=FQ","BEST_FPERIOD_OVERRIDE=FQ","FILING_STATUS=MR","FA_ADJUSTED=GAAP","Sort=A","Dates=H","DateFormat=P","Fill=—","Direction=H","UseDPDF=Y")</f>
        <v>0</v>
      </c>
      <c r="D11" s="14">
        <f>_xll.BDH("ITCI US Equity","REVENUE_PER_SH","FQ3 2019","FQ3 2019","Currency=USD","Period=FQ","BEST_FPERIOD_OVERRIDE=FQ","FILING_STATUS=MR","FA_ADJUSTED=GAAP","Sort=A","Dates=H","DateFormat=P","Fill=—","Direction=H","UseDPDF=Y")</f>
        <v>0</v>
      </c>
      <c r="E11" s="14">
        <f>_xll.BDH("ITCI US Equity","REVENUE_PER_SH","FQ4 2019","FQ4 2019","Currency=USD","Period=FQ","BEST_FPERIOD_OVERRIDE=FQ","FILING_STATUS=MR","FA_ADJUSTED=GAAP","Sort=A","Dates=H","DateFormat=P","Fill=—","Direction=H","UseDPDF=Y")</f>
        <v>1.1000000000000001E-3</v>
      </c>
      <c r="F11" s="14">
        <f>_xll.BDH("ITCI US Equity","REVENUE_PER_SH","FQ1 2020","FQ1 2020","Currency=USD","Period=FQ","BEST_FPERIOD_OVERRIDE=FQ","FILING_STATUS=MR","FA_ADJUSTED=GAAP","Sort=A","Dates=H","DateFormat=P","Fill=—","Direction=H","UseDPDF=Y")</f>
        <v>1.66E-2</v>
      </c>
      <c r="G11" s="14">
        <f>_xll.BDH("ITCI US Equity","REVENUE_PER_SH","FQ2 2020","FQ2 2020","Currency=USD","Period=FQ","BEST_FPERIOD_OVERRIDE=FQ","FILING_STATUS=MR","FA_ADJUSTED=GAAP","Sort=A","Dates=H","DateFormat=P","Fill=—","Direction=H","UseDPDF=Y")</f>
        <v>2.87E-2</v>
      </c>
      <c r="H11" s="14">
        <f>_xll.BDH("ITCI US Equity","REVENUE_PER_SH","FQ3 2020","FQ3 2020","Currency=USD","Period=FQ","BEST_FPERIOD_OVERRIDE=FQ","FILING_STATUS=MR","FA_ADJUSTED=GAAP","Sort=A","Dates=H","DateFormat=P","Fill=—","Direction=H","UseDPDF=Y")</f>
        <v>0.106</v>
      </c>
      <c r="I11" s="14">
        <f>_xll.BDH("ITCI US Equity","REVENUE_PER_SH","FQ4 2020","FQ4 2020","Currency=USD","Period=FQ","BEST_FPERIOD_OVERRIDE=FQ","FILING_STATUS=MR","FA_ADJUSTED=GAAP","Sort=A","Dates=H","DateFormat=P","Fill=—","Direction=H","UseDPDF=Y")</f>
        <v>0.15509999999999999</v>
      </c>
      <c r="J11" s="14">
        <f>_xll.BDH("ITCI US Equity","REVENUE_PER_SH","FQ1 2021","FQ1 2021","Currency=USD","Period=FQ","BEST_FPERIOD_OVERRIDE=FQ","FILING_STATUS=MR","FA_ADJUSTED=GAAP","Sort=A","Dates=H","DateFormat=P","Fill=—","Direction=H","UseDPDF=Y")</f>
        <v>0.19620000000000001</v>
      </c>
      <c r="K11" s="14">
        <f>_xll.BDH("ITCI US Equity","REVENUE_PER_SH","FQ2 2021","FQ2 2021","Currency=USD","Period=FQ","BEST_FPERIOD_OVERRIDE=FQ","FILING_STATUS=MR","FA_ADJUSTED=GAAP","Sort=A","Dates=H","DateFormat=P","Fill=—","Direction=H","UseDPDF=Y")</f>
        <v>0.24679999999999999</v>
      </c>
      <c r="L11" s="14">
        <f>_xll.BDH("ITCI US Equity","REVENUE_PER_SH","FQ3 2021","FQ3 2021","Currency=USD","Period=FQ","BEST_FPERIOD_OVERRIDE=FQ","FILING_STATUS=MR","FA_ADJUSTED=GAAP","Sort=A","Dates=H","DateFormat=P","Fill=—","Direction=H","UseDPDF=Y")</f>
        <v>0.27300000000000002</v>
      </c>
      <c r="M11" s="14">
        <f>_xll.BDH("ITCI US Equity","REVENUE_PER_SH","FQ4 2021","FQ4 2021","Currency=USD","Period=FQ","BEST_FPERIOD_OVERRIDE=FQ","FILING_STATUS=MR","FA_ADJUSTED=GAAP","Sort=A","Dates=H","DateFormat=P","Fill=—","Direction=H","UseDPDF=Y")</f>
        <v>0.31509999999999999</v>
      </c>
      <c r="N11" s="14">
        <f>_xll.BDH("ITCI US Equity","REVENUE_PER_SH","FQ1 2022","FQ1 2022","Currency=USD","Period=FQ","BEST_FPERIOD_OVERRIDE=FQ","FILING_STATUS=MR","FA_ADJUSTED=GAAP","Sort=A","Dates=H","DateFormat=P","Fill=—","Direction=H","UseDPDF=Y")</f>
        <v>0.37790000000000001</v>
      </c>
      <c r="O11" s="14">
        <f>_xll.BDH("ITCI US Equity","REVENUE_PER_SH","FQ2 2022","FQ2 2022","Currency=USD","Period=FQ","BEST_FPERIOD_OVERRIDE=FQ","FILING_STATUS=MR","FA_ADJUSTED=GAAP","Sort=A","Dates=H","DateFormat=P","Fill=—","Direction=H","UseDPDF=Y")</f>
        <v>0.58950000000000002</v>
      </c>
      <c r="P11" s="14">
        <f>_xll.BDH("ITCI US Equity","REVENUE_PER_SH","FQ3 2022","FQ3 2022","Currency=USD","Period=FQ","BEST_FPERIOD_OVERRIDE=FQ","FILING_STATUS=MR","FA_ADJUSTED=GAAP","Sort=A","Dates=H","DateFormat=P","Fill=—","Direction=H","UseDPDF=Y")</f>
        <v>0.76039999999999996</v>
      </c>
      <c r="Q11" s="14">
        <f>_xll.BDH("ITCI US Equity","REVENUE_PER_SH","FQ4 2022","FQ4 2022","Currency=USD","Period=FQ","BEST_FPERIOD_OVERRIDE=FQ","FILING_STATUS=MR","FA_ADJUSTED=GAAP","Sort=A","Dates=H","DateFormat=P","Fill=—","Direction=H","UseDPDF=Y")</f>
        <v>0.9274</v>
      </c>
      <c r="R11" s="14">
        <f>_xll.BDH("ITCI US Equity","REVENUE_PER_SH","FQ1 2023","FQ1 2023","Currency=USD","Period=FQ","BEST_FPERIOD_OVERRIDE=FQ","FILING_STATUS=MR","FA_ADJUSTED=GAAP","Sort=A","Dates=H","DateFormat=P","Fill=—","Direction=H","UseDPDF=Y")</f>
        <v>1.0018</v>
      </c>
      <c r="S11" s="14">
        <f>_xll.BDH("ITCI US Equity","REVENUE_PER_SH","FQ2 2023","FQ2 2023","Currency=USD","Period=FQ","BEST_FPERIOD_OVERRIDE=FQ","FILING_STATUS=MR","FA_ADJUSTED=GAAP","Sort=A","Dates=H","DateFormat=P","Fill=—","Direction=H","UseDPDF=Y")</f>
        <v>1.1547000000000001</v>
      </c>
      <c r="T11" s="14">
        <f>_xll.BDH("ITCI US Equity","REVENUE_PER_SH","FQ3 2023","FQ3 2023","Currency=USD","Period=FQ","BEST_FPERIOD_OVERRIDE=FQ","FILING_STATUS=MR","FA_ADJUSTED=GAAP","Sort=A","Dates=H","DateFormat=P","Fill=—","Direction=H","UseDPDF=Y")</f>
        <v>1.3123</v>
      </c>
      <c r="U11" s="14">
        <f>_xll.BDH("ITCI US Equity","REVENUE_PER_SH","FQ4 2023","FQ4 2023","Currency=USD","Period=FQ","BEST_FPERIOD_OVERRIDE=FQ","FILING_STATUS=MR","FA_ADJUSTED=GAAP","Sort=A","Dates=H","DateFormat=P","Fill=—","Direction=H","UseDPDF=Y")</f>
        <v>1.3720000000000001</v>
      </c>
      <c r="V11" s="14">
        <f>_xll.BDH("ITCI US Equity","REVENUE_PER_SH","FQ1 2024","FQ1 2024","Currency=USD","Period=FQ","BEST_FPERIOD_OVERRIDE=FQ","FILING_STATUS=MR","FA_ADJUSTED=GAAP","Sort=A","Dates=H","DateFormat=P","Fill=—","Direction=H","UseDPDF=Y")</f>
        <v>1.4954000000000001</v>
      </c>
      <c r="W11" s="14">
        <f>_xll.BDH("ITCI US Equity","REVENUE_PER_SH","FQ2 2024","FQ2 2024","Currency=USD","Period=FQ","BEST_FPERIOD_OVERRIDE=FQ","FILING_STATUS=MR","FA_ADJUSTED=GAAP","Sort=A","Dates=H","DateFormat=P","Fill=—","Direction=H","UseDPDF=Y")</f>
        <v>1.556</v>
      </c>
      <c r="X11" s="14">
        <f>_xll.BDH("ITCI US Equity","REVENUE_PER_SH","FQ3 2024","FQ3 2024","Currency=USD","Period=FQ","BEST_FPERIOD_OVERRIDE=FQ","FILING_STATUS=MR","FA_ADJUSTED=GAAP","Sort=A","Dates=H","DateFormat=P","Fill=—","Direction=H","UseDPDF=Y")</f>
        <v>1.6580999999999999</v>
      </c>
      <c r="Y11" s="14">
        <f>_xll.BDH("ITCI US Equity","REVENUE_PER_SH","FQ4 2024","FQ4 2024","Currency=USD","Period=FQ","BEST_FPERIOD_OVERRIDE=FQ","FILING_STATUS=MR","FA_ADJUSTED=GAAP","Sort=A","Dates=H","DateFormat=P","Fill=—","Direction=H","UseDPDF=Y")</f>
        <v>1.8777999999999999</v>
      </c>
      <c r="Z11" s="14"/>
      <c r="AA11" s="14"/>
    </row>
    <row r="12" spans="1:27" x14ac:dyDescent="0.25">
      <c r="A12" s="10" t="s">
        <v>78</v>
      </c>
      <c r="B12" s="10" t="s">
        <v>232</v>
      </c>
      <c r="C12" s="14">
        <f>_xll.BDH("ITCI US Equity","EBITDA_PER_SH","FQ2 2019","FQ2 2019","Currency=USD","Period=FQ","BEST_FPERIOD_OVERRIDE=FQ","FILING_STATUS=MR","FA_ADJUSTED=GAAP","Sort=A","Dates=H","DateFormat=P","Fill=—","Direction=H","UseDPDF=Y")</f>
        <v>-0.69110000000000005</v>
      </c>
      <c r="D12" s="14">
        <f>_xll.BDH("ITCI US Equity","EBITDA_PER_SH","FQ3 2019","FQ3 2019","Currency=USD","Period=FQ","BEST_FPERIOD_OVERRIDE=FQ","FILING_STATUS=MR","FA_ADJUSTED=GAAP","Sort=A","Dates=H","DateFormat=P","Fill=—","Direction=H","UseDPDF=Y")</f>
        <v>-0.64170000000000005</v>
      </c>
      <c r="E12" s="14">
        <f>_xll.BDH("ITCI US Equity","EBITDA_PER_SH","FQ4 2019","FQ4 2019","Currency=USD","Period=FQ","BEST_FPERIOD_OVERRIDE=FQ","FILING_STATUS=MR","FA_ADJUSTED=GAAP","Sort=A","Dates=H","DateFormat=P","Fill=—","Direction=H","UseDPDF=Y")</f>
        <v>-0.73860000000000003</v>
      </c>
      <c r="F12" s="14">
        <f>_xll.BDH("ITCI US Equity","EBITDA_PER_SH","FQ1 2020","FQ1 2020","Currency=USD","Period=FQ","BEST_FPERIOD_OVERRIDE=FQ","FILING_STATUS=MR","FA_ADJUSTED=GAAP","Sort=A","Dates=H","DateFormat=P","Fill=—","Direction=H","UseDPDF=Y")</f>
        <v>-0.73909999999999998</v>
      </c>
      <c r="G12" s="14">
        <f>_xll.BDH("ITCI US Equity","EBITDA_PER_SH","FQ2 2020","FQ2 2020","Currency=USD","Period=FQ","BEST_FPERIOD_OVERRIDE=FQ","FILING_STATUS=MR","FA_ADJUSTED=GAAP","Sort=A","Dates=H","DateFormat=P","Fill=—","Direction=H","UseDPDF=Y")</f>
        <v>-0.96250000000000002</v>
      </c>
      <c r="H12" s="14">
        <f>_xll.BDH("ITCI US Equity","EBITDA_PER_SH","FQ3 2020","FQ3 2020","Currency=USD","Period=FQ","BEST_FPERIOD_OVERRIDE=FQ","FILING_STATUS=MR","FA_ADJUSTED=GAAP","Sort=A","Dates=H","DateFormat=P","Fill=—","Direction=H","UseDPDF=Y")</f>
        <v>-0.79120000000000001</v>
      </c>
      <c r="I12" s="14">
        <f>_xll.BDH("ITCI US Equity","EBITDA_PER_SH","FQ4 2020","FQ4 2020","Currency=USD","Period=FQ","BEST_FPERIOD_OVERRIDE=FQ","FILING_STATUS=MR","FA_ADJUSTED=GAAP","Sort=A","Dates=H","DateFormat=P","Fill=—","Direction=H","UseDPDF=Y")</f>
        <v>-0.75749999999999995</v>
      </c>
      <c r="J12" s="14">
        <f>_xll.BDH("ITCI US Equity","EBITDA_PER_SH","FQ1 2021","FQ1 2021","Currency=USD","Period=FQ","BEST_FPERIOD_OVERRIDE=FQ","FILING_STATUS=MR","FA_ADJUSTED=GAAP","Sort=A","Dates=H","DateFormat=P","Fill=—","Direction=H","UseDPDF=Y")</f>
        <v>-0.64600000000000002</v>
      </c>
      <c r="K12" s="14">
        <f>_xll.BDH("ITCI US Equity","EBITDA_PER_SH","FQ2 2021","FQ2 2021","Currency=USD","Period=FQ","BEST_FPERIOD_OVERRIDE=FQ","FILING_STATUS=MR","FA_ADJUSTED=GAAP","Sort=A","Dates=H","DateFormat=P","Fill=—","Direction=H","UseDPDF=Y")</f>
        <v>-0.83979999999999999</v>
      </c>
      <c r="L12" s="14">
        <f>_xll.BDH("ITCI US Equity","EBITDA_PER_SH","FQ3 2021","FQ3 2021","Currency=USD","Period=FQ","BEST_FPERIOD_OVERRIDE=FQ","FILING_STATUS=MR","FA_ADJUSTED=GAAP","Sort=A","Dates=H","DateFormat=P","Fill=—","Direction=H","UseDPDF=Y")</f>
        <v>-0.93899999999999995</v>
      </c>
      <c r="M12" s="14">
        <f>_xll.BDH("ITCI US Equity","EBITDA_PER_SH","FQ4 2021","FQ4 2021","Currency=USD","Period=FQ","BEST_FPERIOD_OVERRIDE=FQ","FILING_STATUS=MR","FA_ADJUSTED=GAAP","Sort=A","Dates=H","DateFormat=P","Fill=—","Direction=H","UseDPDF=Y")</f>
        <v>-1.0421</v>
      </c>
      <c r="N12" s="14">
        <f>_xll.BDH("ITCI US Equity","EBITDA_PER_SH","FQ1 2022","FQ1 2022","Currency=USD","Period=FQ","BEST_FPERIOD_OVERRIDE=FQ","FILING_STATUS=MR","FA_ADJUSTED=GAAP","Sort=A","Dates=H","DateFormat=P","Fill=—","Direction=H","UseDPDF=Y")</f>
        <v>-0.78280000000000005</v>
      </c>
      <c r="O12" s="14">
        <f>_xll.BDH("ITCI US Equity","EBITDA_PER_SH","FQ2 2022","FQ2 2022","Currency=USD","Period=FQ","BEST_FPERIOD_OVERRIDE=FQ","FILING_STATUS=MR","FA_ADJUSTED=GAAP","Sort=A","Dates=H","DateFormat=P","Fill=—","Direction=H","UseDPDF=Y")</f>
        <v>-0.93069999999999997</v>
      </c>
      <c r="P12" s="14">
        <f>_xll.BDH("ITCI US Equity","EBITDA_PER_SH","FQ3 2022","FQ3 2022","Currency=USD","Period=FQ","BEST_FPERIOD_OVERRIDE=FQ","FILING_STATUS=MR","FA_ADJUSTED=GAAP","Sort=A","Dates=H","DateFormat=P","Fill=—","Direction=H","UseDPDF=Y")</f>
        <v>-0.58679999999999999</v>
      </c>
      <c r="Q12" s="14">
        <f>_xll.BDH("ITCI US Equity","EBITDA_PER_SH","FQ4 2022","FQ4 2022","Currency=USD","Period=FQ","BEST_FPERIOD_OVERRIDE=FQ","FILING_STATUS=MR","FA_ADJUSTED=GAAP","Sort=A","Dates=H","DateFormat=P","Fill=—","Direction=H","UseDPDF=Y")</f>
        <v>-0.42280000000000001</v>
      </c>
      <c r="R12" s="14">
        <f>_xll.BDH("ITCI US Equity","EBITDA_PER_SH","FQ1 2023","FQ1 2023","Currency=USD","Period=FQ","BEST_FPERIOD_OVERRIDE=FQ","FILING_STATUS=MR","FA_ADJUSTED=GAAP","Sort=A","Dates=H","DateFormat=P","Fill=—","Direction=H","UseDPDF=Y")</f>
        <v>-0.49590000000000001</v>
      </c>
      <c r="S12" s="14">
        <f>_xll.BDH("ITCI US Equity","EBITDA_PER_SH","FQ2 2023","FQ2 2023","Currency=USD","Period=FQ","BEST_FPERIOD_OVERRIDE=FQ","FILING_STATUS=MR","FA_ADJUSTED=GAAP","Sort=A","Dates=H","DateFormat=P","Fill=—","Direction=H","UseDPDF=Y")</f>
        <v>-0.4904</v>
      </c>
      <c r="T12" s="14">
        <f>_xll.BDH("ITCI US Equity","EBITDA_PER_SH","FQ3 2023","FQ3 2023","Currency=USD","Period=FQ","BEST_FPERIOD_OVERRIDE=FQ","FILING_STATUS=MR","FA_ADJUSTED=GAAP","Sort=A","Dates=H","DateFormat=P","Fill=—","Direction=H","UseDPDF=Y")</f>
        <v>-0.29809999999999998</v>
      </c>
      <c r="U12" s="14">
        <f>_xll.BDH("ITCI US Equity","EBITDA_PER_SH","FQ4 2023","FQ4 2023","Currency=USD","Period=FQ","BEST_FPERIOD_OVERRIDE=FQ","FILING_STATUS=MR","FA_ADJUSTED=GAAP","Sort=A","Dates=H","DateFormat=P","Fill=—","Direction=H","UseDPDF=Y")</f>
        <v>-0.27289999999999998</v>
      </c>
      <c r="V12" s="14">
        <f>_xll.BDH("ITCI US Equity","EBITDA_PER_SH","FQ1 2024","FQ1 2024","Currency=USD","Period=FQ","BEST_FPERIOD_OVERRIDE=FQ","FILING_STATUS=MR","FA_ADJUSTED=GAAP","Sort=A","Dates=H","DateFormat=P","Fill=—","Direction=H","UseDPDF=Y")</f>
        <v>-0.20519999999999999</v>
      </c>
      <c r="W12" s="14">
        <f>_xll.BDH("ITCI US Equity","EBITDA_PER_SH","FQ2 2024","FQ2 2024","Currency=USD","Period=FQ","BEST_FPERIOD_OVERRIDE=FQ","FILING_STATUS=MR","FA_ADJUSTED=GAAP","Sort=A","Dates=H","DateFormat=P","Fill=—","Direction=H","UseDPDF=Y")</f>
        <v>-0.25609999999999999</v>
      </c>
      <c r="X12" s="14">
        <f>_xll.BDH("ITCI US Equity","EBITDA_PER_SH","FQ3 2024","FQ3 2024","Currency=USD","Period=FQ","BEST_FPERIOD_OVERRIDE=FQ","FILING_STATUS=MR","FA_ADJUSTED=GAAP","Sort=A","Dates=H","DateFormat=P","Fill=—","Direction=H","UseDPDF=Y")</f>
        <v>-0.35599999999999998</v>
      </c>
      <c r="Y12" s="14">
        <f>_xll.BDH("ITCI US Equity","EBITDA_PER_SH","FQ4 2024","FQ4 2024","Currency=USD","Period=FQ","BEST_FPERIOD_OVERRIDE=FQ","FILING_STATUS=MR","FA_ADJUSTED=GAAP","Sort=A","Dates=H","DateFormat=P","Fill=—","Direction=H","UseDPDF=Y")</f>
        <v>-0.25430000000000003</v>
      </c>
      <c r="Z12" s="14"/>
      <c r="AA12" s="14"/>
    </row>
    <row r="13" spans="1:27" x14ac:dyDescent="0.25">
      <c r="A13" s="10" t="s">
        <v>98</v>
      </c>
      <c r="B13" s="10" t="s">
        <v>233</v>
      </c>
      <c r="C13" s="14">
        <f>_xll.BDH("ITCI US Equity","OPER_INC_PER_SH","FQ2 2019","FQ2 2019","Currency=USD","Period=FQ","BEST_FPERIOD_OVERRIDE=FQ","FILING_STATUS=MR","FA_ADJUSTED=GAAP","Sort=A","Dates=H","DateFormat=P","Fill=—","Direction=H","UseDPDF=Y")</f>
        <v>-0.71030000000000004</v>
      </c>
      <c r="D13" s="14">
        <f>_xll.BDH("ITCI US Equity","OPER_INC_PER_SH","FQ3 2019","FQ3 2019","Currency=USD","Period=FQ","BEST_FPERIOD_OVERRIDE=FQ","FILING_STATUS=MR","FA_ADJUSTED=GAAP","Sort=A","Dates=H","DateFormat=P","Fill=—","Direction=H","UseDPDF=Y")</f>
        <v>-0.65890000000000004</v>
      </c>
      <c r="E13" s="14">
        <f>_xll.BDH("ITCI US Equity","OPER_INC_PER_SH","FQ4 2019","FQ4 2019","Currency=USD","Period=FQ","BEST_FPERIOD_OVERRIDE=FQ","FILING_STATUS=MR","FA_ADJUSTED=GAAP","Sort=A","Dates=H","DateFormat=P","Fill=—","Direction=H","UseDPDF=Y")</f>
        <v>-0.75560000000000005</v>
      </c>
      <c r="F13" s="14">
        <f>_xll.BDH("ITCI US Equity","OPER_INC_PER_SH","FQ1 2020","FQ1 2020","Currency=USD","Period=FQ","BEST_FPERIOD_OVERRIDE=FQ","FILING_STATUS=MR","FA_ADJUSTED=GAAP","Sort=A","Dates=H","DateFormat=P","Fill=—","Direction=H","UseDPDF=Y")</f>
        <v>-0.75390000000000001</v>
      </c>
      <c r="G13" s="14">
        <f>_xll.BDH("ITCI US Equity","OPER_INC_PER_SH","FQ2 2020","FQ2 2020","Currency=USD","Period=FQ","BEST_FPERIOD_OVERRIDE=FQ","FILING_STATUS=MR","FA_ADJUSTED=GAAP","Sort=A","Dates=H","DateFormat=P","Fill=—","Direction=H","UseDPDF=Y")</f>
        <v>-0.97660000000000002</v>
      </c>
      <c r="H13" s="14">
        <f>_xll.BDH("ITCI US Equity","OPER_INC_PER_SH","FQ3 2020","FQ3 2020","Currency=USD","Period=FQ","BEST_FPERIOD_OVERRIDE=FQ","FILING_STATUS=MR","FA_ADJUSTED=GAAP","Sort=A","Dates=H","DateFormat=P","Fill=—","Direction=H","UseDPDF=Y")</f>
        <v>-0.80449999999999999</v>
      </c>
      <c r="I13" s="14">
        <f>_xll.BDH("ITCI US Equity","OPER_INC_PER_SH","FQ4 2020","FQ4 2020","Currency=USD","Period=FQ","BEST_FPERIOD_OVERRIDE=FQ","FILING_STATUS=MR","FA_ADJUSTED=GAAP","Sort=A","Dates=H","DateFormat=P","Fill=—","Direction=H","UseDPDF=Y")</f>
        <v>-0.76390000000000002</v>
      </c>
      <c r="J13" s="14">
        <f>_xll.BDH("ITCI US Equity","OPER_INC_PER_SH","FQ1 2021","FQ1 2021","Currency=USD","Period=FQ","BEST_FPERIOD_OVERRIDE=FQ","FILING_STATUS=MR","FA_ADJUSTED=GAAP","Sort=A","Dates=H","DateFormat=P","Fill=—","Direction=H","UseDPDF=Y")</f>
        <v>-0.65749999999999997</v>
      </c>
      <c r="K13" s="14">
        <f>_xll.BDH("ITCI US Equity","OPER_INC_PER_SH","FQ2 2021","FQ2 2021","Currency=USD","Period=FQ","BEST_FPERIOD_OVERRIDE=FQ","FILING_STATUS=MR","FA_ADJUSTED=GAAP","Sort=A","Dates=H","DateFormat=P","Fill=—","Direction=H","UseDPDF=Y")</f>
        <v>-0.85119999999999996</v>
      </c>
      <c r="L13" s="14">
        <f>_xll.BDH("ITCI US Equity","OPER_INC_PER_SH","FQ3 2021","FQ3 2021","Currency=USD","Period=FQ","BEST_FPERIOD_OVERRIDE=FQ","FILING_STATUS=MR","FA_ADJUSTED=GAAP","Sort=A","Dates=H","DateFormat=P","Fill=—","Direction=H","UseDPDF=Y")</f>
        <v>-0.95050000000000001</v>
      </c>
      <c r="M13" s="14">
        <f>_xll.BDH("ITCI US Equity","OPER_INC_PER_SH","FQ4 2021","FQ4 2021","Currency=USD","Period=FQ","BEST_FPERIOD_OVERRIDE=FQ","FILING_STATUS=MR","FA_ADJUSTED=GAAP","Sort=A","Dates=H","DateFormat=P","Fill=—","Direction=H","UseDPDF=Y")</f>
        <v>-1.0556000000000001</v>
      </c>
      <c r="N13" s="14">
        <f>_xll.BDH("ITCI US Equity","OPER_INC_PER_SH","FQ1 2022","FQ1 2022","Currency=USD","Period=FQ","BEST_FPERIOD_OVERRIDE=FQ","FILING_STATUS=MR","FA_ADJUSTED=GAAP","Sort=A","Dates=H","DateFormat=P","Fill=—","Direction=H","UseDPDF=Y")</f>
        <v>-0.78469999999999995</v>
      </c>
      <c r="O13" s="14">
        <f>_xll.BDH("ITCI US Equity","OPER_INC_PER_SH","FQ2 2022","FQ2 2022","Currency=USD","Period=FQ","BEST_FPERIOD_OVERRIDE=FQ","FILING_STATUS=MR","FA_ADJUSTED=GAAP","Sort=A","Dates=H","DateFormat=P","Fill=—","Direction=H","UseDPDF=Y")</f>
        <v>-0.9325</v>
      </c>
      <c r="P13" s="14">
        <f>_xll.BDH("ITCI US Equity","OPER_INC_PER_SH","FQ3 2022","FQ3 2022","Currency=USD","Period=FQ","BEST_FPERIOD_OVERRIDE=FQ","FILING_STATUS=MR","FA_ADJUSTED=GAAP","Sort=A","Dates=H","DateFormat=P","Fill=—","Direction=H","UseDPDF=Y")</f>
        <v>-0.58860000000000001</v>
      </c>
      <c r="Q13" s="14">
        <f>_xll.BDH("ITCI US Equity","OPER_INC_PER_SH","FQ4 2022","FQ4 2022","Currency=USD","Period=FQ","BEST_FPERIOD_OVERRIDE=FQ","FILING_STATUS=MR","FA_ADJUSTED=GAAP","Sort=A","Dates=H","DateFormat=P","Fill=—","Direction=H","UseDPDF=Y")</f>
        <v>-0.50039999999999996</v>
      </c>
      <c r="R13" s="14">
        <f>_xll.BDH("ITCI US Equity","OPER_INC_PER_SH","FQ1 2023","FQ1 2023","Currency=USD","Period=FQ","BEST_FPERIOD_OVERRIDE=FQ","FILING_STATUS=MR","FA_ADJUSTED=GAAP","Sort=A","Dates=H","DateFormat=P","Fill=—","Direction=H","UseDPDF=Y")</f>
        <v>-0.50870000000000004</v>
      </c>
      <c r="S13" s="14">
        <f>_xll.BDH("ITCI US Equity","OPER_INC_PER_SH","FQ2 2023","FQ2 2023","Currency=USD","Period=FQ","BEST_FPERIOD_OVERRIDE=FQ","FILING_STATUS=MR","FA_ADJUSTED=GAAP","Sort=A","Dates=H","DateFormat=P","Fill=—","Direction=H","UseDPDF=Y")</f>
        <v>-0.49170000000000003</v>
      </c>
      <c r="T13" s="14">
        <f>_xll.BDH("ITCI US Equity","OPER_INC_PER_SH","FQ3 2023","FQ3 2023","Currency=USD","Period=FQ","BEST_FPERIOD_OVERRIDE=FQ","FILING_STATUS=MR","FA_ADJUSTED=GAAP","Sort=A","Dates=H","DateFormat=P","Fill=—","Direction=H","UseDPDF=Y")</f>
        <v>-0.309</v>
      </c>
      <c r="U13" s="14">
        <f>_xll.BDH("ITCI US Equity","OPER_INC_PER_SH","FQ4 2023","FQ4 2023","Currency=USD","Period=FQ","BEST_FPERIOD_OVERRIDE=FQ","FILING_STATUS=MR","FA_ADJUSTED=GAAP","Sort=A","Dates=H","DateFormat=P","Fill=—","Direction=H","UseDPDF=Y")</f>
        <v>-0.35410000000000003</v>
      </c>
      <c r="V13" s="14">
        <f>_xll.BDH("ITCI US Equity","OPER_INC_PER_SH","FQ1 2024","FQ1 2024","Currency=USD","Period=FQ","BEST_FPERIOD_OVERRIDE=FQ","FILING_STATUS=MR","FA_ADJUSTED=GAAP","Sort=A","Dates=H","DateFormat=P","Fill=—","Direction=H","UseDPDF=Y")</f>
        <v>-0.21629999999999999</v>
      </c>
      <c r="W13" s="14">
        <f>_xll.BDH("ITCI US Equity","OPER_INC_PER_SH","FQ2 2024","FQ2 2024","Currency=USD","Period=FQ","BEST_FPERIOD_OVERRIDE=FQ","FILING_STATUS=MR","FA_ADJUSTED=GAAP","Sort=A","Dates=H","DateFormat=P","Fill=—","Direction=H","UseDPDF=Y")</f>
        <v>-0.26729999999999998</v>
      </c>
      <c r="X13" s="14">
        <f>_xll.BDH("ITCI US Equity","OPER_INC_PER_SH","FQ3 2024","FQ3 2024","Currency=USD","Period=FQ","BEST_FPERIOD_OVERRIDE=FQ","FILING_STATUS=MR","FA_ADJUSTED=GAAP","Sort=A","Dates=H","DateFormat=P","Fill=—","Direction=H","UseDPDF=Y")</f>
        <v>-0.36730000000000002</v>
      </c>
      <c r="Y13" s="14">
        <f>_xll.BDH("ITCI US Equity","OPER_INC_PER_SH","FQ4 2024","FQ4 2024","Currency=USD","Period=FQ","BEST_FPERIOD_OVERRIDE=FQ","FILING_STATUS=MR","FA_ADJUSTED=GAAP","Sort=A","Dates=H","DateFormat=P","Fill=—","Direction=H","UseDPDF=Y")</f>
        <v>-0.2752</v>
      </c>
      <c r="Z13" s="14"/>
      <c r="AA13" s="14"/>
    </row>
    <row r="14" spans="1:27" x14ac:dyDescent="0.25">
      <c r="A14" s="10" t="s">
        <v>234</v>
      </c>
      <c r="B14" s="10" t="s">
        <v>102</v>
      </c>
      <c r="C14" s="14">
        <f>_xll.BDH("ITCI US Equity","IS_EPS","FQ2 2019","FQ2 2019","Currency=USD","Period=FQ","BEST_FPERIOD_OVERRIDE=FQ","FILING_STATUS=MR","FA_ADJUSTED=GAAP","Sort=A","Dates=H","DateFormat=P","Fill=—","Direction=H","UseDPDF=Y")</f>
        <v>-0.68</v>
      </c>
      <c r="D14" s="14">
        <f>_xll.BDH("ITCI US Equity","IS_EPS","FQ3 2019","FQ3 2019","Currency=USD","Period=FQ","BEST_FPERIOD_OVERRIDE=FQ","FILING_STATUS=MR","FA_ADJUSTED=GAAP","Sort=A","Dates=H","DateFormat=P","Fill=—","Direction=H","UseDPDF=Y")</f>
        <v>-0.63</v>
      </c>
      <c r="E14" s="14">
        <f>_xll.BDH("ITCI US Equity","IS_EPS","FQ4 2019","FQ4 2019","Currency=USD","Period=FQ","BEST_FPERIOD_OVERRIDE=FQ","FILING_STATUS=MR","FA_ADJUSTED=GAAP","Sort=A","Dates=H","DateFormat=P","Fill=—","Direction=H","UseDPDF=Y")</f>
        <v>-0.74</v>
      </c>
      <c r="F14" s="14">
        <f>_xll.BDH("ITCI US Equity","IS_EPS","FQ1 2020","FQ1 2020","Currency=USD","Period=FQ","BEST_FPERIOD_OVERRIDE=FQ","FILING_STATUS=MR","FA_ADJUSTED=GAAP","Sort=A","Dates=H","DateFormat=P","Fill=—","Direction=H","UseDPDF=Y")</f>
        <v>-0.73</v>
      </c>
      <c r="G14" s="14">
        <f>_xll.BDH("ITCI US Equity","IS_EPS","FQ2 2020","FQ2 2020","Currency=USD","Period=FQ","BEST_FPERIOD_OVERRIDE=FQ","FILING_STATUS=MR","FA_ADJUSTED=GAAP","Sort=A","Dates=H","DateFormat=P","Fill=—","Direction=H","UseDPDF=Y")</f>
        <v>-0.96</v>
      </c>
      <c r="H14" s="14">
        <f>_xll.BDH("ITCI US Equity","IS_EPS","FQ3 2020","FQ3 2020","Currency=USD","Period=FQ","BEST_FPERIOD_OVERRIDE=FQ","FILING_STATUS=MR","FA_ADJUSTED=GAAP","Sort=A","Dates=H","DateFormat=P","Fill=—","Direction=H","UseDPDF=Y")</f>
        <v>-0.79</v>
      </c>
      <c r="I14" s="14">
        <f>_xll.BDH("ITCI US Equity","IS_EPS","FQ4 2020","FQ4 2020","Currency=USD","Period=FQ","BEST_FPERIOD_OVERRIDE=FQ","FILING_STATUS=MR","FA_ADJUSTED=GAAP","Sort=A","Dates=H","DateFormat=P","Fill=—","Direction=H","UseDPDF=Y")</f>
        <v>-0.76</v>
      </c>
      <c r="J14" s="14">
        <f>_xll.BDH("ITCI US Equity","IS_EPS","FQ1 2021","FQ1 2021","Currency=USD","Period=FQ","BEST_FPERIOD_OVERRIDE=FQ","FILING_STATUS=MR","FA_ADJUSTED=GAAP","Sort=A","Dates=H","DateFormat=P","Fill=—","Direction=H","UseDPDF=Y")</f>
        <v>-0.65</v>
      </c>
      <c r="K14" s="14">
        <f>_xll.BDH("ITCI US Equity","IS_EPS","FQ2 2021","FQ2 2021","Currency=USD","Period=FQ","BEST_FPERIOD_OVERRIDE=FQ","FILING_STATUS=MR","FA_ADJUSTED=GAAP","Sort=A","Dates=H","DateFormat=P","Fill=—","Direction=H","UseDPDF=Y")</f>
        <v>-0.85</v>
      </c>
      <c r="L14" s="14">
        <f>_xll.BDH("ITCI US Equity","IS_EPS","FQ3 2021","FQ3 2021","Currency=USD","Period=FQ","BEST_FPERIOD_OVERRIDE=FQ","FILING_STATUS=MR","FA_ADJUSTED=GAAP","Sort=A","Dates=H","DateFormat=P","Fill=—","Direction=H","UseDPDF=Y")</f>
        <v>-0.95</v>
      </c>
      <c r="M14" s="14">
        <f>_xll.BDH("ITCI US Equity","IS_EPS","FQ4 2021","FQ4 2021","Currency=USD","Period=FQ","BEST_FPERIOD_OVERRIDE=FQ","FILING_STATUS=MR","FA_ADJUSTED=GAAP","Sort=A","Dates=H","DateFormat=P","Fill=—","Direction=H","UseDPDF=Y")</f>
        <v>-1.05</v>
      </c>
      <c r="N14" s="14">
        <f>_xll.BDH("ITCI US Equity","IS_EPS","FQ1 2022","FQ1 2022","Currency=USD","Period=FQ","BEST_FPERIOD_OVERRIDE=FQ","FILING_STATUS=MR","FA_ADJUSTED=GAAP","Sort=A","Dates=H","DateFormat=P","Fill=—","Direction=H","UseDPDF=Y")</f>
        <v>-0.78</v>
      </c>
      <c r="O14" s="14">
        <f>_xll.BDH("ITCI US Equity","IS_EPS","FQ2 2022","FQ2 2022","Currency=USD","Period=FQ","BEST_FPERIOD_OVERRIDE=FQ","FILING_STATUS=MR","FA_ADJUSTED=GAAP","Sort=A","Dates=H","DateFormat=P","Fill=—","Direction=H","UseDPDF=Y")</f>
        <v>-0.92</v>
      </c>
      <c r="P14" s="14">
        <f>_xll.BDH("ITCI US Equity","IS_EPS","FQ3 2022","FQ3 2022","Currency=USD","Period=FQ","BEST_FPERIOD_OVERRIDE=FQ","FILING_STATUS=MR","FA_ADJUSTED=GAAP","Sort=A","Dates=H","DateFormat=P","Fill=—","Direction=H","UseDPDF=Y")</f>
        <v>-0.56999999999999995</v>
      </c>
      <c r="Q14" s="14">
        <f>_xll.BDH("ITCI US Equity","IS_EPS","FQ4 2022","FQ4 2022","Currency=USD","Period=FQ","BEST_FPERIOD_OVERRIDE=FQ","FILING_STATUS=MR","FA_ADJUSTED=GAAP","Sort=A","Dates=H","DateFormat=P","Fill=—","Direction=H","UseDPDF=Y")</f>
        <v>-0.45</v>
      </c>
      <c r="R14" s="14">
        <f>_xll.BDH("ITCI US Equity","IS_EPS","FQ1 2023","FQ1 2023","Currency=USD","Period=FQ","BEST_FPERIOD_OVERRIDE=FQ","FILING_STATUS=MR","FA_ADJUSTED=GAAP","Sort=A","Dates=H","DateFormat=P","Fill=—","Direction=H","UseDPDF=Y")</f>
        <v>-0.46</v>
      </c>
      <c r="S14" s="14">
        <f>_xll.BDH("ITCI US Equity","IS_EPS","FQ2 2023","FQ2 2023","Currency=USD","Period=FQ","BEST_FPERIOD_OVERRIDE=FQ","FILING_STATUS=MR","FA_ADJUSTED=GAAP","Sort=A","Dates=H","DateFormat=P","Fill=—","Direction=H","UseDPDF=Y")</f>
        <v>-0.45</v>
      </c>
      <c r="T14" s="14">
        <f>_xll.BDH("ITCI US Equity","IS_EPS","FQ3 2023","FQ3 2023","Currency=USD","Period=FQ","BEST_FPERIOD_OVERRIDE=FQ","FILING_STATUS=MR","FA_ADJUSTED=GAAP","Sort=A","Dates=H","DateFormat=P","Fill=—","Direction=H","UseDPDF=Y")</f>
        <v>-0.25</v>
      </c>
      <c r="U14" s="14">
        <f>_xll.BDH("ITCI US Equity","IS_EPS","FQ4 2023","FQ4 2023","Currency=USD","Period=FQ","BEST_FPERIOD_OVERRIDE=FQ","FILING_STATUS=MR","FA_ADJUSTED=GAAP","Sort=A","Dates=H","DateFormat=P","Fill=—","Direction=H","UseDPDF=Y")</f>
        <v>-0.3</v>
      </c>
      <c r="V14" s="14">
        <f>_xll.BDH("ITCI US Equity","IS_EPS","FQ1 2024","FQ1 2024","Currency=USD","Period=FQ","BEST_FPERIOD_OVERRIDE=FQ","FILING_STATUS=MR","FA_ADJUSTED=GAAP","Sort=A","Dates=H","DateFormat=P","Fill=—","Direction=H","UseDPDF=Y")</f>
        <v>-0.16</v>
      </c>
      <c r="W14" s="14">
        <f>_xll.BDH("ITCI US Equity","IS_EPS","FQ2 2024","FQ2 2024","Currency=USD","Period=FQ","BEST_FPERIOD_OVERRIDE=FQ","FILING_STATUS=MR","FA_ADJUSTED=GAAP","Sort=A","Dates=H","DateFormat=P","Fill=—","Direction=H","UseDPDF=Y")</f>
        <v>-0.16</v>
      </c>
      <c r="X14" s="14">
        <f>_xll.BDH("ITCI US Equity","IS_EPS","FQ3 2024","FQ3 2024","Currency=USD","Period=FQ","BEST_FPERIOD_OVERRIDE=FQ","FILING_STATUS=MR","FA_ADJUSTED=GAAP","Sort=A","Dates=H","DateFormat=P","Fill=—","Direction=H","UseDPDF=Y")</f>
        <v>-0.25</v>
      </c>
      <c r="Y14" s="14">
        <f>_xll.BDH("ITCI US Equity","IS_EPS","FQ4 2024","FQ4 2024","Currency=USD","Period=FQ","BEST_FPERIOD_OVERRIDE=FQ","FILING_STATUS=MR","FA_ADJUSTED=GAAP","Sort=A","Dates=H","DateFormat=P","Fill=—","Direction=H","UseDPDF=Y")</f>
        <v>-0.16</v>
      </c>
      <c r="Z14" s="14">
        <v>-0.10100000000000001</v>
      </c>
      <c r="AA14" s="14">
        <v>-0.02</v>
      </c>
    </row>
    <row r="15" spans="1:27" x14ac:dyDescent="0.25">
      <c r="A15" s="10" t="s">
        <v>235</v>
      </c>
      <c r="B15" s="10" t="s">
        <v>236</v>
      </c>
      <c r="C15" s="14">
        <f>_xll.BDH("ITCI US Equity","IS_EARN_BEF_XO_ITEMS_PER_SH","FQ2 2019","FQ2 2019","Currency=USD","Period=FQ","BEST_FPERIOD_OVERRIDE=FQ","FILING_STATUS=MR","Sort=A","Dates=H","DateFormat=P","Fill=—","Direction=H","UseDPDF=Y")</f>
        <v>-0.68</v>
      </c>
      <c r="D15" s="14">
        <f>_xll.BDH("ITCI US Equity","IS_EARN_BEF_XO_ITEMS_PER_SH","FQ3 2019","FQ3 2019","Currency=USD","Period=FQ","BEST_FPERIOD_OVERRIDE=FQ","FILING_STATUS=MR","Sort=A","Dates=H","DateFormat=P","Fill=—","Direction=H","UseDPDF=Y")</f>
        <v>-0.63</v>
      </c>
      <c r="E15" s="14">
        <f>_xll.BDH("ITCI US Equity","IS_EARN_BEF_XO_ITEMS_PER_SH","FQ4 2019","FQ4 2019","Currency=USD","Period=FQ","BEST_FPERIOD_OVERRIDE=FQ","FILING_STATUS=MR","Sort=A","Dates=H","DateFormat=P","Fill=—","Direction=H","UseDPDF=Y")</f>
        <v>-0.74</v>
      </c>
      <c r="F15" s="14">
        <f>_xll.BDH("ITCI US Equity","IS_EARN_BEF_XO_ITEMS_PER_SH","FQ1 2020","FQ1 2020","Currency=USD","Period=FQ","BEST_FPERIOD_OVERRIDE=FQ","FILING_STATUS=MR","Sort=A","Dates=H","DateFormat=P","Fill=—","Direction=H","UseDPDF=Y")</f>
        <v>-0.73</v>
      </c>
      <c r="G15" s="14">
        <f>_xll.BDH("ITCI US Equity","IS_EARN_BEF_XO_ITEMS_PER_SH","FQ2 2020","FQ2 2020","Currency=USD","Period=FQ","BEST_FPERIOD_OVERRIDE=FQ","FILING_STATUS=MR","Sort=A","Dates=H","DateFormat=P","Fill=—","Direction=H","UseDPDF=Y")</f>
        <v>-0.96</v>
      </c>
      <c r="H15" s="14">
        <f>_xll.BDH("ITCI US Equity","IS_EARN_BEF_XO_ITEMS_PER_SH","FQ3 2020","FQ3 2020","Currency=USD","Period=FQ","BEST_FPERIOD_OVERRIDE=FQ","FILING_STATUS=MR","Sort=A","Dates=H","DateFormat=P","Fill=—","Direction=H","UseDPDF=Y")</f>
        <v>-0.79</v>
      </c>
      <c r="I15" s="14">
        <f>_xll.BDH("ITCI US Equity","IS_EARN_BEF_XO_ITEMS_PER_SH","FQ4 2020","FQ4 2020","Currency=USD","Period=FQ","BEST_FPERIOD_OVERRIDE=FQ","FILING_STATUS=MR","Sort=A","Dates=H","DateFormat=P","Fill=—","Direction=H","UseDPDF=Y")</f>
        <v>-0.76</v>
      </c>
      <c r="J15" s="14">
        <f>_xll.BDH("ITCI US Equity","IS_EARN_BEF_XO_ITEMS_PER_SH","FQ1 2021","FQ1 2021","Currency=USD","Period=FQ","BEST_FPERIOD_OVERRIDE=FQ","FILING_STATUS=MR","Sort=A","Dates=H","DateFormat=P","Fill=—","Direction=H","UseDPDF=Y")</f>
        <v>-0.65</v>
      </c>
      <c r="K15" s="14">
        <f>_xll.BDH("ITCI US Equity","IS_EARN_BEF_XO_ITEMS_PER_SH","FQ2 2021","FQ2 2021","Currency=USD","Period=FQ","BEST_FPERIOD_OVERRIDE=FQ","FILING_STATUS=MR","Sort=A","Dates=H","DateFormat=P","Fill=—","Direction=H","UseDPDF=Y")</f>
        <v>-0.85</v>
      </c>
      <c r="L15" s="14">
        <f>_xll.BDH("ITCI US Equity","IS_EARN_BEF_XO_ITEMS_PER_SH","FQ3 2021","FQ3 2021","Currency=USD","Period=FQ","BEST_FPERIOD_OVERRIDE=FQ","FILING_STATUS=MR","Sort=A","Dates=H","DateFormat=P","Fill=—","Direction=H","UseDPDF=Y")</f>
        <v>-0.95</v>
      </c>
      <c r="M15" s="14">
        <f>_xll.BDH("ITCI US Equity","IS_EARN_BEF_XO_ITEMS_PER_SH","FQ4 2021","FQ4 2021","Currency=USD","Period=FQ","BEST_FPERIOD_OVERRIDE=FQ","FILING_STATUS=MR","Sort=A","Dates=H","DateFormat=P","Fill=—","Direction=H","UseDPDF=Y")</f>
        <v>-1.05</v>
      </c>
      <c r="N15" s="14">
        <f>_xll.BDH("ITCI US Equity","IS_EARN_BEF_XO_ITEMS_PER_SH","FQ1 2022","FQ1 2022","Currency=USD","Period=FQ","BEST_FPERIOD_OVERRIDE=FQ","FILING_STATUS=MR","Sort=A","Dates=H","DateFormat=P","Fill=—","Direction=H","UseDPDF=Y")</f>
        <v>-0.78</v>
      </c>
      <c r="O15" s="14">
        <f>_xll.BDH("ITCI US Equity","IS_EARN_BEF_XO_ITEMS_PER_SH","FQ2 2022","FQ2 2022","Currency=USD","Period=FQ","BEST_FPERIOD_OVERRIDE=FQ","FILING_STATUS=MR","Sort=A","Dates=H","DateFormat=P","Fill=—","Direction=H","UseDPDF=Y")</f>
        <v>-0.92</v>
      </c>
      <c r="P15" s="14">
        <f>_xll.BDH("ITCI US Equity","IS_EARN_BEF_XO_ITEMS_PER_SH","FQ3 2022","FQ3 2022","Currency=USD","Period=FQ","BEST_FPERIOD_OVERRIDE=FQ","FILING_STATUS=MR","Sort=A","Dates=H","DateFormat=P","Fill=—","Direction=H","UseDPDF=Y")</f>
        <v>-0.56999999999999995</v>
      </c>
      <c r="Q15" s="14">
        <f>_xll.BDH("ITCI US Equity","IS_EARN_BEF_XO_ITEMS_PER_SH","FQ4 2022","FQ4 2022","Currency=USD","Period=FQ","BEST_FPERIOD_OVERRIDE=FQ","FILING_STATUS=MR","Sort=A","Dates=H","DateFormat=P","Fill=—","Direction=H","UseDPDF=Y")</f>
        <v>-0.45</v>
      </c>
      <c r="R15" s="14">
        <f>_xll.BDH("ITCI US Equity","IS_EARN_BEF_XO_ITEMS_PER_SH","FQ1 2023","FQ1 2023","Currency=USD","Period=FQ","BEST_FPERIOD_OVERRIDE=FQ","FILING_STATUS=MR","Sort=A","Dates=H","DateFormat=P","Fill=—","Direction=H","UseDPDF=Y")</f>
        <v>-0.46</v>
      </c>
      <c r="S15" s="14">
        <f>_xll.BDH("ITCI US Equity","IS_EARN_BEF_XO_ITEMS_PER_SH","FQ2 2023","FQ2 2023","Currency=USD","Period=FQ","BEST_FPERIOD_OVERRIDE=FQ","FILING_STATUS=MR","Sort=A","Dates=H","DateFormat=P","Fill=—","Direction=H","UseDPDF=Y")</f>
        <v>-0.45</v>
      </c>
      <c r="T15" s="14">
        <f>_xll.BDH("ITCI US Equity","IS_EARN_BEF_XO_ITEMS_PER_SH","FQ3 2023","FQ3 2023","Currency=USD","Period=FQ","BEST_FPERIOD_OVERRIDE=FQ","FILING_STATUS=MR","Sort=A","Dates=H","DateFormat=P","Fill=—","Direction=H","UseDPDF=Y")</f>
        <v>-0.25</v>
      </c>
      <c r="U15" s="14">
        <f>_xll.BDH("ITCI US Equity","IS_EARN_BEF_XO_ITEMS_PER_SH","FQ4 2023","FQ4 2023","Currency=USD","Period=FQ","BEST_FPERIOD_OVERRIDE=FQ","FILING_STATUS=MR","Sort=A","Dates=H","DateFormat=P","Fill=—","Direction=H","UseDPDF=Y")</f>
        <v>-0.3</v>
      </c>
      <c r="V15" s="14">
        <f>_xll.BDH("ITCI US Equity","IS_EARN_BEF_XO_ITEMS_PER_SH","FQ1 2024","FQ1 2024","Currency=USD","Period=FQ","BEST_FPERIOD_OVERRIDE=FQ","FILING_STATUS=MR","Sort=A","Dates=H","DateFormat=P","Fill=—","Direction=H","UseDPDF=Y")</f>
        <v>-0.16</v>
      </c>
      <c r="W15" s="14">
        <f>_xll.BDH("ITCI US Equity","IS_EARN_BEF_XO_ITEMS_PER_SH","FQ2 2024","FQ2 2024","Currency=USD","Period=FQ","BEST_FPERIOD_OVERRIDE=FQ","FILING_STATUS=MR","Sort=A","Dates=H","DateFormat=P","Fill=—","Direction=H","UseDPDF=Y")</f>
        <v>-0.16</v>
      </c>
      <c r="X15" s="14">
        <f>_xll.BDH("ITCI US Equity","IS_EARN_BEF_XO_ITEMS_PER_SH","FQ3 2024","FQ3 2024","Currency=USD","Period=FQ","BEST_FPERIOD_OVERRIDE=FQ","FILING_STATUS=MR","Sort=A","Dates=H","DateFormat=P","Fill=—","Direction=H","UseDPDF=Y")</f>
        <v>-0.25</v>
      </c>
      <c r="Y15" s="14">
        <f>_xll.BDH("ITCI US Equity","IS_EARN_BEF_XO_ITEMS_PER_SH","FQ4 2024","FQ4 2024","Currency=USD","Period=FQ","BEST_FPERIOD_OVERRIDE=FQ","FILING_STATUS=MR","Sort=A","Dates=H","DateFormat=P","Fill=—","Direction=H","UseDPDF=Y")</f>
        <v>-0.16</v>
      </c>
      <c r="Z15" s="14">
        <v>-0.10100000000000001</v>
      </c>
      <c r="AA15" s="14">
        <v>-0.02</v>
      </c>
    </row>
    <row r="16" spans="1:27" x14ac:dyDescent="0.25">
      <c r="A16" s="10" t="s">
        <v>237</v>
      </c>
      <c r="B16" s="10" t="s">
        <v>238</v>
      </c>
      <c r="C16" s="14">
        <f>_xll.BDH("ITCI US Equity","IS_BASIC_EPS_CONT_OPS","FQ2 2019","FQ2 2019","Currency=USD","Period=FQ","BEST_FPERIOD_OVERRIDE=FQ","FILING_STATUS=MR","Sort=A","Dates=H","DateFormat=P","Fill=—","Direction=H","UseDPDF=Y")</f>
        <v>-0.68</v>
      </c>
      <c r="D16" s="14">
        <f>_xll.BDH("ITCI US Equity","IS_BASIC_EPS_CONT_OPS","FQ3 2019","FQ3 2019","Currency=USD","Period=FQ","BEST_FPERIOD_OVERRIDE=FQ","FILING_STATUS=MR","Sort=A","Dates=H","DateFormat=P","Fill=—","Direction=H","UseDPDF=Y")</f>
        <v>-0.63</v>
      </c>
      <c r="E16" s="14">
        <f>_xll.BDH("ITCI US Equity","IS_BASIC_EPS_CONT_OPS","FQ4 2019","FQ4 2019","Currency=USD","Period=FQ","BEST_FPERIOD_OVERRIDE=FQ","FILING_STATUS=MR","Sort=A","Dates=H","DateFormat=P","Fill=—","Direction=H","UseDPDF=Y")</f>
        <v>-0.74</v>
      </c>
      <c r="F16" s="14">
        <f>_xll.BDH("ITCI US Equity","IS_BASIC_EPS_CONT_OPS","FQ1 2020","FQ1 2020","Currency=USD","Period=FQ","BEST_FPERIOD_OVERRIDE=FQ","FILING_STATUS=MR","Sort=A","Dates=H","DateFormat=P","Fill=—","Direction=H","UseDPDF=Y")</f>
        <v>-0.73</v>
      </c>
      <c r="G16" s="14">
        <f>_xll.BDH("ITCI US Equity","IS_BASIC_EPS_CONT_OPS","FQ2 2020","FQ2 2020","Currency=USD","Period=FQ","BEST_FPERIOD_OVERRIDE=FQ","FILING_STATUS=MR","Sort=A","Dates=H","DateFormat=P","Fill=—","Direction=H","UseDPDF=Y")</f>
        <v>-0.96</v>
      </c>
      <c r="H16" s="14">
        <f>_xll.BDH("ITCI US Equity","IS_BASIC_EPS_CONT_OPS","FQ3 2020","FQ3 2020","Currency=USD","Period=FQ","BEST_FPERIOD_OVERRIDE=FQ","FILING_STATUS=MR","Sort=A","Dates=H","DateFormat=P","Fill=—","Direction=H","UseDPDF=Y")</f>
        <v>-0.79</v>
      </c>
      <c r="I16" s="14">
        <f>_xll.BDH("ITCI US Equity","IS_BASIC_EPS_CONT_OPS","FQ4 2020","FQ4 2020","Currency=USD","Period=FQ","BEST_FPERIOD_OVERRIDE=FQ","FILING_STATUS=MR","Sort=A","Dates=H","DateFormat=P","Fill=—","Direction=H","UseDPDF=Y")</f>
        <v>-0.76</v>
      </c>
      <c r="J16" s="14">
        <f>_xll.BDH("ITCI US Equity","IS_BASIC_EPS_CONT_OPS","FQ1 2021","FQ1 2021","Currency=USD","Period=FQ","BEST_FPERIOD_OVERRIDE=FQ","FILING_STATUS=MR","Sort=A","Dates=H","DateFormat=P","Fill=—","Direction=H","UseDPDF=Y")</f>
        <v>-0.65</v>
      </c>
      <c r="K16" s="14">
        <f>_xll.BDH("ITCI US Equity","IS_BASIC_EPS_CONT_OPS","FQ2 2021","FQ2 2021","Currency=USD","Period=FQ","BEST_FPERIOD_OVERRIDE=FQ","FILING_STATUS=MR","Sort=A","Dates=H","DateFormat=P","Fill=—","Direction=H","UseDPDF=Y")</f>
        <v>-0.85</v>
      </c>
      <c r="L16" s="14">
        <f>_xll.BDH("ITCI US Equity","IS_BASIC_EPS_CONT_OPS","FQ3 2021","FQ3 2021","Currency=USD","Period=FQ","BEST_FPERIOD_OVERRIDE=FQ","FILING_STATUS=MR","Sort=A","Dates=H","DateFormat=P","Fill=—","Direction=H","UseDPDF=Y")</f>
        <v>-0.95</v>
      </c>
      <c r="M16" s="14">
        <f>_xll.BDH("ITCI US Equity","IS_BASIC_EPS_CONT_OPS","FQ4 2021","FQ4 2021","Currency=USD","Period=FQ","BEST_FPERIOD_OVERRIDE=FQ","FILING_STATUS=MR","Sort=A","Dates=H","DateFormat=P","Fill=—","Direction=H","UseDPDF=Y")</f>
        <v>-1.05</v>
      </c>
      <c r="N16" s="14">
        <f>_xll.BDH("ITCI US Equity","IS_BASIC_EPS_CONT_OPS","FQ1 2022","FQ1 2022","Currency=USD","Period=FQ","BEST_FPERIOD_OVERRIDE=FQ","FILING_STATUS=MR","Sort=A","Dates=H","DateFormat=P","Fill=—","Direction=H","UseDPDF=Y")</f>
        <v>-0.78</v>
      </c>
      <c r="O16" s="14">
        <f>_xll.BDH("ITCI US Equity","IS_BASIC_EPS_CONT_OPS","FQ2 2022","FQ2 2022","Currency=USD","Period=FQ","BEST_FPERIOD_OVERRIDE=FQ","FILING_STATUS=MR","Sort=A","Dates=H","DateFormat=P","Fill=—","Direction=H","UseDPDF=Y")</f>
        <v>-0.92</v>
      </c>
      <c r="P16" s="14">
        <f>_xll.BDH("ITCI US Equity","IS_BASIC_EPS_CONT_OPS","FQ3 2022","FQ3 2022","Currency=USD","Period=FQ","BEST_FPERIOD_OVERRIDE=FQ","FILING_STATUS=MR","Sort=A","Dates=H","DateFormat=P","Fill=—","Direction=H","UseDPDF=Y")</f>
        <v>-0.56999999999999995</v>
      </c>
      <c r="Q16" s="14">
        <f>_xll.BDH("ITCI US Equity","IS_BASIC_EPS_CONT_OPS","FQ4 2022","FQ4 2022","Currency=USD","Period=FQ","BEST_FPERIOD_OVERRIDE=FQ","FILING_STATUS=MR","Sort=A","Dates=H","DateFormat=P","Fill=—","Direction=H","UseDPDF=Y")</f>
        <v>-0.45</v>
      </c>
      <c r="R16" s="14">
        <f>_xll.BDH("ITCI US Equity","IS_BASIC_EPS_CONT_OPS","FQ1 2023","FQ1 2023","Currency=USD","Period=FQ","BEST_FPERIOD_OVERRIDE=FQ","FILING_STATUS=MR","Sort=A","Dates=H","DateFormat=P","Fill=—","Direction=H","UseDPDF=Y")</f>
        <v>-0.46</v>
      </c>
      <c r="S16" s="14">
        <f>_xll.BDH("ITCI US Equity","IS_BASIC_EPS_CONT_OPS","FQ2 2023","FQ2 2023","Currency=USD","Period=FQ","BEST_FPERIOD_OVERRIDE=FQ","FILING_STATUS=MR","Sort=A","Dates=H","DateFormat=P","Fill=—","Direction=H","UseDPDF=Y")</f>
        <v>-0.45</v>
      </c>
      <c r="T16" s="14">
        <f>_xll.BDH("ITCI US Equity","IS_BASIC_EPS_CONT_OPS","FQ3 2023","FQ3 2023","Currency=USD","Period=FQ","BEST_FPERIOD_OVERRIDE=FQ","FILING_STATUS=MR","Sort=A","Dates=H","DateFormat=P","Fill=—","Direction=H","UseDPDF=Y")</f>
        <v>-0.25</v>
      </c>
      <c r="U16" s="14">
        <f>_xll.BDH("ITCI US Equity","IS_BASIC_EPS_CONT_OPS","FQ4 2023","FQ4 2023","Currency=USD","Period=FQ","BEST_FPERIOD_OVERRIDE=FQ","FILING_STATUS=MR","Sort=A","Dates=H","DateFormat=P","Fill=—","Direction=H","UseDPDF=Y")</f>
        <v>-0.3</v>
      </c>
      <c r="V16" s="14">
        <f>_xll.BDH("ITCI US Equity","IS_BASIC_EPS_CONT_OPS","FQ1 2024","FQ1 2024","Currency=USD","Period=FQ","BEST_FPERIOD_OVERRIDE=FQ","FILING_STATUS=MR","Sort=A","Dates=H","DateFormat=P","Fill=—","Direction=H","UseDPDF=Y")</f>
        <v>-0.16</v>
      </c>
      <c r="W16" s="14">
        <f>_xll.BDH("ITCI US Equity","IS_BASIC_EPS_CONT_OPS","FQ2 2024","FQ2 2024","Currency=USD","Period=FQ","BEST_FPERIOD_OVERRIDE=FQ","FILING_STATUS=MR","Sort=A","Dates=H","DateFormat=P","Fill=—","Direction=H","UseDPDF=Y")</f>
        <v>-0.16</v>
      </c>
      <c r="X16" s="14">
        <f>_xll.BDH("ITCI US Equity","IS_BASIC_EPS_CONT_OPS","FQ3 2024","FQ3 2024","Currency=USD","Period=FQ","BEST_FPERIOD_OVERRIDE=FQ","FILING_STATUS=MR","Sort=A","Dates=H","DateFormat=P","Fill=—","Direction=H","UseDPDF=Y")</f>
        <v>-0.25</v>
      </c>
      <c r="Y16" s="14">
        <f>_xll.BDH("ITCI US Equity","IS_BASIC_EPS_CONT_OPS","FQ4 2024","FQ4 2024","Currency=USD","Period=FQ","BEST_FPERIOD_OVERRIDE=FQ","FILING_STATUS=MR","Sort=A","Dates=H","DateFormat=P","Fill=—","Direction=H","UseDPDF=Y")</f>
        <v>-0.16</v>
      </c>
      <c r="Z16" s="14">
        <v>-0.10100000000000001</v>
      </c>
      <c r="AA16" s="14">
        <v>-0.02</v>
      </c>
    </row>
    <row r="17" spans="1:27" x14ac:dyDescent="0.25">
      <c r="A17" s="10" t="s">
        <v>239</v>
      </c>
      <c r="B17" s="10" t="s">
        <v>104</v>
      </c>
      <c r="C17" s="14">
        <f>_xll.BDH("ITCI US Equity","IS_DILUTED_EPS","FQ2 2019","FQ2 2019","Currency=USD","Period=FQ","BEST_FPERIOD_OVERRIDE=FQ","FILING_STATUS=MR","FA_ADJUSTED=GAAP","Sort=A","Dates=H","DateFormat=P","Fill=—","Direction=H","UseDPDF=Y")</f>
        <v>-0.68</v>
      </c>
      <c r="D17" s="14">
        <f>_xll.BDH("ITCI US Equity","IS_DILUTED_EPS","FQ3 2019","FQ3 2019","Currency=USD","Period=FQ","BEST_FPERIOD_OVERRIDE=FQ","FILING_STATUS=MR","FA_ADJUSTED=GAAP","Sort=A","Dates=H","DateFormat=P","Fill=—","Direction=H","UseDPDF=Y")</f>
        <v>-0.63</v>
      </c>
      <c r="E17" s="14">
        <f>_xll.BDH("ITCI US Equity","IS_DILUTED_EPS","FQ4 2019","FQ4 2019","Currency=USD","Period=FQ","BEST_FPERIOD_OVERRIDE=FQ","FILING_STATUS=MR","FA_ADJUSTED=GAAP","Sort=A","Dates=H","DateFormat=P","Fill=—","Direction=H","UseDPDF=Y")</f>
        <v>-0.74</v>
      </c>
      <c r="F17" s="14">
        <f>_xll.BDH("ITCI US Equity","IS_DILUTED_EPS","FQ1 2020","FQ1 2020","Currency=USD","Period=FQ","BEST_FPERIOD_OVERRIDE=FQ","FILING_STATUS=MR","FA_ADJUSTED=GAAP","Sort=A","Dates=H","DateFormat=P","Fill=—","Direction=H","UseDPDF=Y")</f>
        <v>-0.73</v>
      </c>
      <c r="G17" s="14">
        <f>_xll.BDH("ITCI US Equity","IS_DILUTED_EPS","FQ2 2020","FQ2 2020","Currency=USD","Period=FQ","BEST_FPERIOD_OVERRIDE=FQ","FILING_STATUS=MR","FA_ADJUSTED=GAAP","Sort=A","Dates=H","DateFormat=P","Fill=—","Direction=H","UseDPDF=Y")</f>
        <v>-0.96</v>
      </c>
      <c r="H17" s="14">
        <f>_xll.BDH("ITCI US Equity","IS_DILUTED_EPS","FQ3 2020","FQ3 2020","Currency=USD","Period=FQ","BEST_FPERIOD_OVERRIDE=FQ","FILING_STATUS=MR","FA_ADJUSTED=GAAP","Sort=A","Dates=H","DateFormat=P","Fill=—","Direction=H","UseDPDF=Y")</f>
        <v>-0.79</v>
      </c>
      <c r="I17" s="14">
        <f>_xll.BDH("ITCI US Equity","IS_DILUTED_EPS","FQ4 2020","FQ4 2020","Currency=USD","Period=FQ","BEST_FPERIOD_OVERRIDE=FQ","FILING_STATUS=MR","FA_ADJUSTED=GAAP","Sort=A","Dates=H","DateFormat=P","Fill=—","Direction=H","UseDPDF=Y")</f>
        <v>-0.76</v>
      </c>
      <c r="J17" s="14">
        <f>_xll.BDH("ITCI US Equity","IS_DILUTED_EPS","FQ1 2021","FQ1 2021","Currency=USD","Period=FQ","BEST_FPERIOD_OVERRIDE=FQ","FILING_STATUS=MR","FA_ADJUSTED=GAAP","Sort=A","Dates=H","DateFormat=P","Fill=—","Direction=H","UseDPDF=Y")</f>
        <v>-0.65</v>
      </c>
      <c r="K17" s="14">
        <f>_xll.BDH("ITCI US Equity","IS_DILUTED_EPS","FQ2 2021","FQ2 2021","Currency=USD","Period=FQ","BEST_FPERIOD_OVERRIDE=FQ","FILING_STATUS=MR","FA_ADJUSTED=GAAP","Sort=A","Dates=H","DateFormat=P","Fill=—","Direction=H","UseDPDF=Y")</f>
        <v>-0.85</v>
      </c>
      <c r="L17" s="14">
        <f>_xll.BDH("ITCI US Equity","IS_DILUTED_EPS","FQ3 2021","FQ3 2021","Currency=USD","Period=FQ","BEST_FPERIOD_OVERRIDE=FQ","FILING_STATUS=MR","FA_ADJUSTED=GAAP","Sort=A","Dates=H","DateFormat=P","Fill=—","Direction=H","UseDPDF=Y")</f>
        <v>-0.95</v>
      </c>
      <c r="M17" s="14">
        <f>_xll.BDH("ITCI US Equity","IS_DILUTED_EPS","FQ4 2021","FQ4 2021","Currency=USD","Period=FQ","BEST_FPERIOD_OVERRIDE=FQ","FILING_STATUS=MR","FA_ADJUSTED=GAAP","Sort=A","Dates=H","DateFormat=P","Fill=—","Direction=H","UseDPDF=Y")</f>
        <v>-1.05</v>
      </c>
      <c r="N17" s="14">
        <f>_xll.BDH("ITCI US Equity","IS_DILUTED_EPS","FQ1 2022","FQ1 2022","Currency=USD","Period=FQ","BEST_FPERIOD_OVERRIDE=FQ","FILING_STATUS=MR","FA_ADJUSTED=GAAP","Sort=A","Dates=H","DateFormat=P","Fill=—","Direction=H","UseDPDF=Y")</f>
        <v>-0.78</v>
      </c>
      <c r="O17" s="14">
        <f>_xll.BDH("ITCI US Equity","IS_DILUTED_EPS","FQ2 2022","FQ2 2022","Currency=USD","Period=FQ","BEST_FPERIOD_OVERRIDE=FQ","FILING_STATUS=MR","FA_ADJUSTED=GAAP","Sort=A","Dates=H","DateFormat=P","Fill=—","Direction=H","UseDPDF=Y")</f>
        <v>-0.92</v>
      </c>
      <c r="P17" s="14">
        <f>_xll.BDH("ITCI US Equity","IS_DILUTED_EPS","FQ3 2022","FQ3 2022","Currency=USD","Period=FQ","BEST_FPERIOD_OVERRIDE=FQ","FILING_STATUS=MR","FA_ADJUSTED=GAAP","Sort=A","Dates=H","DateFormat=P","Fill=—","Direction=H","UseDPDF=Y")</f>
        <v>-0.56999999999999995</v>
      </c>
      <c r="Q17" s="14">
        <f>_xll.BDH("ITCI US Equity","IS_DILUTED_EPS","FQ4 2022","FQ4 2022","Currency=USD","Period=FQ","BEST_FPERIOD_OVERRIDE=FQ","FILING_STATUS=MR","FA_ADJUSTED=GAAP","Sort=A","Dates=H","DateFormat=P","Fill=—","Direction=H","UseDPDF=Y")</f>
        <v>-0.45</v>
      </c>
      <c r="R17" s="14">
        <f>_xll.BDH("ITCI US Equity","IS_DILUTED_EPS","FQ1 2023","FQ1 2023","Currency=USD","Period=FQ","BEST_FPERIOD_OVERRIDE=FQ","FILING_STATUS=MR","FA_ADJUSTED=GAAP","Sort=A","Dates=H","DateFormat=P","Fill=—","Direction=H","UseDPDF=Y")</f>
        <v>-0.46</v>
      </c>
      <c r="S17" s="14">
        <f>_xll.BDH("ITCI US Equity","IS_DILUTED_EPS","FQ2 2023","FQ2 2023","Currency=USD","Period=FQ","BEST_FPERIOD_OVERRIDE=FQ","FILING_STATUS=MR","FA_ADJUSTED=GAAP","Sort=A","Dates=H","DateFormat=P","Fill=—","Direction=H","UseDPDF=Y")</f>
        <v>-0.45</v>
      </c>
      <c r="T17" s="14">
        <f>_xll.BDH("ITCI US Equity","IS_DILUTED_EPS","FQ3 2023","FQ3 2023","Currency=USD","Period=FQ","BEST_FPERIOD_OVERRIDE=FQ","FILING_STATUS=MR","FA_ADJUSTED=GAAP","Sort=A","Dates=H","DateFormat=P","Fill=—","Direction=H","UseDPDF=Y")</f>
        <v>-0.25</v>
      </c>
      <c r="U17" s="14">
        <f>_xll.BDH("ITCI US Equity","IS_DILUTED_EPS","FQ4 2023","FQ4 2023","Currency=USD","Period=FQ","BEST_FPERIOD_OVERRIDE=FQ","FILING_STATUS=MR","FA_ADJUSTED=GAAP","Sort=A","Dates=H","DateFormat=P","Fill=—","Direction=H","UseDPDF=Y")</f>
        <v>-0.3</v>
      </c>
      <c r="V17" s="14">
        <f>_xll.BDH("ITCI US Equity","IS_DILUTED_EPS","FQ1 2024","FQ1 2024","Currency=USD","Period=FQ","BEST_FPERIOD_OVERRIDE=FQ","FILING_STATUS=MR","FA_ADJUSTED=GAAP","Sort=A","Dates=H","DateFormat=P","Fill=—","Direction=H","UseDPDF=Y")</f>
        <v>-0.16</v>
      </c>
      <c r="W17" s="14">
        <f>_xll.BDH("ITCI US Equity","IS_DILUTED_EPS","FQ2 2024","FQ2 2024","Currency=USD","Period=FQ","BEST_FPERIOD_OVERRIDE=FQ","FILING_STATUS=MR","FA_ADJUSTED=GAAP","Sort=A","Dates=H","DateFormat=P","Fill=—","Direction=H","UseDPDF=Y")</f>
        <v>-0.16</v>
      </c>
      <c r="X17" s="14">
        <f>_xll.BDH("ITCI US Equity","IS_DILUTED_EPS","FQ3 2024","FQ3 2024","Currency=USD","Period=FQ","BEST_FPERIOD_OVERRIDE=FQ","FILING_STATUS=MR","FA_ADJUSTED=GAAP","Sort=A","Dates=H","DateFormat=P","Fill=—","Direction=H","UseDPDF=Y")</f>
        <v>-0.25</v>
      </c>
      <c r="Y17" s="14">
        <f>_xll.BDH("ITCI US Equity","IS_DILUTED_EPS","FQ4 2024","FQ4 2024","Currency=USD","Period=FQ","BEST_FPERIOD_OVERRIDE=FQ","FILING_STATUS=MR","FA_ADJUSTED=GAAP","Sort=A","Dates=H","DateFormat=P","Fill=—","Direction=H","UseDPDF=Y")</f>
        <v>-0.16</v>
      </c>
      <c r="Z17" s="14">
        <v>-0.10100000000000001</v>
      </c>
      <c r="AA17" s="14">
        <v>-0.02</v>
      </c>
    </row>
    <row r="18" spans="1:27" x14ac:dyDescent="0.25">
      <c r="A18" s="10" t="s">
        <v>240</v>
      </c>
      <c r="B18" s="10" t="s">
        <v>241</v>
      </c>
      <c r="C18" s="14">
        <f>_xll.BDH("ITCI US Equity","IS_DIL_EPS_BEF_XO","FQ2 2019","FQ2 2019","Currency=USD","Period=FQ","BEST_FPERIOD_OVERRIDE=FQ","FILING_STATUS=MR","Sort=A","Dates=H","DateFormat=P","Fill=—","Direction=H","UseDPDF=Y")</f>
        <v>-0.68</v>
      </c>
      <c r="D18" s="14">
        <f>_xll.BDH("ITCI US Equity","IS_DIL_EPS_BEF_XO","FQ3 2019","FQ3 2019","Currency=USD","Period=FQ","BEST_FPERIOD_OVERRIDE=FQ","FILING_STATUS=MR","Sort=A","Dates=H","DateFormat=P","Fill=—","Direction=H","UseDPDF=Y")</f>
        <v>-0.63</v>
      </c>
      <c r="E18" s="14">
        <f>_xll.BDH("ITCI US Equity","IS_DIL_EPS_BEF_XO","FQ4 2019","FQ4 2019","Currency=USD","Period=FQ","BEST_FPERIOD_OVERRIDE=FQ","FILING_STATUS=MR","Sort=A","Dates=H","DateFormat=P","Fill=—","Direction=H","UseDPDF=Y")</f>
        <v>-0.74</v>
      </c>
      <c r="F18" s="14">
        <f>_xll.BDH("ITCI US Equity","IS_DIL_EPS_BEF_XO","FQ1 2020","FQ1 2020","Currency=USD","Period=FQ","BEST_FPERIOD_OVERRIDE=FQ","FILING_STATUS=MR","Sort=A","Dates=H","DateFormat=P","Fill=—","Direction=H","UseDPDF=Y")</f>
        <v>-0.73</v>
      </c>
      <c r="G18" s="14">
        <f>_xll.BDH("ITCI US Equity","IS_DIL_EPS_BEF_XO","FQ2 2020","FQ2 2020","Currency=USD","Period=FQ","BEST_FPERIOD_OVERRIDE=FQ","FILING_STATUS=MR","Sort=A","Dates=H","DateFormat=P","Fill=—","Direction=H","UseDPDF=Y")</f>
        <v>-0.96</v>
      </c>
      <c r="H18" s="14">
        <f>_xll.BDH("ITCI US Equity","IS_DIL_EPS_BEF_XO","FQ3 2020","FQ3 2020","Currency=USD","Period=FQ","BEST_FPERIOD_OVERRIDE=FQ","FILING_STATUS=MR","Sort=A","Dates=H","DateFormat=P","Fill=—","Direction=H","UseDPDF=Y")</f>
        <v>-0.79</v>
      </c>
      <c r="I18" s="14">
        <f>_xll.BDH("ITCI US Equity","IS_DIL_EPS_BEF_XO","FQ4 2020","FQ4 2020","Currency=USD","Period=FQ","BEST_FPERIOD_OVERRIDE=FQ","FILING_STATUS=MR","Sort=A","Dates=H","DateFormat=P","Fill=—","Direction=H","UseDPDF=Y")</f>
        <v>-0.76</v>
      </c>
      <c r="J18" s="14">
        <f>_xll.BDH("ITCI US Equity","IS_DIL_EPS_BEF_XO","FQ1 2021","FQ1 2021","Currency=USD","Period=FQ","BEST_FPERIOD_OVERRIDE=FQ","FILING_STATUS=MR","Sort=A","Dates=H","DateFormat=P","Fill=—","Direction=H","UseDPDF=Y")</f>
        <v>-0.65</v>
      </c>
      <c r="K18" s="14">
        <f>_xll.BDH("ITCI US Equity","IS_DIL_EPS_BEF_XO","FQ2 2021","FQ2 2021","Currency=USD","Period=FQ","BEST_FPERIOD_OVERRIDE=FQ","FILING_STATUS=MR","Sort=A","Dates=H","DateFormat=P","Fill=—","Direction=H","UseDPDF=Y")</f>
        <v>-0.85</v>
      </c>
      <c r="L18" s="14">
        <f>_xll.BDH("ITCI US Equity","IS_DIL_EPS_BEF_XO","FQ3 2021","FQ3 2021","Currency=USD","Period=FQ","BEST_FPERIOD_OVERRIDE=FQ","FILING_STATUS=MR","Sort=A","Dates=H","DateFormat=P","Fill=—","Direction=H","UseDPDF=Y")</f>
        <v>-0.95</v>
      </c>
      <c r="M18" s="14">
        <f>_xll.BDH("ITCI US Equity","IS_DIL_EPS_BEF_XO","FQ4 2021","FQ4 2021","Currency=USD","Period=FQ","BEST_FPERIOD_OVERRIDE=FQ","FILING_STATUS=MR","Sort=A","Dates=H","DateFormat=P","Fill=—","Direction=H","UseDPDF=Y")</f>
        <v>-1.05</v>
      </c>
      <c r="N18" s="14">
        <f>_xll.BDH("ITCI US Equity","IS_DIL_EPS_BEF_XO","FQ1 2022","FQ1 2022","Currency=USD","Period=FQ","BEST_FPERIOD_OVERRIDE=FQ","FILING_STATUS=MR","Sort=A","Dates=H","DateFormat=P","Fill=—","Direction=H","UseDPDF=Y")</f>
        <v>-0.78</v>
      </c>
      <c r="O18" s="14">
        <f>_xll.BDH("ITCI US Equity","IS_DIL_EPS_BEF_XO","FQ2 2022","FQ2 2022","Currency=USD","Period=FQ","BEST_FPERIOD_OVERRIDE=FQ","FILING_STATUS=MR","Sort=A","Dates=H","DateFormat=P","Fill=—","Direction=H","UseDPDF=Y")</f>
        <v>-0.92</v>
      </c>
      <c r="P18" s="14">
        <f>_xll.BDH("ITCI US Equity","IS_DIL_EPS_BEF_XO","FQ3 2022","FQ3 2022","Currency=USD","Period=FQ","BEST_FPERIOD_OVERRIDE=FQ","FILING_STATUS=MR","Sort=A","Dates=H","DateFormat=P","Fill=—","Direction=H","UseDPDF=Y")</f>
        <v>-0.56999999999999995</v>
      </c>
      <c r="Q18" s="14">
        <f>_xll.BDH("ITCI US Equity","IS_DIL_EPS_BEF_XO","FQ4 2022","FQ4 2022","Currency=USD","Period=FQ","BEST_FPERIOD_OVERRIDE=FQ","FILING_STATUS=MR","Sort=A","Dates=H","DateFormat=P","Fill=—","Direction=H","UseDPDF=Y")</f>
        <v>-0.45</v>
      </c>
      <c r="R18" s="14">
        <f>_xll.BDH("ITCI US Equity","IS_DIL_EPS_BEF_XO","FQ1 2023","FQ1 2023","Currency=USD","Period=FQ","BEST_FPERIOD_OVERRIDE=FQ","FILING_STATUS=MR","Sort=A","Dates=H","DateFormat=P","Fill=—","Direction=H","UseDPDF=Y")</f>
        <v>-0.46</v>
      </c>
      <c r="S18" s="14">
        <f>_xll.BDH("ITCI US Equity","IS_DIL_EPS_BEF_XO","FQ2 2023","FQ2 2023","Currency=USD","Period=FQ","BEST_FPERIOD_OVERRIDE=FQ","FILING_STATUS=MR","Sort=A","Dates=H","DateFormat=P","Fill=—","Direction=H","UseDPDF=Y")</f>
        <v>-0.45</v>
      </c>
      <c r="T18" s="14">
        <f>_xll.BDH("ITCI US Equity","IS_DIL_EPS_BEF_XO","FQ3 2023","FQ3 2023","Currency=USD","Period=FQ","BEST_FPERIOD_OVERRIDE=FQ","FILING_STATUS=MR","Sort=A","Dates=H","DateFormat=P","Fill=—","Direction=H","UseDPDF=Y")</f>
        <v>-0.25</v>
      </c>
      <c r="U18" s="14">
        <f>_xll.BDH("ITCI US Equity","IS_DIL_EPS_BEF_XO","FQ4 2023","FQ4 2023","Currency=USD","Period=FQ","BEST_FPERIOD_OVERRIDE=FQ","FILING_STATUS=MR","Sort=A","Dates=H","DateFormat=P","Fill=—","Direction=H","UseDPDF=Y")</f>
        <v>-0.3</v>
      </c>
      <c r="V18" s="14">
        <f>_xll.BDH("ITCI US Equity","IS_DIL_EPS_BEF_XO","FQ1 2024","FQ1 2024","Currency=USD","Period=FQ","BEST_FPERIOD_OVERRIDE=FQ","FILING_STATUS=MR","Sort=A","Dates=H","DateFormat=P","Fill=—","Direction=H","UseDPDF=Y")</f>
        <v>-0.16</v>
      </c>
      <c r="W18" s="14">
        <f>_xll.BDH("ITCI US Equity","IS_DIL_EPS_BEF_XO","FQ2 2024","FQ2 2024","Currency=USD","Period=FQ","BEST_FPERIOD_OVERRIDE=FQ","FILING_STATUS=MR","Sort=A","Dates=H","DateFormat=P","Fill=—","Direction=H","UseDPDF=Y")</f>
        <v>-0.16</v>
      </c>
      <c r="X18" s="14">
        <f>_xll.BDH("ITCI US Equity","IS_DIL_EPS_BEF_XO","FQ3 2024","FQ3 2024","Currency=USD","Period=FQ","BEST_FPERIOD_OVERRIDE=FQ","FILING_STATUS=MR","Sort=A","Dates=H","DateFormat=P","Fill=—","Direction=H","UseDPDF=Y")</f>
        <v>-0.25</v>
      </c>
      <c r="Y18" s="14">
        <f>_xll.BDH("ITCI US Equity","IS_DIL_EPS_BEF_XO","FQ4 2024","FQ4 2024","Currency=USD","Period=FQ","BEST_FPERIOD_OVERRIDE=FQ","FILING_STATUS=MR","Sort=A","Dates=H","DateFormat=P","Fill=—","Direction=H","UseDPDF=Y")</f>
        <v>-0.16</v>
      </c>
      <c r="Z18" s="14">
        <v>-0.10100000000000001</v>
      </c>
      <c r="AA18" s="14">
        <v>-0.02</v>
      </c>
    </row>
    <row r="19" spans="1:27" x14ac:dyDescent="0.25">
      <c r="A19" s="10" t="s">
        <v>242</v>
      </c>
      <c r="B19" s="10" t="s">
        <v>82</v>
      </c>
      <c r="C19" s="14">
        <f>_xll.BDH("ITCI US Equity","IS_DIL_EPS_CONT_OPS","FQ2 2019","FQ2 2019","Currency=USD","Period=FQ","BEST_FPERIOD_OVERRIDE=FQ","FILING_STATUS=MR","Sort=A","Dates=H","DateFormat=P","Fill=—","Direction=H","UseDPDF=Y")</f>
        <v>-0.68</v>
      </c>
      <c r="D19" s="14">
        <f>_xll.BDH("ITCI US Equity","IS_DIL_EPS_CONT_OPS","FQ3 2019","FQ3 2019","Currency=USD","Period=FQ","BEST_FPERIOD_OVERRIDE=FQ","FILING_STATUS=MR","Sort=A","Dates=H","DateFormat=P","Fill=—","Direction=H","UseDPDF=Y")</f>
        <v>-0.63</v>
      </c>
      <c r="E19" s="14">
        <f>_xll.BDH("ITCI US Equity","IS_DIL_EPS_CONT_OPS","FQ4 2019","FQ4 2019","Currency=USD","Period=FQ","BEST_FPERIOD_OVERRIDE=FQ","FILING_STATUS=MR","Sort=A","Dates=H","DateFormat=P","Fill=—","Direction=H","UseDPDF=Y")</f>
        <v>-0.74</v>
      </c>
      <c r="F19" s="14">
        <f>_xll.BDH("ITCI US Equity","IS_DIL_EPS_CONT_OPS","FQ1 2020","FQ1 2020","Currency=USD","Period=FQ","BEST_FPERIOD_OVERRIDE=FQ","FILING_STATUS=MR","Sort=A","Dates=H","DateFormat=P","Fill=—","Direction=H","UseDPDF=Y")</f>
        <v>-0.73</v>
      </c>
      <c r="G19" s="14">
        <f>_xll.BDH("ITCI US Equity","IS_DIL_EPS_CONT_OPS","FQ2 2020","FQ2 2020","Currency=USD","Period=FQ","BEST_FPERIOD_OVERRIDE=FQ","FILING_STATUS=MR","Sort=A","Dates=H","DateFormat=P","Fill=—","Direction=H","UseDPDF=Y")</f>
        <v>-0.96</v>
      </c>
      <c r="H19" s="14">
        <f>_xll.BDH("ITCI US Equity","IS_DIL_EPS_CONT_OPS","FQ3 2020","FQ3 2020","Currency=USD","Period=FQ","BEST_FPERIOD_OVERRIDE=FQ","FILING_STATUS=MR","Sort=A","Dates=H","DateFormat=P","Fill=—","Direction=H","UseDPDF=Y")</f>
        <v>-0.79</v>
      </c>
      <c r="I19" s="14">
        <f>_xll.BDH("ITCI US Equity","IS_DIL_EPS_CONT_OPS","FQ4 2020","FQ4 2020","Currency=USD","Period=FQ","BEST_FPERIOD_OVERRIDE=FQ","FILING_STATUS=MR","Sort=A","Dates=H","DateFormat=P","Fill=—","Direction=H","UseDPDF=Y")</f>
        <v>-0.76</v>
      </c>
      <c r="J19" s="14">
        <f>_xll.BDH("ITCI US Equity","IS_DIL_EPS_CONT_OPS","FQ1 2021","FQ1 2021","Currency=USD","Period=FQ","BEST_FPERIOD_OVERRIDE=FQ","FILING_STATUS=MR","Sort=A","Dates=H","DateFormat=P","Fill=—","Direction=H","UseDPDF=Y")</f>
        <v>-0.65</v>
      </c>
      <c r="K19" s="14">
        <f>_xll.BDH("ITCI US Equity","IS_DIL_EPS_CONT_OPS","FQ2 2021","FQ2 2021","Currency=USD","Period=FQ","BEST_FPERIOD_OVERRIDE=FQ","FILING_STATUS=MR","Sort=A","Dates=H","DateFormat=P","Fill=—","Direction=H","UseDPDF=Y")</f>
        <v>-0.85</v>
      </c>
      <c r="L19" s="14">
        <f>_xll.BDH("ITCI US Equity","IS_DIL_EPS_CONT_OPS","FQ3 2021","FQ3 2021","Currency=USD","Period=FQ","BEST_FPERIOD_OVERRIDE=FQ","FILING_STATUS=MR","Sort=A","Dates=H","DateFormat=P","Fill=—","Direction=H","UseDPDF=Y")</f>
        <v>-0.95</v>
      </c>
      <c r="M19" s="14">
        <f>_xll.BDH("ITCI US Equity","IS_DIL_EPS_CONT_OPS","FQ4 2021","FQ4 2021","Currency=USD","Period=FQ","BEST_FPERIOD_OVERRIDE=FQ","FILING_STATUS=MR","Sort=A","Dates=H","DateFormat=P","Fill=—","Direction=H","UseDPDF=Y")</f>
        <v>-1.05</v>
      </c>
      <c r="N19" s="14">
        <f>_xll.BDH("ITCI US Equity","IS_DIL_EPS_CONT_OPS","FQ1 2022","FQ1 2022","Currency=USD","Period=FQ","BEST_FPERIOD_OVERRIDE=FQ","FILING_STATUS=MR","Sort=A","Dates=H","DateFormat=P","Fill=—","Direction=H","UseDPDF=Y")</f>
        <v>-0.78</v>
      </c>
      <c r="O19" s="14">
        <f>_xll.BDH("ITCI US Equity","IS_DIL_EPS_CONT_OPS","FQ2 2022","FQ2 2022","Currency=USD","Period=FQ","BEST_FPERIOD_OVERRIDE=FQ","FILING_STATUS=MR","Sort=A","Dates=H","DateFormat=P","Fill=—","Direction=H","UseDPDF=Y")</f>
        <v>-0.92</v>
      </c>
      <c r="P19" s="14">
        <f>_xll.BDH("ITCI US Equity","IS_DIL_EPS_CONT_OPS","FQ3 2022","FQ3 2022","Currency=USD","Period=FQ","BEST_FPERIOD_OVERRIDE=FQ","FILING_STATUS=MR","Sort=A","Dates=H","DateFormat=P","Fill=—","Direction=H","UseDPDF=Y")</f>
        <v>-0.56999999999999995</v>
      </c>
      <c r="Q19" s="14">
        <f>_xll.BDH("ITCI US Equity","IS_DIL_EPS_CONT_OPS","FQ4 2022","FQ4 2022","Currency=USD","Period=FQ","BEST_FPERIOD_OVERRIDE=FQ","FILING_STATUS=MR","Sort=A","Dates=H","DateFormat=P","Fill=—","Direction=H","UseDPDF=Y")</f>
        <v>-0.45</v>
      </c>
      <c r="R19" s="14">
        <f>_xll.BDH("ITCI US Equity","IS_DIL_EPS_CONT_OPS","FQ1 2023","FQ1 2023","Currency=USD","Period=FQ","BEST_FPERIOD_OVERRIDE=FQ","FILING_STATUS=MR","Sort=A","Dates=H","DateFormat=P","Fill=—","Direction=H","UseDPDF=Y")</f>
        <v>-0.46</v>
      </c>
      <c r="S19" s="14">
        <f>_xll.BDH("ITCI US Equity","IS_DIL_EPS_CONT_OPS","FQ2 2023","FQ2 2023","Currency=USD","Period=FQ","BEST_FPERIOD_OVERRIDE=FQ","FILING_STATUS=MR","Sort=A","Dates=H","DateFormat=P","Fill=—","Direction=H","UseDPDF=Y")</f>
        <v>-0.45</v>
      </c>
      <c r="T19" s="14">
        <f>_xll.BDH("ITCI US Equity","IS_DIL_EPS_CONT_OPS","FQ3 2023","FQ3 2023","Currency=USD","Period=FQ","BEST_FPERIOD_OVERRIDE=FQ","FILING_STATUS=MR","Sort=A","Dates=H","DateFormat=P","Fill=—","Direction=H","UseDPDF=Y")</f>
        <v>-0.25</v>
      </c>
      <c r="U19" s="14">
        <f>_xll.BDH("ITCI US Equity","IS_DIL_EPS_CONT_OPS","FQ4 2023","FQ4 2023","Currency=USD","Period=FQ","BEST_FPERIOD_OVERRIDE=FQ","FILING_STATUS=MR","Sort=A","Dates=H","DateFormat=P","Fill=—","Direction=H","UseDPDF=Y")</f>
        <v>-0.3</v>
      </c>
      <c r="V19" s="14">
        <f>_xll.BDH("ITCI US Equity","IS_DIL_EPS_CONT_OPS","FQ1 2024","FQ1 2024","Currency=USD","Period=FQ","BEST_FPERIOD_OVERRIDE=FQ","FILING_STATUS=MR","Sort=A","Dates=H","DateFormat=P","Fill=—","Direction=H","UseDPDF=Y")</f>
        <v>-0.16</v>
      </c>
      <c r="W19" s="14">
        <f>_xll.BDH("ITCI US Equity","IS_DIL_EPS_CONT_OPS","FQ2 2024","FQ2 2024","Currency=USD","Period=FQ","BEST_FPERIOD_OVERRIDE=FQ","FILING_STATUS=MR","Sort=A","Dates=H","DateFormat=P","Fill=—","Direction=H","UseDPDF=Y")</f>
        <v>-0.16</v>
      </c>
      <c r="X19" s="14">
        <f>_xll.BDH("ITCI US Equity","IS_DIL_EPS_CONT_OPS","FQ3 2024","FQ3 2024","Currency=USD","Period=FQ","BEST_FPERIOD_OVERRIDE=FQ","FILING_STATUS=MR","Sort=A","Dates=H","DateFormat=P","Fill=—","Direction=H","UseDPDF=Y")</f>
        <v>-0.25</v>
      </c>
      <c r="Y19" s="14">
        <f>_xll.BDH("ITCI US Equity","IS_DIL_EPS_CONT_OPS","FQ4 2024","FQ4 2024","Currency=USD","Period=FQ","BEST_FPERIOD_OVERRIDE=FQ","FILING_STATUS=MR","Sort=A","Dates=H","DateFormat=P","Fill=—","Direction=H","UseDPDF=Y")</f>
        <v>-0.16</v>
      </c>
      <c r="Z19" s="14">
        <v>-0.10100000000000001</v>
      </c>
      <c r="AA19" s="14">
        <v>-0.02</v>
      </c>
    </row>
    <row r="20" spans="1:27" x14ac:dyDescent="0.25">
      <c r="A20" s="10" t="s">
        <v>243</v>
      </c>
      <c r="B20" s="10" t="s">
        <v>244</v>
      </c>
      <c r="C20" s="14">
        <f>_xll.BDH("ITCI US Equity","EQY_DPS","FQ2 2019","FQ2 2019","Currency=USD","Period=FQ","BEST_FPERIOD_OVERRIDE=FQ","FILING_STATUS=MR","Sort=A","Dates=H","DateFormat=P","Fill=—","Direction=H","UseDPDF=Y")</f>
        <v>0</v>
      </c>
      <c r="D20" s="14">
        <f>_xll.BDH("ITCI US Equity","EQY_DPS","FQ3 2019","FQ3 2019","Currency=USD","Period=FQ","BEST_FPERIOD_OVERRIDE=FQ","FILING_STATUS=MR","Sort=A","Dates=H","DateFormat=P","Fill=—","Direction=H","UseDPDF=Y")</f>
        <v>0</v>
      </c>
      <c r="E20" s="14">
        <f>_xll.BDH("ITCI US Equity","EQY_DPS","FQ4 2019","FQ4 2019","Currency=USD","Period=FQ","BEST_FPERIOD_OVERRIDE=FQ","FILING_STATUS=MR","Sort=A","Dates=H","DateFormat=P","Fill=—","Direction=H","UseDPDF=Y")</f>
        <v>0</v>
      </c>
      <c r="F20" s="14">
        <f>_xll.BDH("ITCI US Equity","EQY_DPS","FQ1 2020","FQ1 2020","Currency=USD","Period=FQ","BEST_FPERIOD_OVERRIDE=FQ","FILING_STATUS=MR","Sort=A","Dates=H","DateFormat=P","Fill=—","Direction=H","UseDPDF=Y")</f>
        <v>0</v>
      </c>
      <c r="G20" s="14">
        <f>_xll.BDH("ITCI US Equity","EQY_DPS","FQ2 2020","FQ2 2020","Currency=USD","Period=FQ","BEST_FPERIOD_OVERRIDE=FQ","FILING_STATUS=MR","Sort=A","Dates=H","DateFormat=P","Fill=—","Direction=H","UseDPDF=Y")</f>
        <v>0</v>
      </c>
      <c r="H20" s="14">
        <f>_xll.BDH("ITCI US Equity","EQY_DPS","FQ3 2020","FQ3 2020","Currency=USD","Period=FQ","BEST_FPERIOD_OVERRIDE=FQ","FILING_STATUS=MR","Sort=A","Dates=H","DateFormat=P","Fill=—","Direction=H","UseDPDF=Y")</f>
        <v>0</v>
      </c>
      <c r="I20" s="14">
        <f>_xll.BDH("ITCI US Equity","EQY_DPS","FQ4 2020","FQ4 2020","Currency=USD","Period=FQ","BEST_FPERIOD_OVERRIDE=FQ","FILING_STATUS=MR","Sort=A","Dates=H","DateFormat=P","Fill=—","Direction=H","UseDPDF=Y")</f>
        <v>0</v>
      </c>
      <c r="J20" s="14">
        <f>_xll.BDH("ITCI US Equity","EQY_DPS","FQ1 2021","FQ1 2021","Currency=USD","Period=FQ","BEST_FPERIOD_OVERRIDE=FQ","FILING_STATUS=MR","Sort=A","Dates=H","DateFormat=P","Fill=—","Direction=H","UseDPDF=Y")</f>
        <v>0</v>
      </c>
      <c r="K20" s="14">
        <f>_xll.BDH("ITCI US Equity","EQY_DPS","FQ2 2021","FQ2 2021","Currency=USD","Period=FQ","BEST_FPERIOD_OVERRIDE=FQ","FILING_STATUS=MR","Sort=A","Dates=H","DateFormat=P","Fill=—","Direction=H","UseDPDF=Y")</f>
        <v>0</v>
      </c>
      <c r="L20" s="14">
        <f>_xll.BDH("ITCI US Equity","EQY_DPS","FQ3 2021","FQ3 2021","Currency=USD","Period=FQ","BEST_FPERIOD_OVERRIDE=FQ","FILING_STATUS=MR","Sort=A","Dates=H","DateFormat=P","Fill=—","Direction=H","UseDPDF=Y")</f>
        <v>0</v>
      </c>
      <c r="M20" s="14">
        <f>_xll.BDH("ITCI US Equity","EQY_DPS","FQ4 2021","FQ4 2021","Currency=USD","Period=FQ","BEST_FPERIOD_OVERRIDE=FQ","FILING_STATUS=MR","Sort=A","Dates=H","DateFormat=P","Fill=—","Direction=H","UseDPDF=Y")</f>
        <v>0</v>
      </c>
      <c r="N20" s="14">
        <f>_xll.BDH("ITCI US Equity","EQY_DPS","FQ1 2022","FQ1 2022","Currency=USD","Period=FQ","BEST_FPERIOD_OVERRIDE=FQ","FILING_STATUS=MR","Sort=A","Dates=H","DateFormat=P","Fill=—","Direction=H","UseDPDF=Y")</f>
        <v>0</v>
      </c>
      <c r="O20" s="14">
        <f>_xll.BDH("ITCI US Equity","EQY_DPS","FQ2 2022","FQ2 2022","Currency=USD","Period=FQ","BEST_FPERIOD_OVERRIDE=FQ","FILING_STATUS=MR","Sort=A","Dates=H","DateFormat=P","Fill=—","Direction=H","UseDPDF=Y")</f>
        <v>0</v>
      </c>
      <c r="P20" s="14">
        <f>_xll.BDH("ITCI US Equity","EQY_DPS","FQ3 2022","FQ3 2022","Currency=USD","Period=FQ","BEST_FPERIOD_OVERRIDE=FQ","FILING_STATUS=MR","Sort=A","Dates=H","DateFormat=P","Fill=—","Direction=H","UseDPDF=Y")</f>
        <v>0</v>
      </c>
      <c r="Q20" s="14">
        <f>_xll.BDH("ITCI US Equity","EQY_DPS","FQ4 2022","FQ4 2022","Currency=USD","Period=FQ","BEST_FPERIOD_OVERRIDE=FQ","FILING_STATUS=MR","Sort=A","Dates=H","DateFormat=P","Fill=—","Direction=H","UseDPDF=Y")</f>
        <v>0</v>
      </c>
      <c r="R20" s="14">
        <f>_xll.BDH("ITCI US Equity","EQY_DPS","FQ1 2023","FQ1 2023","Currency=USD","Period=FQ","BEST_FPERIOD_OVERRIDE=FQ","FILING_STATUS=MR","Sort=A","Dates=H","DateFormat=P","Fill=—","Direction=H","UseDPDF=Y")</f>
        <v>0</v>
      </c>
      <c r="S20" s="14">
        <f>_xll.BDH("ITCI US Equity","EQY_DPS","FQ2 2023","FQ2 2023","Currency=USD","Period=FQ","BEST_FPERIOD_OVERRIDE=FQ","FILING_STATUS=MR","Sort=A","Dates=H","DateFormat=P","Fill=—","Direction=H","UseDPDF=Y")</f>
        <v>0</v>
      </c>
      <c r="T20" s="14">
        <f>_xll.BDH("ITCI US Equity","EQY_DPS","FQ3 2023","FQ3 2023","Currency=USD","Period=FQ","BEST_FPERIOD_OVERRIDE=FQ","FILING_STATUS=MR","Sort=A","Dates=H","DateFormat=P","Fill=—","Direction=H","UseDPDF=Y")</f>
        <v>0</v>
      </c>
      <c r="U20" s="14">
        <f>_xll.BDH("ITCI US Equity","EQY_DPS","FQ4 2023","FQ4 2023","Currency=USD","Period=FQ","BEST_FPERIOD_OVERRIDE=FQ","FILING_STATUS=MR","Sort=A","Dates=H","DateFormat=P","Fill=—","Direction=H","UseDPDF=Y")</f>
        <v>0</v>
      </c>
      <c r="V20" s="14">
        <f>_xll.BDH("ITCI US Equity","EQY_DPS","FQ1 2024","FQ1 2024","Currency=USD","Period=FQ","BEST_FPERIOD_OVERRIDE=FQ","FILING_STATUS=MR","Sort=A","Dates=H","DateFormat=P","Fill=—","Direction=H","UseDPDF=Y")</f>
        <v>0</v>
      </c>
      <c r="W20" s="14">
        <f>_xll.BDH("ITCI US Equity","EQY_DPS","FQ2 2024","FQ2 2024","Currency=USD","Period=FQ","BEST_FPERIOD_OVERRIDE=FQ","FILING_STATUS=MR","Sort=A","Dates=H","DateFormat=P","Fill=—","Direction=H","UseDPDF=Y")</f>
        <v>0</v>
      </c>
      <c r="X20" s="14">
        <f>_xll.BDH("ITCI US Equity","EQY_DPS","FQ3 2024","FQ3 2024","Currency=USD","Period=FQ","BEST_FPERIOD_OVERRIDE=FQ","FILING_STATUS=MR","Sort=A","Dates=H","DateFormat=P","Fill=—","Direction=H","UseDPDF=Y")</f>
        <v>0</v>
      </c>
      <c r="Y20" s="14">
        <f>_xll.BDH("ITCI US Equity","EQY_DPS","FQ4 2024","FQ4 2024","Currency=USD","Period=FQ","BEST_FPERIOD_OVERRIDE=FQ","FILING_STATUS=MR","Sort=A","Dates=H","DateFormat=P","Fill=—","Direction=H","UseDPDF=Y")</f>
        <v>0</v>
      </c>
      <c r="Z20" s="14"/>
      <c r="AA20" s="14"/>
    </row>
    <row r="21" spans="1:27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10" t="s">
        <v>245</v>
      </c>
      <c r="B22" s="10" t="s">
        <v>246</v>
      </c>
      <c r="C22" s="14">
        <f>_xll.BDH("ITCI US Equity","CASH_FLOW_PER_SH","FQ2 2019","FQ2 2019","Currency=USD","Period=FQ","BEST_FPERIOD_OVERRIDE=FQ","FILING_STATUS=MR","Sort=A","Dates=H","DateFormat=P","Fill=—","Direction=H","UseDPDF=Y")</f>
        <v>-0.49519999999999997</v>
      </c>
      <c r="D22" s="14">
        <f>_xll.BDH("ITCI US Equity","CASH_FLOW_PER_SH","FQ3 2019","FQ3 2019","Currency=USD","Period=FQ","BEST_FPERIOD_OVERRIDE=FQ","FILING_STATUS=MR","Sort=A","Dates=H","DateFormat=P","Fill=—","Direction=H","UseDPDF=Y")</f>
        <v>-0.54320000000000002</v>
      </c>
      <c r="E22" s="14">
        <f>_xll.BDH("ITCI US Equity","CASH_FLOW_PER_SH","FQ4 2019","FQ4 2019","Currency=USD","Period=FQ","BEST_FPERIOD_OVERRIDE=FQ","FILING_STATUS=MR","Sort=A","Dates=H","DateFormat=P","Fill=—","Direction=H","UseDPDF=Y")</f>
        <v>-0.63419999999999999</v>
      </c>
      <c r="F22" s="14">
        <f>_xll.BDH("ITCI US Equity","CASH_FLOW_PER_SH","FQ1 2020","FQ1 2020","Currency=USD","Period=FQ","BEST_FPERIOD_OVERRIDE=FQ","FILING_STATUS=MR","Sort=A","Dates=H","DateFormat=P","Fill=—","Direction=H","UseDPDF=Y")</f>
        <v>-0.78680000000000005</v>
      </c>
      <c r="G22" s="14">
        <f>_xll.BDH("ITCI US Equity","CASH_FLOW_PER_SH","FQ2 2020","FQ2 2020","Currency=USD","Period=FQ","BEST_FPERIOD_OVERRIDE=FQ","FILING_STATUS=MR","Sort=A","Dates=H","DateFormat=P","Fill=—","Direction=H","UseDPDF=Y")</f>
        <v>-0.70789999999999997</v>
      </c>
      <c r="H22" s="14">
        <f>_xll.BDH("ITCI US Equity","CASH_FLOW_PER_SH","FQ3 2020","FQ3 2020","Currency=USD","Period=FQ","BEST_FPERIOD_OVERRIDE=FQ","FILING_STATUS=MR","Sort=A","Dates=H","DateFormat=P","Fill=—","Direction=H","UseDPDF=Y")</f>
        <v>-0.91439999999999999</v>
      </c>
      <c r="I22" s="14">
        <f>_xll.BDH("ITCI US Equity","CASH_FLOW_PER_SH","FQ4 2020","FQ4 2020","Currency=USD","Period=FQ","BEST_FPERIOD_OVERRIDE=FQ","FILING_STATUS=MR","Sort=A","Dates=H","DateFormat=P","Fill=—","Direction=H","UseDPDF=Y")</f>
        <v>-0.84989999999999999</v>
      </c>
      <c r="J22" s="14">
        <f>_xll.BDH("ITCI US Equity","CASH_FLOW_PER_SH","FQ1 2021","FQ1 2021","Currency=USD","Period=FQ","BEST_FPERIOD_OVERRIDE=FQ","FILING_STATUS=MR","Sort=A","Dates=H","DateFormat=P","Fill=—","Direction=H","UseDPDF=Y")</f>
        <v>-0.59009999999999996</v>
      </c>
      <c r="K22" s="14">
        <f>_xll.BDH("ITCI US Equity","CASH_FLOW_PER_SH","FQ2 2021","FQ2 2021","Currency=USD","Period=FQ","BEST_FPERIOD_OVERRIDE=FQ","FILING_STATUS=MR","Sort=A","Dates=H","DateFormat=P","Fill=—","Direction=H","UseDPDF=Y")</f>
        <v>-0.73029999999999995</v>
      </c>
      <c r="L22" s="14">
        <f>_xll.BDH("ITCI US Equity","CASH_FLOW_PER_SH","FQ3 2021","FQ3 2021","Currency=USD","Period=FQ","BEST_FPERIOD_OVERRIDE=FQ","FILING_STATUS=MR","Sort=A","Dates=H","DateFormat=P","Fill=—","Direction=H","UseDPDF=Y")</f>
        <v>-0.97430000000000005</v>
      </c>
      <c r="M22" s="14">
        <f>_xll.BDH("ITCI US Equity","CASH_FLOW_PER_SH","FQ4 2021","FQ4 2021","Currency=USD","Period=FQ","BEST_FPERIOD_OVERRIDE=FQ","FILING_STATUS=MR","Sort=A","Dates=H","DateFormat=P","Fill=—","Direction=H","UseDPDF=Y")</f>
        <v>-0.8982</v>
      </c>
      <c r="N22" s="14">
        <f>_xll.BDH("ITCI US Equity","CASH_FLOW_PER_SH","FQ1 2022","FQ1 2022","Currency=USD","Period=FQ","BEST_FPERIOD_OVERRIDE=FQ","FILING_STATUS=MR","Sort=A","Dates=H","DateFormat=P","Fill=—","Direction=H","UseDPDF=Y")</f>
        <v>-0.89470000000000005</v>
      </c>
      <c r="O22" s="14">
        <f>_xll.BDH("ITCI US Equity","CASH_FLOW_PER_SH","FQ2 2022","FQ2 2022","Currency=USD","Period=FQ","BEST_FPERIOD_OVERRIDE=FQ","FILING_STATUS=MR","Sort=A","Dates=H","DateFormat=P","Fill=—","Direction=H","UseDPDF=Y")</f>
        <v>-1.0054000000000001</v>
      </c>
      <c r="P22" s="14">
        <f>_xll.BDH("ITCI US Equity","CASH_FLOW_PER_SH","FQ3 2022","FQ3 2022","Currency=USD","Period=FQ","BEST_FPERIOD_OVERRIDE=FQ","FILING_STATUS=MR","Sort=A","Dates=H","DateFormat=P","Fill=—","Direction=H","UseDPDF=Y")</f>
        <v>-0.5645</v>
      </c>
      <c r="Q22" s="14">
        <f>_xll.BDH("ITCI US Equity","CASH_FLOW_PER_SH","FQ4 2022","FQ4 2022","Currency=USD","Period=FQ","BEST_FPERIOD_OVERRIDE=FQ","FILING_STATUS=MR","Sort=A","Dates=H","DateFormat=P","Fill=—","Direction=H","UseDPDF=Y")</f>
        <v>-0.41360000000000002</v>
      </c>
      <c r="R22" s="14">
        <f>_xll.BDH("ITCI US Equity","CASH_FLOW_PER_SH","FQ1 2023","FQ1 2023","Currency=USD","Period=FQ","BEST_FPERIOD_OVERRIDE=FQ","FILING_STATUS=MR","Sort=A","Dates=H","DateFormat=P","Fill=—","Direction=H","UseDPDF=Y")</f>
        <v>-0.63139999999999996</v>
      </c>
      <c r="S22" s="14">
        <f>_xll.BDH("ITCI US Equity","CASH_FLOW_PER_SH","FQ2 2023","FQ2 2023","Currency=USD","Period=FQ","BEST_FPERIOD_OVERRIDE=FQ","FILING_STATUS=MR","Sort=A","Dates=H","DateFormat=P","Fill=—","Direction=H","UseDPDF=Y")</f>
        <v>-0.3836</v>
      </c>
      <c r="T22" s="14">
        <f>_xll.BDH("ITCI US Equity","CASH_FLOW_PER_SH","FQ3 2023","FQ3 2023","Currency=USD","Period=FQ","BEST_FPERIOD_OVERRIDE=FQ","FILING_STATUS=MR","Sort=A","Dates=H","DateFormat=P","Fill=—","Direction=H","UseDPDF=Y")</f>
        <v>-0.26279999999999998</v>
      </c>
      <c r="U22" s="14">
        <f>_xll.BDH("ITCI US Equity","CASH_FLOW_PER_SH","FQ4 2023","FQ4 2023","Currency=USD","Period=FQ","BEST_FPERIOD_OVERRIDE=FQ","FILING_STATUS=MR","Sort=A","Dates=H","DateFormat=P","Fill=—","Direction=H","UseDPDF=Y")</f>
        <v>-2.1399999999999999E-2</v>
      </c>
      <c r="V22" s="14">
        <f>_xll.BDH("ITCI US Equity","CASH_FLOW_PER_SH","FQ1 2024","FQ1 2024","Currency=USD","Period=FQ","BEST_FPERIOD_OVERRIDE=FQ","FILING_STATUS=MR","Sort=A","Dates=H","DateFormat=P","Fill=—","Direction=H","UseDPDF=Y")</f>
        <v>-0.35220000000000001</v>
      </c>
      <c r="W22" s="14">
        <f>_xll.BDH("ITCI US Equity","CASH_FLOW_PER_SH","FQ2 2024","FQ2 2024","Currency=USD","Period=FQ","BEST_FPERIOD_OVERRIDE=FQ","FILING_STATUS=MR","Sort=A","Dates=H","DateFormat=P","Fill=—","Direction=H","UseDPDF=Y")</f>
        <v>5.1999999999999998E-3</v>
      </c>
      <c r="X22" s="14">
        <f>_xll.BDH("ITCI US Equity","CASH_FLOW_PER_SH","FQ3 2024","FQ3 2024","Currency=USD","Period=FQ","BEST_FPERIOD_OVERRIDE=FQ","FILING_STATUS=MR","Sort=A","Dates=H","DateFormat=P","Fill=—","Direction=H","UseDPDF=Y")</f>
        <v>-0.25080000000000002</v>
      </c>
      <c r="Y22" s="14">
        <f>_xll.BDH("ITCI US Equity","CASH_FLOW_PER_SH","FQ4 2024","FQ4 2024","Currency=USD","Period=FQ","BEST_FPERIOD_OVERRIDE=FQ","FILING_STATUS=MR","Sort=A","Dates=H","DateFormat=P","Fill=—","Direction=H","UseDPDF=Y")</f>
        <v>-0.12330000000000001</v>
      </c>
      <c r="Z22" s="14"/>
      <c r="AA22" s="14"/>
    </row>
    <row r="23" spans="1:27" x14ac:dyDescent="0.25">
      <c r="A23" s="10" t="s">
        <v>88</v>
      </c>
      <c r="B23" s="10" t="s">
        <v>247</v>
      </c>
      <c r="C23" s="14">
        <f>_xll.BDH("ITCI US Equity","FREE_CASH_FLOW_PER_SH","FQ2 2019","FQ2 2019","Currency=USD","Period=FQ","BEST_FPERIOD_OVERRIDE=FQ","FILING_STATUS=MR","Sort=A","Dates=H","DateFormat=P","Fill=—","Direction=H","UseDPDF=Y")</f>
        <v>-0.51449999999999996</v>
      </c>
      <c r="D23" s="14">
        <f>_xll.BDH("ITCI US Equity","FREE_CASH_FLOW_PER_SH","FQ3 2019","FQ3 2019","Currency=USD","Period=FQ","BEST_FPERIOD_OVERRIDE=FQ","FILING_STATUS=MR","Sort=A","Dates=H","DateFormat=P","Fill=—","Direction=H","UseDPDF=Y")</f>
        <v>-0.54720000000000002</v>
      </c>
      <c r="E23" s="14" t="str">
        <f>_xll.BDH("ITCI US Equity","FREE_CASH_FLOW_PER_SH","FQ4 2019","FQ4 2019","Currency=USD","Period=FQ","BEST_FPERIOD_OVERRIDE=FQ","FILING_STATUS=MR","Sort=A","Dates=H","DateFormat=P","Fill=—","Direction=H","UseDPDF=Y")</f>
        <v>—</v>
      </c>
      <c r="F23" s="14">
        <f>_xll.BDH("ITCI US Equity","FREE_CASH_FLOW_PER_SH","FQ1 2020","FQ1 2020","Currency=USD","Period=FQ","BEST_FPERIOD_OVERRIDE=FQ","FILING_STATUS=MR","Sort=A","Dates=H","DateFormat=P","Fill=—","Direction=H","UseDPDF=Y")</f>
        <v>-0.78710000000000002</v>
      </c>
      <c r="G23" s="14">
        <f>_xll.BDH("ITCI US Equity","FREE_CASH_FLOW_PER_SH","FQ2 2020","FQ2 2020","Currency=USD","Period=FQ","BEST_FPERIOD_OVERRIDE=FQ","FILING_STATUS=MR","Sort=A","Dates=H","DateFormat=P","Fill=—","Direction=H","UseDPDF=Y")</f>
        <v>-0.70789999999999997</v>
      </c>
      <c r="H23" s="14">
        <f>_xll.BDH("ITCI US Equity","FREE_CASH_FLOW_PER_SH","FQ3 2020","FQ3 2020","Currency=USD","Period=FQ","BEST_FPERIOD_OVERRIDE=FQ","FILING_STATUS=MR","Sort=A","Dates=H","DateFormat=P","Fill=—","Direction=H","UseDPDF=Y")</f>
        <v>-0.91690000000000005</v>
      </c>
      <c r="I23" s="14">
        <f>_xll.BDH("ITCI US Equity","FREE_CASH_FLOW_PER_SH","FQ4 2020","FQ4 2020","Currency=USD","Period=FQ","BEST_FPERIOD_OVERRIDE=FQ","FILING_STATUS=MR","Sort=A","Dates=H","DateFormat=P","Fill=—","Direction=H","UseDPDF=Y")</f>
        <v>-0.8508</v>
      </c>
      <c r="J23" s="14">
        <f>_xll.BDH("ITCI US Equity","FREE_CASH_FLOW_PER_SH","FQ1 2021","FQ1 2021","Currency=USD","Period=FQ","BEST_FPERIOD_OVERRIDE=FQ","FILING_STATUS=MR","Sort=A","Dates=H","DateFormat=P","Fill=—","Direction=H","UseDPDF=Y")</f>
        <v>-0.59009999999999996</v>
      </c>
      <c r="K23" s="14">
        <f>_xll.BDH("ITCI US Equity","FREE_CASH_FLOW_PER_SH","FQ2 2021","FQ2 2021","Currency=USD","Period=FQ","BEST_FPERIOD_OVERRIDE=FQ","FILING_STATUS=MR","Sort=A","Dates=H","DateFormat=P","Fill=—","Direction=H","UseDPDF=Y")</f>
        <v>-0.73050000000000004</v>
      </c>
      <c r="L23" s="14">
        <f>_xll.BDH("ITCI US Equity","FREE_CASH_FLOW_PER_SH","FQ3 2021","FQ3 2021","Currency=USD","Period=FQ","BEST_FPERIOD_OVERRIDE=FQ","FILING_STATUS=MR","Sort=A","Dates=H","DateFormat=P","Fill=—","Direction=H","UseDPDF=Y")</f>
        <v>-0.97809999999999997</v>
      </c>
      <c r="M23" s="14">
        <f>_xll.BDH("ITCI US Equity","FREE_CASH_FLOW_PER_SH","FQ4 2021","FQ4 2021","Currency=USD","Period=FQ","BEST_FPERIOD_OVERRIDE=FQ","FILING_STATUS=MR","Sort=A","Dates=H","DateFormat=P","Fill=—","Direction=H","UseDPDF=Y")</f>
        <v>-0.89829999999999999</v>
      </c>
      <c r="N23" s="14">
        <f>_xll.BDH("ITCI US Equity","FREE_CASH_FLOW_PER_SH","FQ1 2022","FQ1 2022","Currency=USD","Period=FQ","BEST_FPERIOD_OVERRIDE=FQ","FILING_STATUS=MR","Sort=A","Dates=H","DateFormat=P","Fill=—","Direction=H","UseDPDF=Y")</f>
        <v>-0.90080000000000005</v>
      </c>
      <c r="O23" s="14">
        <f>_xll.BDH("ITCI US Equity","FREE_CASH_FLOW_PER_SH","FQ2 2022","FQ2 2022","Currency=USD","Period=FQ","BEST_FPERIOD_OVERRIDE=FQ","FILING_STATUS=MR","Sort=A","Dates=H","DateFormat=P","Fill=—","Direction=H","UseDPDF=Y")</f>
        <v>-1.0066999999999999</v>
      </c>
      <c r="P23" s="14">
        <f>_xll.BDH("ITCI US Equity","FREE_CASH_FLOW_PER_SH","FQ3 2022","FQ3 2022","Currency=USD","Period=FQ","BEST_FPERIOD_OVERRIDE=FQ","FILING_STATUS=MR","Sort=A","Dates=H","DateFormat=P","Fill=—","Direction=H","UseDPDF=Y")</f>
        <v>-0.56569999999999998</v>
      </c>
      <c r="Q23" s="14">
        <f>_xll.BDH("ITCI US Equity","FREE_CASH_FLOW_PER_SH","FQ4 2022","FQ4 2022","Currency=USD","Period=FQ","BEST_FPERIOD_OVERRIDE=FQ","FILING_STATUS=MR","Sort=A","Dates=H","DateFormat=P","Fill=—","Direction=H","UseDPDF=Y")</f>
        <v>-0.41360000000000002</v>
      </c>
      <c r="R23" s="14">
        <f>_xll.BDH("ITCI US Equity","FREE_CASH_FLOW_PER_SH","FQ1 2023","FQ1 2023","Currency=USD","Period=FQ","BEST_FPERIOD_OVERRIDE=FQ","FILING_STATUS=MR","Sort=A","Dates=H","DateFormat=P","Fill=—","Direction=H","UseDPDF=Y")</f>
        <v>-0.63139999999999996</v>
      </c>
      <c r="S23" s="14">
        <f>_xll.BDH("ITCI US Equity","FREE_CASH_FLOW_PER_SH","FQ2 2023","FQ2 2023","Currency=USD","Period=FQ","BEST_FPERIOD_OVERRIDE=FQ","FILING_STATUS=MR","Sort=A","Dates=H","DateFormat=P","Fill=—","Direction=H","UseDPDF=Y")</f>
        <v>-0.3836</v>
      </c>
      <c r="T23" s="14">
        <f>_xll.BDH("ITCI US Equity","FREE_CASH_FLOW_PER_SH","FQ3 2023","FQ3 2023","Currency=USD","Period=FQ","BEST_FPERIOD_OVERRIDE=FQ","FILING_STATUS=MR","Sort=A","Dates=H","DateFormat=P","Fill=—","Direction=H","UseDPDF=Y")</f>
        <v>-0.2656</v>
      </c>
      <c r="U23" s="14">
        <f>_xll.BDH("ITCI US Equity","FREE_CASH_FLOW_PER_SH","FQ4 2023","FQ4 2023","Currency=USD","Period=FQ","BEST_FPERIOD_OVERRIDE=FQ","FILING_STATUS=MR","Sort=A","Dates=H","DateFormat=P","Fill=—","Direction=H","UseDPDF=Y")</f>
        <v>-2.1399999999999999E-2</v>
      </c>
      <c r="V23" s="14">
        <f>_xll.BDH("ITCI US Equity","FREE_CASH_FLOW_PER_SH","FQ1 2024","FQ1 2024","Currency=USD","Period=FQ","BEST_FPERIOD_OVERRIDE=FQ","FILING_STATUS=MR","Sort=A","Dates=H","DateFormat=P","Fill=—","Direction=H","UseDPDF=Y")</f>
        <v>-0.35220000000000001</v>
      </c>
      <c r="W23" s="14">
        <f>_xll.BDH("ITCI US Equity","FREE_CASH_FLOW_PER_SH","FQ2 2024","FQ2 2024","Currency=USD","Period=FQ","BEST_FPERIOD_OVERRIDE=FQ","FILING_STATUS=MR","Sort=A","Dates=H","DateFormat=P","Fill=—","Direction=H","UseDPDF=Y")</f>
        <v>4.7000000000000002E-3</v>
      </c>
      <c r="X23" s="14">
        <f>_xll.BDH("ITCI US Equity","FREE_CASH_FLOW_PER_SH","FQ3 2024","FQ3 2024","Currency=USD","Period=FQ","BEST_FPERIOD_OVERRIDE=FQ","FILING_STATUS=MR","Sort=A","Dates=H","DateFormat=P","Fill=—","Direction=H","UseDPDF=Y")</f>
        <v>-0.25740000000000002</v>
      </c>
      <c r="Y23" s="14" t="str">
        <f>_xll.BDH("ITCI US Equity","FREE_CASH_FLOW_PER_SH","FQ4 2024","FQ4 2024","Currency=USD","Period=FQ","BEST_FPERIOD_OVERRIDE=FQ","FILING_STATUS=MR","Sort=A","Dates=H","DateFormat=P","Fill=—","Direction=H","UseDPDF=Y")</f>
        <v>—</v>
      </c>
      <c r="Z23" s="14"/>
      <c r="AA23" s="14"/>
    </row>
    <row r="24" spans="1:27" x14ac:dyDescent="0.25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5">
      <c r="A25" s="10" t="s">
        <v>3</v>
      </c>
      <c r="B25" s="10" t="s">
        <v>248</v>
      </c>
      <c r="C25" s="14">
        <f>_xll.BDH("ITCI US Equity","CASH_ST_INVESTMENTS_PER_SH","FQ2 2019","FQ2 2019","Currency=USD","Period=FQ","BEST_FPERIOD_OVERRIDE=FQ","FILING_STATUS=MR","Sort=A","Dates=H","DateFormat=P","Fill=—","Direction=H","UseDPDF=Y")</f>
        <v>5.1696999999999997</v>
      </c>
      <c r="D25" s="14">
        <f>_xll.BDH("ITCI US Equity","CASH_ST_INVESTMENTS_PER_SH","FQ3 2019","FQ3 2019","Currency=USD","Period=FQ","BEST_FPERIOD_OVERRIDE=FQ","FILING_STATUS=MR","Sort=A","Dates=H","DateFormat=P","Fill=—","Direction=H","UseDPDF=Y")</f>
        <v>4.6234000000000002</v>
      </c>
      <c r="E25" s="14">
        <f>_xll.BDH("ITCI US Equity","CASH_ST_INVESTMENTS_PER_SH","FQ4 2019","FQ4 2019","Currency=USD","Period=FQ","BEST_FPERIOD_OVERRIDE=FQ","FILING_STATUS=MR","Sort=A","Dates=H","DateFormat=P","Fill=—","Direction=H","UseDPDF=Y")</f>
        <v>4.0357000000000003</v>
      </c>
      <c r="F25" s="14">
        <f>_xll.BDH("ITCI US Equity","CASH_ST_INVESTMENTS_PER_SH","FQ1 2020","FQ1 2020","Currency=USD","Period=FQ","BEST_FPERIOD_OVERRIDE=FQ","FILING_STATUS=MR","Sort=A","Dates=H","DateFormat=P","Fill=—","Direction=H","UseDPDF=Y")</f>
        <v>6.7816999999999998</v>
      </c>
      <c r="G25" s="14">
        <f>_xll.BDH("ITCI US Equity","CASH_ST_INVESTMENTS_PER_SH","FQ2 2020","FQ2 2020","Currency=USD","Period=FQ","BEST_FPERIOD_OVERRIDE=FQ","FILING_STATUS=MR","Sort=A","Dates=H","DateFormat=P","Fill=—","Direction=H","UseDPDF=Y")</f>
        <v>6.1062000000000003</v>
      </c>
      <c r="H25" s="14">
        <f>_xll.BDH("ITCI US Equity","CASH_ST_INVESTMENTS_PER_SH","FQ3 2020","FQ3 2020","Currency=USD","Period=FQ","BEST_FPERIOD_OVERRIDE=FQ","FILING_STATUS=MR","Sort=A","Dates=H","DateFormat=P","Fill=—","Direction=H","UseDPDF=Y")</f>
        <v>9.0083000000000002</v>
      </c>
      <c r="I25" s="14">
        <f>_xll.BDH("ITCI US Equity","CASH_ST_INVESTMENTS_PER_SH","FQ4 2020","FQ4 2020","Currency=USD","Period=FQ","BEST_FPERIOD_OVERRIDE=FQ","FILING_STATUS=MR","Sort=A","Dates=H","DateFormat=P","Fill=—","Direction=H","UseDPDF=Y")</f>
        <v>8.1707999999999998</v>
      </c>
      <c r="J25" s="14">
        <f>_xll.BDH("ITCI US Equity","CASH_ST_INVESTMENTS_PER_SH","FQ1 2021","FQ1 2021","Currency=USD","Period=FQ","BEST_FPERIOD_OVERRIDE=FQ","FILING_STATUS=MR","Sort=A","Dates=H","DateFormat=P","Fill=—","Direction=H","UseDPDF=Y")</f>
        <v>7.5427</v>
      </c>
      <c r="K25" s="14">
        <f>_xll.BDH("ITCI US Equity","CASH_ST_INVESTMENTS_PER_SH","FQ2 2021","FQ2 2021","Currency=USD","Period=FQ","BEST_FPERIOD_OVERRIDE=FQ","FILING_STATUS=MR","Sort=A","Dates=H","DateFormat=P","Fill=—","Direction=H","UseDPDF=Y")</f>
        <v>6.8226000000000004</v>
      </c>
      <c r="L25" s="14">
        <f>_xll.BDH("ITCI US Equity","CASH_ST_INVESTMENTS_PER_SH","FQ3 2021","FQ3 2021","Currency=USD","Period=FQ","BEST_FPERIOD_OVERRIDE=FQ","FILING_STATUS=MR","Sort=A","Dates=H","DateFormat=P","Fill=—","Direction=H","UseDPDF=Y")</f>
        <v>5.8651</v>
      </c>
      <c r="M25" s="14">
        <f>_xll.BDH("ITCI US Equity","CASH_ST_INVESTMENTS_PER_SH","FQ4 2021","FQ4 2021","Currency=USD","Period=FQ","BEST_FPERIOD_OVERRIDE=FQ","FILING_STATUS=MR","Sort=A","Dates=H","DateFormat=P","Fill=—","Direction=H","UseDPDF=Y")</f>
        <v>5.0354000000000001</v>
      </c>
      <c r="N25" s="14">
        <f>_xll.BDH("ITCI US Equity","CASH_ST_INVESTMENTS_PER_SH","FQ1 2022","FQ1 2022","Currency=USD","Period=FQ","BEST_FPERIOD_OVERRIDE=FQ","FILING_STATUS=MR","Sort=A","Dates=H","DateFormat=P","Fill=—","Direction=H","UseDPDF=Y")</f>
        <v>8.2094000000000005</v>
      </c>
      <c r="O25" s="14">
        <f>_xll.BDH("ITCI US Equity","CASH_ST_INVESTMENTS_PER_SH","FQ2 2022","FQ2 2022","Currency=USD","Period=FQ","BEST_FPERIOD_OVERRIDE=FQ","FILING_STATUS=MR","Sort=A","Dates=H","DateFormat=P","Fill=—","Direction=H","UseDPDF=Y")</f>
        <v>7.1829000000000001</v>
      </c>
      <c r="P25" s="14">
        <f>_xll.BDH("ITCI US Equity","CASH_ST_INVESTMENTS_PER_SH","FQ3 2022","FQ3 2022","Currency=USD","Period=FQ","BEST_FPERIOD_OVERRIDE=FQ","FILING_STATUS=MR","Sort=A","Dates=H","DateFormat=P","Fill=—","Direction=H","UseDPDF=Y")</f>
        <v>6.6391999999999998</v>
      </c>
      <c r="Q25" s="14">
        <f>_xll.BDH("ITCI US Equity","CASH_ST_INVESTMENTS_PER_SH","FQ4 2022","FQ4 2022","Currency=USD","Period=FQ","BEST_FPERIOD_OVERRIDE=FQ","FILING_STATUS=MR","Sort=A","Dates=H","DateFormat=P","Fill=—","Direction=H","UseDPDF=Y")</f>
        <v>6.2417999999999996</v>
      </c>
      <c r="R25" s="14">
        <f>_xll.BDH("ITCI US Equity","CASH_ST_INVESTMENTS_PER_SH","FQ1 2023","FQ1 2023","Currency=USD","Period=FQ","BEST_FPERIOD_OVERRIDE=FQ","FILING_STATUS=MR","Sort=A","Dates=H","DateFormat=P","Fill=—","Direction=H","UseDPDF=Y")</f>
        <v>5.6303000000000001</v>
      </c>
      <c r="S25" s="14">
        <f>_xll.BDH("ITCI US Equity","CASH_ST_INVESTMENTS_PER_SH","FQ2 2023","FQ2 2023","Currency=USD","Period=FQ","BEST_FPERIOD_OVERRIDE=FQ","FILING_STATUS=MR","Sort=A","Dates=H","DateFormat=P","Fill=—","Direction=H","UseDPDF=Y")</f>
        <v>5.3376000000000001</v>
      </c>
      <c r="T25" s="14">
        <f>_xll.BDH("ITCI US Equity","CASH_ST_INVESTMENTS_PER_SH","FQ3 2023","FQ3 2023","Currency=USD","Period=FQ","BEST_FPERIOD_OVERRIDE=FQ","FILING_STATUS=MR","Sort=A","Dates=H","DateFormat=P","Fill=—","Direction=H","UseDPDF=Y")</f>
        <v>5.1235999999999997</v>
      </c>
      <c r="U25" s="14">
        <f>_xll.BDH("ITCI US Equity","CASH_ST_INVESTMENTS_PER_SH","FQ4 2023","FQ4 2023","Currency=USD","Period=FQ","BEST_FPERIOD_OVERRIDE=FQ","FILING_STATUS=MR","Sort=A","Dates=H","DateFormat=P","Fill=—","Direction=H","UseDPDF=Y")</f>
        <v>5.1664000000000003</v>
      </c>
      <c r="V25" s="14">
        <f>_xll.BDH("ITCI US Equity","CASH_ST_INVESTMENTS_PER_SH","FQ1 2024","FQ1 2024","Currency=USD","Period=FQ","BEST_FPERIOD_OVERRIDE=FQ","FILING_STATUS=MR","Sort=A","Dates=H","DateFormat=P","Fill=—","Direction=H","UseDPDF=Y")</f>
        <v>4.8792999999999997</v>
      </c>
      <c r="W25" s="14">
        <f>_xll.BDH("ITCI US Equity","CASH_ST_INVESTMENTS_PER_SH","FQ2 2024","FQ2 2024","Currency=USD","Period=FQ","BEST_FPERIOD_OVERRIDE=FQ","FILING_STATUS=MR","Sort=A","Dates=H","DateFormat=P","Fill=—","Direction=H","UseDPDF=Y")</f>
        <v>9.6843000000000004</v>
      </c>
      <c r="X25" s="14">
        <f>_xll.BDH("ITCI US Equity","CASH_ST_INVESTMENTS_PER_SH","FQ3 2024","FQ3 2024","Currency=USD","Period=FQ","BEST_FPERIOD_OVERRIDE=FQ","FILING_STATUS=MR","Sort=A","Dates=H","DateFormat=P","Fill=—","Direction=H","UseDPDF=Y")</f>
        <v>9.4960000000000004</v>
      </c>
      <c r="Y25" s="14">
        <f>_xll.BDH("ITCI US Equity","CASH_ST_INVESTMENTS_PER_SH","FQ4 2024","FQ4 2024","Currency=USD","Period=FQ","BEST_FPERIOD_OVERRIDE=FQ","FILING_STATUS=MR","Sort=A","Dates=H","DateFormat=P","Fill=—","Direction=H","UseDPDF=Y")</f>
        <v>9.4227000000000007</v>
      </c>
      <c r="Z25" s="14"/>
      <c r="AA25" s="14"/>
    </row>
    <row r="26" spans="1:27" x14ac:dyDescent="0.25">
      <c r="A26" s="10" t="s">
        <v>249</v>
      </c>
      <c r="B26" s="10" t="s">
        <v>250</v>
      </c>
      <c r="C26" s="14">
        <f>_xll.BDH("ITCI US Equity","BOOK_VAL_PER_SH","FQ2 2019","FQ2 2019","Currency=USD","Period=FQ","BEST_FPERIOD_OVERRIDE=FQ","FILING_STATUS=MR","Sort=A","Dates=H","DateFormat=P","Fill=—","Direction=H","UseDPDF=Y")</f>
        <v>4.6527000000000003</v>
      </c>
      <c r="D26" s="14">
        <f>_xll.BDH("ITCI US Equity","BOOK_VAL_PER_SH","FQ3 2019","FQ3 2019","Currency=USD","Period=FQ","BEST_FPERIOD_OVERRIDE=FQ","FILING_STATUS=MR","Sort=A","Dates=H","DateFormat=P","Fill=—","Direction=H","UseDPDF=Y")</f>
        <v>4.1066000000000003</v>
      </c>
      <c r="E26" s="14">
        <f>_xll.BDH("ITCI US Equity","BOOK_VAL_PER_SH","FQ4 2019","FQ4 2019","Currency=USD","Period=FQ","BEST_FPERIOD_OVERRIDE=FQ","FILING_STATUS=MR","Sort=A","Dates=H","DateFormat=P","Fill=—","Direction=H","UseDPDF=Y")</f>
        <v>3.5131999999999999</v>
      </c>
      <c r="F26" s="14">
        <f>_xll.BDH("ITCI US Equity","BOOK_VAL_PER_SH","FQ1 2020","FQ1 2020","Currency=USD","Period=FQ","BEST_FPERIOD_OVERRIDE=FQ","FILING_STATUS=MR","Sort=A","Dates=H","DateFormat=P","Fill=—","Direction=H","UseDPDF=Y")</f>
        <v>6.5022000000000002</v>
      </c>
      <c r="G26" s="14">
        <f>_xll.BDH("ITCI US Equity","BOOK_VAL_PER_SH","FQ2 2020","FQ2 2020","Currency=USD","Period=FQ","BEST_FPERIOD_OVERRIDE=FQ","FILING_STATUS=MR","Sort=A","Dates=H","DateFormat=P","Fill=—","Direction=H","UseDPDF=Y")</f>
        <v>5.6835000000000004</v>
      </c>
      <c r="H26" s="14">
        <f>_xll.BDH("ITCI US Equity","BOOK_VAL_PER_SH","FQ3 2020","FQ3 2020","Currency=USD","Period=FQ","BEST_FPERIOD_OVERRIDE=FQ","FILING_STATUS=MR","Sort=A","Dates=H","DateFormat=P","Fill=—","Direction=H","UseDPDF=Y")</f>
        <v>8.8515999999999995</v>
      </c>
      <c r="I26" s="14">
        <f>_xll.BDH("ITCI US Equity","BOOK_VAL_PER_SH","FQ4 2020","FQ4 2020","Currency=USD","Period=FQ","BEST_FPERIOD_OVERRIDE=FQ","FILING_STATUS=MR","Sort=A","Dates=H","DateFormat=P","Fill=—","Direction=H","UseDPDF=Y")</f>
        <v>8.1635000000000009</v>
      </c>
      <c r="J26" s="14">
        <f>_xll.BDH("ITCI US Equity","BOOK_VAL_PER_SH","FQ1 2021","FQ1 2021","Currency=USD","Period=FQ","BEST_FPERIOD_OVERRIDE=FQ","FILING_STATUS=MR","Sort=A","Dates=H","DateFormat=P","Fill=—","Direction=H","UseDPDF=Y")</f>
        <v>7.5449000000000002</v>
      </c>
      <c r="K26" s="14">
        <f>_xll.BDH("ITCI US Equity","BOOK_VAL_PER_SH","FQ2 2021","FQ2 2021","Currency=USD","Period=FQ","BEST_FPERIOD_OVERRIDE=FQ","FILING_STATUS=MR","Sort=A","Dates=H","DateFormat=P","Fill=—","Direction=H","UseDPDF=Y")</f>
        <v>6.8082000000000003</v>
      </c>
      <c r="L26" s="14">
        <f>_xll.BDH("ITCI US Equity","BOOK_VAL_PER_SH","FQ3 2021","FQ3 2021","Currency=USD","Period=FQ","BEST_FPERIOD_OVERRIDE=FQ","FILING_STATUS=MR","Sort=A","Dates=H","DateFormat=P","Fill=—","Direction=H","UseDPDF=Y")</f>
        <v>5.9814999999999996</v>
      </c>
      <c r="M26" s="14">
        <f>_xll.BDH("ITCI US Equity","BOOK_VAL_PER_SH","FQ4 2021","FQ4 2021","Currency=USD","Period=FQ","BEST_FPERIOD_OVERRIDE=FQ","FILING_STATUS=MR","Sort=A","Dates=H","DateFormat=P","Fill=—","Direction=H","UseDPDF=Y")</f>
        <v>5.1032999999999999</v>
      </c>
      <c r="N26" s="14">
        <f>_xll.BDH("ITCI US Equity","BOOK_VAL_PER_SH","FQ1 2022","FQ1 2022","Currency=USD","Period=FQ","BEST_FPERIOD_OVERRIDE=FQ","FILING_STATUS=MR","Sort=A","Dates=H","DateFormat=P","Fill=—","Direction=H","UseDPDF=Y")</f>
        <v>8.4316999999999993</v>
      </c>
      <c r="O26" s="14">
        <f>_xll.BDH("ITCI US Equity","BOOK_VAL_PER_SH","FQ2 2022","FQ2 2022","Currency=USD","Period=FQ","BEST_FPERIOD_OVERRIDE=FQ","FILING_STATUS=MR","Sort=A","Dates=H","DateFormat=P","Fill=—","Direction=H","UseDPDF=Y")</f>
        <v>7.6529999999999996</v>
      </c>
      <c r="P26" s="14">
        <f>_xll.BDH("ITCI US Equity","BOOK_VAL_PER_SH","FQ3 2022","FQ3 2022","Currency=USD","Period=FQ","BEST_FPERIOD_OVERRIDE=FQ","FILING_STATUS=MR","Sort=A","Dates=H","DateFormat=P","Fill=—","Direction=H","UseDPDF=Y")</f>
        <v>7.2377000000000002</v>
      </c>
      <c r="Q26" s="14">
        <f>_xll.BDH("ITCI US Equity","BOOK_VAL_PER_SH","FQ4 2022","FQ4 2022","Currency=USD","Period=FQ","BEST_FPERIOD_OVERRIDE=FQ","FILING_STATUS=MR","Sort=A","Dates=H","DateFormat=P","Fill=—","Direction=H","UseDPDF=Y")</f>
        <v>6.9184000000000001</v>
      </c>
      <c r="R26" s="14">
        <f>_xll.BDH("ITCI US Equity","BOOK_VAL_PER_SH","FQ1 2023","FQ1 2023","Currency=USD","Period=FQ","BEST_FPERIOD_OVERRIDE=FQ","FILING_STATUS=MR","Sort=A","Dates=H","DateFormat=P","Fill=—","Direction=H","UseDPDF=Y")</f>
        <v>6.5594999999999999</v>
      </c>
      <c r="S26" s="14">
        <f>_xll.BDH("ITCI US Equity","BOOK_VAL_PER_SH","FQ2 2023","FQ2 2023","Currency=USD","Period=FQ","BEST_FPERIOD_OVERRIDE=FQ","FILING_STATUS=MR","Sort=A","Dates=H","DateFormat=P","Fill=—","Direction=H","UseDPDF=Y")</f>
        <v>6.3183999999999996</v>
      </c>
      <c r="T26" s="14">
        <f>_xll.BDH("ITCI US Equity","BOOK_VAL_PER_SH","FQ3 2023","FQ3 2023","Currency=USD","Period=FQ","BEST_FPERIOD_OVERRIDE=FQ","FILING_STATUS=MR","Sort=A","Dates=H","DateFormat=P","Fill=—","Direction=H","UseDPDF=Y")</f>
        <v>6.2423999999999999</v>
      </c>
      <c r="U26" s="14">
        <f>_xll.BDH("ITCI US Equity","BOOK_VAL_PER_SH","FQ4 2023","FQ4 2023","Currency=USD","Period=FQ","BEST_FPERIOD_OVERRIDE=FQ","FILING_STATUS=MR","Sort=A","Dates=H","DateFormat=P","Fill=—","Direction=H","UseDPDF=Y")</f>
        <v>6.1364000000000001</v>
      </c>
      <c r="V26" s="14">
        <f>_xll.BDH("ITCI US Equity","BOOK_VAL_PER_SH","FQ1 2024","FQ1 2024","Currency=USD","Period=FQ","BEST_FPERIOD_OVERRIDE=FQ","FILING_STATUS=MR","Sort=A","Dates=H","DateFormat=P","Fill=—","Direction=H","UseDPDF=Y")</f>
        <v>6.1501000000000001</v>
      </c>
      <c r="W26" s="14">
        <f>_xll.BDH("ITCI US Equity","BOOK_VAL_PER_SH","FQ2 2024","FQ2 2024","Currency=USD","Period=FQ","BEST_FPERIOD_OVERRIDE=FQ","FILING_STATUS=MR","Sort=A","Dates=H","DateFormat=P","Fill=—","Direction=H","UseDPDF=Y")</f>
        <v>10.836600000000001</v>
      </c>
      <c r="X26" s="14">
        <f>_xll.BDH("ITCI US Equity","BOOK_VAL_PER_SH","FQ3 2024","FQ3 2024","Currency=USD","Period=FQ","BEST_FPERIOD_OVERRIDE=FQ","FILING_STATUS=MR","Sort=A","Dates=H","DateFormat=P","Fill=—","Direction=H","UseDPDF=Y")</f>
        <v>10.8004</v>
      </c>
      <c r="Y26" s="14">
        <f>_xll.BDH("ITCI US Equity","BOOK_VAL_PER_SH","FQ4 2024","FQ4 2024","Currency=USD","Period=FQ","BEST_FPERIOD_OVERRIDE=FQ","FILING_STATUS=MR","Sort=A","Dates=H","DateFormat=P","Fill=—","Direction=H","UseDPDF=Y")</f>
        <v>10.8101</v>
      </c>
      <c r="Z26" s="14">
        <v>10.79</v>
      </c>
      <c r="AA26" s="14">
        <v>10.86</v>
      </c>
    </row>
    <row r="27" spans="1:27" x14ac:dyDescent="0.25">
      <c r="A27" s="10" t="s">
        <v>251</v>
      </c>
      <c r="B27" s="10" t="s">
        <v>252</v>
      </c>
      <c r="C27" s="14">
        <f>_xll.BDH("ITCI US Equity","TANG_BOOK_VAL_PER_SH","FQ2 2019","FQ2 2019","Currency=USD","Period=FQ","BEST_FPERIOD_OVERRIDE=FQ","FILING_STATUS=MR","Sort=A","Dates=H","DateFormat=P","Fill=—","Direction=H","UseDPDF=Y")</f>
        <v>4.6527000000000003</v>
      </c>
      <c r="D27" s="14">
        <f>_xll.BDH("ITCI US Equity","TANG_BOOK_VAL_PER_SH","FQ3 2019","FQ3 2019","Currency=USD","Period=FQ","BEST_FPERIOD_OVERRIDE=FQ","FILING_STATUS=MR","Sort=A","Dates=H","DateFormat=P","Fill=—","Direction=H","UseDPDF=Y")</f>
        <v>4.1066000000000003</v>
      </c>
      <c r="E27" s="14">
        <f>_xll.BDH("ITCI US Equity","TANG_BOOK_VAL_PER_SH","FQ4 2019","FQ4 2019","Currency=USD","Period=FQ","BEST_FPERIOD_OVERRIDE=FQ","FILING_STATUS=MR","Sort=A","Dates=H","DateFormat=P","Fill=—","Direction=H","UseDPDF=Y")</f>
        <v>3.5131999999999999</v>
      </c>
      <c r="F27" s="14">
        <f>_xll.BDH("ITCI US Equity","TANG_BOOK_VAL_PER_SH","FQ1 2020","FQ1 2020","Currency=USD","Period=FQ","BEST_FPERIOD_OVERRIDE=FQ","FILING_STATUS=MR","Sort=A","Dates=H","DateFormat=P","Fill=—","Direction=H","UseDPDF=Y")</f>
        <v>6.5022000000000002</v>
      </c>
      <c r="G27" s="14">
        <f>_xll.BDH("ITCI US Equity","TANG_BOOK_VAL_PER_SH","FQ2 2020","FQ2 2020","Currency=USD","Period=FQ","BEST_FPERIOD_OVERRIDE=FQ","FILING_STATUS=MR","Sort=A","Dates=H","DateFormat=P","Fill=—","Direction=H","UseDPDF=Y")</f>
        <v>5.6835000000000004</v>
      </c>
      <c r="H27" s="14">
        <f>_xll.BDH("ITCI US Equity","TANG_BOOK_VAL_PER_SH","FQ3 2020","FQ3 2020","Currency=USD","Period=FQ","BEST_FPERIOD_OVERRIDE=FQ","FILING_STATUS=MR","Sort=A","Dates=H","DateFormat=P","Fill=—","Direction=H","UseDPDF=Y")</f>
        <v>8.8515999999999995</v>
      </c>
      <c r="I27" s="14">
        <f>_xll.BDH("ITCI US Equity","TANG_BOOK_VAL_PER_SH","FQ4 2020","FQ4 2020","Currency=USD","Period=FQ","BEST_FPERIOD_OVERRIDE=FQ","FILING_STATUS=MR","Sort=A","Dates=H","DateFormat=P","Fill=—","Direction=H","UseDPDF=Y")</f>
        <v>8.1635000000000009</v>
      </c>
      <c r="J27" s="14">
        <f>_xll.BDH("ITCI US Equity","TANG_BOOK_VAL_PER_SH","FQ1 2021","FQ1 2021","Currency=USD","Period=FQ","BEST_FPERIOD_OVERRIDE=FQ","FILING_STATUS=MR","Sort=A","Dates=H","DateFormat=P","Fill=—","Direction=H","UseDPDF=Y")</f>
        <v>7.5449000000000002</v>
      </c>
      <c r="K27" s="14">
        <f>_xll.BDH("ITCI US Equity","TANG_BOOK_VAL_PER_SH","FQ2 2021","FQ2 2021","Currency=USD","Period=FQ","BEST_FPERIOD_OVERRIDE=FQ","FILING_STATUS=MR","Sort=A","Dates=H","DateFormat=P","Fill=—","Direction=H","UseDPDF=Y")</f>
        <v>6.8082000000000003</v>
      </c>
      <c r="L27" s="14">
        <f>_xll.BDH("ITCI US Equity","TANG_BOOK_VAL_PER_SH","FQ3 2021","FQ3 2021","Currency=USD","Period=FQ","BEST_FPERIOD_OVERRIDE=FQ","FILING_STATUS=MR","Sort=A","Dates=H","DateFormat=P","Fill=—","Direction=H","UseDPDF=Y")</f>
        <v>5.9814999999999996</v>
      </c>
      <c r="M27" s="14">
        <f>_xll.BDH("ITCI US Equity","TANG_BOOK_VAL_PER_SH","FQ4 2021","FQ4 2021","Currency=USD","Period=FQ","BEST_FPERIOD_OVERRIDE=FQ","FILING_STATUS=MR","Sort=A","Dates=H","DateFormat=P","Fill=—","Direction=H","UseDPDF=Y")</f>
        <v>5.1032999999999999</v>
      </c>
      <c r="N27" s="14">
        <f>_xll.BDH("ITCI US Equity","TANG_BOOK_VAL_PER_SH","FQ1 2022","FQ1 2022","Currency=USD","Period=FQ","BEST_FPERIOD_OVERRIDE=FQ","FILING_STATUS=MR","Sort=A","Dates=H","DateFormat=P","Fill=—","Direction=H","UseDPDF=Y")</f>
        <v>8.4316999999999993</v>
      </c>
      <c r="O27" s="14">
        <f>_xll.BDH("ITCI US Equity","TANG_BOOK_VAL_PER_SH","FQ2 2022","FQ2 2022","Currency=USD","Period=FQ","BEST_FPERIOD_OVERRIDE=FQ","FILING_STATUS=MR","Sort=A","Dates=H","DateFormat=P","Fill=—","Direction=H","UseDPDF=Y")</f>
        <v>7.6529999999999996</v>
      </c>
      <c r="P27" s="14">
        <f>_xll.BDH("ITCI US Equity","TANG_BOOK_VAL_PER_SH","FQ3 2022","FQ3 2022","Currency=USD","Period=FQ","BEST_FPERIOD_OVERRIDE=FQ","FILING_STATUS=MR","Sort=A","Dates=H","DateFormat=P","Fill=—","Direction=H","UseDPDF=Y")</f>
        <v>7.2377000000000002</v>
      </c>
      <c r="Q27" s="14">
        <f>_xll.BDH("ITCI US Equity","TANG_BOOK_VAL_PER_SH","FQ4 2022","FQ4 2022","Currency=USD","Period=FQ","BEST_FPERIOD_OVERRIDE=FQ","FILING_STATUS=MR","Sort=A","Dates=H","DateFormat=P","Fill=—","Direction=H","UseDPDF=Y")</f>
        <v>6.9184000000000001</v>
      </c>
      <c r="R27" s="14">
        <f>_xll.BDH("ITCI US Equity","TANG_BOOK_VAL_PER_SH","FQ1 2023","FQ1 2023","Currency=USD","Period=FQ","BEST_FPERIOD_OVERRIDE=FQ","FILING_STATUS=MR","Sort=A","Dates=H","DateFormat=P","Fill=—","Direction=H","UseDPDF=Y")</f>
        <v>6.5594999999999999</v>
      </c>
      <c r="S27" s="14">
        <f>_xll.BDH("ITCI US Equity","TANG_BOOK_VAL_PER_SH","FQ2 2023","FQ2 2023","Currency=USD","Period=FQ","BEST_FPERIOD_OVERRIDE=FQ","FILING_STATUS=MR","Sort=A","Dates=H","DateFormat=P","Fill=—","Direction=H","UseDPDF=Y")</f>
        <v>6.3183999999999996</v>
      </c>
      <c r="T27" s="14">
        <f>_xll.BDH("ITCI US Equity","TANG_BOOK_VAL_PER_SH","FQ3 2023","FQ3 2023","Currency=USD","Period=FQ","BEST_FPERIOD_OVERRIDE=FQ","FILING_STATUS=MR","Sort=A","Dates=H","DateFormat=P","Fill=—","Direction=H","UseDPDF=Y")</f>
        <v>6.2423999999999999</v>
      </c>
      <c r="U27" s="14">
        <f>_xll.BDH("ITCI US Equity","TANG_BOOK_VAL_PER_SH","FQ4 2023","FQ4 2023","Currency=USD","Period=FQ","BEST_FPERIOD_OVERRIDE=FQ","FILING_STATUS=MR","Sort=A","Dates=H","DateFormat=P","Fill=—","Direction=H","UseDPDF=Y")</f>
        <v>6.1364000000000001</v>
      </c>
      <c r="V27" s="14">
        <f>_xll.BDH("ITCI US Equity","TANG_BOOK_VAL_PER_SH","FQ1 2024","FQ1 2024","Currency=USD","Period=FQ","BEST_FPERIOD_OVERRIDE=FQ","FILING_STATUS=MR","Sort=A","Dates=H","DateFormat=P","Fill=—","Direction=H","UseDPDF=Y")</f>
        <v>6.1501000000000001</v>
      </c>
      <c r="W27" s="14">
        <f>_xll.BDH("ITCI US Equity","TANG_BOOK_VAL_PER_SH","FQ2 2024","FQ2 2024","Currency=USD","Period=FQ","BEST_FPERIOD_OVERRIDE=FQ","FILING_STATUS=MR","Sort=A","Dates=H","DateFormat=P","Fill=—","Direction=H","UseDPDF=Y")</f>
        <v>10.836600000000001</v>
      </c>
      <c r="X27" s="14">
        <f>_xll.BDH("ITCI US Equity","TANG_BOOK_VAL_PER_SH","FQ3 2024","FQ3 2024","Currency=USD","Period=FQ","BEST_FPERIOD_OVERRIDE=FQ","FILING_STATUS=MR","Sort=A","Dates=H","DateFormat=P","Fill=—","Direction=H","UseDPDF=Y")</f>
        <v>10.8004</v>
      </c>
      <c r="Y27" s="14">
        <f>_xll.BDH("ITCI US Equity","TANG_BOOK_VAL_PER_SH","FQ4 2024","FQ4 2024","Currency=USD","Period=FQ","BEST_FPERIOD_OVERRIDE=FQ","FILING_STATUS=MR","Sort=A","Dates=H","DateFormat=P","Fill=—","Direction=H","UseDPDF=Y")</f>
        <v>10.8101</v>
      </c>
      <c r="Z27" s="14"/>
      <c r="AA27" s="14"/>
    </row>
    <row r="28" spans="1:27" x14ac:dyDescent="0.25">
      <c r="A28" s="7" t="s">
        <v>90</v>
      </c>
      <c r="B28" s="7"/>
      <c r="C28" s="7" t="s">
        <v>5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5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253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94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163</v>
      </c>
    </row>
    <row r="5" spans="1:27" x14ac:dyDescent="0.25">
      <c r="A5" s="9" t="s">
        <v>33</v>
      </c>
      <c r="B5" s="9"/>
      <c r="C5" s="5" t="s">
        <v>96</v>
      </c>
      <c r="D5" s="5" t="s">
        <v>34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164</v>
      </c>
    </row>
    <row r="6" spans="1:27" x14ac:dyDescent="0.25">
      <c r="A6" s="6" t="s">
        <v>254</v>
      </c>
      <c r="B6" s="6" t="s">
        <v>220</v>
      </c>
      <c r="C6" s="20">
        <f>_xll.BDH("ITCI US Equity","PX_LAST","FQ1 2019","FQ1 2019","Currency=USD","Period=FQ","BEST_FPERIOD_OVERRIDE=FQ","FILING_STATUS=MR","Sort=A","Dates=H","DateFormat=P","Fill=—","Direction=H","UseDPDF=Y")</f>
        <v>12.18</v>
      </c>
      <c r="D6" s="20">
        <f>_xll.BDH("ITCI US Equity","PX_LAST","FQ2 2019","FQ2 2019","Currency=USD","Period=FQ","BEST_FPERIOD_OVERRIDE=FQ","FILING_STATUS=MR","Sort=A","Dates=H","DateFormat=P","Fill=—","Direction=H","UseDPDF=Y")</f>
        <v>12.98</v>
      </c>
      <c r="E6" s="20">
        <f>_xll.BDH("ITCI US Equity","PX_LAST","FQ3 2019","FQ3 2019","Currency=USD","Period=FQ","BEST_FPERIOD_OVERRIDE=FQ","FILING_STATUS=MR","Sort=A","Dates=H","DateFormat=P","Fill=—","Direction=H","UseDPDF=Y")</f>
        <v>7.47</v>
      </c>
      <c r="F6" s="20">
        <f>_xll.BDH("ITCI US Equity","PX_LAST","FQ4 2019","FQ4 2019","Currency=USD","Period=FQ","BEST_FPERIOD_OVERRIDE=FQ","FILING_STATUS=MR","Sort=A","Dates=H","DateFormat=P","Fill=—","Direction=H","UseDPDF=Y")</f>
        <v>34.31</v>
      </c>
      <c r="G6" s="20">
        <f>_xll.BDH("ITCI US Equity","PX_LAST","FQ1 2020","FQ1 2020","Currency=USD","Period=FQ","BEST_FPERIOD_OVERRIDE=FQ","FILING_STATUS=MR","Sort=A","Dates=H","DateFormat=P","Fill=—","Direction=H","UseDPDF=Y")</f>
        <v>15.37</v>
      </c>
      <c r="H6" s="20">
        <f>_xll.BDH("ITCI US Equity","PX_LAST","FQ2 2020","FQ2 2020","Currency=USD","Period=FQ","BEST_FPERIOD_OVERRIDE=FQ","FILING_STATUS=MR","Sort=A","Dates=H","DateFormat=P","Fill=—","Direction=H","UseDPDF=Y")</f>
        <v>25.67</v>
      </c>
      <c r="I6" s="20">
        <f>_xll.BDH("ITCI US Equity","PX_LAST","FQ3 2020","FQ3 2020","Currency=USD","Period=FQ","BEST_FPERIOD_OVERRIDE=FQ","FILING_STATUS=MR","Sort=A","Dates=H","DateFormat=P","Fill=—","Direction=H","UseDPDF=Y")</f>
        <v>25.66</v>
      </c>
      <c r="J6" s="20">
        <f>_xll.BDH("ITCI US Equity","PX_LAST","FQ4 2020","FQ4 2020","Currency=USD","Period=FQ","BEST_FPERIOD_OVERRIDE=FQ","FILING_STATUS=MR","Sort=A","Dates=H","DateFormat=P","Fill=—","Direction=H","UseDPDF=Y")</f>
        <v>31.8</v>
      </c>
      <c r="K6" s="20">
        <f>_xll.BDH("ITCI US Equity","PX_LAST","FQ1 2021","FQ1 2021","Currency=USD","Period=FQ","BEST_FPERIOD_OVERRIDE=FQ","FILING_STATUS=MR","Sort=A","Dates=H","DateFormat=P","Fill=—","Direction=H","UseDPDF=Y")</f>
        <v>33.93</v>
      </c>
      <c r="L6" s="20">
        <f>_xll.BDH("ITCI US Equity","PX_LAST","FQ2 2021","FQ2 2021","Currency=USD","Period=FQ","BEST_FPERIOD_OVERRIDE=FQ","FILING_STATUS=MR","Sort=A","Dates=H","DateFormat=P","Fill=—","Direction=H","UseDPDF=Y")</f>
        <v>40.82</v>
      </c>
      <c r="M6" s="20">
        <f>_xll.BDH("ITCI US Equity","PX_LAST","FQ3 2021","FQ3 2021","Currency=USD","Period=FQ","BEST_FPERIOD_OVERRIDE=FQ","FILING_STATUS=MR","Sort=A","Dates=H","DateFormat=P","Fill=—","Direction=H","UseDPDF=Y")</f>
        <v>37.28</v>
      </c>
      <c r="N6" s="20">
        <f>_xll.BDH("ITCI US Equity","PX_LAST","FQ4 2021","FQ4 2021","Currency=USD","Period=FQ","BEST_FPERIOD_OVERRIDE=FQ","FILING_STATUS=MR","Sort=A","Dates=H","DateFormat=P","Fill=—","Direction=H","UseDPDF=Y")</f>
        <v>52.34</v>
      </c>
      <c r="O6" s="20">
        <f>_xll.BDH("ITCI US Equity","PX_LAST","FQ1 2022","FQ1 2022","Currency=USD","Period=FQ","BEST_FPERIOD_OVERRIDE=FQ","FILING_STATUS=MR","Sort=A","Dates=H","DateFormat=P","Fill=—","Direction=H","UseDPDF=Y")</f>
        <v>61.19</v>
      </c>
      <c r="P6" s="20">
        <f>_xll.BDH("ITCI US Equity","PX_LAST","FQ2 2022","FQ2 2022","Currency=USD","Period=FQ","BEST_FPERIOD_OVERRIDE=FQ","FILING_STATUS=MR","Sort=A","Dates=H","DateFormat=P","Fill=—","Direction=H","UseDPDF=Y")</f>
        <v>57.08</v>
      </c>
      <c r="Q6" s="20">
        <f>_xll.BDH("ITCI US Equity","PX_LAST","FQ3 2022","FQ3 2022","Currency=USD","Period=FQ","BEST_FPERIOD_OVERRIDE=FQ","FILING_STATUS=MR","Sort=A","Dates=H","DateFormat=P","Fill=—","Direction=H","UseDPDF=Y")</f>
        <v>46.53</v>
      </c>
      <c r="R6" s="20">
        <f>_xll.BDH("ITCI US Equity","PX_LAST","FQ4 2022","FQ4 2022","Currency=USD","Period=FQ","BEST_FPERIOD_OVERRIDE=FQ","FILING_STATUS=MR","Sort=A","Dates=H","DateFormat=P","Fill=—","Direction=H","UseDPDF=Y")</f>
        <v>52.92</v>
      </c>
      <c r="S6" s="20">
        <f>_xll.BDH("ITCI US Equity","PX_LAST","FQ1 2023","FQ1 2023","Currency=USD","Period=FQ","BEST_FPERIOD_OVERRIDE=FQ","FILING_STATUS=MR","Sort=A","Dates=H","DateFormat=P","Fill=—","Direction=H","UseDPDF=Y")</f>
        <v>54.15</v>
      </c>
      <c r="T6" s="20">
        <f>_xll.BDH("ITCI US Equity","PX_LAST","FQ2 2023","FQ2 2023","Currency=USD","Period=FQ","BEST_FPERIOD_OVERRIDE=FQ","FILING_STATUS=MR","Sort=A","Dates=H","DateFormat=P","Fill=—","Direction=H","UseDPDF=Y")</f>
        <v>63.32</v>
      </c>
      <c r="U6" s="20">
        <f>_xll.BDH("ITCI US Equity","PX_LAST","FQ3 2023","FQ3 2023","Currency=USD","Period=FQ","BEST_FPERIOD_OVERRIDE=FQ","FILING_STATUS=MR","Sort=A","Dates=H","DateFormat=P","Fill=—","Direction=H","UseDPDF=Y")</f>
        <v>52.09</v>
      </c>
      <c r="V6" s="20">
        <f>_xll.BDH("ITCI US Equity","PX_LAST","FQ4 2023","FQ4 2023","Currency=USD","Period=FQ","BEST_FPERIOD_OVERRIDE=FQ","FILING_STATUS=MR","Sort=A","Dates=H","DateFormat=P","Fill=—","Direction=H","UseDPDF=Y")</f>
        <v>71.62</v>
      </c>
      <c r="W6" s="20">
        <f>_xll.BDH("ITCI US Equity","PX_LAST","FQ1 2024","FQ1 2024","Currency=USD","Period=FQ","BEST_FPERIOD_OVERRIDE=FQ","FILING_STATUS=MR","Sort=A","Dates=H","DateFormat=P","Fill=—","Direction=H","UseDPDF=Y")</f>
        <v>69.2</v>
      </c>
      <c r="X6" s="20">
        <f>_xll.BDH("ITCI US Equity","PX_LAST","FQ2 2024","FQ2 2024","Currency=USD","Period=FQ","BEST_FPERIOD_OVERRIDE=FQ","FILING_STATUS=MR","Sort=A","Dates=H","DateFormat=P","Fill=—","Direction=H","UseDPDF=Y")</f>
        <v>68.489999999999995</v>
      </c>
      <c r="Y6" s="20">
        <f>_xll.BDH("ITCI US Equity","PX_LAST","FQ3 2024","FQ3 2024","Currency=USD","Period=FQ","BEST_FPERIOD_OVERRIDE=FQ","FILING_STATUS=MR","Sort=A","Dates=H","DateFormat=P","Fill=—","Direction=H","UseDPDF=Y")</f>
        <v>73.17</v>
      </c>
      <c r="Z6" s="20">
        <f>_xll.BDH("ITCI US Equity","PX_LAST","FQ4 2024","FQ4 2024","Currency=USD","Period=FQ","BEST_FPERIOD_OVERRIDE=FQ","FILING_STATUS=MR","Sort=A","Dates=H","DateFormat=P","Fill=—","Direction=H","UseDPDF=Y")</f>
        <v>83.52</v>
      </c>
      <c r="AA6" s="23">
        <v>131.80999755859401</v>
      </c>
    </row>
    <row r="7" spans="1:27" x14ac:dyDescent="0.25">
      <c r="A7" s="11" t="s">
        <v>255</v>
      </c>
      <c r="B7" s="11" t="s">
        <v>256</v>
      </c>
      <c r="C7" s="26">
        <f>_xll.BDH("ITCI US Equity","CHG_PCT_PERIOD","FQ1 2019","FQ1 2019","Currency=USD","Period=FQ","BEST_FPERIOD_OVERRIDE=FQ","FILING_STATUS=MR","Sort=A","Dates=H","DateFormat=P","Fill=—","Direction=H","UseDPDF=Y")</f>
        <v>6.9359000000000002</v>
      </c>
      <c r="D7" s="26">
        <f>_xll.BDH("ITCI US Equity","CHG_PCT_PERIOD","FQ2 2019","FQ2 2019","Currency=USD","Period=FQ","BEST_FPERIOD_OVERRIDE=FQ","FILING_STATUS=MR","Sort=A","Dates=H","DateFormat=P","Fill=—","Direction=H","UseDPDF=Y")</f>
        <v>6.5681000000000003</v>
      </c>
      <c r="E7" s="26" t="str">
        <f>_xll.BDH("ITCI US Equity","CHG_PCT_PERIOD","FQ3 2019","FQ3 2019","Currency=USD","Period=FQ","BEST_FPERIOD_OVERRIDE=FQ","FILING_STATUS=MR","Sort=A","Dates=H","DateFormat=P","Fill=—","Direction=H","UseDPDF=Y")</f>
        <v>—</v>
      </c>
      <c r="F7" s="26">
        <f>_xll.BDH("ITCI US Equity","CHG_PCT_PERIOD","FQ4 2019","FQ4 2019","Currency=USD","Period=FQ","BEST_FPERIOD_OVERRIDE=FQ","FILING_STATUS=MR","Sort=A","Dates=H","DateFormat=P","Fill=—","Direction=H","UseDPDF=Y")</f>
        <v>359.3039</v>
      </c>
      <c r="G7" s="26">
        <f>_xll.BDH("ITCI US Equity","CHG_PCT_PERIOD","FQ1 2020","FQ1 2020","Currency=USD","Period=FQ","BEST_FPERIOD_OVERRIDE=FQ","FILING_STATUS=MR","Sort=A","Dates=H","DateFormat=P","Fill=—","Direction=H","UseDPDF=Y")</f>
        <v>-55.202599999999997</v>
      </c>
      <c r="H7" s="26">
        <f>_xll.BDH("ITCI US Equity","CHG_PCT_PERIOD","FQ2 2020","FQ2 2020","Currency=USD","Period=FQ","BEST_FPERIOD_OVERRIDE=FQ","FILING_STATUS=MR","Sort=A","Dates=H","DateFormat=P","Fill=—","Direction=H","UseDPDF=Y")</f>
        <v>67.0137</v>
      </c>
      <c r="I7" s="26">
        <f>_xll.BDH("ITCI US Equity","CHG_PCT_PERIOD","FQ3 2020","FQ3 2020","Currency=USD","Period=FQ","BEST_FPERIOD_OVERRIDE=FQ","FILING_STATUS=MR","Sort=A","Dates=H","DateFormat=P","Fill=—","Direction=H","UseDPDF=Y")</f>
        <v>-3.9E-2</v>
      </c>
      <c r="J7" s="26">
        <f>_xll.BDH("ITCI US Equity","CHG_PCT_PERIOD","FQ4 2020","FQ4 2020","Currency=USD","Period=FQ","BEST_FPERIOD_OVERRIDE=FQ","FILING_STATUS=MR","Sort=A","Dates=H","DateFormat=P","Fill=—","Direction=H","UseDPDF=Y")</f>
        <v>23.9283</v>
      </c>
      <c r="K7" s="26">
        <f>_xll.BDH("ITCI US Equity","CHG_PCT_PERIOD","FQ1 2021","FQ1 2021","Currency=USD","Period=FQ","BEST_FPERIOD_OVERRIDE=FQ","FILING_STATUS=MR","Sort=A","Dates=H","DateFormat=P","Fill=—","Direction=H","UseDPDF=Y")</f>
        <v>6.6981000000000002</v>
      </c>
      <c r="L7" s="26">
        <f>_xll.BDH("ITCI US Equity","CHG_PCT_PERIOD","FQ2 2021","FQ2 2021","Currency=USD","Period=FQ","BEST_FPERIOD_OVERRIDE=FQ","FILING_STATUS=MR","Sort=A","Dates=H","DateFormat=P","Fill=—","Direction=H","UseDPDF=Y")</f>
        <v>20.3065</v>
      </c>
      <c r="M7" s="26">
        <f>_xll.BDH("ITCI US Equity","CHG_PCT_PERIOD","FQ3 2021","FQ3 2021","Currency=USD","Period=FQ","BEST_FPERIOD_OVERRIDE=FQ","FILING_STATUS=MR","Sort=A","Dates=H","DateFormat=P","Fill=—","Direction=H","UseDPDF=Y")</f>
        <v>-8.6722000000000001</v>
      </c>
      <c r="N7" s="26">
        <f>_xll.BDH("ITCI US Equity","CHG_PCT_PERIOD","FQ4 2021","FQ4 2021","Currency=USD","Period=FQ","BEST_FPERIOD_OVERRIDE=FQ","FILING_STATUS=MR","Sort=A","Dates=H","DateFormat=P","Fill=—","Direction=H","UseDPDF=Y")</f>
        <v>40.396999999999998</v>
      </c>
      <c r="O7" s="26">
        <f>_xll.BDH("ITCI US Equity","CHG_PCT_PERIOD","FQ1 2022","FQ1 2022","Currency=USD","Period=FQ","BEST_FPERIOD_OVERRIDE=FQ","FILING_STATUS=MR","Sort=A","Dates=H","DateFormat=P","Fill=—","Direction=H","UseDPDF=Y")</f>
        <v>16.9087</v>
      </c>
      <c r="P7" s="26">
        <f>_xll.BDH("ITCI US Equity","CHG_PCT_PERIOD","FQ2 2022","FQ2 2022","Currency=USD","Period=FQ","BEST_FPERIOD_OVERRIDE=FQ","FILING_STATUS=MR","Sort=A","Dates=H","DateFormat=P","Fill=—","Direction=H","UseDPDF=Y")</f>
        <v>-6.7168000000000001</v>
      </c>
      <c r="Q7" s="26">
        <f>_xll.BDH("ITCI US Equity","CHG_PCT_PERIOD","FQ3 2022","FQ3 2022","Currency=USD","Period=FQ","BEST_FPERIOD_OVERRIDE=FQ","FILING_STATUS=MR","Sort=A","Dates=H","DateFormat=P","Fill=—","Direction=H","UseDPDF=Y")</f>
        <v>-18.482800000000001</v>
      </c>
      <c r="R7" s="26">
        <f>_xll.BDH("ITCI US Equity","CHG_PCT_PERIOD","FQ4 2022","FQ4 2022","Currency=USD","Period=FQ","BEST_FPERIOD_OVERRIDE=FQ","FILING_STATUS=MR","Sort=A","Dates=H","DateFormat=P","Fill=—","Direction=H","UseDPDF=Y")</f>
        <v>13.7331</v>
      </c>
      <c r="S7" s="26">
        <f>_xll.BDH("ITCI US Equity","CHG_PCT_PERIOD","FQ1 2023","FQ1 2023","Currency=USD","Period=FQ","BEST_FPERIOD_OVERRIDE=FQ","FILING_STATUS=MR","Sort=A","Dates=H","DateFormat=P","Fill=—","Direction=H","UseDPDF=Y")</f>
        <v>2.3243</v>
      </c>
      <c r="T7" s="26">
        <f>_xll.BDH("ITCI US Equity","CHG_PCT_PERIOD","FQ2 2023","FQ2 2023","Currency=USD","Period=FQ","BEST_FPERIOD_OVERRIDE=FQ","FILING_STATUS=MR","Sort=A","Dates=H","DateFormat=P","Fill=—","Direction=H","UseDPDF=Y")</f>
        <v>16.9344</v>
      </c>
      <c r="U7" s="26">
        <f>_xll.BDH("ITCI US Equity","CHG_PCT_PERIOD","FQ3 2023","FQ3 2023","Currency=USD","Period=FQ","BEST_FPERIOD_OVERRIDE=FQ","FILING_STATUS=MR","Sort=A","Dates=H","DateFormat=P","Fill=—","Direction=H","UseDPDF=Y")</f>
        <v>-17.735299999999999</v>
      </c>
      <c r="V7" s="26">
        <f>_xll.BDH("ITCI US Equity","CHG_PCT_PERIOD","FQ4 2023","FQ4 2023","Currency=USD","Period=FQ","BEST_FPERIOD_OVERRIDE=FQ","FILING_STATUS=MR","Sort=A","Dates=H","DateFormat=P","Fill=—","Direction=H","UseDPDF=Y")</f>
        <v>37.492800000000003</v>
      </c>
      <c r="W7" s="26">
        <f>_xll.BDH("ITCI US Equity","CHG_PCT_PERIOD","FQ1 2024","FQ1 2024","Currency=USD","Period=FQ","BEST_FPERIOD_OVERRIDE=FQ","FILING_STATUS=MR","Sort=A","Dates=H","DateFormat=P","Fill=—","Direction=H","UseDPDF=Y")</f>
        <v>-3.3788999999999998</v>
      </c>
      <c r="X7" s="26" t="str">
        <f>_xll.BDH("ITCI US Equity","CHG_PCT_PERIOD","FQ2 2024","FQ2 2024","Currency=USD","Period=FQ","BEST_FPERIOD_OVERRIDE=FQ","FILING_STATUS=MR","Sort=A","Dates=H","DateFormat=P","Fill=—","Direction=H","UseDPDF=Y")</f>
        <v>—</v>
      </c>
      <c r="Y7" s="26" t="str">
        <f>_xll.BDH("ITCI US Equity","CHG_PCT_PERIOD","FQ3 2024","FQ3 2024","Currency=USD","Period=FQ","BEST_FPERIOD_OVERRIDE=FQ","FILING_STATUS=MR","Sort=A","Dates=H","DateFormat=P","Fill=—","Direction=H","UseDPDF=Y")</f>
        <v>—</v>
      </c>
      <c r="Z7" s="26">
        <f>_xll.BDH("ITCI US Equity","CHG_PCT_PERIOD","FQ4 2024","FQ4 2024","Currency=USD","Period=FQ","BEST_FPERIOD_OVERRIDE=FQ","FILING_STATUS=MR","Sort=A","Dates=H","DateFormat=P","Fill=—","Direction=H","UseDPDF=Y")</f>
        <v>14.145099999999999</v>
      </c>
      <c r="AA7" s="29"/>
    </row>
    <row r="8" spans="1:27" x14ac:dyDescent="0.25">
      <c r="A8" s="10" t="s">
        <v>257</v>
      </c>
      <c r="B8" s="10" t="s">
        <v>258</v>
      </c>
      <c r="C8" s="14">
        <f>_xll.BDH("ITCI US Equity","PX_OPEN","FQ1 2019","FQ1 2019","Currency=USD","Period=FQ","BEST_FPERIOD_OVERRIDE=FQ","FILING_STATUS=MR","Sort=A","Dates=H","DateFormat=P","Fill=—","Direction=H","UseDPDF=Y")</f>
        <v>11.12</v>
      </c>
      <c r="D8" s="14">
        <f>_xll.BDH("ITCI US Equity","PX_OPEN","FQ2 2019","FQ2 2019","Currency=USD","Period=FQ","BEST_FPERIOD_OVERRIDE=FQ","FILING_STATUS=MR","Sort=A","Dates=H","DateFormat=P","Fill=—","Direction=H","UseDPDF=Y")</f>
        <v>12.32</v>
      </c>
      <c r="E8" s="14">
        <f>_xll.BDH("ITCI US Equity","PX_OPEN","FQ3 2019","FQ3 2019","Currency=USD","Period=FQ","BEST_FPERIOD_OVERRIDE=FQ","FILING_STATUS=MR","Sort=A","Dates=H","DateFormat=P","Fill=—","Direction=H","UseDPDF=Y")</f>
        <v>13.23</v>
      </c>
      <c r="F8" s="14">
        <f>_xll.BDH("ITCI US Equity","PX_OPEN","FQ4 2019","FQ4 2019","Currency=USD","Period=FQ","BEST_FPERIOD_OVERRIDE=FQ","FILING_STATUS=MR","Sort=A","Dates=H","DateFormat=P","Fill=—","Direction=H","UseDPDF=Y")</f>
        <v>7.45</v>
      </c>
      <c r="G8" s="14">
        <f>_xll.BDH("ITCI US Equity","PX_OPEN","FQ1 2020","FQ1 2020","Currency=USD","Period=FQ","BEST_FPERIOD_OVERRIDE=FQ","FILING_STATUS=MR","Sort=A","Dates=H","DateFormat=P","Fill=—","Direction=H","UseDPDF=Y")</f>
        <v>34.299999999999997</v>
      </c>
      <c r="H8" s="14">
        <f>_xll.BDH("ITCI US Equity","PX_OPEN","FQ2 2020","FQ2 2020","Currency=USD","Period=FQ","BEST_FPERIOD_OVERRIDE=FQ","FILING_STATUS=MR","Sort=A","Dates=H","DateFormat=P","Fill=—","Direction=H","UseDPDF=Y")</f>
        <v>14.85</v>
      </c>
      <c r="I8" s="14">
        <f>_xll.BDH("ITCI US Equity","PX_OPEN","FQ3 2020","FQ3 2020","Currency=USD","Period=FQ","BEST_FPERIOD_OVERRIDE=FQ","FILING_STATUS=MR","Sort=A","Dates=H","DateFormat=P","Fill=—","Direction=H","UseDPDF=Y")</f>
        <v>25.45</v>
      </c>
      <c r="J8" s="14">
        <f>_xll.BDH("ITCI US Equity","PX_OPEN","FQ4 2020","FQ4 2020","Currency=USD","Period=FQ","BEST_FPERIOD_OVERRIDE=FQ","FILING_STATUS=MR","Sort=A","Dates=H","DateFormat=P","Fill=—","Direction=H","UseDPDF=Y")</f>
        <v>25.89</v>
      </c>
      <c r="K8" s="14">
        <f>_xll.BDH("ITCI US Equity","PX_OPEN","FQ1 2021","FQ1 2021","Currency=USD","Period=FQ","BEST_FPERIOD_OVERRIDE=FQ","FILING_STATUS=MR","Sort=A","Dates=H","DateFormat=P","Fill=—","Direction=H","UseDPDF=Y")</f>
        <v>32.015000000000001</v>
      </c>
      <c r="L8" s="14">
        <f>_xll.BDH("ITCI US Equity","PX_OPEN","FQ2 2021","FQ2 2021","Currency=USD","Period=FQ","BEST_FPERIOD_OVERRIDE=FQ","FILING_STATUS=MR","Sort=A","Dates=H","DateFormat=P","Fill=—","Direction=H","UseDPDF=Y")</f>
        <v>33.92</v>
      </c>
      <c r="M8" s="14">
        <f>_xll.BDH("ITCI US Equity","PX_OPEN","FQ3 2021","FQ3 2021","Currency=USD","Period=FQ","BEST_FPERIOD_OVERRIDE=FQ","FILING_STATUS=MR","Sort=A","Dates=H","DateFormat=P","Fill=—","Direction=H","UseDPDF=Y")</f>
        <v>40.89</v>
      </c>
      <c r="N8" s="14">
        <f>_xll.BDH("ITCI US Equity","PX_OPEN","FQ4 2021","FQ4 2021","Currency=USD","Period=FQ","BEST_FPERIOD_OVERRIDE=FQ","FILING_STATUS=MR","Sort=A","Dates=H","DateFormat=P","Fill=—","Direction=H","UseDPDF=Y")</f>
        <v>37.4</v>
      </c>
      <c r="O8" s="14">
        <f>_xll.BDH("ITCI US Equity","PX_OPEN","FQ1 2022","FQ1 2022","Currency=USD","Period=FQ","BEST_FPERIOD_OVERRIDE=FQ","FILING_STATUS=MR","Sort=A","Dates=H","DateFormat=P","Fill=—","Direction=H","UseDPDF=Y")</f>
        <v>52.42</v>
      </c>
      <c r="P8" s="14">
        <f>_xll.BDH("ITCI US Equity","PX_OPEN","FQ2 2022","FQ2 2022","Currency=USD","Period=FQ","BEST_FPERIOD_OVERRIDE=FQ","FILING_STATUS=MR","Sort=A","Dates=H","DateFormat=P","Fill=—","Direction=H","UseDPDF=Y")</f>
        <v>61.15</v>
      </c>
      <c r="Q8" s="14">
        <f>_xll.BDH("ITCI US Equity","PX_OPEN","FQ3 2022","FQ3 2022","Currency=USD","Period=FQ","BEST_FPERIOD_OVERRIDE=FQ","FILING_STATUS=MR","Sort=A","Dates=H","DateFormat=P","Fill=—","Direction=H","UseDPDF=Y")</f>
        <v>56.67</v>
      </c>
      <c r="R8" s="14">
        <f>_xll.BDH("ITCI US Equity","PX_OPEN","FQ4 2022","FQ4 2022","Currency=USD","Period=FQ","BEST_FPERIOD_OVERRIDE=FQ","FILING_STATUS=MR","Sort=A","Dates=H","DateFormat=P","Fill=—","Direction=H","UseDPDF=Y")</f>
        <v>46.53</v>
      </c>
      <c r="S8" s="14">
        <f>_xll.BDH("ITCI US Equity","PX_OPEN","FQ1 2023","FQ1 2023","Currency=USD","Period=FQ","BEST_FPERIOD_OVERRIDE=FQ","FILING_STATUS=MR","Sort=A","Dates=H","DateFormat=P","Fill=—","Direction=H","UseDPDF=Y")</f>
        <v>52.89</v>
      </c>
      <c r="T8" s="14">
        <f>_xll.BDH("ITCI US Equity","PX_OPEN","FQ2 2023","FQ2 2023","Currency=USD","Period=FQ","BEST_FPERIOD_OVERRIDE=FQ","FILING_STATUS=MR","Sort=A","Dates=H","DateFormat=P","Fill=—","Direction=H","UseDPDF=Y")</f>
        <v>54.18</v>
      </c>
      <c r="U8" s="14">
        <f>_xll.BDH("ITCI US Equity","PX_OPEN","FQ3 2023","FQ3 2023","Currency=USD","Period=FQ","BEST_FPERIOD_OVERRIDE=FQ","FILING_STATUS=MR","Sort=A","Dates=H","DateFormat=P","Fill=—","Direction=H","UseDPDF=Y")</f>
        <v>62.91</v>
      </c>
      <c r="V8" s="14">
        <f>_xll.BDH("ITCI US Equity","PX_OPEN","FQ4 2023","FQ4 2023","Currency=USD","Period=FQ","BEST_FPERIOD_OVERRIDE=FQ","FILING_STATUS=MR","Sort=A","Dates=H","DateFormat=P","Fill=—","Direction=H","UseDPDF=Y")</f>
        <v>51.83</v>
      </c>
      <c r="W8" s="14">
        <f>_xll.BDH("ITCI US Equity","PX_OPEN","FQ1 2024","FQ1 2024","Currency=USD","Period=FQ","BEST_FPERIOD_OVERRIDE=FQ","FILING_STATUS=MR","Sort=A","Dates=H","DateFormat=P","Fill=—","Direction=H","UseDPDF=Y")</f>
        <v>70.69</v>
      </c>
      <c r="X8" s="14">
        <f>_xll.BDH("ITCI US Equity","PX_OPEN","FQ2 2024","FQ2 2024","Currency=USD","Period=FQ","BEST_FPERIOD_OVERRIDE=FQ","FILING_STATUS=MR","Sort=A","Dates=H","DateFormat=P","Fill=—","Direction=H","UseDPDF=Y")</f>
        <v>69.2</v>
      </c>
      <c r="Y8" s="14">
        <f>_xll.BDH("ITCI US Equity","PX_OPEN","FQ3 2024","FQ3 2024","Currency=USD","Period=FQ","BEST_FPERIOD_OVERRIDE=FQ","FILING_STATUS=MR","Sort=A","Dates=H","DateFormat=P","Fill=—","Direction=H","UseDPDF=Y")</f>
        <v>68.38</v>
      </c>
      <c r="Z8" s="14">
        <f>_xll.BDH("ITCI US Equity","PX_OPEN","FQ4 2024","FQ4 2024","Currency=USD","Period=FQ","BEST_FPERIOD_OVERRIDE=FQ","FILING_STATUS=MR","Sort=A","Dates=H","DateFormat=P","Fill=—","Direction=H","UseDPDF=Y")</f>
        <v>73.63</v>
      </c>
      <c r="AA8" s="17">
        <v>131.85000610351599</v>
      </c>
    </row>
    <row r="9" spans="1:27" x14ac:dyDescent="0.25">
      <c r="A9" s="10" t="s">
        <v>259</v>
      </c>
      <c r="B9" s="10" t="s">
        <v>221</v>
      </c>
      <c r="C9" s="14">
        <f>_xll.BDH("ITCI US Equity","PX_HIGH","FQ1 2019","FQ1 2019","Currency=USD","Period=FQ","BEST_FPERIOD_OVERRIDE=FQ","FILING_STATUS=MR","Sort=A","Dates=H","DateFormat=P","Fill=—","Direction=H","UseDPDF=Y")</f>
        <v>15</v>
      </c>
      <c r="D9" s="14">
        <f>_xll.BDH("ITCI US Equity","PX_HIGH","FQ2 2019","FQ2 2019","Currency=USD","Period=FQ","BEST_FPERIOD_OVERRIDE=FQ","FILING_STATUS=MR","Sort=A","Dates=H","DateFormat=P","Fill=—","Direction=H","UseDPDF=Y")</f>
        <v>14.41</v>
      </c>
      <c r="E9" s="14">
        <f>_xll.BDH("ITCI US Equity","PX_HIGH","FQ3 2019","FQ3 2019","Currency=USD","Period=FQ","BEST_FPERIOD_OVERRIDE=FQ","FILING_STATUS=MR","Sort=A","Dates=H","DateFormat=P","Fill=—","Direction=H","UseDPDF=Y")</f>
        <v>14.73</v>
      </c>
      <c r="F9" s="14">
        <f>_xll.BDH("ITCI US Equity","PX_HIGH","FQ4 2019","FQ4 2019","Currency=USD","Period=FQ","BEST_FPERIOD_OVERRIDE=FQ","FILING_STATUS=MR","Sort=A","Dates=H","DateFormat=P","Fill=—","Direction=H","UseDPDF=Y")</f>
        <v>43.56</v>
      </c>
      <c r="G9" s="14">
        <f>_xll.BDH("ITCI US Equity","PX_HIGH","FQ1 2020","FQ1 2020","Currency=USD","Period=FQ","BEST_FPERIOD_OVERRIDE=FQ","FILING_STATUS=MR","Sort=A","Dates=H","DateFormat=P","Fill=—","Direction=H","UseDPDF=Y")</f>
        <v>34.31</v>
      </c>
      <c r="H9" s="14">
        <f>_xll.BDH("ITCI US Equity","PX_HIGH","FQ2 2020","FQ2 2020","Currency=USD","Period=FQ","BEST_FPERIOD_OVERRIDE=FQ","FILING_STATUS=MR","Sort=A","Dates=H","DateFormat=P","Fill=—","Direction=H","UseDPDF=Y")</f>
        <v>27.65</v>
      </c>
      <c r="I9" s="14">
        <f>_xll.BDH("ITCI US Equity","PX_HIGH","FQ3 2020","FQ3 2020","Currency=USD","Period=FQ","BEST_FPERIOD_OVERRIDE=FQ","FILING_STATUS=MR","Sort=A","Dates=H","DateFormat=P","Fill=—","Direction=H","UseDPDF=Y")</f>
        <v>33.74</v>
      </c>
      <c r="J9" s="14">
        <f>_xll.BDH("ITCI US Equity","PX_HIGH","FQ4 2020","FQ4 2020","Currency=USD","Period=FQ","BEST_FPERIOD_OVERRIDE=FQ","FILING_STATUS=MR","Sort=A","Dates=H","DateFormat=P","Fill=—","Direction=H","UseDPDF=Y")</f>
        <v>32.549999999999997</v>
      </c>
      <c r="K9" s="14">
        <f>_xll.BDH("ITCI US Equity","PX_HIGH","FQ1 2021","FQ1 2021","Currency=USD","Period=FQ","BEST_FPERIOD_OVERRIDE=FQ","FILING_STATUS=MR","Sort=A","Dates=H","DateFormat=P","Fill=—","Direction=H","UseDPDF=Y")</f>
        <v>40.005000000000003</v>
      </c>
      <c r="L9" s="14">
        <f>_xll.BDH("ITCI US Equity","PX_HIGH","FQ2 2021","FQ2 2021","Currency=USD","Period=FQ","BEST_FPERIOD_OVERRIDE=FQ","FILING_STATUS=MR","Sort=A","Dates=H","DateFormat=P","Fill=—","Direction=H","UseDPDF=Y")</f>
        <v>44.8</v>
      </c>
      <c r="M9" s="14">
        <f>_xll.BDH("ITCI US Equity","PX_HIGH","FQ3 2021","FQ3 2021","Currency=USD","Period=FQ","BEST_FPERIOD_OVERRIDE=FQ","FILING_STATUS=MR","Sort=A","Dates=H","DateFormat=P","Fill=—","Direction=H","UseDPDF=Y")</f>
        <v>42.99</v>
      </c>
      <c r="N9" s="14">
        <f>_xll.BDH("ITCI US Equity","PX_HIGH","FQ4 2021","FQ4 2021","Currency=USD","Period=FQ","BEST_FPERIOD_OVERRIDE=FQ","FILING_STATUS=MR","Sort=A","Dates=H","DateFormat=P","Fill=—","Direction=H","UseDPDF=Y")</f>
        <v>55.195</v>
      </c>
      <c r="O9" s="14">
        <f>_xll.BDH("ITCI US Equity","PX_HIGH","FQ1 2022","FQ1 2022","Currency=USD","Period=FQ","BEST_FPERIOD_OVERRIDE=FQ","FILING_STATUS=MR","Sort=A","Dates=H","DateFormat=P","Fill=—","Direction=H","UseDPDF=Y")</f>
        <v>65.6935</v>
      </c>
      <c r="P9" s="14">
        <f>_xll.BDH("ITCI US Equity","PX_HIGH","FQ2 2022","FQ2 2022","Currency=USD","Period=FQ","BEST_FPERIOD_OVERRIDE=FQ","FILING_STATUS=MR","Sort=A","Dates=H","DateFormat=P","Fill=—","Direction=H","UseDPDF=Y")</f>
        <v>66</v>
      </c>
      <c r="Q9" s="14">
        <f>_xll.BDH("ITCI US Equity","PX_HIGH","FQ3 2022","FQ3 2022","Currency=USD","Period=FQ","BEST_FPERIOD_OVERRIDE=FQ","FILING_STATUS=MR","Sort=A","Dates=H","DateFormat=P","Fill=—","Direction=H","UseDPDF=Y")</f>
        <v>61</v>
      </c>
      <c r="R9" s="14">
        <f>_xll.BDH("ITCI US Equity","PX_HIGH","FQ4 2022","FQ4 2022","Currency=USD","Period=FQ","BEST_FPERIOD_OVERRIDE=FQ","FILING_STATUS=MR","Sort=A","Dates=H","DateFormat=P","Fill=—","Direction=H","UseDPDF=Y")</f>
        <v>55</v>
      </c>
      <c r="S9" s="14">
        <f>_xll.BDH("ITCI US Equity","PX_HIGH","FQ1 2023","FQ1 2023","Currency=USD","Period=FQ","BEST_FPERIOD_OVERRIDE=FQ","FILING_STATUS=MR","Sort=A","Dates=H","DateFormat=P","Fill=—","Direction=H","UseDPDF=Y")</f>
        <v>57.9</v>
      </c>
      <c r="T9" s="14">
        <f>_xll.BDH("ITCI US Equity","PX_HIGH","FQ2 2023","FQ2 2023","Currency=USD","Period=FQ","BEST_FPERIOD_OVERRIDE=FQ","FILING_STATUS=MR","Sort=A","Dates=H","DateFormat=P","Fill=—","Direction=H","UseDPDF=Y")</f>
        <v>67.05</v>
      </c>
      <c r="U9" s="14">
        <f>_xll.BDH("ITCI US Equity","PX_HIGH","FQ3 2023","FQ3 2023","Currency=USD","Period=FQ","BEST_FPERIOD_OVERRIDE=FQ","FILING_STATUS=MR","Sort=A","Dates=H","DateFormat=P","Fill=—","Direction=H","UseDPDF=Y")</f>
        <v>65</v>
      </c>
      <c r="V9" s="14">
        <f>_xll.BDH("ITCI US Equity","PX_HIGH","FQ4 2023","FQ4 2023","Currency=USD","Period=FQ","BEST_FPERIOD_OVERRIDE=FQ","FILING_STATUS=MR","Sort=A","Dates=H","DateFormat=P","Fill=—","Direction=H","UseDPDF=Y")</f>
        <v>74.165000000000006</v>
      </c>
      <c r="W9" s="14">
        <f>_xll.BDH("ITCI US Equity","PX_HIGH","FQ1 2024","FQ1 2024","Currency=USD","Period=FQ","BEST_FPERIOD_OVERRIDE=FQ","FILING_STATUS=MR","Sort=A","Dates=H","DateFormat=P","Fill=—","Direction=H","UseDPDF=Y")</f>
        <v>76.11</v>
      </c>
      <c r="X9" s="14">
        <f>_xll.BDH("ITCI US Equity","PX_HIGH","FQ2 2024","FQ2 2024","Currency=USD","Period=FQ","BEST_FPERIOD_OVERRIDE=FQ","FILING_STATUS=MR","Sort=A","Dates=H","DateFormat=P","Fill=—","Direction=H","UseDPDF=Y")</f>
        <v>84.89</v>
      </c>
      <c r="Y9" s="14">
        <f>_xll.BDH("ITCI US Equity","PX_HIGH","FQ3 2024","FQ3 2024","Currency=USD","Period=FQ","BEST_FPERIOD_OVERRIDE=FQ","FILING_STATUS=MR","Sort=A","Dates=H","DateFormat=P","Fill=—","Direction=H","UseDPDF=Y")</f>
        <v>82</v>
      </c>
      <c r="Z9" s="14">
        <f>_xll.BDH("ITCI US Equity","PX_HIGH","FQ4 2024","FQ4 2024","Currency=USD","Period=FQ","BEST_FPERIOD_OVERRIDE=FQ","FILING_STATUS=MR","Sort=A","Dates=H","DateFormat=P","Fill=—","Direction=H","UseDPDF=Y")</f>
        <v>93.45</v>
      </c>
      <c r="AA9" s="17">
        <v>131.86999511718801</v>
      </c>
    </row>
    <row r="10" spans="1:27" x14ac:dyDescent="0.25">
      <c r="A10" s="10" t="s">
        <v>260</v>
      </c>
      <c r="B10" s="10" t="s">
        <v>222</v>
      </c>
      <c r="C10" s="14">
        <f>_xll.BDH("ITCI US Equity","PX_LOW","FQ1 2019","FQ1 2019","Currency=USD","Period=FQ","BEST_FPERIOD_OVERRIDE=FQ","FILING_STATUS=MR","Sort=A","Dates=H","DateFormat=P","Fill=—","Direction=H","UseDPDF=Y")</f>
        <v>10.34</v>
      </c>
      <c r="D10" s="14">
        <f>_xll.BDH("ITCI US Equity","PX_LOW","FQ2 2019","FQ2 2019","Currency=USD","Period=FQ","BEST_FPERIOD_OVERRIDE=FQ","FILING_STATUS=MR","Sort=A","Dates=H","DateFormat=P","Fill=—","Direction=H","UseDPDF=Y")</f>
        <v>10.34</v>
      </c>
      <c r="E10" s="14">
        <f>_xll.BDH("ITCI US Equity","PX_LOW","FQ3 2019","FQ3 2019","Currency=USD","Period=FQ","BEST_FPERIOD_OVERRIDE=FQ","FILING_STATUS=MR","Sort=A","Dates=H","DateFormat=P","Fill=—","Direction=H","UseDPDF=Y")</f>
        <v>7.28</v>
      </c>
      <c r="F10" s="14">
        <f>_xll.BDH("ITCI US Equity","PX_LOW","FQ4 2019","FQ4 2019","Currency=USD","Period=FQ","BEST_FPERIOD_OVERRIDE=FQ","FILING_STATUS=MR","Sort=A","Dates=H","DateFormat=P","Fill=—","Direction=H","UseDPDF=Y")</f>
        <v>6.75</v>
      </c>
      <c r="G10" s="14">
        <f>_xll.BDH("ITCI US Equity","PX_LOW","FQ1 2020","FQ1 2020","Currency=USD","Period=FQ","BEST_FPERIOD_OVERRIDE=FQ","FILING_STATUS=MR","Sort=A","Dates=H","DateFormat=P","Fill=—","Direction=H","UseDPDF=Y")</f>
        <v>10.935</v>
      </c>
      <c r="H10" s="14">
        <f>_xll.BDH("ITCI US Equity","PX_LOW","FQ2 2020","FQ2 2020","Currency=USD","Period=FQ","BEST_FPERIOD_OVERRIDE=FQ","FILING_STATUS=MR","Sort=A","Dates=H","DateFormat=P","Fill=—","Direction=H","UseDPDF=Y")</f>
        <v>14</v>
      </c>
      <c r="I10" s="14">
        <f>_xll.BDH("ITCI US Equity","PX_LOW","FQ3 2020","FQ3 2020","Currency=USD","Period=FQ","BEST_FPERIOD_OVERRIDE=FQ","FILING_STATUS=MR","Sort=A","Dates=H","DateFormat=P","Fill=—","Direction=H","UseDPDF=Y")</f>
        <v>17.260000000000002</v>
      </c>
      <c r="J10" s="14">
        <f>_xll.BDH("ITCI US Equity","PX_LOW","FQ4 2020","FQ4 2020","Currency=USD","Period=FQ","BEST_FPERIOD_OVERRIDE=FQ","FILING_STATUS=MR","Sort=A","Dates=H","DateFormat=P","Fill=—","Direction=H","UseDPDF=Y")</f>
        <v>22.914999999999999</v>
      </c>
      <c r="K10" s="14">
        <f>_xll.BDH("ITCI US Equity","PX_LOW","FQ1 2021","FQ1 2021","Currency=USD","Period=FQ","BEST_FPERIOD_OVERRIDE=FQ","FILING_STATUS=MR","Sort=A","Dates=H","DateFormat=P","Fill=—","Direction=H","UseDPDF=Y")</f>
        <v>30.26</v>
      </c>
      <c r="L10" s="14">
        <f>_xll.BDH("ITCI US Equity","PX_LOW","FQ2 2021","FQ2 2021","Currency=USD","Period=FQ","BEST_FPERIOD_OVERRIDE=FQ","FILING_STATUS=MR","Sort=A","Dates=H","DateFormat=P","Fill=—","Direction=H","UseDPDF=Y")</f>
        <v>28.8</v>
      </c>
      <c r="M10" s="14">
        <f>_xll.BDH("ITCI US Equity","PX_LOW","FQ3 2021","FQ3 2021","Currency=USD","Period=FQ","BEST_FPERIOD_OVERRIDE=FQ","FILING_STATUS=MR","Sort=A","Dates=H","DateFormat=P","Fill=—","Direction=H","UseDPDF=Y")</f>
        <v>28.4</v>
      </c>
      <c r="N10" s="14">
        <f>_xll.BDH("ITCI US Equity","PX_LOW","FQ4 2021","FQ4 2021","Currency=USD","Period=FQ","BEST_FPERIOD_OVERRIDE=FQ","FILING_STATUS=MR","Sort=A","Dates=H","DateFormat=P","Fill=—","Direction=H","UseDPDF=Y")</f>
        <v>34.43</v>
      </c>
      <c r="O10" s="14">
        <f>_xll.BDH("ITCI US Equity","PX_LOW","FQ1 2022","FQ1 2022","Currency=USD","Period=FQ","BEST_FPERIOD_OVERRIDE=FQ","FILING_STATUS=MR","Sort=A","Dates=H","DateFormat=P","Fill=—","Direction=H","UseDPDF=Y")</f>
        <v>38.51</v>
      </c>
      <c r="P10" s="14">
        <f>_xll.BDH("ITCI US Equity","PX_LOW","FQ2 2022","FQ2 2022","Currency=USD","Period=FQ","BEST_FPERIOD_OVERRIDE=FQ","FILING_STATUS=MR","Sort=A","Dates=H","DateFormat=P","Fill=—","Direction=H","UseDPDF=Y")</f>
        <v>42.42</v>
      </c>
      <c r="Q10" s="14">
        <f>_xll.BDH("ITCI US Equity","PX_LOW","FQ3 2022","FQ3 2022","Currency=USD","Period=FQ","BEST_FPERIOD_OVERRIDE=FQ","FILING_STATUS=MR","Sort=A","Dates=H","DateFormat=P","Fill=—","Direction=H","UseDPDF=Y")</f>
        <v>42.43</v>
      </c>
      <c r="R10" s="14">
        <f>_xll.BDH("ITCI US Equity","PX_LOW","FQ4 2022","FQ4 2022","Currency=USD","Period=FQ","BEST_FPERIOD_OVERRIDE=FQ","FILING_STATUS=MR","Sort=A","Dates=H","DateFormat=P","Fill=—","Direction=H","UseDPDF=Y")</f>
        <v>43.856999999999999</v>
      </c>
      <c r="S10" s="14">
        <f>_xll.BDH("ITCI US Equity","PX_LOW","FQ1 2023","FQ1 2023","Currency=USD","Period=FQ","BEST_FPERIOD_OVERRIDE=FQ","FILING_STATUS=MR","Sort=A","Dates=H","DateFormat=P","Fill=—","Direction=H","UseDPDF=Y")</f>
        <v>42.01</v>
      </c>
      <c r="T10" s="14">
        <f>_xll.BDH("ITCI US Equity","PX_LOW","FQ2 2023","FQ2 2023","Currency=USD","Period=FQ","BEST_FPERIOD_OVERRIDE=FQ","FILING_STATUS=MR","Sort=A","Dates=H","DateFormat=P","Fill=—","Direction=H","UseDPDF=Y")</f>
        <v>53.52</v>
      </c>
      <c r="U10" s="14">
        <f>_xll.BDH("ITCI US Equity","PX_LOW","FQ3 2023","FQ3 2023","Currency=USD","Period=FQ","BEST_FPERIOD_OVERRIDE=FQ","FILING_STATUS=MR","Sort=A","Dates=H","DateFormat=P","Fill=—","Direction=H","UseDPDF=Y")</f>
        <v>51.93</v>
      </c>
      <c r="V10" s="14">
        <f>_xll.BDH("ITCI US Equity","PX_LOW","FQ4 2023","FQ4 2023","Currency=USD","Period=FQ","BEST_FPERIOD_OVERRIDE=FQ","FILING_STATUS=MR","Sort=A","Dates=H","DateFormat=P","Fill=—","Direction=H","UseDPDF=Y")</f>
        <v>45.5</v>
      </c>
      <c r="W10" s="14">
        <f>_xll.BDH("ITCI US Equity","PX_LOW","FQ1 2024","FQ1 2024","Currency=USD","Period=FQ","BEST_FPERIOD_OVERRIDE=FQ","FILING_STATUS=MR","Sort=A","Dates=H","DateFormat=P","Fill=—","Direction=H","UseDPDF=Y")</f>
        <v>62.78</v>
      </c>
      <c r="X10" s="14">
        <f>_xll.BDH("ITCI US Equity","PX_LOW","FQ2 2024","FQ2 2024","Currency=USD","Period=FQ","BEST_FPERIOD_OVERRIDE=FQ","FILING_STATUS=MR","Sort=A","Dates=H","DateFormat=P","Fill=—","Direction=H","UseDPDF=Y")</f>
        <v>64.09</v>
      </c>
      <c r="Y10" s="14">
        <f>_xll.BDH("ITCI US Equity","PX_LOW","FQ3 2024","FQ3 2024","Currency=USD","Period=FQ","BEST_FPERIOD_OVERRIDE=FQ","FILING_STATUS=MR","Sort=A","Dates=H","DateFormat=P","Fill=—","Direction=H","UseDPDF=Y")</f>
        <v>66.260000000000005</v>
      </c>
      <c r="Z10" s="14">
        <f>_xll.BDH("ITCI US Equity","PX_LOW","FQ4 2024","FQ4 2024","Currency=USD","Period=FQ","BEST_FPERIOD_OVERRIDE=FQ","FILING_STATUS=MR","Sort=A","Dates=H","DateFormat=P","Fill=—","Direction=H","UseDPDF=Y")</f>
        <v>70.900000000000006</v>
      </c>
      <c r="AA10" s="17">
        <v>131.80000305175801</v>
      </c>
    </row>
    <row r="11" spans="1:27" x14ac:dyDescent="0.25">
      <c r="A11" s="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21"/>
    </row>
    <row r="12" spans="1:27" x14ac:dyDescent="0.25">
      <c r="A12" s="6" t="s">
        <v>59</v>
      </c>
      <c r="B12" s="6" t="s">
        <v>60</v>
      </c>
      <c r="C12" s="19">
        <f>_xll.BDH("ITCI US Equity","HISTORICAL_MARKET_CAP","FQ1 2019","FQ1 2019","Currency=USD","Period=FQ","BEST_FPERIOD_OVERRIDE=FQ","FILING_STATUS=MR","SCALING_FORMAT=MLN","Sort=A","Dates=H","DateFormat=P","Fill=—","Direction=H","UseDPDF=Y")</f>
        <v>671.49710000000005</v>
      </c>
      <c r="D12" s="19">
        <f>_xll.BDH("ITCI US Equity","HISTORICAL_MARKET_CAP","FQ2 2019","FQ2 2019","Currency=USD","Period=FQ","BEST_FPERIOD_OVERRIDE=FQ","FILING_STATUS=MR","SCALING_FORMAT=MLN","Sort=A","Dates=H","DateFormat=P","Fill=—","Direction=H","UseDPDF=Y")</f>
        <v>716.32399999999996</v>
      </c>
      <c r="E12" s="19">
        <f>_xll.BDH("ITCI US Equity","HISTORICAL_MARKET_CAP","FQ3 2019","FQ3 2019","Currency=USD","Period=FQ","BEST_FPERIOD_OVERRIDE=FQ","FILING_STATUS=MR","SCALING_FORMAT=MLN","Sort=A","Dates=H","DateFormat=P","Fill=—","Direction=H","UseDPDF=Y")</f>
        <v>412.69940000000003</v>
      </c>
      <c r="F12" s="19">
        <f>_xll.BDH("ITCI US Equity","HISTORICAL_MARKET_CAP","FQ4 2019","FQ4 2019","Currency=USD","Period=FQ","BEST_FPERIOD_OVERRIDE=FQ","FILING_STATUS=MR","SCALING_FORMAT=MLN","Sort=A","Dates=H","DateFormat=P","Fill=—","Direction=H","UseDPDF=Y")</f>
        <v>1904.4621999999999</v>
      </c>
      <c r="G12" s="19">
        <f>_xll.BDH("ITCI US Equity","HISTORICAL_MARKET_CAP","FQ1 2020","FQ1 2020","Currency=USD","Period=FQ","BEST_FPERIOD_OVERRIDE=FQ","FILING_STATUS=MR","SCALING_FORMAT=MLN","Sort=A","Dates=H","DateFormat=P","Fill=—","Direction=H","UseDPDF=Y")</f>
        <v>1017.5057</v>
      </c>
      <c r="H12" s="19">
        <f>_xll.BDH("ITCI US Equity","HISTORICAL_MARKET_CAP","FQ2 2020","FQ2 2020","Currency=USD","Period=FQ","BEST_FPERIOD_OVERRIDE=FQ","FILING_STATUS=MR","SCALING_FORMAT=MLN","Sort=A","Dates=H","DateFormat=P","Fill=—","Direction=H","UseDPDF=Y")</f>
        <v>1714.1845000000001</v>
      </c>
      <c r="I12" s="19">
        <f>_xll.BDH("ITCI US Equity","HISTORICAL_MARKET_CAP","FQ3 2020","FQ3 2020","Currency=USD","Period=FQ","BEST_FPERIOD_OVERRIDE=FQ","FILING_STATUS=MR","SCALING_FORMAT=MLN","Sort=A","Dates=H","DateFormat=P","Fill=—","Direction=H","UseDPDF=Y")</f>
        <v>2056.4641999999999</v>
      </c>
      <c r="J12" s="19">
        <f>_xll.BDH("ITCI US Equity","HISTORICAL_MARKET_CAP","FQ4 2020","FQ4 2020","Currency=USD","Period=FQ","BEST_FPERIOD_OVERRIDE=FQ","FILING_STATUS=MR","SCALING_FORMAT=MLN","Sort=A","Dates=H","DateFormat=P","Fill=—","Direction=H","UseDPDF=Y")</f>
        <v>2558.7262000000001</v>
      </c>
      <c r="K12" s="19">
        <f>_xll.BDH("ITCI US Equity","HISTORICAL_MARKET_CAP","FQ1 2021","FQ1 2021","Currency=USD","Period=FQ","BEST_FPERIOD_OVERRIDE=FQ","FILING_STATUS=MR","SCALING_FORMAT=MLN","Sort=A","Dates=H","DateFormat=P","Fill=—","Direction=H","UseDPDF=Y")</f>
        <v>2752.8715000000002</v>
      </c>
      <c r="L12" s="19">
        <f>_xll.BDH("ITCI US Equity","HISTORICAL_MARKET_CAP","FQ2 2021","FQ2 2021","Currency=USD","Period=FQ","BEST_FPERIOD_OVERRIDE=FQ","FILING_STATUS=MR","SCALING_FORMAT=MLN","Sort=A","Dates=H","DateFormat=P","Fill=—","Direction=H","UseDPDF=Y")</f>
        <v>3319.1509000000001</v>
      </c>
      <c r="M12" s="19">
        <f>_xll.BDH("ITCI US Equity","HISTORICAL_MARKET_CAP","FQ3 2021","FQ3 2021","Currency=USD","Period=FQ","BEST_FPERIOD_OVERRIDE=FQ","FILING_STATUS=MR","SCALING_FORMAT=MLN","Sort=A","Dates=H","DateFormat=P","Fill=—","Direction=H","UseDPDF=Y")</f>
        <v>3033.7496999999998</v>
      </c>
      <c r="N12" s="19">
        <f>_xll.BDH("ITCI US Equity","HISTORICAL_MARKET_CAP","FQ4 2021","FQ4 2021","Currency=USD","Period=FQ","BEST_FPERIOD_OVERRIDE=FQ","FILING_STATUS=MR","SCALING_FORMAT=MLN","Sort=A","Dates=H","DateFormat=P","Fill=—","Direction=H","UseDPDF=Y")</f>
        <v>4285.9637000000002</v>
      </c>
      <c r="O12" s="19">
        <f>_xll.BDH("ITCI US Equity","HISTORICAL_MARKET_CAP","FQ1 2022","FQ1 2022","Currency=USD","Period=FQ","BEST_FPERIOD_OVERRIDE=FQ","FILING_STATUS=MR","SCALING_FORMAT=MLN","Sort=A","Dates=H","DateFormat=P","Fill=—","Direction=H","UseDPDF=Y")</f>
        <v>5753.1098000000002</v>
      </c>
      <c r="P12" s="19">
        <f>_xll.BDH("ITCI US Equity","HISTORICAL_MARKET_CAP","FQ2 2022","FQ2 2022","Currency=USD","Period=FQ","BEST_FPERIOD_OVERRIDE=FQ","FILING_STATUS=MR","SCALING_FORMAT=MLN","Sort=A","Dates=H","DateFormat=P","Fill=—","Direction=H","UseDPDF=Y")</f>
        <v>5386.4817000000003</v>
      </c>
      <c r="Q12" s="19">
        <f>_xll.BDH("ITCI US Equity","HISTORICAL_MARKET_CAP","FQ3 2022","FQ3 2022","Currency=USD","Period=FQ","BEST_FPERIOD_OVERRIDE=FQ","FILING_STATUS=MR","SCALING_FORMAT=MLN","Sort=A","Dates=H","DateFormat=P","Fill=—","Direction=H","UseDPDF=Y")</f>
        <v>4406.4683000000005</v>
      </c>
      <c r="R12" s="19">
        <f>_xll.BDH("ITCI US Equity","HISTORICAL_MARKET_CAP","FQ4 2022","FQ4 2022","Currency=USD","Period=FQ","BEST_FPERIOD_OVERRIDE=FQ","FILING_STATUS=MR","SCALING_FORMAT=MLN","Sort=A","Dates=H","DateFormat=P","Fill=—","Direction=H","UseDPDF=Y")</f>
        <v>5018.3927000000003</v>
      </c>
      <c r="S12" s="19">
        <f>_xll.BDH("ITCI US Equity","HISTORICAL_MARKET_CAP","FQ1 2023","FQ1 2023","Currency=USD","Period=FQ","BEST_FPERIOD_OVERRIDE=FQ","FILING_STATUS=MR","SCALING_FORMAT=MLN","Sort=A","Dates=H","DateFormat=P","Fill=—","Direction=H","UseDPDF=Y")</f>
        <v>5181.0735999999997</v>
      </c>
      <c r="T12" s="19">
        <f>_xll.BDH("ITCI US Equity","HISTORICAL_MARKET_CAP","FQ2 2023","FQ2 2023","Currency=USD","Period=FQ","BEST_FPERIOD_OVERRIDE=FQ","FILING_STATUS=MR","SCALING_FORMAT=MLN","Sort=A","Dates=H","DateFormat=P","Fill=—","Direction=H","UseDPDF=Y")</f>
        <v>6084.0001000000002</v>
      </c>
      <c r="U12" s="19">
        <f>_xll.BDH("ITCI US Equity","HISTORICAL_MARKET_CAP","FQ3 2023","FQ3 2023","Currency=USD","Period=FQ","BEST_FPERIOD_OVERRIDE=FQ","FILING_STATUS=MR","SCALING_FORMAT=MLN","Sort=A","Dates=H","DateFormat=P","Fill=—","Direction=H","UseDPDF=Y")</f>
        <v>5012.3923999999997</v>
      </c>
      <c r="V12" s="19">
        <f>_xll.BDH("ITCI US Equity","HISTORICAL_MARKET_CAP","FQ4 2023","FQ4 2023","Currency=USD","Period=FQ","BEST_FPERIOD_OVERRIDE=FQ","FILING_STATUS=MR","SCALING_FORMAT=MLN","Sort=A","Dates=H","DateFormat=P","Fill=—","Direction=H","UseDPDF=Y")</f>
        <v>6902.7221</v>
      </c>
      <c r="W12" s="19">
        <f>_xll.BDH("ITCI US Equity","HISTORICAL_MARKET_CAP","FQ1 2024","FQ1 2024","Currency=USD","Period=FQ","BEST_FPERIOD_OVERRIDE=FQ","FILING_STATUS=MR","SCALING_FORMAT=MLN","Sort=A","Dates=H","DateFormat=P","Fill=—","Direction=H","UseDPDF=Y")</f>
        <v>6745.4650000000001</v>
      </c>
      <c r="X12" s="19">
        <f>_xll.BDH("ITCI US Equity","HISTORICAL_MARKET_CAP","FQ2 2024","FQ2 2024","Currency=USD","Period=FQ","BEST_FPERIOD_OVERRIDE=FQ","FILING_STATUS=MR","SCALING_FORMAT=MLN","Sort=A","Dates=H","DateFormat=P","Fill=—","Direction=H","UseDPDF=Y")</f>
        <v>7234.2494999999999</v>
      </c>
      <c r="Y12" s="19">
        <f>_xll.BDH("ITCI US Equity","HISTORICAL_MARKET_CAP","FQ3 2024","FQ3 2024","Currency=USD","Period=FQ","BEST_FPERIOD_OVERRIDE=FQ","FILING_STATUS=MR","SCALING_FORMAT=MLN","Sort=A","Dates=H","DateFormat=P","Fill=—","Direction=H","UseDPDF=Y")</f>
        <v>7755.9312</v>
      </c>
      <c r="Z12" s="19">
        <f>_xll.BDH("ITCI US Equity","HISTORICAL_MARKET_CAP","FQ4 2024","FQ4 2024","Currency=USD","Period=FQ","BEST_FPERIOD_OVERRIDE=FQ","FILING_STATUS=MR","SCALING_FORMAT=MLN","Sort=A","Dates=H","DateFormat=P","Fill=—","Direction=H","UseDPDF=Y")</f>
        <v>8873.1656000000003</v>
      </c>
      <c r="AA12" s="22">
        <v>14015.08735312</v>
      </c>
    </row>
    <row r="13" spans="1:27" x14ac:dyDescent="0.25">
      <c r="A13" s="10" t="s">
        <v>261</v>
      </c>
      <c r="B13" s="10" t="s">
        <v>262</v>
      </c>
      <c r="C13" s="14">
        <f>_xll.BDH("ITCI US Equity","EQY_SH_OUT","FQ1 2019","FQ1 2019","Currency=USD","Period=FQ","BEST_FPERIOD_OVERRIDE=FQ","FILING_STATUS=MR","Sort=A","Dates=H","DateFormat=P","Fill=—","Direction=H","UseDPDF=Y")</f>
        <v>55.11674</v>
      </c>
      <c r="D13" s="14">
        <f>_xll.BDH("ITCI US Equity","EQY_SH_OUT","FQ2 2019","FQ2 2019","Currency=USD","Period=FQ","BEST_FPERIOD_OVERRIDE=FQ","FILING_STATUS=MR","Sort=A","Dates=H","DateFormat=P","Fill=—","Direction=H","UseDPDF=Y")</f>
        <v>55.134630000000001</v>
      </c>
      <c r="E13" s="14">
        <f>_xll.BDH("ITCI US Equity","EQY_SH_OUT","FQ3 2019","FQ3 2019","Currency=USD","Period=FQ","BEST_FPERIOD_OVERRIDE=FQ","FILING_STATUS=MR","Sort=A","Dates=H","DateFormat=P","Fill=—","Direction=H","UseDPDF=Y")</f>
        <v>55.173220000000001</v>
      </c>
      <c r="F13" s="14">
        <f>_xll.BDH("ITCI US Equity","EQY_SH_OUT","FQ4 2019","FQ4 2019","Currency=USD","Period=FQ","BEST_FPERIOD_OVERRIDE=FQ","FILING_STATUS=MR","Sort=A","Dates=H","DateFormat=P","Fill=—","Direction=H","UseDPDF=Y")</f>
        <v>55.261029999999998</v>
      </c>
      <c r="G13" s="14">
        <f>_xll.BDH("ITCI US Equity","EQY_SH_OUT","FQ1 2020","FQ1 2020","Currency=USD","Period=FQ","BEST_FPERIOD_OVERRIDE=FQ","FILING_STATUS=MR","Sort=A","Dates=H","DateFormat=P","Fill=—","Direction=H","UseDPDF=Y")</f>
        <v>66.133179999999996</v>
      </c>
      <c r="H13" s="14">
        <f>_xll.BDH("ITCI US Equity","EQY_SH_OUT","FQ2 2020","FQ2 2020","Currency=USD","Period=FQ","BEST_FPERIOD_OVERRIDE=FQ","FILING_STATUS=MR","Sort=A","Dates=H","DateFormat=P","Fill=—","Direction=H","UseDPDF=Y")</f>
        <v>66.450530000000001</v>
      </c>
      <c r="I13" s="14">
        <f>_xll.BDH("ITCI US Equity","EQY_SH_OUT","FQ3 2020","FQ3 2020","Currency=USD","Period=FQ","BEST_FPERIOD_OVERRIDE=FQ","FILING_STATUS=MR","Sort=A","Dates=H","DateFormat=P","Fill=—","Direction=H","UseDPDF=Y")</f>
        <v>78.444400000000002</v>
      </c>
      <c r="J13" s="14">
        <f>_xll.BDH("ITCI US Equity","EQY_SH_OUT","FQ4 2020","FQ4 2020","Currency=USD","Period=FQ","BEST_FPERIOD_OVERRIDE=FQ","FILING_STATUS=MR","Sort=A","Dates=H","DateFormat=P","Fill=—","Direction=H","UseDPDF=Y")</f>
        <v>80.157550000000001</v>
      </c>
      <c r="K13" s="14">
        <f>_xll.BDH("ITCI US Equity","EQY_SH_OUT","FQ1 2021","FQ1 2021","Currency=USD","Period=FQ","BEST_FPERIOD_OVERRIDE=FQ","FILING_STATUS=MR","Sort=A","Dates=H","DateFormat=P","Fill=—","Direction=H","UseDPDF=Y")</f>
        <v>80.917010000000005</v>
      </c>
      <c r="L13" s="14">
        <f>_xll.BDH("ITCI US Equity","EQY_SH_OUT","FQ2 2021","FQ2 2021","Currency=USD","Period=FQ","BEST_FPERIOD_OVERRIDE=FQ","FILING_STATUS=MR","Sort=A","Dates=H","DateFormat=P","Fill=—","Direction=H","UseDPDF=Y")</f>
        <v>81.199539999999999</v>
      </c>
      <c r="M13" s="14">
        <f>_xll.BDH("ITCI US Equity","EQY_SH_OUT","FQ3 2021","FQ3 2021","Currency=USD","Period=FQ","BEST_FPERIOD_OVERRIDE=FQ","FILING_STATUS=MR","Sort=A","Dates=H","DateFormat=P","Fill=—","Direction=H","UseDPDF=Y")</f>
        <v>81.341589999999997</v>
      </c>
      <c r="N13" s="14">
        <f>_xll.BDH("ITCI US Equity","EQY_SH_OUT","FQ4 2021","FQ4 2021","Currency=USD","Period=FQ","BEST_FPERIOD_OVERRIDE=FQ","FILING_STATUS=MR","Sort=A","Dates=H","DateFormat=P","Fill=—","Direction=H","UseDPDF=Y")</f>
        <v>81.463250000000002</v>
      </c>
      <c r="O13" s="14">
        <f>_xll.BDH("ITCI US Equity","EQY_SH_OUT","FQ1 2022","FQ1 2022","Currency=USD","Period=FQ","BEST_FPERIOD_OVERRIDE=FQ","FILING_STATUS=MR","Sort=A","Dates=H","DateFormat=P","Fill=—","Direction=H","UseDPDF=Y")</f>
        <v>93.59375</v>
      </c>
      <c r="P13" s="14">
        <f>_xll.BDH("ITCI US Equity","EQY_SH_OUT","FQ2 2022","FQ2 2022","Currency=USD","Period=FQ","BEST_FPERIOD_OVERRIDE=FQ","FILING_STATUS=MR","Sort=A","Dates=H","DateFormat=P","Fill=—","Direction=H","UseDPDF=Y")</f>
        <v>94.324309999999997</v>
      </c>
      <c r="Q13" s="14">
        <f>_xll.BDH("ITCI US Equity","EQY_SH_OUT","FQ3 2022","FQ3 2022","Currency=USD","Period=FQ","BEST_FPERIOD_OVERRIDE=FQ","FILING_STATUS=MR","Sort=A","Dates=H","DateFormat=P","Fill=—","Direction=H","UseDPDF=Y")</f>
        <v>94.401750000000007</v>
      </c>
      <c r="R13" s="14">
        <f>_xll.BDH("ITCI US Equity","EQY_SH_OUT","FQ4 2022","FQ4 2022","Currency=USD","Period=FQ","BEST_FPERIOD_OVERRIDE=FQ","FILING_STATUS=MR","Sort=A","Dates=H","DateFormat=P","Fill=—","Direction=H","UseDPDF=Y")</f>
        <v>94.70505</v>
      </c>
      <c r="S13" s="14">
        <f>_xll.BDH("ITCI US Equity","EQY_SH_OUT","FQ1 2023","FQ1 2023","Currency=USD","Period=FQ","BEST_FPERIOD_OVERRIDE=FQ","FILING_STATUS=MR","Sort=A","Dates=H","DateFormat=P","Fill=—","Direction=H","UseDPDF=Y")</f>
        <v>95.28</v>
      </c>
      <c r="T13" s="14">
        <f>_xll.BDH("ITCI US Equity","EQY_SH_OUT","FQ2 2023","FQ2 2023","Currency=USD","Period=FQ","BEST_FPERIOD_OVERRIDE=FQ","FILING_STATUS=MR","Sort=A","Dates=H","DateFormat=P","Fill=—","Direction=H","UseDPDF=Y")</f>
        <v>95.925600000000003</v>
      </c>
      <c r="U13" s="14">
        <f>_xll.BDH("ITCI US Equity","EQY_SH_OUT","FQ3 2023","FQ3 2023","Currency=USD","Period=FQ","BEST_FPERIOD_OVERRIDE=FQ","FILING_STATUS=MR","Sort=A","Dates=H","DateFormat=P","Fill=—","Direction=H","UseDPDF=Y")</f>
        <v>96.091560000000001</v>
      </c>
      <c r="V13" s="14">
        <f>_xll.BDH("ITCI US Equity","EQY_SH_OUT","FQ4 2023","FQ4 2023","Currency=USD","Period=FQ","BEST_FPERIOD_OVERRIDE=FQ","FILING_STATUS=MR","Sort=A","Dates=H","DateFormat=P","Fill=—","Direction=H","UseDPDF=Y")</f>
        <v>96.238129999999998</v>
      </c>
      <c r="W13" s="14">
        <f>_xll.BDH("ITCI US Equity","EQY_SH_OUT","FQ1 2024","FQ1 2024","Currency=USD","Period=FQ","BEST_FPERIOD_OVERRIDE=FQ","FILING_STATUS=MR","Sort=A","Dates=H","DateFormat=P","Fill=—","Direction=H","UseDPDF=Y")</f>
        <v>96.807190000000006</v>
      </c>
      <c r="X13" s="14">
        <f>_xll.BDH("ITCI US Equity","EQY_SH_OUT","FQ2 2024","FQ2 2024","Currency=USD","Period=FQ","BEST_FPERIOD_OVERRIDE=FQ","FILING_STATUS=MR","Sort=A","Dates=H","DateFormat=P","Fill=—","Direction=H","UseDPDF=Y")</f>
        <v>105.57486</v>
      </c>
      <c r="Y13" s="14">
        <f>_xll.BDH("ITCI US Equity","EQY_SH_OUT","FQ3 2024","FQ3 2024","Currency=USD","Period=FQ","BEST_FPERIOD_OVERRIDE=FQ","FILING_STATUS=MR","Sort=A","Dates=H","DateFormat=P","Fill=—","Direction=H","UseDPDF=Y")</f>
        <v>105.66692999999999</v>
      </c>
      <c r="Z13" s="14">
        <f>_xll.BDH("ITCI US Equity","EQY_SH_OUT","FQ4 2024","FQ4 2024","Currency=USD","Period=FQ","BEST_FPERIOD_OVERRIDE=FQ","FILING_STATUS=MR","Sort=A","Dates=H","DateFormat=P","Fill=—","Direction=H","UseDPDF=Y")</f>
        <v>106.0171</v>
      </c>
      <c r="AA13" s="17">
        <v>106.328</v>
      </c>
    </row>
    <row r="14" spans="1:27" x14ac:dyDescent="0.25">
      <c r="A14" s="10" t="s">
        <v>263</v>
      </c>
      <c r="B14" s="10" t="s">
        <v>264</v>
      </c>
      <c r="C14" s="14">
        <f>_xll.BDH("ITCI US Equity","EQY_FLOAT","FQ1 2019","FQ1 2019","Currency=USD","Period=FQ","BEST_FPERIOD_OVERRIDE=FQ","FILING_STATUS=MR","Sort=A","Dates=H","DateFormat=P","Fill=—","Direction=H","UseDPDF=Y")</f>
        <v>44.396000000000001</v>
      </c>
      <c r="D14" s="14">
        <f>_xll.BDH("ITCI US Equity","EQY_FLOAT","FQ2 2019","FQ2 2019","Currency=USD","Period=FQ","BEST_FPERIOD_OVERRIDE=FQ","FILING_STATUS=MR","Sort=A","Dates=H","DateFormat=P","Fill=—","Direction=H","UseDPDF=Y")</f>
        <v>44.52</v>
      </c>
      <c r="E14" s="14">
        <f>_xll.BDH("ITCI US Equity","EQY_FLOAT","FQ3 2019","FQ3 2019","Currency=USD","Period=FQ","BEST_FPERIOD_OVERRIDE=FQ","FILING_STATUS=MR","Sort=A","Dates=H","DateFormat=P","Fill=—","Direction=H","UseDPDF=Y")</f>
        <v>46.582999999999998</v>
      </c>
      <c r="F14" s="14">
        <f>_xll.BDH("ITCI US Equity","EQY_FLOAT","FQ4 2019","FQ4 2019","Currency=USD","Period=FQ","BEST_FPERIOD_OVERRIDE=FQ","FILING_STATUS=MR","Sort=A","Dates=H","DateFormat=P","Fill=—","Direction=H","UseDPDF=Y")</f>
        <v>46.662999999999997</v>
      </c>
      <c r="G14" s="14">
        <f>_xll.BDH("ITCI US Equity","EQY_FLOAT","FQ1 2020","FQ1 2020","Currency=USD","Period=FQ","BEST_FPERIOD_OVERRIDE=FQ","FILING_STATUS=MR","Sort=A","Dates=H","DateFormat=P","Fill=—","Direction=H","UseDPDF=Y")</f>
        <v>57.424999999999997</v>
      </c>
      <c r="H14" s="14">
        <f>_xll.BDH("ITCI US Equity","EQY_FLOAT","FQ2 2020","FQ2 2020","Currency=USD","Period=FQ","BEST_FPERIOD_OVERRIDE=FQ","FILING_STATUS=MR","Sort=A","Dates=H","DateFormat=P","Fill=—","Direction=H","UseDPDF=Y")</f>
        <v>57.828000000000003</v>
      </c>
      <c r="I14" s="14">
        <f>_xll.BDH("ITCI US Equity","EQY_FLOAT","FQ3 2020","FQ3 2020","Currency=USD","Period=FQ","BEST_FPERIOD_OVERRIDE=FQ","FILING_STATUS=MR","Sort=A","Dates=H","DateFormat=P","Fill=—","Direction=H","UseDPDF=Y")</f>
        <v>69.763999999999996</v>
      </c>
      <c r="J14" s="14">
        <f>_xll.BDH("ITCI US Equity","EQY_FLOAT","FQ4 2020","FQ4 2020","Currency=USD","Period=FQ","BEST_FPERIOD_OVERRIDE=FQ","FILING_STATUS=MR","Sort=A","Dates=H","DateFormat=P","Fill=—","Direction=H","UseDPDF=Y")</f>
        <v>71.53</v>
      </c>
      <c r="K14" s="14">
        <f>_xll.BDH("ITCI US Equity","EQY_FLOAT","FQ1 2021","FQ1 2021","Currency=USD","Period=FQ","BEST_FPERIOD_OVERRIDE=FQ","FILING_STATUS=MR","Sort=A","Dates=H","DateFormat=P","Fill=—","Direction=H","UseDPDF=Y")</f>
        <v>72.272999999999996</v>
      </c>
      <c r="L14" s="14">
        <f>_xll.BDH("ITCI US Equity","EQY_FLOAT","FQ2 2021","FQ2 2021","Currency=USD","Period=FQ","BEST_FPERIOD_OVERRIDE=FQ","FILING_STATUS=MR","Sort=A","Dates=H","DateFormat=P","Fill=—","Direction=H","UseDPDF=Y")</f>
        <v>72.625</v>
      </c>
      <c r="M14" s="14">
        <f>_xll.BDH("ITCI US Equity","EQY_FLOAT","FQ3 2021","FQ3 2021","Currency=USD","Period=FQ","BEST_FPERIOD_OVERRIDE=FQ","FILING_STATUS=MR","Sort=A","Dates=H","DateFormat=P","Fill=—","Direction=H","UseDPDF=Y")</f>
        <v>72.756</v>
      </c>
      <c r="N14" s="14">
        <f>_xll.BDH("ITCI US Equity","EQY_FLOAT","FQ4 2021","FQ4 2021","Currency=USD","Period=FQ","BEST_FPERIOD_OVERRIDE=FQ","FILING_STATUS=MR","Sort=A","Dates=H","DateFormat=P","Fill=—","Direction=H","UseDPDF=Y")</f>
        <v>72.926000000000002</v>
      </c>
      <c r="O14" s="14">
        <f>_xll.BDH("ITCI US Equity","EQY_FLOAT","FQ1 2022","FQ1 2022","Currency=USD","Period=FQ","BEST_FPERIOD_OVERRIDE=FQ","FILING_STATUS=MR","Sort=A","Dates=H","DateFormat=P","Fill=—","Direction=H","UseDPDF=Y")</f>
        <v>85.244</v>
      </c>
      <c r="P14" s="14">
        <f>_xll.BDH("ITCI US Equity","EQY_FLOAT","FQ2 2022","FQ2 2022","Currency=USD","Period=FQ","BEST_FPERIOD_OVERRIDE=FQ","FILING_STATUS=MR","Sort=A","Dates=H","DateFormat=P","Fill=—","Direction=H","UseDPDF=Y")</f>
        <v>85.983999999999995</v>
      </c>
      <c r="Q14" s="14">
        <f>_xll.BDH("ITCI US Equity","EQY_FLOAT","FQ3 2022","FQ3 2022","Currency=USD","Period=FQ","BEST_FPERIOD_OVERRIDE=FQ","FILING_STATUS=MR","Sort=A","Dates=H","DateFormat=P","Fill=—","Direction=H","UseDPDF=Y")</f>
        <v>86.070999999999998</v>
      </c>
      <c r="R14" s="14">
        <f>_xll.BDH("ITCI US Equity","EQY_FLOAT","FQ4 2022","FQ4 2022","Currency=USD","Period=FQ","BEST_FPERIOD_OVERRIDE=FQ","FILING_STATUS=MR","Sort=A","Dates=H","DateFormat=P","Fill=—","Direction=H","UseDPDF=Y")</f>
        <v>86.421999999999997</v>
      </c>
      <c r="S14" s="14">
        <f>_xll.BDH("ITCI US Equity","EQY_FLOAT","FQ1 2023","FQ1 2023","Currency=USD","Period=FQ","BEST_FPERIOD_OVERRIDE=FQ","FILING_STATUS=MR","Sort=A","Dates=H","DateFormat=P","Fill=—","Direction=H","UseDPDF=Y")</f>
        <v>86.945999999999998</v>
      </c>
      <c r="T14" s="14">
        <f>_xll.BDH("ITCI US Equity","EQY_FLOAT","FQ2 2023","FQ2 2023","Currency=USD","Period=FQ","BEST_FPERIOD_OVERRIDE=FQ","FILING_STATUS=MR","Sort=A","Dates=H","DateFormat=P","Fill=—","Direction=H","UseDPDF=Y")</f>
        <v>87.698999999999998</v>
      </c>
      <c r="U14" s="14">
        <f>_xll.BDH("ITCI US Equity","EQY_FLOAT","FQ3 2023","FQ3 2023","Currency=USD","Period=FQ","BEST_FPERIOD_OVERRIDE=FQ","FILING_STATUS=MR","Sort=A","Dates=H","DateFormat=P","Fill=—","Direction=H","UseDPDF=Y")</f>
        <v>87.966999999999999</v>
      </c>
      <c r="V14" s="14">
        <f>_xll.BDH("ITCI US Equity","EQY_FLOAT","FQ4 2023","FQ4 2023","Currency=USD","Period=FQ","BEST_FPERIOD_OVERRIDE=FQ","FILING_STATUS=MR","Sort=A","Dates=H","DateFormat=P","Fill=—","Direction=H","UseDPDF=Y")</f>
        <v>89.340999999999994</v>
      </c>
      <c r="W14" s="14">
        <f>_xll.BDH("ITCI US Equity","EQY_FLOAT","FQ1 2024","FQ1 2024","Currency=USD","Period=FQ","BEST_FPERIOD_OVERRIDE=FQ","FILING_STATUS=MR","Sort=A","Dates=H","DateFormat=P","Fill=—","Direction=H","UseDPDF=Y")</f>
        <v>89.846000000000004</v>
      </c>
      <c r="X14" s="14">
        <f>_xll.BDH("ITCI US Equity","EQY_FLOAT","FQ2 2024","FQ2 2024","Currency=USD","Period=FQ","BEST_FPERIOD_OVERRIDE=FQ","FILING_STATUS=MR","Sort=A","Dates=H","DateFormat=P","Fill=—","Direction=H","UseDPDF=Y")</f>
        <v>98.68</v>
      </c>
      <c r="Y14" s="14">
        <f>_xll.BDH("ITCI US Equity","EQY_FLOAT","FQ3 2024","FQ3 2024","Currency=USD","Period=FQ","BEST_FPERIOD_OVERRIDE=FQ","FILING_STATUS=MR","Sort=A","Dates=H","DateFormat=P","Fill=—","Direction=H","UseDPDF=Y")</f>
        <v>98.772000000000006</v>
      </c>
      <c r="Z14" s="14">
        <f>_xll.BDH("ITCI US Equity","EQY_FLOAT","FQ4 2024","FQ4 2024","Currency=USD","Period=FQ","BEST_FPERIOD_OVERRIDE=FQ","FILING_STATUS=MR","Sort=A","Dates=H","DateFormat=P","Fill=—","Direction=H","UseDPDF=Y")</f>
        <v>99.122</v>
      </c>
      <c r="AA14" s="17">
        <v>99.260429999999999</v>
      </c>
    </row>
    <row r="15" spans="1:27" x14ac:dyDescent="0.25">
      <c r="A15" s="7" t="s">
        <v>90</v>
      </c>
      <c r="B15" s="7"/>
      <c r="C15" s="7" t="s">
        <v>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1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265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163</v>
      </c>
      <c r="AA4" s="4" t="s">
        <v>31</v>
      </c>
    </row>
    <row r="5" spans="1:27" x14ac:dyDescent="0.25">
      <c r="A5" s="9" t="s">
        <v>33</v>
      </c>
      <c r="B5" s="9"/>
      <c r="C5" s="5" t="s">
        <v>34</v>
      </c>
      <c r="D5" s="5" t="s">
        <v>35</v>
      </c>
      <c r="E5" s="5" t="s">
        <v>36</v>
      </c>
      <c r="F5" s="5" t="s">
        <v>37</v>
      </c>
      <c r="G5" s="5" t="s">
        <v>38</v>
      </c>
      <c r="H5" s="5" t="s">
        <v>39</v>
      </c>
      <c r="I5" s="5" t="s">
        <v>40</v>
      </c>
      <c r="J5" s="5" t="s">
        <v>41</v>
      </c>
      <c r="K5" s="5" t="s">
        <v>42</v>
      </c>
      <c r="L5" s="5" t="s">
        <v>43</v>
      </c>
      <c r="M5" s="5" t="s">
        <v>44</v>
      </c>
      <c r="N5" s="5" t="s">
        <v>45</v>
      </c>
      <c r="O5" s="5" t="s">
        <v>46</v>
      </c>
      <c r="P5" s="5" t="s">
        <v>47</v>
      </c>
      <c r="Q5" s="5" t="s">
        <v>48</v>
      </c>
      <c r="R5" s="5" t="s">
        <v>49</v>
      </c>
      <c r="S5" s="5" t="s">
        <v>50</v>
      </c>
      <c r="T5" s="5" t="s">
        <v>51</v>
      </c>
      <c r="U5" s="5" t="s">
        <v>52</v>
      </c>
      <c r="V5" s="5" t="s">
        <v>53</v>
      </c>
      <c r="W5" s="5" t="s">
        <v>54</v>
      </c>
      <c r="X5" s="5" t="s">
        <v>55</v>
      </c>
      <c r="Y5" s="5" t="s">
        <v>56</v>
      </c>
      <c r="Z5" s="5" t="s">
        <v>164</v>
      </c>
      <c r="AA5" s="5" t="s">
        <v>57</v>
      </c>
    </row>
    <row r="6" spans="1:27" x14ac:dyDescent="0.25">
      <c r="A6" s="10" t="s">
        <v>59</v>
      </c>
      <c r="B6" s="10" t="s">
        <v>60</v>
      </c>
      <c r="C6" s="13">
        <f>_xll.BDH("ITCI US Equity","HISTORICAL_MARKET_CAP","FQ2 2019","FQ2 2019","Currency=USD","Period=FQ","BEST_FPERIOD_OVERRIDE=FQ","FILING_STATUS=MR","SCALING_FORMAT=MLN","Sort=A","Dates=H","DateFormat=P","Fill=—","Direction=H","UseDPDF=Y")</f>
        <v>716.32399999999996</v>
      </c>
      <c r="D6" s="13">
        <f>_xll.BDH("ITCI US Equity","HISTORICAL_MARKET_CAP","FQ3 2019","FQ3 2019","Currency=USD","Period=FQ","BEST_FPERIOD_OVERRIDE=FQ","FILING_STATUS=MR","SCALING_FORMAT=MLN","Sort=A","Dates=H","DateFormat=P","Fill=—","Direction=H","UseDPDF=Y")</f>
        <v>412.69940000000003</v>
      </c>
      <c r="E6" s="13">
        <f>_xll.BDH("ITCI US Equity","HISTORICAL_MARKET_CAP","FQ4 2019","FQ4 2019","Currency=USD","Period=FQ","BEST_FPERIOD_OVERRIDE=FQ","FILING_STATUS=MR","SCALING_FORMAT=MLN","Sort=A","Dates=H","DateFormat=P","Fill=—","Direction=H","UseDPDF=Y")</f>
        <v>1904.4621999999999</v>
      </c>
      <c r="F6" s="13">
        <f>_xll.BDH("ITCI US Equity","HISTORICAL_MARKET_CAP","FQ1 2020","FQ1 2020","Currency=USD","Period=FQ","BEST_FPERIOD_OVERRIDE=FQ","FILING_STATUS=MR","SCALING_FORMAT=MLN","Sort=A","Dates=H","DateFormat=P","Fill=—","Direction=H","UseDPDF=Y")</f>
        <v>1017.5057</v>
      </c>
      <c r="G6" s="13">
        <f>_xll.BDH("ITCI US Equity","HISTORICAL_MARKET_CAP","FQ2 2020","FQ2 2020","Currency=USD","Period=FQ","BEST_FPERIOD_OVERRIDE=FQ","FILING_STATUS=MR","SCALING_FORMAT=MLN","Sort=A","Dates=H","DateFormat=P","Fill=—","Direction=H","UseDPDF=Y")</f>
        <v>1714.1845000000001</v>
      </c>
      <c r="H6" s="13">
        <f>_xll.BDH("ITCI US Equity","HISTORICAL_MARKET_CAP","FQ3 2020","FQ3 2020","Currency=USD","Period=FQ","BEST_FPERIOD_OVERRIDE=FQ","FILING_STATUS=MR","SCALING_FORMAT=MLN","Sort=A","Dates=H","DateFormat=P","Fill=—","Direction=H","UseDPDF=Y")</f>
        <v>2056.4641999999999</v>
      </c>
      <c r="I6" s="13">
        <f>_xll.BDH("ITCI US Equity","HISTORICAL_MARKET_CAP","FQ4 2020","FQ4 2020","Currency=USD","Period=FQ","BEST_FPERIOD_OVERRIDE=FQ","FILING_STATUS=MR","SCALING_FORMAT=MLN","Sort=A","Dates=H","DateFormat=P","Fill=—","Direction=H","UseDPDF=Y")</f>
        <v>2558.7262000000001</v>
      </c>
      <c r="J6" s="13">
        <f>_xll.BDH("ITCI US Equity","HISTORICAL_MARKET_CAP","FQ1 2021","FQ1 2021","Currency=USD","Period=FQ","BEST_FPERIOD_OVERRIDE=FQ","FILING_STATUS=MR","SCALING_FORMAT=MLN","Sort=A","Dates=H","DateFormat=P","Fill=—","Direction=H","UseDPDF=Y")</f>
        <v>2752.8715000000002</v>
      </c>
      <c r="K6" s="13">
        <f>_xll.BDH("ITCI US Equity","HISTORICAL_MARKET_CAP","FQ2 2021","FQ2 2021","Currency=USD","Period=FQ","BEST_FPERIOD_OVERRIDE=FQ","FILING_STATUS=MR","SCALING_FORMAT=MLN","Sort=A","Dates=H","DateFormat=P","Fill=—","Direction=H","UseDPDF=Y")</f>
        <v>3319.1509000000001</v>
      </c>
      <c r="L6" s="13">
        <f>_xll.BDH("ITCI US Equity","HISTORICAL_MARKET_CAP","FQ3 2021","FQ3 2021","Currency=USD","Period=FQ","BEST_FPERIOD_OVERRIDE=FQ","FILING_STATUS=MR","SCALING_FORMAT=MLN","Sort=A","Dates=H","DateFormat=P","Fill=—","Direction=H","UseDPDF=Y")</f>
        <v>3033.7496999999998</v>
      </c>
      <c r="M6" s="13">
        <f>_xll.BDH("ITCI US Equity","HISTORICAL_MARKET_CAP","FQ4 2021","FQ4 2021","Currency=USD","Period=FQ","BEST_FPERIOD_OVERRIDE=FQ","FILING_STATUS=MR","SCALING_FORMAT=MLN","Sort=A","Dates=H","DateFormat=P","Fill=—","Direction=H","UseDPDF=Y")</f>
        <v>4285.9637000000002</v>
      </c>
      <c r="N6" s="13">
        <f>_xll.BDH("ITCI US Equity","HISTORICAL_MARKET_CAP","FQ1 2022","FQ1 2022","Currency=USD","Period=FQ","BEST_FPERIOD_OVERRIDE=FQ","FILING_STATUS=MR","SCALING_FORMAT=MLN","Sort=A","Dates=H","DateFormat=P","Fill=—","Direction=H","UseDPDF=Y")</f>
        <v>5753.1098000000002</v>
      </c>
      <c r="O6" s="13">
        <f>_xll.BDH("ITCI US Equity","HISTORICAL_MARKET_CAP","FQ2 2022","FQ2 2022","Currency=USD","Period=FQ","BEST_FPERIOD_OVERRIDE=FQ","FILING_STATUS=MR","SCALING_FORMAT=MLN","Sort=A","Dates=H","DateFormat=P","Fill=—","Direction=H","UseDPDF=Y")</f>
        <v>5386.4817000000003</v>
      </c>
      <c r="P6" s="13">
        <f>_xll.BDH("ITCI US Equity","HISTORICAL_MARKET_CAP","FQ3 2022","FQ3 2022","Currency=USD","Period=FQ","BEST_FPERIOD_OVERRIDE=FQ","FILING_STATUS=MR","SCALING_FORMAT=MLN","Sort=A","Dates=H","DateFormat=P","Fill=—","Direction=H","UseDPDF=Y")</f>
        <v>4406.4683000000005</v>
      </c>
      <c r="Q6" s="13">
        <f>_xll.BDH("ITCI US Equity","HISTORICAL_MARKET_CAP","FQ4 2022","FQ4 2022","Currency=USD","Period=FQ","BEST_FPERIOD_OVERRIDE=FQ","FILING_STATUS=MR","SCALING_FORMAT=MLN","Sort=A","Dates=H","DateFormat=P","Fill=—","Direction=H","UseDPDF=Y")</f>
        <v>5018.3927000000003</v>
      </c>
      <c r="R6" s="13">
        <f>_xll.BDH("ITCI US Equity","HISTORICAL_MARKET_CAP","FQ1 2023","FQ1 2023","Currency=USD","Period=FQ","BEST_FPERIOD_OVERRIDE=FQ","FILING_STATUS=MR","SCALING_FORMAT=MLN","Sort=A","Dates=H","DateFormat=P","Fill=—","Direction=H","UseDPDF=Y")</f>
        <v>5181.0735999999997</v>
      </c>
      <c r="S6" s="13">
        <f>_xll.BDH("ITCI US Equity","HISTORICAL_MARKET_CAP","FQ2 2023","FQ2 2023","Currency=USD","Period=FQ","BEST_FPERIOD_OVERRIDE=FQ","FILING_STATUS=MR","SCALING_FORMAT=MLN","Sort=A","Dates=H","DateFormat=P","Fill=—","Direction=H","UseDPDF=Y")</f>
        <v>6084.0001000000002</v>
      </c>
      <c r="T6" s="13">
        <f>_xll.BDH("ITCI US Equity","HISTORICAL_MARKET_CAP","FQ3 2023","FQ3 2023","Currency=USD","Period=FQ","BEST_FPERIOD_OVERRIDE=FQ","FILING_STATUS=MR","SCALING_FORMAT=MLN","Sort=A","Dates=H","DateFormat=P","Fill=—","Direction=H","UseDPDF=Y")</f>
        <v>5012.3923999999997</v>
      </c>
      <c r="U6" s="13">
        <f>_xll.BDH("ITCI US Equity","HISTORICAL_MARKET_CAP","FQ4 2023","FQ4 2023","Currency=USD","Period=FQ","BEST_FPERIOD_OVERRIDE=FQ","FILING_STATUS=MR","SCALING_FORMAT=MLN","Sort=A","Dates=H","DateFormat=P","Fill=—","Direction=H","UseDPDF=Y")</f>
        <v>6902.7221</v>
      </c>
      <c r="V6" s="13">
        <f>_xll.BDH("ITCI US Equity","HISTORICAL_MARKET_CAP","FQ1 2024","FQ1 2024","Currency=USD","Period=FQ","BEST_FPERIOD_OVERRIDE=FQ","FILING_STATUS=MR","SCALING_FORMAT=MLN","Sort=A","Dates=H","DateFormat=P","Fill=—","Direction=H","UseDPDF=Y")</f>
        <v>6745.4650000000001</v>
      </c>
      <c r="W6" s="13">
        <f>_xll.BDH("ITCI US Equity","HISTORICAL_MARKET_CAP","FQ2 2024","FQ2 2024","Currency=USD","Period=FQ","BEST_FPERIOD_OVERRIDE=FQ","FILING_STATUS=MR","SCALING_FORMAT=MLN","Sort=A","Dates=H","DateFormat=P","Fill=—","Direction=H","UseDPDF=Y")</f>
        <v>7234.2494999999999</v>
      </c>
      <c r="X6" s="13">
        <f>_xll.BDH("ITCI US Equity","HISTORICAL_MARKET_CAP","FQ3 2024","FQ3 2024","Currency=USD","Period=FQ","BEST_FPERIOD_OVERRIDE=FQ","FILING_STATUS=MR","SCALING_FORMAT=MLN","Sort=A","Dates=H","DateFormat=P","Fill=—","Direction=H","UseDPDF=Y")</f>
        <v>7755.9312</v>
      </c>
      <c r="Y6" s="13">
        <f>_xll.BDH("ITCI US Equity","HISTORICAL_MARKET_CAP","FQ4 2024","FQ4 2024","Currency=USD","Period=FQ","BEST_FPERIOD_OVERRIDE=FQ","FILING_STATUS=MR","SCALING_FORMAT=MLN","Sort=A","Dates=H","DateFormat=P","Fill=—","Direction=H","UseDPDF=Y")</f>
        <v>8873.1656000000003</v>
      </c>
      <c r="Z6" s="16">
        <v>14015.08735312</v>
      </c>
      <c r="AA6" s="13"/>
    </row>
    <row r="7" spans="1:27" x14ac:dyDescent="0.25">
      <c r="A7" s="10" t="s">
        <v>165</v>
      </c>
      <c r="B7" s="10" t="s">
        <v>62</v>
      </c>
      <c r="C7" s="13">
        <f>_xll.BDH("ITCI US Equity","CASH_AND_MARKETABLE_SECURITIES","FQ2 2019","FQ2 2019","Currency=USD","Period=FQ","BEST_FPERIOD_OVERRIDE=FQ","FILING_STATUS=MR","SCALING_FORMAT=MLN","Sort=A","Dates=H","DateFormat=P","Fill=—","Direction=H","UseDPDF=Y")</f>
        <v>285.30020000000002</v>
      </c>
      <c r="D7" s="13">
        <f>_xll.BDH("ITCI US Equity","CASH_AND_MARKETABLE_SECURITIES","FQ3 2019","FQ3 2019","Currency=USD","Period=FQ","BEST_FPERIOD_OVERRIDE=FQ","FILING_STATUS=MR","SCALING_FORMAT=MLN","Sort=A","Dates=H","DateFormat=P","Fill=—","Direction=H","UseDPDF=Y")</f>
        <v>255.43360000000001</v>
      </c>
      <c r="E7" s="13">
        <f>_xll.BDH("ITCI US Equity","CASH_AND_MARKETABLE_SECURITIES","FQ4 2019","FQ4 2019","Currency=USD","Period=FQ","BEST_FPERIOD_OVERRIDE=FQ","FILING_STATUS=MR","SCALING_FORMAT=MLN","Sort=A","Dates=H","DateFormat=P","Fill=—","Direction=H","UseDPDF=Y")</f>
        <v>224.0102</v>
      </c>
      <c r="F7" s="13">
        <f>_xll.BDH("ITCI US Equity","CASH_AND_MARKETABLE_SECURITIES","FQ1 2020","FQ1 2020","Currency=USD","Period=FQ","BEST_FPERIOD_OVERRIDE=FQ","FILING_STATUS=MR","SCALING_FORMAT=MLN","Sort=A","Dates=H","DateFormat=P","Fill=—","Direction=H","UseDPDF=Y")</f>
        <v>448.95400000000001</v>
      </c>
      <c r="G7" s="13">
        <f>_xll.BDH("ITCI US Equity","CASH_AND_MARKETABLE_SECURITIES","FQ2 2020","FQ2 2020","Currency=USD","Period=FQ","BEST_FPERIOD_OVERRIDE=FQ","FILING_STATUS=MR","SCALING_FORMAT=MLN","Sort=A","Dates=H","DateFormat=P","Fill=—","Direction=H","UseDPDF=Y")</f>
        <v>407.75889999999998</v>
      </c>
      <c r="H7" s="13">
        <f>_xll.BDH("ITCI US Equity","CASH_AND_MARKETABLE_SECURITIES","FQ3 2020","FQ3 2020","Currency=USD","Period=FQ","BEST_FPERIOD_OVERRIDE=FQ","FILING_STATUS=MR","SCALING_FORMAT=MLN","Sort=A","Dates=H","DateFormat=P","Fill=—","Direction=H","UseDPDF=Y")</f>
        <v>721.94749999999999</v>
      </c>
      <c r="I7" s="13">
        <f>_xll.BDH("ITCI US Equity","CASH_AND_MARKETABLE_SECURITIES","FQ4 2020","FQ4 2020","Currency=USD","Period=FQ","BEST_FPERIOD_OVERRIDE=FQ","FILING_STATUS=MR","SCALING_FORMAT=MLN","Sort=A","Dates=H","DateFormat=P","Fill=—","Direction=H","UseDPDF=Y")</f>
        <v>657.44809999999995</v>
      </c>
      <c r="J7" s="13">
        <f>_xll.BDH("ITCI US Equity","CASH_AND_MARKETABLE_SECURITIES","FQ1 2021","FQ1 2021","Currency=USD","Period=FQ","BEST_FPERIOD_OVERRIDE=FQ","FILING_STATUS=MR","SCALING_FORMAT=MLN","Sort=A","Dates=H","DateFormat=P","Fill=—","Direction=H","UseDPDF=Y")</f>
        <v>611.96469999999999</v>
      </c>
      <c r="K7" s="13">
        <f>_xll.BDH("ITCI US Equity","CASH_AND_MARKETABLE_SECURITIES","FQ2 2021","FQ2 2021","Currency=USD","Period=FQ","BEST_FPERIOD_OVERRIDE=FQ","FILING_STATUS=MR","SCALING_FORMAT=MLN","Sort=A","Dates=H","DateFormat=P","Fill=—","Direction=H","UseDPDF=Y")</f>
        <v>554.75739999999996</v>
      </c>
      <c r="L7" s="13">
        <f>_xll.BDH("ITCI US Equity","CASH_AND_MARKETABLE_SECURITIES","FQ3 2021","FQ3 2021","Currency=USD","Period=FQ","BEST_FPERIOD_OVERRIDE=FQ","FILING_STATUS=MR","SCALING_FORMAT=MLN","Sort=A","Dates=H","DateFormat=P","Fill=—","Direction=H","UseDPDF=Y")</f>
        <v>477.28390000000002</v>
      </c>
      <c r="M7" s="13">
        <f>_xll.BDH("ITCI US Equity","CASH_AND_MARKETABLE_SECURITIES","FQ4 2021","FQ4 2021","Currency=USD","Period=FQ","BEST_FPERIOD_OVERRIDE=FQ","FILING_STATUS=MR","SCALING_FORMAT=MLN","Sort=A","Dates=H","DateFormat=P","Fill=—","Direction=H","UseDPDF=Y")</f>
        <v>412.33330000000001</v>
      </c>
      <c r="N7" s="13">
        <f>_xll.BDH("ITCI US Equity","CASH_AND_MARKETABLE_SECURITIES","FQ1 2022","FQ1 2022","Currency=USD","Period=FQ","BEST_FPERIOD_OVERRIDE=FQ","FILING_STATUS=MR","SCALING_FORMAT=MLN","Sort=A","Dates=H","DateFormat=P","Fill=—","Direction=H","UseDPDF=Y")</f>
        <v>771.84799999999996</v>
      </c>
      <c r="O7" s="13">
        <f>_xll.BDH("ITCI US Equity","CASH_AND_MARKETABLE_SECURITIES","FQ2 2022","FQ2 2022","Currency=USD","Period=FQ","BEST_FPERIOD_OVERRIDE=FQ","FILING_STATUS=MR","SCALING_FORMAT=MLN","Sort=A","Dates=H","DateFormat=P","Fill=—","Direction=H","UseDPDF=Y")</f>
        <v>677.82899999999995</v>
      </c>
      <c r="P7" s="13">
        <f>_xll.BDH("ITCI US Equity","CASH_AND_MARKETABLE_SECURITIES","FQ3 2022","FQ3 2022","Currency=USD","Period=FQ","BEST_FPERIOD_OVERRIDE=FQ","FILING_STATUS=MR","SCALING_FORMAT=MLN","Sort=A","Dates=H","DateFormat=P","Fill=—","Direction=H","UseDPDF=Y")</f>
        <v>628.74099999999999</v>
      </c>
      <c r="Q7" s="13">
        <f>_xll.BDH("ITCI US Equity","CASH_AND_MARKETABLE_SECURITIES","FQ4 2022","FQ4 2022","Currency=USD","Period=FQ","BEST_FPERIOD_OVERRIDE=FQ","FILING_STATUS=MR","SCALING_FORMAT=MLN","Sort=A","Dates=H","DateFormat=P","Fill=—","Direction=H","UseDPDF=Y")</f>
        <v>591.90499999999997</v>
      </c>
      <c r="R7" s="13">
        <f>_xll.BDH("ITCI US Equity","CASH_AND_MARKETABLE_SECURITIES","FQ1 2023","FQ1 2023","Currency=USD","Period=FQ","BEST_FPERIOD_OVERRIDE=FQ","FILING_STATUS=MR","SCALING_FORMAT=MLN","Sort=A","Dates=H","DateFormat=P","Fill=—","Direction=H","UseDPDF=Y")</f>
        <v>538.70799999999997</v>
      </c>
      <c r="S7" s="13">
        <f>_xll.BDH("ITCI US Equity","CASH_AND_MARKETABLE_SECURITIES","FQ2 2023","FQ2 2023","Currency=USD","Period=FQ","BEST_FPERIOD_OVERRIDE=FQ","FILING_STATUS=MR","SCALING_FORMAT=MLN","Sort=A","Dates=H","DateFormat=P","Fill=—","Direction=H","UseDPDF=Y")</f>
        <v>512.85400000000004</v>
      </c>
      <c r="T7" s="13">
        <f>_xll.BDH("ITCI US Equity","CASH_AND_MARKETABLE_SECURITIES","FQ3 2023","FQ3 2023","Currency=USD","Period=FQ","BEST_FPERIOD_OVERRIDE=FQ","FILING_STATUS=MR","SCALING_FORMAT=MLN","Sort=A","Dates=H","DateFormat=P","Fill=—","Direction=H","UseDPDF=Y")</f>
        <v>493.02100000000002</v>
      </c>
      <c r="U7" s="13">
        <f>_xll.BDH("ITCI US Equity","CASH_AND_MARKETABLE_SECURITIES","FQ4 2023","FQ4 2023","Currency=USD","Period=FQ","BEST_FPERIOD_OVERRIDE=FQ","FILING_STATUS=MR","SCALING_FORMAT=MLN","Sort=A","Dates=H","DateFormat=P","Fill=—","Direction=H","UseDPDF=Y")</f>
        <v>497.94099999999997</v>
      </c>
      <c r="V7" s="13">
        <f>_xll.BDH("ITCI US Equity","CASH_AND_MARKETABLE_SECURITIES","FQ1 2024","FQ1 2024","Currency=USD","Period=FQ","BEST_FPERIOD_OVERRIDE=FQ","FILING_STATUS=MR","SCALING_FORMAT=MLN","Sort=A","Dates=H","DateFormat=P","Fill=—","Direction=H","UseDPDF=Y")</f>
        <v>475.62299999999999</v>
      </c>
      <c r="W7" s="13">
        <f>_xll.BDH("ITCI US Equity","CASH_AND_MARKETABLE_SECURITIES","FQ2 2024","FQ2 2024","Currency=USD","Period=FQ","BEST_FPERIOD_OVERRIDE=FQ","FILING_STATUS=MR","SCALING_FORMAT=MLN","Sort=A","Dates=H","DateFormat=P","Fill=—","Direction=H","UseDPDF=Y")</f>
        <v>1022.907</v>
      </c>
      <c r="X7" s="13">
        <f>_xll.BDH("ITCI US Equity","CASH_AND_MARKETABLE_SECURITIES","FQ3 2024","FQ3 2024","Currency=USD","Period=FQ","BEST_FPERIOD_OVERRIDE=FQ","FILING_STATUS=MR","SCALING_FORMAT=MLN","Sort=A","Dates=H","DateFormat=P","Fill=—","Direction=H","UseDPDF=Y")</f>
        <v>1006.562</v>
      </c>
      <c r="Y7" s="13">
        <f>_xll.BDH("ITCI US Equity","CASH_AND_MARKETABLE_SECURITIES","FQ4 2024","FQ4 2024","Currency=USD","Period=FQ","BEST_FPERIOD_OVERRIDE=FQ","FILING_STATUS=MR","SCALING_FORMAT=MLN","Sort=A","Dates=H","DateFormat=P","Fill=—","Direction=H","UseDPDF=Y")</f>
        <v>1001.066</v>
      </c>
      <c r="Z7" s="16">
        <v>1001.066</v>
      </c>
      <c r="AA7" s="13"/>
    </row>
    <row r="8" spans="1:27" x14ac:dyDescent="0.25">
      <c r="A8" s="10" t="s">
        <v>166</v>
      </c>
      <c r="B8" s="10" t="s">
        <v>167</v>
      </c>
      <c r="C8" s="13">
        <f>_xll.BDH("ITCI US Equity","PFD_EQTY_HYBRID_CAPITAL","FQ2 2019","FQ2 2019","Currency=USD","Period=FQ","BEST_FPERIOD_OVERRIDE=FQ","FILING_STATUS=MR","SCALING_FORMAT=MLN","Sort=A","Dates=H","DateFormat=P","Fill=—","Direction=H","UseDPDF=Y")</f>
        <v>0</v>
      </c>
      <c r="D8" s="13">
        <f>_xll.BDH("ITCI US Equity","PFD_EQTY_HYBRID_CAPITAL","FQ3 2019","FQ3 2019","Currency=USD","Period=FQ","BEST_FPERIOD_OVERRIDE=FQ","FILING_STATUS=MR","SCALING_FORMAT=MLN","Sort=A","Dates=H","DateFormat=P","Fill=—","Direction=H","UseDPDF=Y")</f>
        <v>0</v>
      </c>
      <c r="E8" s="13">
        <f>_xll.BDH("ITCI US Equity","PFD_EQTY_HYBRID_CAPITAL","FQ4 2019","FQ4 2019","Currency=USD","Period=FQ","BEST_FPERIOD_OVERRIDE=FQ","FILING_STATUS=MR","SCALING_FORMAT=MLN","Sort=A","Dates=H","DateFormat=P","Fill=—","Direction=H","UseDPDF=Y")</f>
        <v>0</v>
      </c>
      <c r="F8" s="13">
        <f>_xll.BDH("ITCI US Equity","PFD_EQTY_HYBRID_CAPITAL","FQ1 2020","FQ1 2020","Currency=USD","Period=FQ","BEST_FPERIOD_OVERRIDE=FQ","FILING_STATUS=MR","SCALING_FORMAT=MLN","Sort=A","Dates=H","DateFormat=P","Fill=—","Direction=H","UseDPDF=Y")</f>
        <v>0</v>
      </c>
      <c r="G8" s="13">
        <f>_xll.BDH("ITCI US Equity","PFD_EQTY_HYBRID_CAPITAL","FQ2 2020","FQ2 2020","Currency=USD","Period=FQ","BEST_FPERIOD_OVERRIDE=FQ","FILING_STATUS=MR","SCALING_FORMAT=MLN","Sort=A","Dates=H","DateFormat=P","Fill=—","Direction=H","UseDPDF=Y")</f>
        <v>0</v>
      </c>
      <c r="H8" s="13">
        <f>_xll.BDH("ITCI US Equity","PFD_EQTY_HYBRID_CAPITAL","FQ3 2020","FQ3 2020","Currency=USD","Period=FQ","BEST_FPERIOD_OVERRIDE=FQ","FILING_STATUS=MR","SCALING_FORMAT=MLN","Sort=A","Dates=H","DateFormat=P","Fill=—","Direction=H","UseDPDF=Y")</f>
        <v>0</v>
      </c>
      <c r="I8" s="13">
        <f>_xll.BDH("ITCI US Equity","PFD_EQTY_HYBRID_CAPITAL","FQ4 2020","FQ4 2020","Currency=USD","Period=FQ","BEST_FPERIOD_OVERRIDE=FQ","FILING_STATUS=MR","SCALING_FORMAT=MLN","Sort=A","Dates=H","DateFormat=P","Fill=—","Direction=H","UseDPDF=Y")</f>
        <v>0</v>
      </c>
      <c r="J8" s="13">
        <f>_xll.BDH("ITCI US Equity","PFD_EQTY_HYBRID_CAPITAL","FQ1 2021","FQ1 2021","Currency=USD","Period=FQ","BEST_FPERIOD_OVERRIDE=FQ","FILING_STATUS=MR","SCALING_FORMAT=MLN","Sort=A","Dates=H","DateFormat=P","Fill=—","Direction=H","UseDPDF=Y")</f>
        <v>0</v>
      </c>
      <c r="K8" s="13">
        <f>_xll.BDH("ITCI US Equity","PFD_EQTY_HYBRID_CAPITAL","FQ2 2021","FQ2 2021","Currency=USD","Period=FQ","BEST_FPERIOD_OVERRIDE=FQ","FILING_STATUS=MR","SCALING_FORMAT=MLN","Sort=A","Dates=H","DateFormat=P","Fill=—","Direction=H","UseDPDF=Y")</f>
        <v>0</v>
      </c>
      <c r="L8" s="13">
        <f>_xll.BDH("ITCI US Equity","PFD_EQTY_HYBRID_CAPITAL","FQ3 2021","FQ3 2021","Currency=USD","Period=FQ","BEST_FPERIOD_OVERRIDE=FQ","FILING_STATUS=MR","SCALING_FORMAT=MLN","Sort=A","Dates=H","DateFormat=P","Fill=—","Direction=H","UseDPDF=Y")</f>
        <v>0</v>
      </c>
      <c r="M8" s="13">
        <f>_xll.BDH("ITCI US Equity","PFD_EQTY_HYBRID_CAPITAL","FQ4 2021","FQ4 2021","Currency=USD","Period=FQ","BEST_FPERIOD_OVERRIDE=FQ","FILING_STATUS=MR","SCALING_FORMAT=MLN","Sort=A","Dates=H","DateFormat=P","Fill=—","Direction=H","UseDPDF=Y")</f>
        <v>0</v>
      </c>
      <c r="N8" s="13">
        <f>_xll.BDH("ITCI US Equity","PFD_EQTY_HYBRID_CAPITAL","FQ1 2022","FQ1 2022","Currency=USD","Period=FQ","BEST_FPERIOD_OVERRIDE=FQ","FILING_STATUS=MR","SCALING_FORMAT=MLN","Sort=A","Dates=H","DateFormat=P","Fill=—","Direction=H","UseDPDF=Y")</f>
        <v>0</v>
      </c>
      <c r="O8" s="13">
        <f>_xll.BDH("ITCI US Equity","PFD_EQTY_HYBRID_CAPITAL","FQ2 2022","FQ2 2022","Currency=USD","Period=FQ","BEST_FPERIOD_OVERRIDE=FQ","FILING_STATUS=MR","SCALING_FORMAT=MLN","Sort=A","Dates=H","DateFormat=P","Fill=—","Direction=H","UseDPDF=Y")</f>
        <v>0</v>
      </c>
      <c r="P8" s="13">
        <f>_xll.BDH("ITCI US Equity","PFD_EQTY_HYBRID_CAPITAL","FQ3 2022","FQ3 2022","Currency=USD","Period=FQ","BEST_FPERIOD_OVERRIDE=FQ","FILING_STATUS=MR","SCALING_FORMAT=MLN","Sort=A","Dates=H","DateFormat=P","Fill=—","Direction=H","UseDPDF=Y")</f>
        <v>0</v>
      </c>
      <c r="Q8" s="13">
        <f>_xll.BDH("ITCI US Equity","PFD_EQTY_HYBRID_CAPITAL","FQ4 2022","FQ4 2022","Currency=USD","Period=FQ","BEST_FPERIOD_OVERRIDE=FQ","FILING_STATUS=MR","SCALING_FORMAT=MLN","Sort=A","Dates=H","DateFormat=P","Fill=—","Direction=H","UseDPDF=Y")</f>
        <v>0</v>
      </c>
      <c r="R8" s="13">
        <f>_xll.BDH("ITCI US Equity","PFD_EQTY_HYBRID_CAPITAL","FQ1 2023","FQ1 2023","Currency=USD","Period=FQ","BEST_FPERIOD_OVERRIDE=FQ","FILING_STATUS=MR","SCALING_FORMAT=MLN","Sort=A","Dates=H","DateFormat=P","Fill=—","Direction=H","UseDPDF=Y")</f>
        <v>0</v>
      </c>
      <c r="S8" s="13">
        <f>_xll.BDH("ITCI US Equity","PFD_EQTY_HYBRID_CAPITAL","FQ2 2023","FQ2 2023","Currency=USD","Period=FQ","BEST_FPERIOD_OVERRIDE=FQ","FILING_STATUS=MR","SCALING_FORMAT=MLN","Sort=A","Dates=H","DateFormat=P","Fill=—","Direction=H","UseDPDF=Y")</f>
        <v>0</v>
      </c>
      <c r="T8" s="13">
        <f>_xll.BDH("ITCI US Equity","PFD_EQTY_HYBRID_CAPITAL","FQ3 2023","FQ3 2023","Currency=USD","Period=FQ","BEST_FPERIOD_OVERRIDE=FQ","FILING_STATUS=MR","SCALING_FORMAT=MLN","Sort=A","Dates=H","DateFormat=P","Fill=—","Direction=H","UseDPDF=Y")</f>
        <v>0</v>
      </c>
      <c r="U8" s="13">
        <f>_xll.BDH("ITCI US Equity","PFD_EQTY_HYBRID_CAPITAL","FQ4 2023","FQ4 2023","Currency=USD","Period=FQ","BEST_FPERIOD_OVERRIDE=FQ","FILING_STATUS=MR","SCALING_FORMAT=MLN","Sort=A","Dates=H","DateFormat=P","Fill=—","Direction=H","UseDPDF=Y")</f>
        <v>0</v>
      </c>
      <c r="V8" s="13">
        <f>_xll.BDH("ITCI US Equity","PFD_EQTY_HYBRID_CAPITAL","FQ1 2024","FQ1 2024","Currency=USD","Period=FQ","BEST_FPERIOD_OVERRIDE=FQ","FILING_STATUS=MR","SCALING_FORMAT=MLN","Sort=A","Dates=H","DateFormat=P","Fill=—","Direction=H","UseDPDF=Y")</f>
        <v>0</v>
      </c>
      <c r="W8" s="13">
        <f>_xll.BDH("ITCI US Equity","PFD_EQTY_HYBRID_CAPITAL","FQ2 2024","FQ2 2024","Currency=USD","Period=FQ","BEST_FPERIOD_OVERRIDE=FQ","FILING_STATUS=MR","SCALING_FORMAT=MLN","Sort=A","Dates=H","DateFormat=P","Fill=—","Direction=H","UseDPDF=Y")</f>
        <v>0</v>
      </c>
      <c r="X8" s="13">
        <f>_xll.BDH("ITCI US Equity","PFD_EQTY_HYBRID_CAPITAL","FQ3 2024","FQ3 2024","Currency=USD","Period=FQ","BEST_FPERIOD_OVERRIDE=FQ","FILING_STATUS=MR","SCALING_FORMAT=MLN","Sort=A","Dates=H","DateFormat=P","Fill=—","Direction=H","UseDPDF=Y")</f>
        <v>0</v>
      </c>
      <c r="Y8" s="13">
        <f>_xll.BDH("ITCI US Equity","PFD_EQTY_HYBRID_CAPITAL","FQ4 2024","FQ4 2024","Currency=USD","Period=FQ","BEST_FPERIOD_OVERRIDE=FQ","FILING_STATUS=MR","SCALING_FORMAT=MLN","Sort=A","Dates=H","DateFormat=P","Fill=—","Direction=H","UseDPDF=Y")</f>
        <v>0</v>
      </c>
      <c r="Z8" s="16">
        <v>0</v>
      </c>
      <c r="AA8" s="13"/>
    </row>
    <row r="9" spans="1:27" x14ac:dyDescent="0.25">
      <c r="A9" s="10" t="s">
        <v>168</v>
      </c>
      <c r="B9" s="10" t="s">
        <v>169</v>
      </c>
      <c r="C9" s="13">
        <f>_xll.BDH("ITCI US Equity","MINORITY_NONCONTROLLING_INTEREST","FQ2 2019","FQ2 2019","Currency=USD","Period=FQ","BEST_FPERIOD_OVERRIDE=FQ","FILING_STATUS=MR","SCALING_FORMAT=MLN","Sort=A","Dates=H","DateFormat=P","Fill=—","Direction=H","UseDPDF=Y")</f>
        <v>0</v>
      </c>
      <c r="D9" s="13">
        <f>_xll.BDH("ITCI US Equity","MINORITY_NONCONTROLLING_INTEREST","FQ3 2019","FQ3 2019","Currency=USD","Period=FQ","BEST_FPERIOD_OVERRIDE=FQ","FILING_STATUS=MR","SCALING_FORMAT=MLN","Sort=A","Dates=H","DateFormat=P","Fill=—","Direction=H","UseDPDF=Y")</f>
        <v>0</v>
      </c>
      <c r="E9" s="13">
        <f>_xll.BDH("ITCI US Equity","MINORITY_NONCONTROLLING_INTEREST","FQ4 2019","FQ4 2019","Currency=USD","Period=FQ","BEST_FPERIOD_OVERRIDE=FQ","FILING_STATUS=MR","SCALING_FORMAT=MLN","Sort=A","Dates=H","DateFormat=P","Fill=—","Direction=H","UseDPDF=Y")</f>
        <v>0</v>
      </c>
      <c r="F9" s="13">
        <f>_xll.BDH("ITCI US Equity","MINORITY_NONCONTROLLING_INTEREST","FQ1 2020","FQ1 2020","Currency=USD","Period=FQ","BEST_FPERIOD_OVERRIDE=FQ","FILING_STATUS=MR","SCALING_FORMAT=MLN","Sort=A","Dates=H","DateFormat=P","Fill=—","Direction=H","UseDPDF=Y")</f>
        <v>0</v>
      </c>
      <c r="G9" s="13">
        <f>_xll.BDH("ITCI US Equity","MINORITY_NONCONTROLLING_INTEREST","FQ2 2020","FQ2 2020","Currency=USD","Period=FQ","BEST_FPERIOD_OVERRIDE=FQ","FILING_STATUS=MR","SCALING_FORMAT=MLN","Sort=A","Dates=H","DateFormat=P","Fill=—","Direction=H","UseDPDF=Y")</f>
        <v>0</v>
      </c>
      <c r="H9" s="13">
        <f>_xll.BDH("ITCI US Equity","MINORITY_NONCONTROLLING_INTEREST","FQ3 2020","FQ3 2020","Currency=USD","Period=FQ","BEST_FPERIOD_OVERRIDE=FQ","FILING_STATUS=MR","SCALING_FORMAT=MLN","Sort=A","Dates=H","DateFormat=P","Fill=—","Direction=H","UseDPDF=Y")</f>
        <v>0</v>
      </c>
      <c r="I9" s="13">
        <f>_xll.BDH("ITCI US Equity","MINORITY_NONCONTROLLING_INTEREST","FQ4 2020","FQ4 2020","Currency=USD","Period=FQ","BEST_FPERIOD_OVERRIDE=FQ","FILING_STATUS=MR","SCALING_FORMAT=MLN","Sort=A","Dates=H","DateFormat=P","Fill=—","Direction=H","UseDPDF=Y")</f>
        <v>0</v>
      </c>
      <c r="J9" s="13">
        <f>_xll.BDH("ITCI US Equity","MINORITY_NONCONTROLLING_INTEREST","FQ1 2021","FQ1 2021","Currency=USD","Period=FQ","BEST_FPERIOD_OVERRIDE=FQ","FILING_STATUS=MR","SCALING_FORMAT=MLN","Sort=A","Dates=H","DateFormat=P","Fill=—","Direction=H","UseDPDF=Y")</f>
        <v>0</v>
      </c>
      <c r="K9" s="13">
        <f>_xll.BDH("ITCI US Equity","MINORITY_NONCONTROLLING_INTEREST","FQ2 2021","FQ2 2021","Currency=USD","Period=FQ","BEST_FPERIOD_OVERRIDE=FQ","FILING_STATUS=MR","SCALING_FORMAT=MLN","Sort=A","Dates=H","DateFormat=P","Fill=—","Direction=H","UseDPDF=Y")</f>
        <v>0</v>
      </c>
      <c r="L9" s="13">
        <f>_xll.BDH("ITCI US Equity","MINORITY_NONCONTROLLING_INTEREST","FQ3 2021","FQ3 2021","Currency=USD","Period=FQ","BEST_FPERIOD_OVERRIDE=FQ","FILING_STATUS=MR","SCALING_FORMAT=MLN","Sort=A","Dates=H","DateFormat=P","Fill=—","Direction=H","UseDPDF=Y")</f>
        <v>0</v>
      </c>
      <c r="M9" s="13">
        <f>_xll.BDH("ITCI US Equity","MINORITY_NONCONTROLLING_INTEREST","FQ4 2021","FQ4 2021","Currency=USD","Period=FQ","BEST_FPERIOD_OVERRIDE=FQ","FILING_STATUS=MR","SCALING_FORMAT=MLN","Sort=A","Dates=H","DateFormat=P","Fill=—","Direction=H","UseDPDF=Y")</f>
        <v>0</v>
      </c>
      <c r="N9" s="13">
        <f>_xll.BDH("ITCI US Equity","MINORITY_NONCONTROLLING_INTEREST","FQ1 2022","FQ1 2022","Currency=USD","Period=FQ","BEST_FPERIOD_OVERRIDE=FQ","FILING_STATUS=MR","SCALING_FORMAT=MLN","Sort=A","Dates=H","DateFormat=P","Fill=—","Direction=H","UseDPDF=Y")</f>
        <v>0</v>
      </c>
      <c r="O9" s="13">
        <f>_xll.BDH("ITCI US Equity","MINORITY_NONCONTROLLING_INTEREST","FQ2 2022","FQ2 2022","Currency=USD","Period=FQ","BEST_FPERIOD_OVERRIDE=FQ","FILING_STATUS=MR","SCALING_FORMAT=MLN","Sort=A","Dates=H","DateFormat=P","Fill=—","Direction=H","UseDPDF=Y")</f>
        <v>0</v>
      </c>
      <c r="P9" s="13">
        <f>_xll.BDH("ITCI US Equity","MINORITY_NONCONTROLLING_INTEREST","FQ3 2022","FQ3 2022","Currency=USD","Period=FQ","BEST_FPERIOD_OVERRIDE=FQ","FILING_STATUS=MR","SCALING_FORMAT=MLN","Sort=A","Dates=H","DateFormat=P","Fill=—","Direction=H","UseDPDF=Y")</f>
        <v>0</v>
      </c>
      <c r="Q9" s="13">
        <f>_xll.BDH("ITCI US Equity","MINORITY_NONCONTROLLING_INTEREST","FQ4 2022","FQ4 2022","Currency=USD","Period=FQ","BEST_FPERIOD_OVERRIDE=FQ","FILING_STATUS=MR","SCALING_FORMAT=MLN","Sort=A","Dates=H","DateFormat=P","Fill=—","Direction=H","UseDPDF=Y")</f>
        <v>0</v>
      </c>
      <c r="R9" s="13">
        <f>_xll.BDH("ITCI US Equity","MINORITY_NONCONTROLLING_INTEREST","FQ1 2023","FQ1 2023","Currency=USD","Period=FQ","BEST_FPERIOD_OVERRIDE=FQ","FILING_STATUS=MR","SCALING_FORMAT=MLN","Sort=A","Dates=H","DateFormat=P","Fill=—","Direction=H","UseDPDF=Y")</f>
        <v>0</v>
      </c>
      <c r="S9" s="13">
        <f>_xll.BDH("ITCI US Equity","MINORITY_NONCONTROLLING_INTEREST","FQ2 2023","FQ2 2023","Currency=USD","Period=FQ","BEST_FPERIOD_OVERRIDE=FQ","FILING_STATUS=MR","SCALING_FORMAT=MLN","Sort=A","Dates=H","DateFormat=P","Fill=—","Direction=H","UseDPDF=Y")</f>
        <v>0</v>
      </c>
      <c r="T9" s="13">
        <f>_xll.BDH("ITCI US Equity","MINORITY_NONCONTROLLING_INTEREST","FQ3 2023","FQ3 2023","Currency=USD","Period=FQ","BEST_FPERIOD_OVERRIDE=FQ","FILING_STATUS=MR","SCALING_FORMAT=MLN","Sort=A","Dates=H","DateFormat=P","Fill=—","Direction=H","UseDPDF=Y")</f>
        <v>0</v>
      </c>
      <c r="U9" s="13">
        <f>_xll.BDH("ITCI US Equity","MINORITY_NONCONTROLLING_INTEREST","FQ4 2023","FQ4 2023","Currency=USD","Period=FQ","BEST_FPERIOD_OVERRIDE=FQ","FILING_STATUS=MR","SCALING_FORMAT=MLN","Sort=A","Dates=H","DateFormat=P","Fill=—","Direction=H","UseDPDF=Y")</f>
        <v>0</v>
      </c>
      <c r="V9" s="13">
        <f>_xll.BDH("ITCI US Equity","MINORITY_NONCONTROLLING_INTEREST","FQ1 2024","FQ1 2024","Currency=USD","Period=FQ","BEST_FPERIOD_OVERRIDE=FQ","FILING_STATUS=MR","SCALING_FORMAT=MLN","Sort=A","Dates=H","DateFormat=P","Fill=—","Direction=H","UseDPDF=Y")</f>
        <v>0</v>
      </c>
      <c r="W9" s="13">
        <f>_xll.BDH("ITCI US Equity","MINORITY_NONCONTROLLING_INTEREST","FQ2 2024","FQ2 2024","Currency=USD","Period=FQ","BEST_FPERIOD_OVERRIDE=FQ","FILING_STATUS=MR","SCALING_FORMAT=MLN","Sort=A","Dates=H","DateFormat=P","Fill=—","Direction=H","UseDPDF=Y")</f>
        <v>0</v>
      </c>
      <c r="X9" s="13">
        <f>_xll.BDH("ITCI US Equity","MINORITY_NONCONTROLLING_INTEREST","FQ3 2024","FQ3 2024","Currency=USD","Period=FQ","BEST_FPERIOD_OVERRIDE=FQ","FILING_STATUS=MR","SCALING_FORMAT=MLN","Sort=A","Dates=H","DateFormat=P","Fill=—","Direction=H","UseDPDF=Y")</f>
        <v>0</v>
      </c>
      <c r="Y9" s="13">
        <f>_xll.BDH("ITCI US Equity","MINORITY_NONCONTROLLING_INTEREST","FQ4 2024","FQ4 2024","Currency=USD","Period=FQ","BEST_FPERIOD_OVERRIDE=FQ","FILING_STATUS=MR","SCALING_FORMAT=MLN","Sort=A","Dates=H","DateFormat=P","Fill=—","Direction=H","UseDPDF=Y")</f>
        <v>0</v>
      </c>
      <c r="Z9" s="16">
        <v>0</v>
      </c>
      <c r="AA9" s="13"/>
    </row>
    <row r="10" spans="1:27" x14ac:dyDescent="0.25">
      <c r="A10" s="10" t="s">
        <v>170</v>
      </c>
      <c r="B10" s="10" t="s">
        <v>266</v>
      </c>
      <c r="C10" s="13">
        <f>_xll.BDH("ITCI US Equity","TOT_DEBT_EX_OPERATING_LEA_LIABS","FQ2 2019","FQ2 2019","Currency=USD","Period=FQ","BEST_FPERIOD_OVERRIDE=FQ","FILING_STATUS=MR","SCALING_FORMAT=MLN","Sort=A","Dates=H","DateFormat=P","Fill=—","Direction=H","UseDPDF=Y")</f>
        <v>0</v>
      </c>
      <c r="D10" s="13">
        <f>_xll.BDH("ITCI US Equity","TOT_DEBT_EX_OPERATING_LEA_LIABS","FQ3 2019","FQ3 2019","Currency=USD","Period=FQ","BEST_FPERIOD_OVERRIDE=FQ","FILING_STATUS=MR","SCALING_FORMAT=MLN","Sort=A","Dates=H","DateFormat=P","Fill=—","Direction=H","UseDPDF=Y")</f>
        <v>0</v>
      </c>
      <c r="E10" s="13">
        <f>_xll.BDH("ITCI US Equity","TOT_DEBT_EX_OPERATING_LEA_LIABS","FQ4 2019","FQ4 2019","Currency=USD","Period=FQ","BEST_FPERIOD_OVERRIDE=FQ","FILING_STATUS=MR","SCALING_FORMAT=MLN","Sort=A","Dates=H","DateFormat=P","Fill=—","Direction=H","UseDPDF=Y")</f>
        <v>0</v>
      </c>
      <c r="F10" s="13">
        <f>_xll.BDH("ITCI US Equity","TOT_DEBT_EX_OPERATING_LEA_LIABS","FQ1 2020","FQ1 2020","Currency=USD","Period=FQ","BEST_FPERIOD_OVERRIDE=FQ","FILING_STATUS=MR","SCALING_FORMAT=MLN","Sort=A","Dates=H","DateFormat=P","Fill=—","Direction=H","UseDPDF=Y")</f>
        <v>0</v>
      </c>
      <c r="G10" s="13">
        <f>_xll.BDH("ITCI US Equity","TOT_DEBT_EX_OPERATING_LEA_LIABS","FQ2 2020","FQ2 2020","Currency=USD","Period=FQ","BEST_FPERIOD_OVERRIDE=FQ","FILING_STATUS=MR","SCALING_FORMAT=MLN","Sort=A","Dates=H","DateFormat=P","Fill=—","Direction=H","UseDPDF=Y")</f>
        <v>0</v>
      </c>
      <c r="H10" s="13">
        <f>_xll.BDH("ITCI US Equity","TOT_DEBT_EX_OPERATING_LEA_LIABS","FQ3 2020","FQ3 2020","Currency=USD","Period=FQ","BEST_FPERIOD_OVERRIDE=FQ","FILING_STATUS=MR","SCALING_FORMAT=MLN","Sort=A","Dates=H","DateFormat=P","Fill=—","Direction=H","UseDPDF=Y")</f>
        <v>0</v>
      </c>
      <c r="I10" s="13">
        <f>_xll.BDH("ITCI US Equity","TOT_DEBT_EX_OPERATING_LEA_LIABS","FQ4 2020","FQ4 2020","Currency=USD","Period=FQ","BEST_FPERIOD_OVERRIDE=FQ","FILING_STATUS=MR","SCALING_FORMAT=MLN","Sort=A","Dates=H","DateFormat=P","Fill=—","Direction=H","UseDPDF=Y")</f>
        <v>0</v>
      </c>
      <c r="J10" s="13">
        <f>_xll.BDH("ITCI US Equity","TOT_DEBT_EX_OPERATING_LEA_LIABS","FQ1 2021","FQ1 2021","Currency=USD","Period=FQ","BEST_FPERIOD_OVERRIDE=FQ","FILING_STATUS=MR","SCALING_FORMAT=MLN","Sort=A","Dates=H","DateFormat=P","Fill=—","Direction=H","UseDPDF=Y")</f>
        <v>0</v>
      </c>
      <c r="K10" s="13">
        <f>_xll.BDH("ITCI US Equity","TOT_DEBT_EX_OPERATING_LEA_LIABS","FQ2 2021","FQ2 2021","Currency=USD","Period=FQ","BEST_FPERIOD_OVERRIDE=FQ","FILING_STATUS=MR","SCALING_FORMAT=MLN","Sort=A","Dates=H","DateFormat=P","Fill=—","Direction=H","UseDPDF=Y")</f>
        <v>0</v>
      </c>
      <c r="L10" s="13">
        <f>_xll.BDH("ITCI US Equity","TOT_DEBT_EX_OPERATING_LEA_LIABS","FQ3 2021","FQ3 2021","Currency=USD","Period=FQ","BEST_FPERIOD_OVERRIDE=FQ","FILING_STATUS=MR","SCALING_FORMAT=MLN","Sort=A","Dates=H","DateFormat=P","Fill=—","Direction=H","UseDPDF=Y")</f>
        <v>0</v>
      </c>
      <c r="M10" s="13">
        <f>_xll.BDH("ITCI US Equity","TOT_DEBT_EX_OPERATING_LEA_LIABS","FQ4 2021","FQ4 2021","Currency=USD","Period=FQ","BEST_FPERIOD_OVERRIDE=FQ","FILING_STATUS=MR","SCALING_FORMAT=MLN","Sort=A","Dates=H","DateFormat=P","Fill=—","Direction=H","UseDPDF=Y")</f>
        <v>0</v>
      </c>
      <c r="N10" s="13">
        <f>_xll.BDH("ITCI US Equity","TOT_DEBT_EX_OPERATING_LEA_LIABS","FQ1 2022","FQ1 2022","Currency=USD","Period=FQ","BEST_FPERIOD_OVERRIDE=FQ","FILING_STATUS=MR","SCALING_FORMAT=MLN","Sort=A","Dates=H","DateFormat=P","Fill=—","Direction=H","UseDPDF=Y")</f>
        <v>0</v>
      </c>
      <c r="O10" s="13">
        <f>_xll.BDH("ITCI US Equity","TOT_DEBT_EX_OPERATING_LEA_LIABS","FQ2 2022","FQ2 2022","Currency=USD","Period=FQ","BEST_FPERIOD_OVERRIDE=FQ","FILING_STATUS=MR","SCALING_FORMAT=MLN","Sort=A","Dates=H","DateFormat=P","Fill=—","Direction=H","UseDPDF=Y")</f>
        <v>0</v>
      </c>
      <c r="P10" s="13">
        <f>_xll.BDH("ITCI US Equity","TOT_DEBT_EX_OPERATING_LEA_LIABS","FQ3 2022","FQ3 2022","Currency=USD","Period=FQ","BEST_FPERIOD_OVERRIDE=FQ","FILING_STATUS=MR","SCALING_FORMAT=MLN","Sort=A","Dates=H","DateFormat=P","Fill=—","Direction=H","UseDPDF=Y")</f>
        <v>0</v>
      </c>
      <c r="Q10" s="13">
        <f>_xll.BDH("ITCI US Equity","TOT_DEBT_EX_OPERATING_LEA_LIABS","FQ4 2022","FQ4 2022","Currency=USD","Period=FQ","BEST_FPERIOD_OVERRIDE=FQ","FILING_STATUS=MR","SCALING_FORMAT=MLN","Sort=A","Dates=H","DateFormat=P","Fill=—","Direction=H","UseDPDF=Y")</f>
        <v>0</v>
      </c>
      <c r="R10" s="13">
        <f>_xll.BDH("ITCI US Equity","TOT_DEBT_EX_OPERATING_LEA_LIABS","FQ1 2023","FQ1 2023","Currency=USD","Period=FQ","BEST_FPERIOD_OVERRIDE=FQ","FILING_STATUS=MR","SCALING_FORMAT=MLN","Sort=A","Dates=H","DateFormat=P","Fill=—","Direction=H","UseDPDF=Y")</f>
        <v>0</v>
      </c>
      <c r="S10" s="13">
        <f>_xll.BDH("ITCI US Equity","TOT_DEBT_EX_OPERATING_LEA_LIABS","FQ2 2023","FQ2 2023","Currency=USD","Period=FQ","BEST_FPERIOD_OVERRIDE=FQ","FILING_STATUS=MR","SCALING_FORMAT=MLN","Sort=A","Dates=H","DateFormat=P","Fill=—","Direction=H","UseDPDF=Y")</f>
        <v>0</v>
      </c>
      <c r="T10" s="13">
        <f>_xll.BDH("ITCI US Equity","TOT_DEBT_EX_OPERATING_LEA_LIABS","FQ3 2023","FQ3 2023","Currency=USD","Period=FQ","BEST_FPERIOD_OVERRIDE=FQ","FILING_STATUS=MR","SCALING_FORMAT=MLN","Sort=A","Dates=H","DateFormat=P","Fill=—","Direction=H","UseDPDF=Y")</f>
        <v>0</v>
      </c>
      <c r="U10" s="13">
        <f>_xll.BDH("ITCI US Equity","TOT_DEBT_EX_OPERATING_LEA_LIABS","FQ4 2023","FQ4 2023","Currency=USD","Period=FQ","BEST_FPERIOD_OVERRIDE=FQ","FILING_STATUS=MR","SCALING_FORMAT=MLN","Sort=A","Dates=H","DateFormat=P","Fill=—","Direction=H","UseDPDF=Y")</f>
        <v>0</v>
      </c>
      <c r="V10" s="13">
        <f>_xll.BDH("ITCI US Equity","TOT_DEBT_EX_OPERATING_LEA_LIABS","FQ1 2024","FQ1 2024","Currency=USD","Period=FQ","BEST_FPERIOD_OVERRIDE=FQ","FILING_STATUS=MR","SCALING_FORMAT=MLN","Sort=A","Dates=H","DateFormat=P","Fill=—","Direction=H","UseDPDF=Y")</f>
        <v>0</v>
      </c>
      <c r="W10" s="13">
        <f>_xll.BDH("ITCI US Equity","TOT_DEBT_EX_OPERATING_LEA_LIABS","FQ2 2024","FQ2 2024","Currency=USD","Period=FQ","BEST_FPERIOD_OVERRIDE=FQ","FILING_STATUS=MR","SCALING_FORMAT=MLN","Sort=A","Dates=H","DateFormat=P","Fill=—","Direction=H","UseDPDF=Y")</f>
        <v>0</v>
      </c>
      <c r="X10" s="13">
        <f>_xll.BDH("ITCI US Equity","TOT_DEBT_EX_OPERATING_LEA_LIABS","FQ3 2024","FQ3 2024","Currency=USD","Period=FQ","BEST_FPERIOD_OVERRIDE=FQ","FILING_STATUS=MR","SCALING_FORMAT=MLN","Sort=A","Dates=H","DateFormat=P","Fill=—","Direction=H","UseDPDF=Y")</f>
        <v>0</v>
      </c>
      <c r="Y10" s="13">
        <f>_xll.BDH("ITCI US Equity","TOT_DEBT_EX_OPERATING_LEA_LIABS","FQ4 2024","FQ4 2024","Currency=USD","Period=FQ","BEST_FPERIOD_OVERRIDE=FQ","FILING_STATUS=MR","SCALING_FORMAT=MLN","Sort=A","Dates=H","DateFormat=P","Fill=—","Direction=H","UseDPDF=Y")</f>
        <v>0</v>
      </c>
      <c r="Z10" s="16">
        <v>0</v>
      </c>
      <c r="AA10" s="13"/>
    </row>
    <row r="11" spans="1:27" x14ac:dyDescent="0.25">
      <c r="A11" s="10" t="s">
        <v>67</v>
      </c>
      <c r="B11" s="10" t="s">
        <v>267</v>
      </c>
      <c r="C11" s="13">
        <f>_xll.BDH("ITCI US Equity","EV_EX_OPERATING_LEASE_LIABS","FQ2 2019","FQ2 2019","Currency=USD","Period=FQ","BEST_FPERIOD_OVERRIDE=FQ","FILING_STATUS=MR","SCALING_FORMAT=MLN","Sort=A","Dates=H","DateFormat=P","Fill=—","Direction=H","UseDPDF=Y")</f>
        <v>431.02379999999999</v>
      </c>
      <c r="D11" s="13">
        <f>_xll.BDH("ITCI US Equity","EV_EX_OPERATING_LEASE_LIABS","FQ3 2019","FQ3 2019","Currency=USD","Period=FQ","BEST_FPERIOD_OVERRIDE=FQ","FILING_STATUS=MR","SCALING_FORMAT=MLN","Sort=A","Dates=H","DateFormat=P","Fill=—","Direction=H","UseDPDF=Y")</f>
        <v>157.26580000000001</v>
      </c>
      <c r="E11" s="13">
        <f>_xll.BDH("ITCI US Equity","EV_EX_OPERATING_LEASE_LIABS","FQ4 2019","FQ4 2019","Currency=USD","Period=FQ","BEST_FPERIOD_OVERRIDE=FQ","FILING_STATUS=MR","SCALING_FORMAT=MLN","Sort=A","Dates=H","DateFormat=P","Fill=—","Direction=H","UseDPDF=Y")</f>
        <v>1680.452</v>
      </c>
      <c r="F11" s="13">
        <f>_xll.BDH("ITCI US Equity","EV_EX_OPERATING_LEASE_LIABS","FQ1 2020","FQ1 2020","Currency=USD","Period=FQ","BEST_FPERIOD_OVERRIDE=FQ","FILING_STATUS=MR","SCALING_FORMAT=MLN","Sort=A","Dates=H","DateFormat=P","Fill=—","Direction=H","UseDPDF=Y")</f>
        <v>568.55169999999998</v>
      </c>
      <c r="G11" s="13">
        <f>_xll.BDH("ITCI US Equity","EV_EX_OPERATING_LEASE_LIABS","FQ2 2020","FQ2 2020","Currency=USD","Period=FQ","BEST_FPERIOD_OVERRIDE=FQ","FILING_STATUS=MR","SCALING_FORMAT=MLN","Sort=A","Dates=H","DateFormat=P","Fill=—","Direction=H","UseDPDF=Y")</f>
        <v>1306.4256</v>
      </c>
      <c r="H11" s="13">
        <f>_xll.BDH("ITCI US Equity","EV_EX_OPERATING_LEASE_LIABS","FQ3 2020","FQ3 2020","Currency=USD","Period=FQ","BEST_FPERIOD_OVERRIDE=FQ","FILING_STATUS=MR","SCALING_FORMAT=MLN","Sort=A","Dates=H","DateFormat=P","Fill=—","Direction=H","UseDPDF=Y")</f>
        <v>1334.5166999999999</v>
      </c>
      <c r="I11" s="13">
        <f>_xll.BDH("ITCI US Equity","EV_EX_OPERATING_LEASE_LIABS","FQ4 2020","FQ4 2020","Currency=USD","Period=FQ","BEST_FPERIOD_OVERRIDE=FQ","FILING_STATUS=MR","SCALING_FORMAT=MLN","Sort=A","Dates=H","DateFormat=P","Fill=—","Direction=H","UseDPDF=Y")</f>
        <v>1901.2782</v>
      </c>
      <c r="J11" s="13">
        <f>_xll.BDH("ITCI US Equity","EV_EX_OPERATING_LEASE_LIABS","FQ1 2021","FQ1 2021","Currency=USD","Period=FQ","BEST_FPERIOD_OVERRIDE=FQ","FILING_STATUS=MR","SCALING_FORMAT=MLN","Sort=A","Dates=H","DateFormat=P","Fill=—","Direction=H","UseDPDF=Y")</f>
        <v>2140.9068000000002</v>
      </c>
      <c r="K11" s="13">
        <f>_xll.BDH("ITCI US Equity","EV_EX_OPERATING_LEASE_LIABS","FQ2 2021","FQ2 2021","Currency=USD","Period=FQ","BEST_FPERIOD_OVERRIDE=FQ","FILING_STATUS=MR","SCALING_FORMAT=MLN","Sort=A","Dates=H","DateFormat=P","Fill=—","Direction=H","UseDPDF=Y")</f>
        <v>2764.3935000000001</v>
      </c>
      <c r="L11" s="13">
        <f>_xll.BDH("ITCI US Equity","EV_EX_OPERATING_LEASE_LIABS","FQ3 2021","FQ3 2021","Currency=USD","Period=FQ","BEST_FPERIOD_OVERRIDE=FQ","FILING_STATUS=MR","SCALING_FORMAT=MLN","Sort=A","Dates=H","DateFormat=P","Fill=—","Direction=H","UseDPDF=Y")</f>
        <v>2556.4657999999999</v>
      </c>
      <c r="M11" s="13">
        <f>_xll.BDH("ITCI US Equity","EV_EX_OPERATING_LEASE_LIABS","FQ4 2021","FQ4 2021","Currency=USD","Period=FQ","BEST_FPERIOD_OVERRIDE=FQ","FILING_STATUS=MR","SCALING_FORMAT=MLN","Sort=A","Dates=H","DateFormat=P","Fill=—","Direction=H","UseDPDF=Y")</f>
        <v>3873.6304</v>
      </c>
      <c r="N11" s="13">
        <f>_xll.BDH("ITCI US Equity","EV_EX_OPERATING_LEASE_LIABS","FQ1 2022","FQ1 2022","Currency=USD","Period=FQ","BEST_FPERIOD_OVERRIDE=FQ","FILING_STATUS=MR","SCALING_FORMAT=MLN","Sort=A","Dates=H","DateFormat=P","Fill=—","Direction=H","UseDPDF=Y")</f>
        <v>4981.2618000000002</v>
      </c>
      <c r="O11" s="13">
        <f>_xll.BDH("ITCI US Equity","EV_EX_OPERATING_LEASE_LIABS","FQ2 2022","FQ2 2022","Currency=USD","Period=FQ","BEST_FPERIOD_OVERRIDE=FQ","FILING_STATUS=MR","SCALING_FORMAT=MLN","Sort=A","Dates=H","DateFormat=P","Fill=—","Direction=H","UseDPDF=Y")</f>
        <v>4708.6526999999996</v>
      </c>
      <c r="P11" s="13">
        <f>_xll.BDH("ITCI US Equity","EV_EX_OPERATING_LEASE_LIABS","FQ3 2022","FQ3 2022","Currency=USD","Period=FQ","BEST_FPERIOD_OVERRIDE=FQ","FILING_STATUS=MR","SCALING_FORMAT=MLN","Sort=A","Dates=H","DateFormat=P","Fill=—","Direction=H","UseDPDF=Y")</f>
        <v>3777.7273</v>
      </c>
      <c r="Q11" s="13">
        <f>_xll.BDH("ITCI US Equity","EV_EX_OPERATING_LEASE_LIABS","FQ4 2022","FQ4 2022","Currency=USD","Period=FQ","BEST_FPERIOD_OVERRIDE=FQ","FILING_STATUS=MR","SCALING_FORMAT=MLN","Sort=A","Dates=H","DateFormat=P","Fill=—","Direction=H","UseDPDF=Y")</f>
        <v>4426.4876999999997</v>
      </c>
      <c r="R11" s="13">
        <f>_xll.BDH("ITCI US Equity","EV_EX_OPERATING_LEASE_LIABS","FQ1 2023","FQ1 2023","Currency=USD","Period=FQ","BEST_FPERIOD_OVERRIDE=FQ","FILING_STATUS=MR","SCALING_FORMAT=MLN","Sort=A","Dates=H","DateFormat=P","Fill=—","Direction=H","UseDPDF=Y")</f>
        <v>4642.3656000000001</v>
      </c>
      <c r="S11" s="13">
        <f>_xll.BDH("ITCI US Equity","EV_EX_OPERATING_LEASE_LIABS","FQ2 2023","FQ2 2023","Currency=USD","Period=FQ","BEST_FPERIOD_OVERRIDE=FQ","FILING_STATUS=MR","SCALING_FORMAT=MLN","Sort=A","Dates=H","DateFormat=P","Fill=—","Direction=H","UseDPDF=Y")</f>
        <v>5571.1460999999999</v>
      </c>
      <c r="T11" s="13">
        <f>_xll.BDH("ITCI US Equity","EV_EX_OPERATING_LEASE_LIABS","FQ3 2023","FQ3 2023","Currency=USD","Period=FQ","BEST_FPERIOD_OVERRIDE=FQ","FILING_STATUS=MR","SCALING_FORMAT=MLN","Sort=A","Dates=H","DateFormat=P","Fill=—","Direction=H","UseDPDF=Y")</f>
        <v>4519.3714</v>
      </c>
      <c r="U11" s="13">
        <f>_xll.BDH("ITCI US Equity","EV_EX_OPERATING_LEASE_LIABS","FQ4 2023","FQ4 2023","Currency=USD","Period=FQ","BEST_FPERIOD_OVERRIDE=FQ","FILING_STATUS=MR","SCALING_FORMAT=MLN","Sort=A","Dates=H","DateFormat=P","Fill=—","Direction=H","UseDPDF=Y")</f>
        <v>6404.7811000000002</v>
      </c>
      <c r="V11" s="13">
        <f>_xll.BDH("ITCI US Equity","EV_EX_OPERATING_LEASE_LIABS","FQ1 2024","FQ1 2024","Currency=USD","Period=FQ","BEST_FPERIOD_OVERRIDE=FQ","FILING_STATUS=MR","SCALING_FORMAT=MLN","Sort=A","Dates=H","DateFormat=P","Fill=—","Direction=H","UseDPDF=Y")</f>
        <v>6269.8419999999996</v>
      </c>
      <c r="W11" s="13">
        <f>_xll.BDH("ITCI US Equity","EV_EX_OPERATING_LEASE_LIABS","FQ2 2024","FQ2 2024","Currency=USD","Period=FQ","BEST_FPERIOD_OVERRIDE=FQ","FILING_STATUS=MR","SCALING_FORMAT=MLN","Sort=A","Dates=H","DateFormat=P","Fill=—","Direction=H","UseDPDF=Y")</f>
        <v>6211.3424999999997</v>
      </c>
      <c r="X11" s="13">
        <f>_xll.BDH("ITCI US Equity","EV_EX_OPERATING_LEASE_LIABS","FQ3 2024","FQ3 2024","Currency=USD","Period=FQ","BEST_FPERIOD_OVERRIDE=FQ","FILING_STATUS=MR","SCALING_FORMAT=MLN","Sort=A","Dates=H","DateFormat=P","Fill=—","Direction=H","UseDPDF=Y")</f>
        <v>6749.3692000000001</v>
      </c>
      <c r="Y11" s="13">
        <f>_xll.BDH("ITCI US Equity","EV_EX_OPERATING_LEASE_LIABS","FQ4 2024","FQ4 2024","Currency=USD","Period=FQ","BEST_FPERIOD_OVERRIDE=FQ","FILING_STATUS=MR","SCALING_FORMAT=MLN","Sort=A","Dates=H","DateFormat=P","Fill=—","Direction=H","UseDPDF=Y")</f>
        <v>7872.0995999999996</v>
      </c>
      <c r="Z11" s="16">
        <v>13014.021353120001</v>
      </c>
      <c r="AA11" s="13"/>
    </row>
    <row r="12" spans="1:27" x14ac:dyDescent="0.25">
      <c r="A12" s="1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5"/>
      <c r="AA12" s="12"/>
    </row>
    <row r="13" spans="1:27" x14ac:dyDescent="0.25">
      <c r="A13" s="10" t="s">
        <v>171</v>
      </c>
      <c r="B13" s="10" t="s">
        <v>268</v>
      </c>
      <c r="C13" s="13">
        <f>_xll.BDH("ITCI US Equity","TOT_CPTL_EX_OPERATING_LEA_LIABS","FQ2 2019","FQ2 2019","Currency=USD","Period=FQ","BEST_FPERIOD_OVERRIDE=FQ","FILING_STATUS=MR","SCALING_FORMAT=MLN","Sort=A","Dates=H","DateFormat=P","Fill=—","Direction=H","UseDPDF=Y")</f>
        <v>256.76839999999999</v>
      </c>
      <c r="D13" s="13">
        <f>_xll.BDH("ITCI US Equity","TOT_CPTL_EX_OPERATING_LEA_LIABS","FQ3 2019","FQ3 2019","Currency=USD","Period=FQ","BEST_FPERIOD_OVERRIDE=FQ","FILING_STATUS=MR","SCALING_FORMAT=MLN","Sort=A","Dates=H","DateFormat=P","Fill=—","Direction=H","UseDPDF=Y")</f>
        <v>226.88030000000001</v>
      </c>
      <c r="E13" s="13">
        <f>_xll.BDH("ITCI US Equity","TOT_CPTL_EX_OPERATING_LEA_LIABS","FQ4 2019","FQ4 2019","Currency=USD","Period=FQ","BEST_FPERIOD_OVERRIDE=FQ","FILING_STATUS=MR","SCALING_FORMAT=MLN","Sort=A","Dates=H","DateFormat=P","Fill=—","Direction=H","UseDPDF=Y")</f>
        <v>195.00729999999999</v>
      </c>
      <c r="F13" s="13">
        <f>_xll.BDH("ITCI US Equity","TOT_CPTL_EX_OPERATING_LEA_LIABS","FQ1 2020","FQ1 2020","Currency=USD","Period=FQ","BEST_FPERIOD_OVERRIDE=FQ","FILING_STATUS=MR","SCALING_FORMAT=MLN","Sort=A","Dates=H","DateFormat=P","Fill=—","Direction=H","UseDPDF=Y")</f>
        <v>430.44830000000002</v>
      </c>
      <c r="G13" s="13">
        <f>_xll.BDH("ITCI US Equity","TOT_CPTL_EX_OPERATING_LEA_LIABS","FQ2 2020","FQ2 2020","Currency=USD","Period=FQ","BEST_FPERIOD_OVERRIDE=FQ","FILING_STATUS=MR","SCALING_FORMAT=MLN","Sort=A","Dates=H","DateFormat=P","Fill=—","Direction=H","UseDPDF=Y")</f>
        <v>379.5299</v>
      </c>
      <c r="H13" s="13">
        <f>_xll.BDH("ITCI US Equity","TOT_CPTL_EX_OPERATING_LEA_LIABS","FQ3 2020","FQ3 2020","Currency=USD","Period=FQ","BEST_FPERIOD_OVERRIDE=FQ","FILING_STATUS=MR","SCALING_FORMAT=MLN","Sort=A","Dates=H","DateFormat=P","Fill=—","Direction=H","UseDPDF=Y")</f>
        <v>709.39549999999997</v>
      </c>
      <c r="I13" s="13">
        <f>_xll.BDH("ITCI US Equity","TOT_CPTL_EX_OPERATING_LEA_LIABS","FQ4 2020","FQ4 2020","Currency=USD","Period=FQ","BEST_FPERIOD_OVERRIDE=FQ","FILING_STATUS=MR","SCALING_FORMAT=MLN","Sort=A","Dates=H","DateFormat=P","Fill=—","Direction=H","UseDPDF=Y")</f>
        <v>656.86009999999999</v>
      </c>
      <c r="J13" s="13">
        <f>_xll.BDH("ITCI US Equity","TOT_CPTL_EX_OPERATING_LEA_LIABS","FQ1 2021","FQ1 2021","Currency=USD","Period=FQ","BEST_FPERIOD_OVERRIDE=FQ","FILING_STATUS=MR","SCALING_FORMAT=MLN","Sort=A","Dates=H","DateFormat=P","Fill=—","Direction=H","UseDPDF=Y")</f>
        <v>612.14980000000003</v>
      </c>
      <c r="K13" s="13">
        <f>_xll.BDH("ITCI US Equity","TOT_CPTL_EX_OPERATING_LEA_LIABS","FQ2 2021","FQ2 2021","Currency=USD","Period=FQ","BEST_FPERIOD_OVERRIDE=FQ","FILING_STATUS=MR","SCALING_FORMAT=MLN","Sort=A","Dates=H","DateFormat=P","Fill=—","Direction=H","UseDPDF=Y")</f>
        <v>553.58590000000004</v>
      </c>
      <c r="L13" s="13">
        <f>_xll.BDH("ITCI US Equity","TOT_CPTL_EX_OPERATING_LEA_LIABS","FQ3 2021","FQ3 2021","Currency=USD","Period=FQ","BEST_FPERIOD_OVERRIDE=FQ","FILING_STATUS=MR","SCALING_FORMAT=MLN","Sort=A","Dates=H","DateFormat=P","Fill=—","Direction=H","UseDPDF=Y")</f>
        <v>486.75630000000001</v>
      </c>
      <c r="M13" s="13">
        <f>_xll.BDH("ITCI US Equity","TOT_CPTL_EX_OPERATING_LEA_LIABS","FQ4 2021","FQ4 2021","Currency=USD","Period=FQ","BEST_FPERIOD_OVERRIDE=FQ","FILING_STATUS=MR","SCALING_FORMAT=MLN","Sort=A","Dates=H","DateFormat=P","Fill=—","Direction=H","UseDPDF=Y")</f>
        <v>417.89069999999998</v>
      </c>
      <c r="N13" s="13">
        <f>_xll.BDH("ITCI US Equity","TOT_CPTL_EX_OPERATING_LEA_LIABS","FQ1 2022","FQ1 2022","Currency=USD","Period=FQ","BEST_FPERIOD_OVERRIDE=FQ","FILING_STATUS=MR","SCALING_FORMAT=MLN","Sort=A","Dates=H","DateFormat=P","Fill=—","Direction=H","UseDPDF=Y")</f>
        <v>792.75</v>
      </c>
      <c r="O13" s="13">
        <f>_xll.BDH("ITCI US Equity","TOT_CPTL_EX_OPERATING_LEA_LIABS","FQ2 2022","FQ2 2022","Currency=USD","Period=FQ","BEST_FPERIOD_OVERRIDE=FQ","FILING_STATUS=MR","SCALING_FORMAT=MLN","Sort=A","Dates=H","DateFormat=P","Fill=—","Direction=H","UseDPDF=Y")</f>
        <v>722.197</v>
      </c>
      <c r="P13" s="13">
        <f>_xll.BDH("ITCI US Equity","TOT_CPTL_EX_OPERATING_LEA_LIABS","FQ3 2022","FQ3 2022","Currency=USD","Period=FQ","BEST_FPERIOD_OVERRIDE=FQ","FILING_STATUS=MR","SCALING_FORMAT=MLN","Sort=A","Dates=H","DateFormat=P","Fill=—","Direction=H","UseDPDF=Y")</f>
        <v>685.42200000000003</v>
      </c>
      <c r="Q13" s="13">
        <f>_xll.BDH("ITCI US Equity","TOT_CPTL_EX_OPERATING_LEA_LIABS","FQ4 2022","FQ4 2022","Currency=USD","Period=FQ","BEST_FPERIOD_OVERRIDE=FQ","FILING_STATUS=MR","SCALING_FORMAT=MLN","Sort=A","Dates=H","DateFormat=P","Fill=—","Direction=H","UseDPDF=Y")</f>
        <v>656.07</v>
      </c>
      <c r="R13" s="13">
        <f>_xll.BDH("ITCI US Equity","TOT_CPTL_EX_OPERATING_LEA_LIABS","FQ1 2023","FQ1 2023","Currency=USD","Period=FQ","BEST_FPERIOD_OVERRIDE=FQ","FILING_STATUS=MR","SCALING_FORMAT=MLN","Sort=A","Dates=H","DateFormat=P","Fill=—","Direction=H","UseDPDF=Y")</f>
        <v>627.61</v>
      </c>
      <c r="S13" s="13">
        <f>_xll.BDH("ITCI US Equity","TOT_CPTL_EX_OPERATING_LEA_LIABS","FQ2 2023","FQ2 2023","Currency=USD","Period=FQ","BEST_FPERIOD_OVERRIDE=FQ","FILING_STATUS=MR","SCALING_FORMAT=MLN","Sort=A","Dates=H","DateFormat=P","Fill=—","Direction=H","UseDPDF=Y")</f>
        <v>607.09</v>
      </c>
      <c r="T13" s="13">
        <f>_xll.BDH("ITCI US Equity","TOT_CPTL_EX_OPERATING_LEA_LIABS","FQ3 2023","FQ3 2023","Currency=USD","Period=FQ","BEST_FPERIOD_OVERRIDE=FQ","FILING_STATUS=MR","SCALING_FORMAT=MLN","Sort=A","Dates=H","DateFormat=P","Fill=—","Direction=H","UseDPDF=Y")</f>
        <v>600.68100000000004</v>
      </c>
      <c r="U13" s="13">
        <f>_xll.BDH("ITCI US Equity","TOT_CPTL_EX_OPERATING_LEA_LIABS","FQ4 2023","FQ4 2023","Currency=USD","Period=FQ","BEST_FPERIOD_OVERRIDE=FQ","FILING_STATUS=MR","SCALING_FORMAT=MLN","Sort=A","Dates=H","DateFormat=P","Fill=—","Direction=H","UseDPDF=Y")</f>
        <v>591.42399999999998</v>
      </c>
      <c r="V13" s="13">
        <f>_xll.BDH("ITCI US Equity","TOT_CPTL_EX_OPERATING_LEA_LIABS","FQ1 2024","FQ1 2024","Currency=USD","Period=FQ","BEST_FPERIOD_OVERRIDE=FQ","FILING_STATUS=MR","SCALING_FORMAT=MLN","Sort=A","Dates=H","DateFormat=P","Fill=—","Direction=H","UseDPDF=Y")</f>
        <v>599.49800000000005</v>
      </c>
      <c r="W13" s="13">
        <f>_xll.BDH("ITCI US Equity","TOT_CPTL_EX_OPERATING_LEA_LIABS","FQ2 2024","FQ2 2024","Currency=USD","Period=FQ","BEST_FPERIOD_OVERRIDE=FQ","FILING_STATUS=MR","SCALING_FORMAT=MLN","Sort=A","Dates=H","DateFormat=P","Fill=—","Direction=H","UseDPDF=Y")</f>
        <v>1144.6120000000001</v>
      </c>
      <c r="X13" s="13">
        <f>_xll.BDH("ITCI US Equity","TOT_CPTL_EX_OPERATING_LEA_LIABS","FQ3 2024","FQ3 2024","Currency=USD","Period=FQ","BEST_FPERIOD_OVERRIDE=FQ","FILING_STATUS=MR","SCALING_FORMAT=MLN","Sort=A","Dates=H","DateFormat=P","Fill=—","Direction=H","UseDPDF=Y")</f>
        <v>1144.826</v>
      </c>
      <c r="Y13" s="13">
        <f>_xll.BDH("ITCI US Equity","TOT_CPTL_EX_OPERATING_LEA_LIABS","FQ4 2024","FQ4 2024","Currency=USD","Period=FQ","BEST_FPERIOD_OVERRIDE=FQ","FILING_STATUS=MR","SCALING_FORMAT=MLN","Sort=A","Dates=H","DateFormat=P","Fill=—","Direction=H","UseDPDF=Y")</f>
        <v>1148.46</v>
      </c>
      <c r="Z13" s="16">
        <v>1148.46</v>
      </c>
      <c r="AA13" s="13"/>
    </row>
    <row r="14" spans="1:27" x14ac:dyDescent="0.25">
      <c r="A14" s="10" t="s">
        <v>173</v>
      </c>
      <c r="B14" s="10" t="s">
        <v>269</v>
      </c>
      <c r="C14" s="14">
        <f>_xll.BDH("ITCI US Equity","TOT_DBT_TO_CPTL_EX_OP_LEA_LIABS","FQ2 2019","FQ2 2019","Currency=USD","Period=FQ","BEST_FPERIOD_OVERRIDE=FQ","FILING_STATUS=MR","Sort=A","Dates=H","DateFormat=P","Fill=—","Direction=H","UseDPDF=Y")</f>
        <v>0</v>
      </c>
      <c r="D14" s="14">
        <f>_xll.BDH("ITCI US Equity","TOT_DBT_TO_CPTL_EX_OP_LEA_LIABS","FQ3 2019","FQ3 2019","Currency=USD","Period=FQ","BEST_FPERIOD_OVERRIDE=FQ","FILING_STATUS=MR","Sort=A","Dates=H","DateFormat=P","Fill=—","Direction=H","UseDPDF=Y")</f>
        <v>0</v>
      </c>
      <c r="E14" s="14">
        <f>_xll.BDH("ITCI US Equity","TOT_DBT_TO_CPTL_EX_OP_LEA_LIABS","FQ4 2019","FQ4 2019","Currency=USD","Period=FQ","BEST_FPERIOD_OVERRIDE=FQ","FILING_STATUS=MR","Sort=A","Dates=H","DateFormat=P","Fill=—","Direction=H","UseDPDF=Y")</f>
        <v>0</v>
      </c>
      <c r="F14" s="14">
        <f>_xll.BDH("ITCI US Equity","TOT_DBT_TO_CPTL_EX_OP_LEA_LIABS","FQ1 2020","FQ1 2020","Currency=USD","Period=FQ","BEST_FPERIOD_OVERRIDE=FQ","FILING_STATUS=MR","Sort=A","Dates=H","DateFormat=P","Fill=—","Direction=H","UseDPDF=Y")</f>
        <v>0</v>
      </c>
      <c r="G14" s="14">
        <f>_xll.BDH("ITCI US Equity","TOT_DBT_TO_CPTL_EX_OP_LEA_LIABS","FQ2 2020","FQ2 2020","Currency=USD","Period=FQ","BEST_FPERIOD_OVERRIDE=FQ","FILING_STATUS=MR","Sort=A","Dates=H","DateFormat=P","Fill=—","Direction=H","UseDPDF=Y")</f>
        <v>0</v>
      </c>
      <c r="H14" s="14">
        <f>_xll.BDH("ITCI US Equity","TOT_DBT_TO_CPTL_EX_OP_LEA_LIABS","FQ3 2020","FQ3 2020","Currency=USD","Period=FQ","BEST_FPERIOD_OVERRIDE=FQ","FILING_STATUS=MR","Sort=A","Dates=H","DateFormat=P","Fill=—","Direction=H","UseDPDF=Y")</f>
        <v>0</v>
      </c>
      <c r="I14" s="14">
        <f>_xll.BDH("ITCI US Equity","TOT_DBT_TO_CPTL_EX_OP_LEA_LIABS","FQ4 2020","FQ4 2020","Currency=USD","Period=FQ","BEST_FPERIOD_OVERRIDE=FQ","FILING_STATUS=MR","Sort=A","Dates=H","DateFormat=P","Fill=—","Direction=H","UseDPDF=Y")</f>
        <v>0</v>
      </c>
      <c r="J14" s="14">
        <f>_xll.BDH("ITCI US Equity","TOT_DBT_TO_CPTL_EX_OP_LEA_LIABS","FQ1 2021","FQ1 2021","Currency=USD","Period=FQ","BEST_FPERIOD_OVERRIDE=FQ","FILING_STATUS=MR","Sort=A","Dates=H","DateFormat=P","Fill=—","Direction=H","UseDPDF=Y")</f>
        <v>0</v>
      </c>
      <c r="K14" s="14">
        <f>_xll.BDH("ITCI US Equity","TOT_DBT_TO_CPTL_EX_OP_LEA_LIABS","FQ2 2021","FQ2 2021","Currency=USD","Period=FQ","BEST_FPERIOD_OVERRIDE=FQ","FILING_STATUS=MR","Sort=A","Dates=H","DateFormat=P","Fill=—","Direction=H","UseDPDF=Y")</f>
        <v>0</v>
      </c>
      <c r="L14" s="14">
        <f>_xll.BDH("ITCI US Equity","TOT_DBT_TO_CPTL_EX_OP_LEA_LIABS","FQ3 2021","FQ3 2021","Currency=USD","Period=FQ","BEST_FPERIOD_OVERRIDE=FQ","FILING_STATUS=MR","Sort=A","Dates=H","DateFormat=P","Fill=—","Direction=H","UseDPDF=Y")</f>
        <v>0</v>
      </c>
      <c r="M14" s="14">
        <f>_xll.BDH("ITCI US Equity","TOT_DBT_TO_CPTL_EX_OP_LEA_LIABS","FQ4 2021","FQ4 2021","Currency=USD","Period=FQ","BEST_FPERIOD_OVERRIDE=FQ","FILING_STATUS=MR","Sort=A","Dates=H","DateFormat=P","Fill=—","Direction=H","UseDPDF=Y")</f>
        <v>0</v>
      </c>
      <c r="N14" s="14">
        <f>_xll.BDH("ITCI US Equity","TOT_DBT_TO_CPTL_EX_OP_LEA_LIABS","FQ1 2022","FQ1 2022","Currency=USD","Period=FQ","BEST_FPERIOD_OVERRIDE=FQ","FILING_STATUS=MR","Sort=A","Dates=H","DateFormat=P","Fill=—","Direction=H","UseDPDF=Y")</f>
        <v>0</v>
      </c>
      <c r="O14" s="14">
        <f>_xll.BDH("ITCI US Equity","TOT_DBT_TO_CPTL_EX_OP_LEA_LIABS","FQ2 2022","FQ2 2022","Currency=USD","Period=FQ","BEST_FPERIOD_OVERRIDE=FQ","FILING_STATUS=MR","Sort=A","Dates=H","DateFormat=P","Fill=—","Direction=H","UseDPDF=Y")</f>
        <v>0</v>
      </c>
      <c r="P14" s="14">
        <f>_xll.BDH("ITCI US Equity","TOT_DBT_TO_CPTL_EX_OP_LEA_LIABS","FQ3 2022","FQ3 2022","Currency=USD","Period=FQ","BEST_FPERIOD_OVERRIDE=FQ","FILING_STATUS=MR","Sort=A","Dates=H","DateFormat=P","Fill=—","Direction=H","UseDPDF=Y")</f>
        <v>0</v>
      </c>
      <c r="Q14" s="14">
        <f>_xll.BDH("ITCI US Equity","TOT_DBT_TO_CPTL_EX_OP_LEA_LIABS","FQ4 2022","FQ4 2022","Currency=USD","Period=FQ","BEST_FPERIOD_OVERRIDE=FQ","FILING_STATUS=MR","Sort=A","Dates=H","DateFormat=P","Fill=—","Direction=H","UseDPDF=Y")</f>
        <v>0</v>
      </c>
      <c r="R14" s="14">
        <f>_xll.BDH("ITCI US Equity","TOT_DBT_TO_CPTL_EX_OP_LEA_LIABS","FQ1 2023","FQ1 2023","Currency=USD","Period=FQ","BEST_FPERIOD_OVERRIDE=FQ","FILING_STATUS=MR","Sort=A","Dates=H","DateFormat=P","Fill=—","Direction=H","UseDPDF=Y")</f>
        <v>0</v>
      </c>
      <c r="S14" s="14">
        <f>_xll.BDH("ITCI US Equity","TOT_DBT_TO_CPTL_EX_OP_LEA_LIABS","FQ2 2023","FQ2 2023","Currency=USD","Period=FQ","BEST_FPERIOD_OVERRIDE=FQ","FILING_STATUS=MR","Sort=A","Dates=H","DateFormat=P","Fill=—","Direction=H","UseDPDF=Y")</f>
        <v>0</v>
      </c>
      <c r="T14" s="14">
        <f>_xll.BDH("ITCI US Equity","TOT_DBT_TO_CPTL_EX_OP_LEA_LIABS","FQ3 2023","FQ3 2023","Currency=USD","Period=FQ","BEST_FPERIOD_OVERRIDE=FQ","FILING_STATUS=MR","Sort=A","Dates=H","DateFormat=P","Fill=—","Direction=H","UseDPDF=Y")</f>
        <v>0</v>
      </c>
      <c r="U14" s="14">
        <f>_xll.BDH("ITCI US Equity","TOT_DBT_TO_CPTL_EX_OP_LEA_LIABS","FQ4 2023","FQ4 2023","Currency=USD","Period=FQ","BEST_FPERIOD_OVERRIDE=FQ","FILING_STATUS=MR","Sort=A","Dates=H","DateFormat=P","Fill=—","Direction=H","UseDPDF=Y")</f>
        <v>0</v>
      </c>
      <c r="V14" s="14">
        <f>_xll.BDH("ITCI US Equity","TOT_DBT_TO_CPTL_EX_OP_LEA_LIABS","FQ1 2024","FQ1 2024","Currency=USD","Period=FQ","BEST_FPERIOD_OVERRIDE=FQ","FILING_STATUS=MR","Sort=A","Dates=H","DateFormat=P","Fill=—","Direction=H","UseDPDF=Y")</f>
        <v>0</v>
      </c>
      <c r="W14" s="14">
        <f>_xll.BDH("ITCI US Equity","TOT_DBT_TO_CPTL_EX_OP_LEA_LIABS","FQ2 2024","FQ2 2024","Currency=USD","Period=FQ","BEST_FPERIOD_OVERRIDE=FQ","FILING_STATUS=MR","Sort=A","Dates=H","DateFormat=P","Fill=—","Direction=H","UseDPDF=Y")</f>
        <v>0</v>
      </c>
      <c r="X14" s="14">
        <f>_xll.BDH("ITCI US Equity","TOT_DBT_TO_CPTL_EX_OP_LEA_LIABS","FQ3 2024","FQ3 2024","Currency=USD","Period=FQ","BEST_FPERIOD_OVERRIDE=FQ","FILING_STATUS=MR","Sort=A","Dates=H","DateFormat=P","Fill=—","Direction=H","UseDPDF=Y")</f>
        <v>0</v>
      </c>
      <c r="Y14" s="14">
        <f>_xll.BDH("ITCI US Equity","TOT_DBT_TO_CPTL_EX_OP_LEA_LIABS","FQ4 2024","FQ4 2024","Currency=USD","Period=FQ","BEST_FPERIOD_OVERRIDE=FQ","FILING_STATUS=MR","Sort=A","Dates=H","DateFormat=P","Fill=—","Direction=H","UseDPDF=Y")</f>
        <v>0</v>
      </c>
      <c r="Z14" s="17">
        <v>0</v>
      </c>
      <c r="AA14" s="14"/>
    </row>
    <row r="15" spans="1:27" x14ac:dyDescent="0.25">
      <c r="A15" s="10" t="s">
        <v>175</v>
      </c>
      <c r="B15" s="10" t="s">
        <v>270</v>
      </c>
      <c r="C15" s="14">
        <f>_xll.BDH("ITCI US Equity","TOT_DEBT_TO_EV_EX_OPER_LEA_LIABS","FQ2 2019","FQ2 2019","Currency=USD","Period=FQ","BEST_FPERIOD_OVERRIDE=FQ","FILING_STATUS=MR","Sort=A","Dates=H","DateFormat=P","Fill=—","Direction=H","UseDPDF=Y")</f>
        <v>0</v>
      </c>
      <c r="D15" s="14">
        <f>_xll.BDH("ITCI US Equity","TOT_DEBT_TO_EV_EX_OPER_LEA_LIABS","FQ3 2019","FQ3 2019","Currency=USD","Period=FQ","BEST_FPERIOD_OVERRIDE=FQ","FILING_STATUS=MR","Sort=A","Dates=H","DateFormat=P","Fill=—","Direction=H","UseDPDF=Y")</f>
        <v>0</v>
      </c>
      <c r="E15" s="14">
        <f>_xll.BDH("ITCI US Equity","TOT_DEBT_TO_EV_EX_OPER_LEA_LIABS","FQ4 2019","FQ4 2019","Currency=USD","Period=FQ","BEST_FPERIOD_OVERRIDE=FQ","FILING_STATUS=MR","Sort=A","Dates=H","DateFormat=P","Fill=—","Direction=H","UseDPDF=Y")</f>
        <v>0</v>
      </c>
      <c r="F15" s="14">
        <f>_xll.BDH("ITCI US Equity","TOT_DEBT_TO_EV_EX_OPER_LEA_LIABS","FQ1 2020","FQ1 2020","Currency=USD","Period=FQ","BEST_FPERIOD_OVERRIDE=FQ","FILING_STATUS=MR","Sort=A","Dates=H","DateFormat=P","Fill=—","Direction=H","UseDPDF=Y")</f>
        <v>0</v>
      </c>
      <c r="G15" s="14">
        <f>_xll.BDH("ITCI US Equity","TOT_DEBT_TO_EV_EX_OPER_LEA_LIABS","FQ2 2020","FQ2 2020","Currency=USD","Period=FQ","BEST_FPERIOD_OVERRIDE=FQ","FILING_STATUS=MR","Sort=A","Dates=H","DateFormat=P","Fill=—","Direction=H","UseDPDF=Y")</f>
        <v>0</v>
      </c>
      <c r="H15" s="14">
        <f>_xll.BDH("ITCI US Equity","TOT_DEBT_TO_EV_EX_OPER_LEA_LIABS","FQ3 2020","FQ3 2020","Currency=USD","Period=FQ","BEST_FPERIOD_OVERRIDE=FQ","FILING_STATUS=MR","Sort=A","Dates=H","DateFormat=P","Fill=—","Direction=H","UseDPDF=Y")</f>
        <v>0</v>
      </c>
      <c r="I15" s="14">
        <f>_xll.BDH("ITCI US Equity","TOT_DEBT_TO_EV_EX_OPER_LEA_LIABS","FQ4 2020","FQ4 2020","Currency=USD","Period=FQ","BEST_FPERIOD_OVERRIDE=FQ","FILING_STATUS=MR","Sort=A","Dates=H","DateFormat=P","Fill=—","Direction=H","UseDPDF=Y")</f>
        <v>0</v>
      </c>
      <c r="J15" s="14">
        <f>_xll.BDH("ITCI US Equity","TOT_DEBT_TO_EV_EX_OPER_LEA_LIABS","FQ1 2021","FQ1 2021","Currency=USD","Period=FQ","BEST_FPERIOD_OVERRIDE=FQ","FILING_STATUS=MR","Sort=A","Dates=H","DateFormat=P","Fill=—","Direction=H","UseDPDF=Y")</f>
        <v>0</v>
      </c>
      <c r="K15" s="14">
        <f>_xll.BDH("ITCI US Equity","TOT_DEBT_TO_EV_EX_OPER_LEA_LIABS","FQ2 2021","FQ2 2021","Currency=USD","Period=FQ","BEST_FPERIOD_OVERRIDE=FQ","FILING_STATUS=MR","Sort=A","Dates=H","DateFormat=P","Fill=—","Direction=H","UseDPDF=Y")</f>
        <v>0</v>
      </c>
      <c r="L15" s="14">
        <f>_xll.BDH("ITCI US Equity","TOT_DEBT_TO_EV_EX_OPER_LEA_LIABS","FQ3 2021","FQ3 2021","Currency=USD","Period=FQ","BEST_FPERIOD_OVERRIDE=FQ","FILING_STATUS=MR","Sort=A","Dates=H","DateFormat=P","Fill=—","Direction=H","UseDPDF=Y")</f>
        <v>0</v>
      </c>
      <c r="M15" s="14">
        <f>_xll.BDH("ITCI US Equity","TOT_DEBT_TO_EV_EX_OPER_LEA_LIABS","FQ4 2021","FQ4 2021","Currency=USD","Period=FQ","BEST_FPERIOD_OVERRIDE=FQ","FILING_STATUS=MR","Sort=A","Dates=H","DateFormat=P","Fill=—","Direction=H","UseDPDF=Y")</f>
        <v>0</v>
      </c>
      <c r="N15" s="14">
        <f>_xll.BDH("ITCI US Equity","TOT_DEBT_TO_EV_EX_OPER_LEA_LIABS","FQ1 2022","FQ1 2022","Currency=USD","Period=FQ","BEST_FPERIOD_OVERRIDE=FQ","FILING_STATUS=MR","Sort=A","Dates=H","DateFormat=P","Fill=—","Direction=H","UseDPDF=Y")</f>
        <v>0</v>
      </c>
      <c r="O15" s="14">
        <f>_xll.BDH("ITCI US Equity","TOT_DEBT_TO_EV_EX_OPER_LEA_LIABS","FQ2 2022","FQ2 2022","Currency=USD","Period=FQ","BEST_FPERIOD_OVERRIDE=FQ","FILING_STATUS=MR","Sort=A","Dates=H","DateFormat=P","Fill=—","Direction=H","UseDPDF=Y")</f>
        <v>0</v>
      </c>
      <c r="P15" s="14">
        <f>_xll.BDH("ITCI US Equity","TOT_DEBT_TO_EV_EX_OPER_LEA_LIABS","FQ3 2022","FQ3 2022","Currency=USD","Period=FQ","BEST_FPERIOD_OVERRIDE=FQ","FILING_STATUS=MR","Sort=A","Dates=H","DateFormat=P","Fill=—","Direction=H","UseDPDF=Y")</f>
        <v>0</v>
      </c>
      <c r="Q15" s="14">
        <f>_xll.BDH("ITCI US Equity","TOT_DEBT_TO_EV_EX_OPER_LEA_LIABS","FQ4 2022","FQ4 2022","Currency=USD","Period=FQ","BEST_FPERIOD_OVERRIDE=FQ","FILING_STATUS=MR","Sort=A","Dates=H","DateFormat=P","Fill=—","Direction=H","UseDPDF=Y")</f>
        <v>0</v>
      </c>
      <c r="R15" s="14">
        <f>_xll.BDH("ITCI US Equity","TOT_DEBT_TO_EV_EX_OPER_LEA_LIABS","FQ1 2023","FQ1 2023","Currency=USD","Period=FQ","BEST_FPERIOD_OVERRIDE=FQ","FILING_STATUS=MR","Sort=A","Dates=H","DateFormat=P","Fill=—","Direction=H","UseDPDF=Y")</f>
        <v>0</v>
      </c>
      <c r="S15" s="14">
        <f>_xll.BDH("ITCI US Equity","TOT_DEBT_TO_EV_EX_OPER_LEA_LIABS","FQ2 2023","FQ2 2023","Currency=USD","Period=FQ","BEST_FPERIOD_OVERRIDE=FQ","FILING_STATUS=MR","Sort=A","Dates=H","DateFormat=P","Fill=—","Direction=H","UseDPDF=Y")</f>
        <v>0</v>
      </c>
      <c r="T15" s="14">
        <f>_xll.BDH("ITCI US Equity","TOT_DEBT_TO_EV_EX_OPER_LEA_LIABS","FQ3 2023","FQ3 2023","Currency=USD","Period=FQ","BEST_FPERIOD_OVERRIDE=FQ","FILING_STATUS=MR","Sort=A","Dates=H","DateFormat=P","Fill=—","Direction=H","UseDPDF=Y")</f>
        <v>0</v>
      </c>
      <c r="U15" s="14">
        <f>_xll.BDH("ITCI US Equity","TOT_DEBT_TO_EV_EX_OPER_LEA_LIABS","FQ4 2023","FQ4 2023","Currency=USD","Period=FQ","BEST_FPERIOD_OVERRIDE=FQ","FILING_STATUS=MR","Sort=A","Dates=H","DateFormat=P","Fill=—","Direction=H","UseDPDF=Y")</f>
        <v>0</v>
      </c>
      <c r="V15" s="14">
        <f>_xll.BDH("ITCI US Equity","TOT_DEBT_TO_EV_EX_OPER_LEA_LIABS","FQ1 2024","FQ1 2024","Currency=USD","Period=FQ","BEST_FPERIOD_OVERRIDE=FQ","FILING_STATUS=MR","Sort=A","Dates=H","DateFormat=P","Fill=—","Direction=H","UseDPDF=Y")</f>
        <v>0</v>
      </c>
      <c r="W15" s="14">
        <f>_xll.BDH("ITCI US Equity","TOT_DEBT_TO_EV_EX_OPER_LEA_LIABS","FQ2 2024","FQ2 2024","Currency=USD","Period=FQ","BEST_FPERIOD_OVERRIDE=FQ","FILING_STATUS=MR","Sort=A","Dates=H","DateFormat=P","Fill=—","Direction=H","UseDPDF=Y")</f>
        <v>0</v>
      </c>
      <c r="X15" s="14">
        <f>_xll.BDH("ITCI US Equity","TOT_DEBT_TO_EV_EX_OPER_LEA_LIABS","FQ3 2024","FQ3 2024","Currency=USD","Period=FQ","BEST_FPERIOD_OVERRIDE=FQ","FILING_STATUS=MR","Sort=A","Dates=H","DateFormat=P","Fill=—","Direction=H","UseDPDF=Y")</f>
        <v>0</v>
      </c>
      <c r="Y15" s="14">
        <f>_xll.BDH("ITCI US Equity","TOT_DEBT_TO_EV_EX_OPER_LEA_LIABS","FQ4 2024","FQ4 2024","Currency=USD","Period=FQ","BEST_FPERIOD_OVERRIDE=FQ","FILING_STATUS=MR","Sort=A","Dates=H","DateFormat=P","Fill=—","Direction=H","UseDPDF=Y")</f>
        <v>0</v>
      </c>
      <c r="Z15" s="17">
        <v>0</v>
      </c>
      <c r="AA15" s="14"/>
    </row>
    <row r="16" spans="1:27" x14ac:dyDescent="0.25">
      <c r="A16" s="10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5"/>
      <c r="AA16" s="12"/>
    </row>
    <row r="17" spans="1:27" x14ac:dyDescent="0.25">
      <c r="A17" s="10" t="s">
        <v>177</v>
      </c>
      <c r="B17" s="10" t="s">
        <v>271</v>
      </c>
      <c r="C17" s="14" t="str">
        <f>_xll.BDH("ITCI US Equity","EV_EX_OPER_LEA_LIABS_TO_SALES","FQ2 2019","FQ2 2019","Currency=USD","Period=FQ","BEST_FPERIOD_OVERRIDE=FQ","FILING_STATUS=MR","FA_ADJUSTED=GAAP","Sort=A","Dates=H","DateFormat=P","Fill=—","Direction=H","UseDPDF=Y")</f>
        <v>—</v>
      </c>
      <c r="D17" s="14" t="str">
        <f>_xll.BDH("ITCI US Equity","EV_EX_OPER_LEA_LIABS_TO_SALES","FQ3 2019","FQ3 2019","Currency=USD","Period=FQ","BEST_FPERIOD_OVERRIDE=FQ","FILING_STATUS=MR","FA_ADJUSTED=GAAP","Sort=A","Dates=H","DateFormat=P","Fill=—","Direction=H","UseDPDF=Y")</f>
        <v>—</v>
      </c>
      <c r="E17" s="14">
        <f>_xll.BDH("ITCI US Equity","EV_EX_OPER_LEA_LIABS_TO_SALES","FQ4 2019","FQ4 2019","Currency=USD","Period=FQ","BEST_FPERIOD_OVERRIDE=FQ","FILING_STATUS=MR","FA_ADJUSTED=GAAP","Sort=A","Dates=H","DateFormat=P","Fill=—","Direction=H","UseDPDF=Y")</f>
        <v>27724.284199999998</v>
      </c>
      <c r="F17" s="14">
        <f>_xll.BDH("ITCI US Equity","EV_EX_OPER_LEA_LIABS_TO_SALES","FQ1 2020","FQ1 2020","Currency=USD","Period=FQ","BEST_FPERIOD_OVERRIDE=FQ","FILING_STATUS=MR","FA_ADJUSTED=GAAP","Sort=A","Dates=H","DateFormat=P","Fill=—","Direction=H","UseDPDF=Y")</f>
        <v>496.94580000000002</v>
      </c>
      <c r="G17" s="14">
        <f>_xll.BDH("ITCI US Equity","EV_EX_OPER_LEA_LIABS_TO_SALES","FQ2 2020","FQ2 2020","Currency=USD","Period=FQ","BEST_FPERIOD_OVERRIDE=FQ","FILING_STATUS=MR","FA_ADJUSTED=GAAP","Sort=A","Dates=H","DateFormat=P","Fill=—","Direction=H","UseDPDF=Y")</f>
        <v>428.23399999999998</v>
      </c>
      <c r="H17" s="14">
        <f>_xll.BDH("ITCI US Equity","EV_EX_OPER_LEA_LIABS_TO_SALES","FQ3 2020","FQ3 2020","Currency=USD","Period=FQ","BEST_FPERIOD_OVERRIDE=FQ","FILING_STATUS=MR","FA_ADJUSTED=GAAP","Sort=A","Dates=H","DateFormat=P","Fill=—","Direction=H","UseDPDF=Y")</f>
        <v>128.08099999999999</v>
      </c>
      <c r="I17" s="14">
        <f>_xll.BDH("ITCI US Equity","EV_EX_OPER_LEA_LIABS_TO_SALES","FQ4 2020","FQ4 2020","Currency=USD","Period=FQ","BEST_FPERIOD_OVERRIDE=FQ","FILING_STATUS=MR","FA_ADJUSTED=GAAP","Sort=A","Dates=H","DateFormat=P","Fill=—","Direction=H","UseDPDF=Y")</f>
        <v>83.341999999999999</v>
      </c>
      <c r="J17" s="14">
        <f>_xll.BDH("ITCI US Equity","EV_EX_OPER_LEA_LIABS_TO_SALES","FQ1 2021","FQ1 2021","Currency=USD","Period=FQ","BEST_FPERIOD_OVERRIDE=FQ","FILING_STATUS=MR","FA_ADJUSTED=GAAP","Sort=A","Dates=H","DateFormat=P","Fill=—","Direction=H","UseDPDF=Y")</f>
        <v>56.927199999999999</v>
      </c>
      <c r="K17" s="14">
        <f>_xll.BDH("ITCI US Equity","EV_EX_OPER_LEA_LIABS_TO_SALES","FQ2 2021","FQ2 2021","Currency=USD","Period=FQ","BEST_FPERIOD_OVERRIDE=FQ","FILING_STATUS=MR","FA_ADJUSTED=GAAP","Sort=A","Dates=H","DateFormat=P","Fill=—","Direction=H","UseDPDF=Y")</f>
        <v>49.587499999999999</v>
      </c>
      <c r="L17" s="14">
        <f>_xll.BDH("ITCI US Equity","EV_EX_OPER_LEA_LIABS_TO_SALES","FQ3 2021","FQ3 2021","Currency=USD","Period=FQ","BEST_FPERIOD_OVERRIDE=FQ","FILING_STATUS=MR","FA_ADJUSTED=GAAP","Sort=A","Dates=H","DateFormat=P","Fill=—","Direction=H","UseDPDF=Y")</f>
        <v>36.217599999999997</v>
      </c>
      <c r="M17" s="14">
        <f>_xll.BDH("ITCI US Equity","EV_EX_OPER_LEA_LIABS_TO_SALES","FQ4 2021","FQ4 2021","Currency=USD","Period=FQ","BEST_FPERIOD_OVERRIDE=FQ","FILING_STATUS=MR","FA_ADJUSTED=GAAP","Sort=A","Dates=H","DateFormat=P","Fill=—","Direction=H","UseDPDF=Y")</f>
        <v>46.222999999999999</v>
      </c>
      <c r="N17" s="14">
        <f>_xll.BDH("ITCI US Equity","EV_EX_OPER_LEA_LIABS_TO_SALES","FQ1 2022","FQ1 2022","Currency=USD","Period=FQ","BEST_FPERIOD_OVERRIDE=FQ","FILING_STATUS=MR","FA_ADJUSTED=GAAP","Sort=A","Dates=H","DateFormat=P","Fill=—","Direction=H","UseDPDF=Y")</f>
        <v>48.399000000000001</v>
      </c>
      <c r="O17" s="14">
        <f>_xll.BDH("ITCI US Equity","EV_EX_OPER_LEA_LIABS_TO_SALES","FQ2 2022","FQ2 2022","Currency=USD","Period=FQ","BEST_FPERIOD_OVERRIDE=FQ","FILING_STATUS=MR","FA_ADJUSTED=GAAP","Sort=A","Dates=H","DateFormat=P","Fill=—","Direction=H","UseDPDF=Y")</f>
        <v>34.009</v>
      </c>
      <c r="P17" s="14">
        <f>_xll.BDH("ITCI US Equity","EV_EX_OPER_LEA_LIABS_TO_SALES","FQ3 2022","FQ3 2022","Currency=USD","Period=FQ","BEST_FPERIOD_OVERRIDE=FQ","FILING_STATUS=MR","FA_ADJUSTED=GAAP","Sort=A","Dates=H","DateFormat=P","Fill=—","Direction=H","UseDPDF=Y")</f>
        <v>20.081900000000001</v>
      </c>
      <c r="Q17" s="14">
        <f>_xll.BDH("ITCI US Equity","EV_EX_OPER_LEA_LIABS_TO_SALES","FQ4 2022","FQ4 2022","Currency=USD","Period=FQ","BEST_FPERIOD_OVERRIDE=FQ","FILING_STATUS=MR","FA_ADJUSTED=GAAP","Sort=A","Dates=H","DateFormat=P","Fill=—","Direction=H","UseDPDF=Y")</f>
        <v>17.683700000000002</v>
      </c>
      <c r="R17" s="14">
        <f>_xll.BDH("ITCI US Equity","EV_EX_OPER_LEA_LIABS_TO_SALES","FQ1 2023","FQ1 2023","Currency=USD","Period=FQ","BEST_FPERIOD_OVERRIDE=FQ","FILING_STATUS=MR","FA_ADJUSTED=GAAP","Sort=A","Dates=H","DateFormat=P","Fill=—","Direction=H","UseDPDF=Y")</f>
        <v>14.9453</v>
      </c>
      <c r="S17" s="14">
        <f>_xll.BDH("ITCI US Equity","EV_EX_OPER_LEA_LIABS_TO_SALES","FQ2 2023","FQ2 2023","Currency=USD","Period=FQ","BEST_FPERIOD_OVERRIDE=FQ","FILING_STATUS=MR","FA_ADJUSTED=GAAP","Sort=A","Dates=H","DateFormat=P","Fill=—","Direction=H","UseDPDF=Y")</f>
        <v>15.2285</v>
      </c>
      <c r="T17" s="14">
        <f>_xll.BDH("ITCI US Equity","EV_EX_OPER_LEA_LIABS_TO_SALES","FQ3 2023","FQ3 2023","Currency=USD","Period=FQ","BEST_FPERIOD_OVERRIDE=FQ","FILING_STATUS=MR","FA_ADJUSTED=GAAP","Sort=A","Dates=H","DateFormat=P","Fill=—","Direction=H","UseDPDF=Y")</f>
        <v>10.7568</v>
      </c>
      <c r="U17" s="14">
        <f>_xll.BDH("ITCI US Equity","EV_EX_OPER_LEA_LIABS_TO_SALES","FQ4 2023","FQ4 2023","Currency=USD","Period=FQ","BEST_FPERIOD_OVERRIDE=FQ","FILING_STATUS=MR","FA_ADJUSTED=GAAP","Sort=A","Dates=H","DateFormat=P","Fill=—","Direction=H","UseDPDF=Y")</f>
        <v>13.792400000000001</v>
      </c>
      <c r="V17" s="14">
        <f>_xll.BDH("ITCI US Equity","EV_EX_OPER_LEA_LIABS_TO_SALES","FQ1 2024","FQ1 2024","Currency=USD","Period=FQ","BEST_FPERIOD_OVERRIDE=FQ","FILING_STATUS=MR","FA_ADJUSTED=GAAP","Sort=A","Dates=H","DateFormat=P","Fill=—","Direction=H","UseDPDF=Y")</f>
        <v>12.1998</v>
      </c>
      <c r="W17" s="14">
        <f>_xll.BDH("ITCI US Equity","EV_EX_OPER_LEA_LIABS_TO_SALES","FQ2 2024","FQ2 2024","Currency=USD","Period=FQ","BEST_FPERIOD_OVERRIDE=FQ","FILING_STATUS=MR","FA_ADJUSTED=GAAP","Sort=A","Dates=H","DateFormat=P","Fill=—","Direction=H","UseDPDF=Y")</f>
        <v>11.002800000000001</v>
      </c>
      <c r="X17" s="14">
        <f>_xll.BDH("ITCI US Equity","EV_EX_OPER_LEA_LIABS_TO_SALES","FQ3 2024","FQ3 2024","Currency=USD","Period=FQ","BEST_FPERIOD_OVERRIDE=FQ","FILING_STATUS=MR","FA_ADJUSTED=GAAP","Sort=A","Dates=H","DateFormat=P","Fill=—","Direction=H","UseDPDF=Y")</f>
        <v>10.997299999999999</v>
      </c>
      <c r="Y17" s="14">
        <f>_xll.BDH("ITCI US Equity","EV_EX_OPER_LEA_LIABS_TO_SALES","FQ4 2024","FQ4 2024","Currency=USD","Period=FQ","BEST_FPERIOD_OVERRIDE=FQ","FILING_STATUS=MR","FA_ADJUSTED=GAAP","Sort=A","Dates=H","DateFormat=P","Fill=—","Direction=H","UseDPDF=Y")</f>
        <v>11.562099999999999</v>
      </c>
      <c r="Z17" s="17">
        <v>19.114317580208301</v>
      </c>
      <c r="AA17" s="14">
        <v>14.0882504499269</v>
      </c>
    </row>
    <row r="18" spans="1:27" x14ac:dyDescent="0.25">
      <c r="A18" s="10" t="s">
        <v>272</v>
      </c>
      <c r="B18" s="10" t="s">
        <v>273</v>
      </c>
      <c r="C18" s="14" t="str">
        <f>_xll.BDH("ITCI US Equity","EV_TO_EBITDA_EX_OPERATING_LEASE","FQ2 2019","FQ2 2019","Currency=USD","Period=FQ","BEST_FPERIOD_OVERRIDE=FQ","FILING_STATUS=MR","FA_ADJUSTED=GAAP","Sort=A","Dates=H","DateFormat=P","Fill=—","Direction=H","UseDPDF=Y")</f>
        <v>—</v>
      </c>
      <c r="D18" s="14" t="str">
        <f>_xll.BDH("ITCI US Equity","EV_TO_EBITDA_EX_OPERATING_LEASE","FQ3 2019","FQ3 2019","Currency=USD","Period=FQ","BEST_FPERIOD_OVERRIDE=FQ","FILING_STATUS=MR","FA_ADJUSTED=GAAP","Sort=A","Dates=H","DateFormat=P","Fill=—","Direction=H","UseDPDF=Y")</f>
        <v>—</v>
      </c>
      <c r="E18" s="14" t="str">
        <f>_xll.BDH("ITCI US Equity","EV_TO_EBITDA_EX_OPERATING_LEASE","FQ4 2019","FQ4 2019","Currency=USD","Period=FQ","BEST_FPERIOD_OVERRIDE=FQ","FILING_STATUS=MR","FA_ADJUSTED=GAAP","Sort=A","Dates=H","DateFormat=P","Fill=—","Direction=H","UseDPDF=Y")</f>
        <v>—</v>
      </c>
      <c r="F18" s="14" t="str">
        <f>_xll.BDH("ITCI US Equity","EV_TO_EBITDA_EX_OPERATING_LEASE","FQ1 2020","FQ1 2020","Currency=USD","Period=FQ","BEST_FPERIOD_OVERRIDE=FQ","FILING_STATUS=MR","FA_ADJUSTED=GAAP","Sort=A","Dates=H","DateFormat=P","Fill=—","Direction=H","UseDPDF=Y")</f>
        <v>—</v>
      </c>
      <c r="G18" s="14" t="str">
        <f>_xll.BDH("ITCI US Equity","EV_TO_EBITDA_EX_OPERATING_LEASE","FQ2 2020","FQ2 2020","Currency=USD","Period=FQ","BEST_FPERIOD_OVERRIDE=FQ","FILING_STATUS=MR","FA_ADJUSTED=GAAP","Sort=A","Dates=H","DateFormat=P","Fill=—","Direction=H","UseDPDF=Y")</f>
        <v>—</v>
      </c>
      <c r="H18" s="14" t="str">
        <f>_xll.BDH("ITCI US Equity","EV_TO_EBITDA_EX_OPERATING_LEASE","FQ3 2020","FQ3 2020","Currency=USD","Period=FQ","BEST_FPERIOD_OVERRIDE=FQ","FILING_STATUS=MR","FA_ADJUSTED=GAAP","Sort=A","Dates=H","DateFormat=P","Fill=—","Direction=H","UseDPDF=Y")</f>
        <v>—</v>
      </c>
      <c r="I18" s="14" t="str">
        <f>_xll.BDH("ITCI US Equity","EV_TO_EBITDA_EX_OPERATING_LEASE","FQ4 2020","FQ4 2020","Currency=USD","Period=FQ","BEST_FPERIOD_OVERRIDE=FQ","FILING_STATUS=MR","FA_ADJUSTED=GAAP","Sort=A","Dates=H","DateFormat=P","Fill=—","Direction=H","UseDPDF=Y")</f>
        <v>—</v>
      </c>
      <c r="J18" s="14" t="str">
        <f>_xll.BDH("ITCI US Equity","EV_TO_EBITDA_EX_OPERATING_LEASE","FQ1 2021","FQ1 2021","Currency=USD","Period=FQ","BEST_FPERIOD_OVERRIDE=FQ","FILING_STATUS=MR","FA_ADJUSTED=GAAP","Sort=A","Dates=H","DateFormat=P","Fill=—","Direction=H","UseDPDF=Y")</f>
        <v>—</v>
      </c>
      <c r="K18" s="14" t="str">
        <f>_xll.BDH("ITCI US Equity","EV_TO_EBITDA_EX_OPERATING_LEASE","FQ2 2021","FQ2 2021","Currency=USD","Period=FQ","BEST_FPERIOD_OVERRIDE=FQ","FILING_STATUS=MR","FA_ADJUSTED=GAAP","Sort=A","Dates=H","DateFormat=P","Fill=—","Direction=H","UseDPDF=Y")</f>
        <v>—</v>
      </c>
      <c r="L18" s="14" t="str">
        <f>_xll.BDH("ITCI US Equity","EV_TO_EBITDA_EX_OPERATING_LEASE","FQ3 2021","FQ3 2021","Currency=USD","Period=FQ","BEST_FPERIOD_OVERRIDE=FQ","FILING_STATUS=MR","FA_ADJUSTED=GAAP","Sort=A","Dates=H","DateFormat=P","Fill=—","Direction=H","UseDPDF=Y")</f>
        <v>—</v>
      </c>
      <c r="M18" s="14" t="str">
        <f>_xll.BDH("ITCI US Equity","EV_TO_EBITDA_EX_OPERATING_LEASE","FQ4 2021","FQ4 2021","Currency=USD","Period=FQ","BEST_FPERIOD_OVERRIDE=FQ","FILING_STATUS=MR","FA_ADJUSTED=GAAP","Sort=A","Dates=H","DateFormat=P","Fill=—","Direction=H","UseDPDF=Y")</f>
        <v>—</v>
      </c>
      <c r="N18" s="14" t="str">
        <f>_xll.BDH("ITCI US Equity","EV_TO_EBITDA_EX_OPERATING_LEASE","FQ1 2022","FQ1 2022","Currency=USD","Period=FQ","BEST_FPERIOD_OVERRIDE=FQ","FILING_STATUS=MR","FA_ADJUSTED=GAAP","Sort=A","Dates=H","DateFormat=P","Fill=—","Direction=H","UseDPDF=Y")</f>
        <v>—</v>
      </c>
      <c r="O18" s="14" t="str">
        <f>_xll.BDH("ITCI US Equity","EV_TO_EBITDA_EX_OPERATING_LEASE","FQ2 2022","FQ2 2022","Currency=USD","Period=FQ","BEST_FPERIOD_OVERRIDE=FQ","FILING_STATUS=MR","FA_ADJUSTED=GAAP","Sort=A","Dates=H","DateFormat=P","Fill=—","Direction=H","UseDPDF=Y")</f>
        <v>—</v>
      </c>
      <c r="P18" s="14" t="str">
        <f>_xll.BDH("ITCI US Equity","EV_TO_EBITDA_EX_OPERATING_LEASE","FQ3 2022","FQ3 2022","Currency=USD","Period=FQ","BEST_FPERIOD_OVERRIDE=FQ","FILING_STATUS=MR","FA_ADJUSTED=GAAP","Sort=A","Dates=H","DateFormat=P","Fill=—","Direction=H","UseDPDF=Y")</f>
        <v>—</v>
      </c>
      <c r="Q18" s="14" t="str">
        <f>_xll.BDH("ITCI US Equity","EV_TO_EBITDA_EX_OPERATING_LEASE","FQ4 2022","FQ4 2022","Currency=USD","Period=FQ","BEST_FPERIOD_OVERRIDE=FQ","FILING_STATUS=MR","FA_ADJUSTED=GAAP","Sort=A","Dates=H","DateFormat=P","Fill=—","Direction=H","UseDPDF=Y")</f>
        <v>—</v>
      </c>
      <c r="R18" s="14" t="str">
        <f>_xll.BDH("ITCI US Equity","EV_TO_EBITDA_EX_OPERATING_LEASE","FQ1 2023","FQ1 2023","Currency=USD","Period=FQ","BEST_FPERIOD_OVERRIDE=FQ","FILING_STATUS=MR","FA_ADJUSTED=GAAP","Sort=A","Dates=H","DateFormat=P","Fill=—","Direction=H","UseDPDF=Y")</f>
        <v>—</v>
      </c>
      <c r="S18" s="14" t="str">
        <f>_xll.BDH("ITCI US Equity","EV_TO_EBITDA_EX_OPERATING_LEASE","FQ2 2023","FQ2 2023","Currency=USD","Period=FQ","BEST_FPERIOD_OVERRIDE=FQ","FILING_STATUS=MR","FA_ADJUSTED=GAAP","Sort=A","Dates=H","DateFormat=P","Fill=—","Direction=H","UseDPDF=Y")</f>
        <v>—</v>
      </c>
      <c r="T18" s="14" t="str">
        <f>_xll.BDH("ITCI US Equity","EV_TO_EBITDA_EX_OPERATING_LEASE","FQ3 2023","FQ3 2023","Currency=USD","Period=FQ","BEST_FPERIOD_OVERRIDE=FQ","FILING_STATUS=MR","FA_ADJUSTED=GAAP","Sort=A","Dates=H","DateFormat=P","Fill=—","Direction=H","UseDPDF=Y")</f>
        <v>—</v>
      </c>
      <c r="U18" s="14" t="str">
        <f>_xll.BDH("ITCI US Equity","EV_TO_EBITDA_EX_OPERATING_LEASE","FQ4 2023","FQ4 2023","Currency=USD","Period=FQ","BEST_FPERIOD_OVERRIDE=FQ","FILING_STATUS=MR","FA_ADJUSTED=GAAP","Sort=A","Dates=H","DateFormat=P","Fill=—","Direction=H","UseDPDF=Y")</f>
        <v>—</v>
      </c>
      <c r="V18" s="14" t="str">
        <f>_xll.BDH("ITCI US Equity","EV_TO_EBITDA_EX_OPERATING_LEASE","FQ1 2024","FQ1 2024","Currency=USD","Period=FQ","BEST_FPERIOD_OVERRIDE=FQ","FILING_STATUS=MR","FA_ADJUSTED=GAAP","Sort=A","Dates=H","DateFormat=P","Fill=—","Direction=H","UseDPDF=Y")</f>
        <v>—</v>
      </c>
      <c r="W18" s="14" t="str">
        <f>_xll.BDH("ITCI US Equity","EV_TO_EBITDA_EX_OPERATING_LEASE","FQ2 2024","FQ2 2024","Currency=USD","Period=FQ","BEST_FPERIOD_OVERRIDE=FQ","FILING_STATUS=MR","FA_ADJUSTED=GAAP","Sort=A","Dates=H","DateFormat=P","Fill=—","Direction=H","UseDPDF=Y")</f>
        <v>—</v>
      </c>
      <c r="X18" s="14" t="str">
        <f>_xll.BDH("ITCI US Equity","EV_TO_EBITDA_EX_OPERATING_LEASE","FQ3 2024","FQ3 2024","Currency=USD","Period=FQ","BEST_FPERIOD_OVERRIDE=FQ","FILING_STATUS=MR","FA_ADJUSTED=GAAP","Sort=A","Dates=H","DateFormat=P","Fill=—","Direction=H","UseDPDF=Y")</f>
        <v>—</v>
      </c>
      <c r="Y18" s="14" t="str">
        <f>_xll.BDH("ITCI US Equity","EV_TO_EBITDA_EX_OPERATING_LEASE","FQ4 2024","FQ4 2024","Currency=USD","Period=FQ","BEST_FPERIOD_OVERRIDE=FQ","FILING_STATUS=MR","FA_ADJUSTED=GAAP","Sort=A","Dates=H","DateFormat=P","Fill=—","Direction=H","UseDPDF=Y")</f>
        <v>—</v>
      </c>
      <c r="Z18" s="17"/>
      <c r="AA18" s="14">
        <v>-1019.10895482537</v>
      </c>
    </row>
    <row r="19" spans="1:27" x14ac:dyDescent="0.25">
      <c r="A19" s="10" t="s">
        <v>179</v>
      </c>
      <c r="B19" s="10" t="s">
        <v>274</v>
      </c>
      <c r="C19" s="14" t="str">
        <f>_xll.BDH("ITCI US Equity","EV_TO_EBIT_EX_OPERATING_LEASE","FQ2 2019","FQ2 2019","Currency=USD","Period=FQ","BEST_FPERIOD_OVERRIDE=FQ","FILING_STATUS=MR","FA_ADJUSTED=GAAP","Sort=A","Dates=H","DateFormat=P","Fill=—","Direction=H","UseDPDF=Y")</f>
        <v>—</v>
      </c>
      <c r="D19" s="14" t="str">
        <f>_xll.BDH("ITCI US Equity","EV_TO_EBIT_EX_OPERATING_LEASE","FQ3 2019","FQ3 2019","Currency=USD","Period=FQ","BEST_FPERIOD_OVERRIDE=FQ","FILING_STATUS=MR","FA_ADJUSTED=GAAP","Sort=A","Dates=H","DateFormat=P","Fill=—","Direction=H","UseDPDF=Y")</f>
        <v>—</v>
      </c>
      <c r="E19" s="14" t="str">
        <f>_xll.BDH("ITCI US Equity","EV_TO_EBIT_EX_OPERATING_LEASE","FQ4 2019","FQ4 2019","Currency=USD","Period=FQ","BEST_FPERIOD_OVERRIDE=FQ","FILING_STATUS=MR","FA_ADJUSTED=GAAP","Sort=A","Dates=H","DateFormat=P","Fill=—","Direction=H","UseDPDF=Y")</f>
        <v>—</v>
      </c>
      <c r="F19" s="14" t="str">
        <f>_xll.BDH("ITCI US Equity","EV_TO_EBIT_EX_OPERATING_LEASE","FQ1 2020","FQ1 2020","Currency=USD","Period=FQ","BEST_FPERIOD_OVERRIDE=FQ","FILING_STATUS=MR","FA_ADJUSTED=GAAP","Sort=A","Dates=H","DateFormat=P","Fill=—","Direction=H","UseDPDF=Y")</f>
        <v>—</v>
      </c>
      <c r="G19" s="14" t="str">
        <f>_xll.BDH("ITCI US Equity","EV_TO_EBIT_EX_OPERATING_LEASE","FQ2 2020","FQ2 2020","Currency=USD","Period=FQ","BEST_FPERIOD_OVERRIDE=FQ","FILING_STATUS=MR","FA_ADJUSTED=GAAP","Sort=A","Dates=H","DateFormat=P","Fill=—","Direction=H","UseDPDF=Y")</f>
        <v>—</v>
      </c>
      <c r="H19" s="14" t="str">
        <f>_xll.BDH("ITCI US Equity","EV_TO_EBIT_EX_OPERATING_LEASE","FQ3 2020","FQ3 2020","Currency=USD","Period=FQ","BEST_FPERIOD_OVERRIDE=FQ","FILING_STATUS=MR","FA_ADJUSTED=GAAP","Sort=A","Dates=H","DateFormat=P","Fill=—","Direction=H","UseDPDF=Y")</f>
        <v>—</v>
      </c>
      <c r="I19" s="14" t="str">
        <f>_xll.BDH("ITCI US Equity","EV_TO_EBIT_EX_OPERATING_LEASE","FQ4 2020","FQ4 2020","Currency=USD","Period=FQ","BEST_FPERIOD_OVERRIDE=FQ","FILING_STATUS=MR","FA_ADJUSTED=GAAP","Sort=A","Dates=H","DateFormat=P","Fill=—","Direction=H","UseDPDF=Y")</f>
        <v>—</v>
      </c>
      <c r="J19" s="14" t="str">
        <f>_xll.BDH("ITCI US Equity","EV_TO_EBIT_EX_OPERATING_LEASE","FQ1 2021","FQ1 2021","Currency=USD","Period=FQ","BEST_FPERIOD_OVERRIDE=FQ","FILING_STATUS=MR","FA_ADJUSTED=GAAP","Sort=A","Dates=H","DateFormat=P","Fill=—","Direction=H","UseDPDF=Y")</f>
        <v>—</v>
      </c>
      <c r="K19" s="14" t="str">
        <f>_xll.BDH("ITCI US Equity","EV_TO_EBIT_EX_OPERATING_LEASE","FQ2 2021","FQ2 2021","Currency=USD","Period=FQ","BEST_FPERIOD_OVERRIDE=FQ","FILING_STATUS=MR","FA_ADJUSTED=GAAP","Sort=A","Dates=H","DateFormat=P","Fill=—","Direction=H","UseDPDF=Y")</f>
        <v>—</v>
      </c>
      <c r="L19" s="14" t="str">
        <f>_xll.BDH("ITCI US Equity","EV_TO_EBIT_EX_OPERATING_LEASE","FQ3 2021","FQ3 2021","Currency=USD","Period=FQ","BEST_FPERIOD_OVERRIDE=FQ","FILING_STATUS=MR","FA_ADJUSTED=GAAP","Sort=A","Dates=H","DateFormat=P","Fill=—","Direction=H","UseDPDF=Y")</f>
        <v>—</v>
      </c>
      <c r="M19" s="14" t="str">
        <f>_xll.BDH("ITCI US Equity","EV_TO_EBIT_EX_OPERATING_LEASE","FQ4 2021","FQ4 2021","Currency=USD","Period=FQ","BEST_FPERIOD_OVERRIDE=FQ","FILING_STATUS=MR","FA_ADJUSTED=GAAP","Sort=A","Dates=H","DateFormat=P","Fill=—","Direction=H","UseDPDF=Y")</f>
        <v>—</v>
      </c>
      <c r="N19" s="14" t="str">
        <f>_xll.BDH("ITCI US Equity","EV_TO_EBIT_EX_OPERATING_LEASE","FQ1 2022","FQ1 2022","Currency=USD","Period=FQ","BEST_FPERIOD_OVERRIDE=FQ","FILING_STATUS=MR","FA_ADJUSTED=GAAP","Sort=A","Dates=H","DateFormat=P","Fill=—","Direction=H","UseDPDF=Y")</f>
        <v>—</v>
      </c>
      <c r="O19" s="14" t="str">
        <f>_xll.BDH("ITCI US Equity","EV_TO_EBIT_EX_OPERATING_LEASE","FQ2 2022","FQ2 2022","Currency=USD","Period=FQ","BEST_FPERIOD_OVERRIDE=FQ","FILING_STATUS=MR","FA_ADJUSTED=GAAP","Sort=A","Dates=H","DateFormat=P","Fill=—","Direction=H","UseDPDF=Y")</f>
        <v>—</v>
      </c>
      <c r="P19" s="14" t="str">
        <f>_xll.BDH("ITCI US Equity","EV_TO_EBIT_EX_OPERATING_LEASE","FQ3 2022","FQ3 2022","Currency=USD","Period=FQ","BEST_FPERIOD_OVERRIDE=FQ","FILING_STATUS=MR","FA_ADJUSTED=GAAP","Sort=A","Dates=H","DateFormat=P","Fill=—","Direction=H","UseDPDF=Y")</f>
        <v>—</v>
      </c>
      <c r="Q19" s="14" t="str">
        <f>_xll.BDH("ITCI US Equity","EV_TO_EBIT_EX_OPERATING_LEASE","FQ4 2022","FQ4 2022","Currency=USD","Period=FQ","BEST_FPERIOD_OVERRIDE=FQ","FILING_STATUS=MR","FA_ADJUSTED=GAAP","Sort=A","Dates=H","DateFormat=P","Fill=—","Direction=H","UseDPDF=Y")</f>
        <v>—</v>
      </c>
      <c r="R19" s="14" t="str">
        <f>_xll.BDH("ITCI US Equity","EV_TO_EBIT_EX_OPERATING_LEASE","FQ1 2023","FQ1 2023","Currency=USD","Period=FQ","BEST_FPERIOD_OVERRIDE=FQ","FILING_STATUS=MR","FA_ADJUSTED=GAAP","Sort=A","Dates=H","DateFormat=P","Fill=—","Direction=H","UseDPDF=Y")</f>
        <v>—</v>
      </c>
      <c r="S19" s="14" t="str">
        <f>_xll.BDH("ITCI US Equity","EV_TO_EBIT_EX_OPERATING_LEASE","FQ2 2023","FQ2 2023","Currency=USD","Period=FQ","BEST_FPERIOD_OVERRIDE=FQ","FILING_STATUS=MR","FA_ADJUSTED=GAAP","Sort=A","Dates=H","DateFormat=P","Fill=—","Direction=H","UseDPDF=Y")</f>
        <v>—</v>
      </c>
      <c r="T19" s="14" t="str">
        <f>_xll.BDH("ITCI US Equity","EV_TO_EBIT_EX_OPERATING_LEASE","FQ3 2023","FQ3 2023","Currency=USD","Period=FQ","BEST_FPERIOD_OVERRIDE=FQ","FILING_STATUS=MR","FA_ADJUSTED=GAAP","Sort=A","Dates=H","DateFormat=P","Fill=—","Direction=H","UseDPDF=Y")</f>
        <v>—</v>
      </c>
      <c r="U19" s="14" t="str">
        <f>_xll.BDH("ITCI US Equity","EV_TO_EBIT_EX_OPERATING_LEASE","FQ4 2023","FQ4 2023","Currency=USD","Period=FQ","BEST_FPERIOD_OVERRIDE=FQ","FILING_STATUS=MR","FA_ADJUSTED=GAAP","Sort=A","Dates=H","DateFormat=P","Fill=—","Direction=H","UseDPDF=Y")</f>
        <v>—</v>
      </c>
      <c r="V19" s="14" t="str">
        <f>_xll.BDH("ITCI US Equity","EV_TO_EBIT_EX_OPERATING_LEASE","FQ1 2024","FQ1 2024","Currency=USD","Period=FQ","BEST_FPERIOD_OVERRIDE=FQ","FILING_STATUS=MR","FA_ADJUSTED=GAAP","Sort=A","Dates=H","DateFormat=P","Fill=—","Direction=H","UseDPDF=Y")</f>
        <v>—</v>
      </c>
      <c r="W19" s="14" t="str">
        <f>_xll.BDH("ITCI US Equity","EV_TO_EBIT_EX_OPERATING_LEASE","FQ2 2024","FQ2 2024","Currency=USD","Period=FQ","BEST_FPERIOD_OVERRIDE=FQ","FILING_STATUS=MR","FA_ADJUSTED=GAAP","Sort=A","Dates=H","DateFormat=P","Fill=—","Direction=H","UseDPDF=Y")</f>
        <v>—</v>
      </c>
      <c r="X19" s="14" t="str">
        <f>_xll.BDH("ITCI US Equity","EV_TO_EBIT_EX_OPERATING_LEASE","FQ3 2024","FQ3 2024","Currency=USD","Period=FQ","BEST_FPERIOD_OVERRIDE=FQ","FILING_STATUS=MR","FA_ADJUSTED=GAAP","Sort=A","Dates=H","DateFormat=P","Fill=—","Direction=H","UseDPDF=Y")</f>
        <v>—</v>
      </c>
      <c r="Y19" s="14" t="str">
        <f>_xll.BDH("ITCI US Equity","EV_TO_EBIT_EX_OPERATING_LEASE","FQ4 2024","FQ4 2024","Currency=USD","Period=FQ","BEST_FPERIOD_OVERRIDE=FQ","FILING_STATUS=MR","FA_ADJUSTED=GAAP","Sort=A","Dates=H","DateFormat=P","Fill=—","Direction=H","UseDPDF=Y")</f>
        <v>—</v>
      </c>
      <c r="Z19" s="17"/>
      <c r="AA19" s="14">
        <v>-384.07570986660397</v>
      </c>
    </row>
    <row r="20" spans="1:27" x14ac:dyDescent="0.25">
      <c r="A20" s="1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5"/>
      <c r="AA20" s="12"/>
    </row>
    <row r="21" spans="1:27" x14ac:dyDescent="0.25">
      <c r="A21" s="10" t="s">
        <v>181</v>
      </c>
      <c r="B21" s="10" t="s">
        <v>182</v>
      </c>
      <c r="C21" s="13">
        <f>_xll.BDH("ITCI US Equity","DILUTED_MKT_CAP","FQ2 2019","FQ2 2019","Currency=USD","Period=FQ","BEST_FPERIOD_OVERRIDE=FQ","FILING_STATUS=MR","SCALING_FORMAT=MLN","Sort=A","Dates=H","DateFormat=P","Fill=—","Direction=H","UseDPDF=Y")</f>
        <v>715.79380000000003</v>
      </c>
      <c r="D21" s="13">
        <f>_xll.BDH("ITCI US Equity","DILUTED_MKT_CAP","FQ3 2019","FQ3 2019","Currency=USD","Period=FQ","BEST_FPERIOD_OVERRIDE=FQ","FILING_STATUS=MR","SCALING_FORMAT=MLN","Sort=A","Dates=H","DateFormat=P","Fill=—","Direction=H","UseDPDF=Y")</f>
        <v>412.39929999999998</v>
      </c>
      <c r="E21" s="13">
        <f>_xll.BDH("ITCI US Equity","DILUTED_MKT_CAP","FQ4 2019","FQ4 2019","Currency=USD","Period=FQ","BEST_FPERIOD_OVERRIDE=FQ","FILING_STATUS=MR","SCALING_FORMAT=MLN","Sort=A","Dates=H","DateFormat=P","Fill=—","Direction=H","UseDPDF=Y")</f>
        <v>1896.5282</v>
      </c>
      <c r="F21" s="13">
        <f>_xll.BDH("ITCI US Equity","DILUTED_MKT_CAP","FQ1 2020","FQ1 2020","Currency=USD","Period=FQ","BEST_FPERIOD_OVERRIDE=FQ","FILING_STATUS=MR","SCALING_FORMAT=MLN","Sort=A","Dates=H","DateFormat=P","Fill=—","Direction=H","UseDPDF=Y")</f>
        <v>1000.6808</v>
      </c>
      <c r="G21" s="13">
        <f>_xll.BDH("ITCI US Equity","DILUTED_MKT_CAP","FQ2 2020","FQ2 2020","Currency=USD","Period=FQ","BEST_FPERIOD_OVERRIDE=FQ","FILING_STATUS=MR","SCALING_FORMAT=MLN","Sort=A","Dates=H","DateFormat=P","Fill=—","Direction=H","UseDPDF=Y")</f>
        <v>1705.242</v>
      </c>
      <c r="H21" s="13">
        <f>_xll.BDH("ITCI US Equity","DILUTED_MKT_CAP","FQ3 2020","FQ3 2020","Currency=USD","Period=FQ","BEST_FPERIOD_OVERRIDE=FQ","FILING_STATUS=MR","SCALING_FORMAT=MLN","Sort=A","Dates=H","DateFormat=P","Fill=—","Direction=H","UseDPDF=Y")</f>
        <v>1784.1407999999999</v>
      </c>
      <c r="I21" s="13">
        <f>_xll.BDH("ITCI US Equity","DILUTED_MKT_CAP","FQ4 2020","FQ4 2020","Currency=USD","Period=FQ","BEST_FPERIOD_OVERRIDE=FQ","FILING_STATUS=MR","SCALING_FORMAT=MLN","Sort=A","Dates=H","DateFormat=P","Fill=—","Direction=H","UseDPDF=Y")</f>
        <v>2553.3413</v>
      </c>
      <c r="J21" s="13">
        <f>_xll.BDH("ITCI US Equity","DILUTED_MKT_CAP","FQ1 2021","FQ1 2021","Currency=USD","Period=FQ","BEST_FPERIOD_OVERRIDE=FQ","FILING_STATUS=MR","SCALING_FORMAT=MLN","Sort=A","Dates=H","DateFormat=P","Fill=—","Direction=H","UseDPDF=Y")</f>
        <v>2746.5129999999999</v>
      </c>
      <c r="K21" s="13">
        <f>_xll.BDH("ITCI US Equity","DILUTED_MKT_CAP","FQ2 2021","FQ2 2021","Currency=USD","Period=FQ","BEST_FPERIOD_OVERRIDE=FQ","FILING_STATUS=MR","SCALING_FORMAT=MLN","Sort=A","Dates=H","DateFormat=P","Fill=—","Direction=H","UseDPDF=Y")</f>
        <v>3315.7999</v>
      </c>
      <c r="L21" s="13">
        <f>_xll.BDH("ITCI US Equity","DILUTED_MKT_CAP","FQ3 2021","FQ3 2021","Currency=USD","Period=FQ","BEST_FPERIOD_OVERRIDE=FQ","FILING_STATUS=MR","SCALING_FORMAT=MLN","Sort=A","Dates=H","DateFormat=P","Fill=—","Direction=H","UseDPDF=Y")</f>
        <v>3032.9041000000002</v>
      </c>
      <c r="M21" s="13">
        <f>_xll.BDH("ITCI US Equity","DILUTED_MKT_CAP","FQ4 2021","FQ4 2021","Currency=USD","Period=FQ","BEST_FPERIOD_OVERRIDE=FQ","FILING_STATUS=MR","SCALING_FORMAT=MLN","Sort=A","Dates=H","DateFormat=P","Fill=—","Direction=H","UseDPDF=Y")</f>
        <v>4264.4375</v>
      </c>
      <c r="N21" s="13">
        <f>_xll.BDH("ITCI US Equity","DILUTED_MKT_CAP","FQ1 2022","FQ1 2022","Currency=USD","Period=FQ","BEST_FPERIOD_OVERRIDE=FQ","FILING_STATUS=MR","SCALING_FORMAT=MLN","Sort=A","Dates=H","DateFormat=P","Fill=—","Direction=H","UseDPDF=Y")</f>
        <v>5666.4565000000002</v>
      </c>
      <c r="O21" s="13">
        <f>_xll.BDH("ITCI US Equity","DILUTED_MKT_CAP","FQ2 2022","FQ2 2022","Currency=USD","Period=FQ","BEST_FPERIOD_OVERRIDE=FQ","FILING_STATUS=MR","SCALING_FORMAT=MLN","Sort=A","Dates=H","DateFormat=P","Fill=—","Direction=H","UseDPDF=Y")</f>
        <v>5381.7945</v>
      </c>
      <c r="P21" s="13">
        <f>_xll.BDH("ITCI US Equity","DILUTED_MKT_CAP","FQ3 2022","FQ3 2022","Currency=USD","Period=FQ","BEST_FPERIOD_OVERRIDE=FQ","FILING_STATUS=MR","SCALING_FORMAT=MLN","Sort=A","Dates=H","DateFormat=P","Fill=—","Direction=H","UseDPDF=Y")</f>
        <v>4397.8663999999999</v>
      </c>
      <c r="Q21" s="13">
        <f>_xll.BDH("ITCI US Equity","DILUTED_MKT_CAP","FQ4 2022","FQ4 2022","Currency=USD","Period=FQ","BEST_FPERIOD_OVERRIDE=FQ","FILING_STATUS=MR","SCALING_FORMAT=MLN","Sort=A","Dates=H","DateFormat=P","Fill=—","Direction=H","UseDPDF=Y")</f>
        <v>5014.2527</v>
      </c>
      <c r="R21" s="13">
        <f>_xll.BDH("ITCI US Equity","DILUTED_MKT_CAP","FQ1 2023","FQ1 2023","Currency=USD","Period=FQ","BEST_FPERIOD_OVERRIDE=FQ","FILING_STATUS=MR","SCALING_FORMAT=MLN","Sort=A","Dates=H","DateFormat=P","Fill=—","Direction=H","UseDPDF=Y")</f>
        <v>5151.5437000000002</v>
      </c>
      <c r="S21" s="13">
        <f>_xll.BDH("ITCI US Equity","DILUTED_MKT_CAP","FQ2 2023","FQ2 2023","Currency=USD","Period=FQ","BEST_FPERIOD_OVERRIDE=FQ","FILING_STATUS=MR","SCALING_FORMAT=MLN","Sort=A","Dates=H","DateFormat=P","Fill=—","Direction=H","UseDPDF=Y")</f>
        <v>6075.4313000000002</v>
      </c>
      <c r="T21" s="13">
        <f>_xll.BDH("ITCI US Equity","DILUTED_MKT_CAP","FQ3 2023","FQ3 2023","Currency=USD","Period=FQ","BEST_FPERIOD_OVERRIDE=FQ","FILING_STATUS=MR","SCALING_FORMAT=MLN","Sort=A","Dates=H","DateFormat=P","Fill=—","Direction=H","UseDPDF=Y")</f>
        <v>5008.0932000000003</v>
      </c>
      <c r="U21" s="13">
        <f>_xll.BDH("ITCI US Equity","DILUTED_MKT_CAP","FQ4 2023","FQ4 2023","Currency=USD","Period=FQ","BEST_FPERIOD_OVERRIDE=FQ","FILING_STATUS=MR","SCALING_FORMAT=MLN","Sort=A","Dates=H","DateFormat=P","Fill=—","Direction=H","UseDPDF=Y")</f>
        <v>6895.9717000000001</v>
      </c>
      <c r="V21" s="13">
        <f>_xll.BDH("ITCI US Equity","DILUTED_MKT_CAP","FQ1 2024","FQ1 2024","Currency=USD","Period=FQ","BEST_FPERIOD_OVERRIDE=FQ","FILING_STATUS=MR","SCALING_FORMAT=MLN","Sort=A","Dates=H","DateFormat=P","Fill=—","Direction=H","UseDPDF=Y")</f>
        <v>6703.7690000000002</v>
      </c>
      <c r="W21" s="13">
        <f>_xll.BDH("ITCI US Equity","DILUTED_MKT_CAP","FQ2 2024","FQ2 2024","Currency=USD","Period=FQ","BEST_FPERIOD_OVERRIDE=FQ","FILING_STATUS=MR","SCALING_FORMAT=MLN","Sort=A","Dates=H","DateFormat=P","Fill=—","Direction=H","UseDPDF=Y")</f>
        <v>7103.9886999999999</v>
      </c>
      <c r="X21" s="13">
        <f>_xll.BDH("ITCI US Equity","DILUTED_MKT_CAP","FQ3 2024","FQ3 2024","Currency=USD","Period=FQ","BEST_FPERIOD_OVERRIDE=FQ","FILING_STATUS=MR","SCALING_FORMAT=MLN","Sort=A","Dates=H","DateFormat=P","Fill=—","Direction=H","UseDPDF=Y")</f>
        <v>7739.0727999999999</v>
      </c>
      <c r="Y21" s="13">
        <f>_xll.BDH("ITCI US Equity","DILUTED_MKT_CAP","FQ4 2024","FQ4 2024","Currency=USD","Period=FQ","BEST_FPERIOD_OVERRIDE=FQ","FILING_STATUS=MR","SCALING_FORMAT=MLN","Sort=A","Dates=H","DateFormat=P","Fill=—","Direction=H","UseDPDF=Y")</f>
        <v>8861.1242000000002</v>
      </c>
      <c r="Z21" s="16">
        <v>13984.491884137</v>
      </c>
      <c r="AA21" s="13"/>
    </row>
    <row r="22" spans="1:27" x14ac:dyDescent="0.25">
      <c r="A22" s="10" t="s">
        <v>183</v>
      </c>
      <c r="B22" s="10" t="s">
        <v>275</v>
      </c>
      <c r="C22" s="13">
        <f>_xll.BDH("ITCI US Equity","DILUTED_EV_EX_OPERATING_LEASE","FQ2 2019","FQ2 2019","Currency=USD","Period=FQ","BEST_FPERIOD_OVERRIDE=FQ","FILING_STATUS=MR","SCALING_FORMAT=MLN","Sort=A","Dates=H","DateFormat=P","Fill=—","Direction=H","UseDPDF=Y")</f>
        <v>430.49360000000001</v>
      </c>
      <c r="D22" s="13">
        <f>_xll.BDH("ITCI US Equity","DILUTED_EV_EX_OPERATING_LEASE","FQ3 2019","FQ3 2019","Currency=USD","Period=FQ","BEST_FPERIOD_OVERRIDE=FQ","FILING_STATUS=MR","SCALING_FORMAT=MLN","Sort=A","Dates=H","DateFormat=P","Fill=—","Direction=H","UseDPDF=Y")</f>
        <v>156.9657</v>
      </c>
      <c r="E22" s="13">
        <f>_xll.BDH("ITCI US Equity","DILUTED_EV_EX_OPERATING_LEASE","FQ4 2019","FQ4 2019","Currency=USD","Period=FQ","BEST_FPERIOD_OVERRIDE=FQ","FILING_STATUS=MR","SCALING_FORMAT=MLN","Sort=A","Dates=H","DateFormat=P","Fill=—","Direction=H","UseDPDF=Y")</f>
        <v>1672.518</v>
      </c>
      <c r="F22" s="13">
        <f>_xll.BDH("ITCI US Equity","DILUTED_EV_EX_OPERATING_LEASE","FQ1 2020","FQ1 2020","Currency=USD","Period=FQ","BEST_FPERIOD_OVERRIDE=FQ","FILING_STATUS=MR","SCALING_FORMAT=MLN","Sort=A","Dates=H","DateFormat=P","Fill=—","Direction=H","UseDPDF=Y")</f>
        <v>551.72680000000003</v>
      </c>
      <c r="G22" s="13">
        <f>_xll.BDH("ITCI US Equity","DILUTED_EV_EX_OPERATING_LEASE","FQ2 2020","FQ2 2020","Currency=USD","Period=FQ","BEST_FPERIOD_OVERRIDE=FQ","FILING_STATUS=MR","SCALING_FORMAT=MLN","Sort=A","Dates=H","DateFormat=P","Fill=—","Direction=H","UseDPDF=Y")</f>
        <v>1297.4829999999999</v>
      </c>
      <c r="H22" s="13">
        <f>_xll.BDH("ITCI US Equity","DILUTED_EV_EX_OPERATING_LEASE","FQ3 2020","FQ3 2020","Currency=USD","Period=FQ","BEST_FPERIOD_OVERRIDE=FQ","FILING_STATUS=MR","SCALING_FORMAT=MLN","Sort=A","Dates=H","DateFormat=P","Fill=—","Direction=H","UseDPDF=Y")</f>
        <v>1062.1932999999999</v>
      </c>
      <c r="I22" s="13">
        <f>_xll.BDH("ITCI US Equity","DILUTED_EV_EX_OPERATING_LEASE","FQ4 2020","FQ4 2020","Currency=USD","Period=FQ","BEST_FPERIOD_OVERRIDE=FQ","FILING_STATUS=MR","SCALING_FORMAT=MLN","Sort=A","Dates=H","DateFormat=P","Fill=—","Direction=H","UseDPDF=Y")</f>
        <v>1895.8932</v>
      </c>
      <c r="J22" s="13">
        <f>_xll.BDH("ITCI US Equity","DILUTED_EV_EX_OPERATING_LEASE","FQ1 2021","FQ1 2021","Currency=USD","Period=FQ","BEST_FPERIOD_OVERRIDE=FQ","FILING_STATUS=MR","SCALING_FORMAT=MLN","Sort=A","Dates=H","DateFormat=P","Fill=—","Direction=H","UseDPDF=Y")</f>
        <v>2134.5484000000001</v>
      </c>
      <c r="K22" s="13">
        <f>_xll.BDH("ITCI US Equity","DILUTED_EV_EX_OPERATING_LEASE","FQ2 2021","FQ2 2021","Currency=USD","Period=FQ","BEST_FPERIOD_OVERRIDE=FQ","FILING_STATUS=MR","SCALING_FORMAT=MLN","Sort=A","Dates=H","DateFormat=P","Fill=—","Direction=H","UseDPDF=Y")</f>
        <v>2761.0426000000002</v>
      </c>
      <c r="L22" s="13">
        <f>_xll.BDH("ITCI US Equity","DILUTED_EV_EX_OPERATING_LEASE","FQ3 2021","FQ3 2021","Currency=USD","Period=FQ","BEST_FPERIOD_OVERRIDE=FQ","FILING_STATUS=MR","SCALING_FORMAT=MLN","Sort=A","Dates=H","DateFormat=P","Fill=—","Direction=H","UseDPDF=Y")</f>
        <v>2555.6201999999998</v>
      </c>
      <c r="M22" s="13">
        <f>_xll.BDH("ITCI US Equity","DILUTED_EV_EX_OPERATING_LEASE","FQ4 2021","FQ4 2021","Currency=USD","Period=FQ","BEST_FPERIOD_OVERRIDE=FQ","FILING_STATUS=MR","SCALING_FORMAT=MLN","Sort=A","Dates=H","DateFormat=P","Fill=—","Direction=H","UseDPDF=Y")</f>
        <v>3852.1042000000002</v>
      </c>
      <c r="N22" s="13">
        <f>_xll.BDH("ITCI US Equity","DILUTED_EV_EX_OPERATING_LEASE","FQ1 2022","FQ1 2022","Currency=USD","Period=FQ","BEST_FPERIOD_OVERRIDE=FQ","FILING_STATUS=MR","SCALING_FORMAT=MLN","Sort=A","Dates=H","DateFormat=P","Fill=—","Direction=H","UseDPDF=Y")</f>
        <v>4894.6085000000003</v>
      </c>
      <c r="O22" s="13">
        <f>_xll.BDH("ITCI US Equity","DILUTED_EV_EX_OPERATING_LEASE","FQ2 2022","FQ2 2022","Currency=USD","Period=FQ","BEST_FPERIOD_OVERRIDE=FQ","FILING_STATUS=MR","SCALING_FORMAT=MLN","Sort=A","Dates=H","DateFormat=P","Fill=—","Direction=H","UseDPDF=Y")</f>
        <v>4703.9655000000002</v>
      </c>
      <c r="P22" s="13">
        <f>_xll.BDH("ITCI US Equity","DILUTED_EV_EX_OPERATING_LEASE","FQ3 2022","FQ3 2022","Currency=USD","Period=FQ","BEST_FPERIOD_OVERRIDE=FQ","FILING_STATUS=MR","SCALING_FORMAT=MLN","Sort=A","Dates=H","DateFormat=P","Fill=—","Direction=H","UseDPDF=Y")</f>
        <v>3769.1253999999999</v>
      </c>
      <c r="Q22" s="13">
        <f>_xll.BDH("ITCI US Equity","DILUTED_EV_EX_OPERATING_LEASE","FQ4 2022","FQ4 2022","Currency=USD","Period=FQ","BEST_FPERIOD_OVERRIDE=FQ","FILING_STATUS=MR","SCALING_FORMAT=MLN","Sort=A","Dates=H","DateFormat=P","Fill=—","Direction=H","UseDPDF=Y")</f>
        <v>4422.3477000000003</v>
      </c>
      <c r="R22" s="13">
        <f>_xll.BDH("ITCI US Equity","DILUTED_EV_EX_OPERATING_LEASE","FQ1 2023","FQ1 2023","Currency=USD","Period=FQ","BEST_FPERIOD_OVERRIDE=FQ","FILING_STATUS=MR","SCALING_FORMAT=MLN","Sort=A","Dates=H","DateFormat=P","Fill=—","Direction=H","UseDPDF=Y")</f>
        <v>4612.8356999999996</v>
      </c>
      <c r="S22" s="13">
        <f>_xll.BDH("ITCI US Equity","DILUTED_EV_EX_OPERATING_LEASE","FQ2 2023","FQ2 2023","Currency=USD","Period=FQ","BEST_FPERIOD_OVERRIDE=FQ","FILING_STATUS=MR","SCALING_FORMAT=MLN","Sort=A","Dates=H","DateFormat=P","Fill=—","Direction=H","UseDPDF=Y")</f>
        <v>5562.5772999999999</v>
      </c>
      <c r="T22" s="13">
        <f>_xll.BDH("ITCI US Equity","DILUTED_EV_EX_OPERATING_LEASE","FQ3 2023","FQ3 2023","Currency=USD","Period=FQ","BEST_FPERIOD_OVERRIDE=FQ","FILING_STATUS=MR","SCALING_FORMAT=MLN","Sort=A","Dates=H","DateFormat=P","Fill=—","Direction=H","UseDPDF=Y")</f>
        <v>4515.0721999999996</v>
      </c>
      <c r="U22" s="13">
        <f>_xll.BDH("ITCI US Equity","DILUTED_EV_EX_OPERATING_LEASE","FQ4 2023","FQ4 2023","Currency=USD","Period=FQ","BEST_FPERIOD_OVERRIDE=FQ","FILING_STATUS=MR","SCALING_FORMAT=MLN","Sort=A","Dates=H","DateFormat=P","Fill=—","Direction=H","UseDPDF=Y")</f>
        <v>6398.0307000000003</v>
      </c>
      <c r="V22" s="13">
        <f>_xll.BDH("ITCI US Equity","DILUTED_EV_EX_OPERATING_LEASE","FQ1 2024","FQ1 2024","Currency=USD","Period=FQ","BEST_FPERIOD_OVERRIDE=FQ","FILING_STATUS=MR","SCALING_FORMAT=MLN","Sort=A","Dates=H","DateFormat=P","Fill=—","Direction=H","UseDPDF=Y")</f>
        <v>6228.1459999999997</v>
      </c>
      <c r="W22" s="13">
        <f>_xll.BDH("ITCI US Equity","DILUTED_EV_EX_OPERATING_LEASE","FQ2 2024","FQ2 2024","Currency=USD","Period=FQ","BEST_FPERIOD_OVERRIDE=FQ","FILING_STATUS=MR","SCALING_FORMAT=MLN","Sort=A","Dates=H","DateFormat=P","Fill=—","Direction=H","UseDPDF=Y")</f>
        <v>6081.0816999999997</v>
      </c>
      <c r="X22" s="13">
        <f>_xll.BDH("ITCI US Equity","DILUTED_EV_EX_OPERATING_LEASE","FQ3 2024","FQ3 2024","Currency=USD","Period=FQ","BEST_FPERIOD_OVERRIDE=FQ","FILING_STATUS=MR","SCALING_FORMAT=MLN","Sort=A","Dates=H","DateFormat=P","Fill=—","Direction=H","UseDPDF=Y")</f>
        <v>6732.5108</v>
      </c>
      <c r="Y22" s="13">
        <f>_xll.BDH("ITCI US Equity","DILUTED_EV_EX_OPERATING_LEASE","FQ4 2024","FQ4 2024","Currency=USD","Period=FQ","BEST_FPERIOD_OVERRIDE=FQ","FILING_STATUS=MR","SCALING_FORMAT=MLN","Sort=A","Dates=H","DateFormat=P","Fill=—","Direction=H","UseDPDF=Y")</f>
        <v>7860.0582000000004</v>
      </c>
      <c r="Z22" s="16">
        <v>7860.0582227200002</v>
      </c>
      <c r="AA22" s="13"/>
    </row>
    <row r="23" spans="1:27" x14ac:dyDescent="0.25">
      <c r="A23" s="10" t="s">
        <v>185</v>
      </c>
      <c r="B23" s="10" t="s">
        <v>276</v>
      </c>
      <c r="C23" s="14">
        <f>_xll.BDH("ITCI US Equity","EV_EX_OP_LEA_LIAB_TO_SHS_OUTSTDG","FQ2 2019","FQ2 2019","Currency=USD","Period=FQ","BEST_FPERIOD_OVERRIDE=FQ","FILING_STATUS=MR","Sort=A","Dates=H","DateFormat=P","Fill=—","Direction=H","UseDPDF=Y")</f>
        <v>7.8102999999999998</v>
      </c>
      <c r="D23" s="14">
        <f>_xll.BDH("ITCI US Equity","EV_EX_OP_LEA_LIAB_TO_SHS_OUTSTDG","FQ3 2019","FQ3 2019","Currency=USD","Period=FQ","BEST_FPERIOD_OVERRIDE=FQ","FILING_STATUS=MR","Sort=A","Dates=H","DateFormat=P","Fill=—","Direction=H","UseDPDF=Y")</f>
        <v>2.8466</v>
      </c>
      <c r="E23" s="14">
        <f>_xll.BDH("ITCI US Equity","EV_EX_OP_LEA_LIAB_TO_SHS_OUTSTDG","FQ4 2019","FQ4 2019","Currency=USD","Period=FQ","BEST_FPERIOD_OVERRIDE=FQ","FILING_STATUS=MR","Sort=A","Dates=H","DateFormat=P","Fill=—","Direction=H","UseDPDF=Y")</f>
        <v>30.2743</v>
      </c>
      <c r="F23" s="14">
        <f>_xll.BDH("ITCI US Equity","EV_EX_OP_LEA_LIAB_TO_SHS_OUTSTDG","FQ1 2020","FQ1 2020","Currency=USD","Period=FQ","BEST_FPERIOD_OVERRIDE=FQ","FILING_STATUS=MR","Sort=A","Dates=H","DateFormat=P","Fill=—","Direction=H","UseDPDF=Y")</f>
        <v>8.5883000000000003</v>
      </c>
      <c r="G23" s="14">
        <f>_xll.BDH("ITCI US Equity","EV_EX_OP_LEA_LIAB_TO_SHS_OUTSTDG","FQ2 2020","FQ2 2020","Currency=USD","Period=FQ","BEST_FPERIOD_OVERRIDE=FQ","FILING_STATUS=MR","Sort=A","Dates=H","DateFormat=P","Fill=—","Direction=H","UseDPDF=Y")</f>
        <v>19.563800000000001</v>
      </c>
      <c r="H23" s="14">
        <f>_xll.BDH("ITCI US Equity","EV_EX_OP_LEA_LIAB_TO_SHS_OUTSTDG","FQ3 2020","FQ3 2020","Currency=USD","Period=FQ","BEST_FPERIOD_OVERRIDE=FQ","FILING_STATUS=MR","Sort=A","Dates=H","DateFormat=P","Fill=—","Direction=H","UseDPDF=Y")</f>
        <v>16.651700000000002</v>
      </c>
      <c r="I23" s="14">
        <f>_xll.BDH("ITCI US Equity","EV_EX_OP_LEA_LIAB_TO_SHS_OUTSTDG","FQ4 2020","FQ4 2020","Currency=USD","Period=FQ","BEST_FPERIOD_OVERRIDE=FQ","FILING_STATUS=MR","Sort=A","Dates=H","DateFormat=P","Fill=—","Direction=H","UseDPDF=Y")</f>
        <v>23.629200000000001</v>
      </c>
      <c r="J23" s="14">
        <f>_xll.BDH("ITCI US Equity","EV_EX_OP_LEA_LIAB_TO_SHS_OUTSTDG","FQ1 2021","FQ1 2021","Currency=USD","Period=FQ","BEST_FPERIOD_OVERRIDE=FQ","FILING_STATUS=MR","Sort=A","Dates=H","DateFormat=P","Fill=—","Direction=H","UseDPDF=Y")</f>
        <v>26.3873</v>
      </c>
      <c r="K23" s="14">
        <f>_xll.BDH("ITCI US Equity","EV_EX_OP_LEA_LIAB_TO_SHS_OUTSTDG","FQ2 2021","FQ2 2021","Currency=USD","Period=FQ","BEST_FPERIOD_OVERRIDE=FQ","FILING_STATUS=MR","Sort=A","Dates=H","DateFormat=P","Fill=—","Direction=H","UseDPDF=Y")</f>
        <v>33.997399999999999</v>
      </c>
      <c r="L23" s="14">
        <f>_xll.BDH("ITCI US Equity","EV_EX_OP_LEA_LIAB_TO_SHS_OUTSTDG","FQ3 2021","FQ3 2021","Currency=USD","Period=FQ","BEST_FPERIOD_OVERRIDE=FQ","FILING_STATUS=MR","Sort=A","Dates=H","DateFormat=P","Fill=—","Direction=H","UseDPDF=Y")</f>
        <v>31.414899999999999</v>
      </c>
      <c r="M23" s="14">
        <f>_xll.BDH("ITCI US Equity","EV_EX_OP_LEA_LIAB_TO_SHS_OUTSTDG","FQ4 2021","FQ4 2021","Currency=USD","Period=FQ","BEST_FPERIOD_OVERRIDE=FQ","FILING_STATUS=MR","Sort=A","Dates=H","DateFormat=P","Fill=—","Direction=H","UseDPDF=Y")</f>
        <v>47.304600000000001</v>
      </c>
      <c r="N23" s="14">
        <f>_xll.BDH("ITCI US Equity","EV_EX_OP_LEA_LIAB_TO_SHS_OUTSTDG","FQ1 2022","FQ1 2022","Currency=USD","Period=FQ","BEST_FPERIOD_OVERRIDE=FQ","FILING_STATUS=MR","Sort=A","Dates=H","DateFormat=P","Fill=—","Direction=H","UseDPDF=Y")</f>
        <v>52.980600000000003</v>
      </c>
      <c r="O23" s="14">
        <f>_xll.BDH("ITCI US Equity","EV_EX_OP_LEA_LIAB_TO_SHS_OUTSTDG","FQ2 2022","FQ2 2022","Currency=USD","Period=FQ","BEST_FPERIOD_OVERRIDE=FQ","FILING_STATUS=MR","Sort=A","Dates=H","DateFormat=P","Fill=—","Direction=H","UseDPDF=Y")</f>
        <v>49.897100000000002</v>
      </c>
      <c r="P23" s="14">
        <f>_xll.BDH("ITCI US Equity","EV_EX_OP_LEA_LIAB_TO_SHS_OUTSTDG","FQ3 2022","FQ3 2022","Currency=USD","Period=FQ","BEST_FPERIOD_OVERRIDE=FQ","FILING_STATUS=MR","Sort=A","Dates=H","DateFormat=P","Fill=—","Direction=H","UseDPDF=Y")</f>
        <v>39.890799999999999</v>
      </c>
      <c r="Q23" s="14">
        <f>_xll.BDH("ITCI US Equity","EV_EX_OP_LEA_LIAB_TO_SHS_OUTSTDG","FQ4 2022","FQ4 2022","Currency=USD","Period=FQ","BEST_FPERIOD_OVERRIDE=FQ","FILING_STATUS=MR","Sort=A","Dates=H","DateFormat=P","Fill=—","Direction=H","UseDPDF=Y")</f>
        <v>46.678199999999997</v>
      </c>
      <c r="R23" s="14">
        <f>_xll.BDH("ITCI US Equity","EV_EX_OP_LEA_LIAB_TO_SHS_OUTSTDG","FQ1 2023","FQ1 2023","Currency=USD","Period=FQ","BEST_FPERIOD_OVERRIDE=FQ","FILING_STATUS=MR","Sort=A","Dates=H","DateFormat=P","Fill=—","Direction=H","UseDPDF=Y")</f>
        <v>48.5197</v>
      </c>
      <c r="S23" s="14">
        <f>_xll.BDH("ITCI US Equity","EV_EX_OP_LEA_LIAB_TO_SHS_OUTSTDG","FQ2 2023","FQ2 2023","Currency=USD","Period=FQ","BEST_FPERIOD_OVERRIDE=FQ","FILING_STATUS=MR","Sort=A","Dates=H","DateFormat=P","Fill=—","Direction=H","UseDPDF=Y")</f>
        <v>57.982399999999998</v>
      </c>
      <c r="T23" s="14">
        <f>_xll.BDH("ITCI US Equity","EV_EX_OP_LEA_LIAB_TO_SHS_OUTSTDG","FQ3 2023","FQ3 2023","Currency=USD","Period=FQ","BEST_FPERIOD_OVERRIDE=FQ","FILING_STATUS=MR","Sort=A","Dates=H","DateFormat=P","Fill=—","Direction=H","UseDPDF=Y")</f>
        <v>46.9664</v>
      </c>
      <c r="U23" s="14">
        <f>_xll.BDH("ITCI US Equity","EV_EX_OP_LEA_LIAB_TO_SHS_OUTSTDG","FQ4 2023","FQ4 2023","Currency=USD","Period=FQ","BEST_FPERIOD_OVERRIDE=FQ","FILING_STATUS=MR","Sort=A","Dates=H","DateFormat=P","Fill=—","Direction=H","UseDPDF=Y")</f>
        <v>66.453599999999994</v>
      </c>
      <c r="V23" s="14">
        <f>_xll.BDH("ITCI US Equity","EV_EX_OP_LEA_LIAB_TO_SHS_OUTSTDG","FQ1 2024","FQ1 2024","Currency=USD","Period=FQ","BEST_FPERIOD_OVERRIDE=FQ","FILING_STATUS=MR","Sort=A","Dates=H","DateFormat=P","Fill=—","Direction=H","UseDPDF=Y")</f>
        <v>64.320700000000002</v>
      </c>
      <c r="W23" s="14">
        <f>_xll.BDH("ITCI US Equity","EV_EX_OP_LEA_LIAB_TO_SHS_OUTSTDG","FQ2 2024","FQ2 2024","Currency=USD","Period=FQ","BEST_FPERIOD_OVERRIDE=FQ","FILING_STATUS=MR","Sort=A","Dates=H","DateFormat=P","Fill=—","Direction=H","UseDPDF=Y")</f>
        <v>58.805700000000002</v>
      </c>
      <c r="X23" s="14">
        <f>_xll.BDH("ITCI US Equity","EV_EX_OP_LEA_LIAB_TO_SHS_OUTSTDG","FQ3 2024","FQ3 2024","Currency=USD","Period=FQ","BEST_FPERIOD_OVERRIDE=FQ","FILING_STATUS=MR","Sort=A","Dates=H","DateFormat=P","Fill=—","Direction=H","UseDPDF=Y")</f>
        <v>63.673999999999999</v>
      </c>
      <c r="Y23" s="14">
        <f>_xll.BDH("ITCI US Equity","EV_EX_OP_LEA_LIAB_TO_SHS_OUTSTDG","FQ4 2024","FQ4 2024","Currency=USD","Period=FQ","BEST_FPERIOD_OVERRIDE=FQ","FILING_STATUS=MR","Sort=A","Dates=H","DateFormat=P","Fill=—","Direction=H","UseDPDF=Y")</f>
        <v>74.097300000000004</v>
      </c>
      <c r="Z23" s="17">
        <v>122.496425552072</v>
      </c>
      <c r="AA23" s="14"/>
    </row>
    <row r="24" spans="1:27" x14ac:dyDescent="0.25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5"/>
      <c r="AA24" s="12"/>
    </row>
    <row r="25" spans="1:27" x14ac:dyDescent="0.25">
      <c r="A25" s="10" t="s">
        <v>4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5"/>
      <c r="AA25" s="12"/>
    </row>
    <row r="26" spans="1:27" x14ac:dyDescent="0.25">
      <c r="A26" s="11" t="s">
        <v>187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7"/>
      <c r="AA26" s="24"/>
    </row>
    <row r="27" spans="1:27" x14ac:dyDescent="0.25">
      <c r="A27" s="10" t="s">
        <v>188</v>
      </c>
      <c r="B27" s="10" t="s">
        <v>189</v>
      </c>
      <c r="C27" s="12" t="s">
        <v>190</v>
      </c>
      <c r="D27" s="12" t="s">
        <v>190</v>
      </c>
      <c r="E27" s="12" t="s">
        <v>190</v>
      </c>
      <c r="F27" s="12" t="s">
        <v>190</v>
      </c>
      <c r="G27" s="12" t="s">
        <v>190</v>
      </c>
      <c r="H27" s="12" t="s">
        <v>190</v>
      </c>
      <c r="I27" s="12" t="s">
        <v>190</v>
      </c>
      <c r="J27" s="12" t="s">
        <v>190</v>
      </c>
      <c r="K27" s="12" t="s">
        <v>190</v>
      </c>
      <c r="L27" s="12" t="s">
        <v>190</v>
      </c>
      <c r="M27" s="12" t="s">
        <v>190</v>
      </c>
      <c r="N27" s="12" t="s">
        <v>190</v>
      </c>
      <c r="O27" s="12" t="s">
        <v>190</v>
      </c>
      <c r="P27" s="12" t="s">
        <v>190</v>
      </c>
      <c r="Q27" s="12" t="s">
        <v>190</v>
      </c>
      <c r="R27" s="12" t="s">
        <v>190</v>
      </c>
      <c r="S27" s="12" t="s">
        <v>190</v>
      </c>
      <c r="T27" s="12" t="s">
        <v>190</v>
      </c>
      <c r="U27" s="12" t="s">
        <v>190</v>
      </c>
      <c r="V27" s="12" t="s">
        <v>190</v>
      </c>
      <c r="W27" s="12" t="s">
        <v>190</v>
      </c>
      <c r="X27" s="12" t="s">
        <v>190</v>
      </c>
      <c r="Y27" s="12" t="s">
        <v>190</v>
      </c>
      <c r="Z27" s="15" t="s">
        <v>190</v>
      </c>
      <c r="AA27" s="12"/>
    </row>
    <row r="28" spans="1:27" x14ac:dyDescent="0.25">
      <c r="A28" s="10" t="s">
        <v>191</v>
      </c>
      <c r="B28" s="10" t="s">
        <v>192</v>
      </c>
      <c r="C28" s="13">
        <f>_xll.BDH("ITCI US Equity","TRAIL_12M_NET_SALES","FQ2 2019","FQ2 2019","Currency=USD","Period=FQ","BEST_FPERIOD_OVERRIDE=FQ","FILING_STATUS=MR","SCALING_FORMAT=MLN","FA_ADJUSTED=GAAP","Sort=A","Dates=H","DateFormat=P","Fill=—","Direction=H","UseDPDF=Y")</f>
        <v>0</v>
      </c>
      <c r="D28" s="13">
        <f>_xll.BDH("ITCI US Equity","TRAIL_12M_NET_SALES","FQ3 2019","FQ3 2019","Currency=USD","Period=FQ","BEST_FPERIOD_OVERRIDE=FQ","FILING_STATUS=MR","SCALING_FORMAT=MLN","FA_ADJUSTED=GAAP","Sort=A","Dates=H","DateFormat=P","Fill=—","Direction=H","UseDPDF=Y")</f>
        <v>0</v>
      </c>
      <c r="E28" s="13">
        <f>_xll.BDH("ITCI US Equity","TRAIL_12M_NET_SALES","FQ4 2019","FQ4 2019","Currency=USD","Period=FQ","BEST_FPERIOD_OVERRIDE=FQ","FILING_STATUS=MR","SCALING_FORMAT=MLN","FA_ADJUSTED=GAAP","Sort=A","Dates=H","DateFormat=P","Fill=—","Direction=H","UseDPDF=Y")</f>
        <v>6.0600000000000001E-2</v>
      </c>
      <c r="F28" s="13">
        <f>_xll.BDH("ITCI US Equity","TRAIL_12M_NET_SALES","FQ1 2020","FQ1 2020","Currency=USD","Period=FQ","BEST_FPERIOD_OVERRIDE=FQ","FILING_STATUS=MR","SCALING_FORMAT=MLN","FA_ADJUSTED=GAAP","Sort=A","Dates=H","DateFormat=P","Fill=—","Direction=H","UseDPDF=Y")</f>
        <v>1.1440999999999999</v>
      </c>
      <c r="G28" s="13">
        <f>_xll.BDH("ITCI US Equity","TRAIL_12M_NET_SALES","FQ2 2020","FQ2 2020","Currency=USD","Period=FQ","BEST_FPERIOD_OVERRIDE=FQ","FILING_STATUS=MR","SCALING_FORMAT=MLN","FA_ADJUSTED=GAAP","Sort=A","Dates=H","DateFormat=P","Fill=—","Direction=H","UseDPDF=Y")</f>
        <v>3.0507</v>
      </c>
      <c r="H28" s="13">
        <f>_xll.BDH("ITCI US Equity","TRAIL_12M_NET_SALES","FQ3 2020","FQ3 2020","Currency=USD","Period=FQ","BEST_FPERIOD_OVERRIDE=FQ","FILING_STATUS=MR","SCALING_FORMAT=MLN","FA_ADJUSTED=GAAP","Sort=A","Dates=H","DateFormat=P","Fill=—","Direction=H","UseDPDF=Y")</f>
        <v>10.4193</v>
      </c>
      <c r="I28" s="13">
        <f>_xll.BDH("ITCI US Equity","TRAIL_12M_NET_SALES","FQ4 2020","FQ4 2020","Currency=USD","Period=FQ","BEST_FPERIOD_OVERRIDE=FQ","FILING_STATUS=MR","SCALING_FORMAT=MLN","FA_ADJUSTED=GAAP","Sort=A","Dates=H","DateFormat=P","Fill=—","Direction=H","UseDPDF=Y")</f>
        <v>22.812999999999999</v>
      </c>
      <c r="J28" s="13">
        <f>_xll.BDH("ITCI US Equity","TRAIL_12M_NET_SALES","FQ1 2021","FQ1 2021","Currency=USD","Period=FQ","BEST_FPERIOD_OVERRIDE=FQ","FILING_STATUS=MR","SCALING_FORMAT=MLN","FA_ADJUSTED=GAAP","Sort=A","Dates=H","DateFormat=P","Fill=—","Direction=H","UseDPDF=Y")</f>
        <v>37.607799999999997</v>
      </c>
      <c r="K28" s="13">
        <f>_xll.BDH("ITCI US Equity","TRAIL_12M_NET_SALES","FQ2 2021","FQ2 2021","Currency=USD","Period=FQ","BEST_FPERIOD_OVERRIDE=FQ","FILING_STATUS=MR","SCALING_FORMAT=MLN","FA_ADJUSTED=GAAP","Sort=A","Dates=H","DateFormat=P","Fill=—","Direction=H","UseDPDF=Y")</f>
        <v>55.747799999999998</v>
      </c>
      <c r="L28" s="13">
        <f>_xll.BDH("ITCI US Equity","TRAIL_12M_NET_SALES","FQ3 2021","FQ3 2021","Currency=USD","Period=FQ","BEST_FPERIOD_OVERRIDE=FQ","FILING_STATUS=MR","SCALING_FORMAT=MLN","FA_ADJUSTED=GAAP","Sort=A","Dates=H","DateFormat=P","Fill=—","Direction=H","UseDPDF=Y")</f>
        <v>70.586399999999998</v>
      </c>
      <c r="M28" s="13">
        <f>_xll.BDH("ITCI US Equity","TRAIL_12M_NET_SALES","FQ4 2021","FQ4 2021","Currency=USD","Period=FQ","BEST_FPERIOD_OVERRIDE=FQ","FILING_STATUS=MR","SCALING_FORMAT=MLN","FA_ADJUSTED=GAAP","Sort=A","Dates=H","DateFormat=P","Fill=—","Direction=H","UseDPDF=Y")</f>
        <v>83.802999999999997</v>
      </c>
      <c r="N28" s="13">
        <f>_xll.BDH("ITCI US Equity","TRAIL_12M_NET_SALES","FQ1 2022","FQ1 2022","Currency=USD","Period=FQ","BEST_FPERIOD_OVERRIDE=FQ","FILING_STATUS=MR","SCALING_FORMAT=MLN","FA_ADJUSTED=GAAP","Sort=A","Dates=H","DateFormat=P","Fill=—","Direction=H","UseDPDF=Y")</f>
        <v>102.9207</v>
      </c>
      <c r="O28" s="13">
        <f>_xll.BDH("ITCI US Equity","TRAIL_12M_NET_SALES","FQ2 2022","FQ2 2022","Currency=USD","Period=FQ","BEST_FPERIOD_OVERRIDE=FQ","FILING_STATUS=MR","SCALING_FORMAT=MLN","FA_ADJUSTED=GAAP","Sort=A","Dates=H","DateFormat=P","Fill=—","Direction=H","UseDPDF=Y")</f>
        <v>138.45310000000001</v>
      </c>
      <c r="P28" s="13">
        <f>_xll.BDH("ITCI US Equity","TRAIL_12M_NET_SALES","FQ3 2022","FQ3 2022","Currency=USD","Period=FQ","BEST_FPERIOD_OVERRIDE=FQ","FILING_STATUS=MR","SCALING_FORMAT=MLN","FA_ADJUSTED=GAAP","Sort=A","Dates=H","DateFormat=P","Fill=—","Direction=H","UseDPDF=Y")</f>
        <v>188.11590000000001</v>
      </c>
      <c r="Q28" s="13">
        <f>_xll.BDH("ITCI US Equity","TRAIL_12M_NET_SALES","FQ4 2022","FQ4 2022","Currency=USD","Period=FQ","BEST_FPERIOD_OVERRIDE=FQ","FILING_STATUS=MR","SCALING_FORMAT=MLN","FA_ADJUSTED=GAAP","Sort=A","Dates=H","DateFormat=P","Fill=—","Direction=H","UseDPDF=Y")</f>
        <v>250.31399999999999</v>
      </c>
      <c r="R28" s="13">
        <f>_xll.BDH("ITCI US Equity","TRAIL_12M_NET_SALES","FQ1 2023","FQ1 2023","Currency=USD","Period=FQ","BEST_FPERIOD_OVERRIDE=FQ","FILING_STATUS=MR","SCALING_FORMAT=MLN","FA_ADJUSTED=GAAP","Sort=A","Dates=H","DateFormat=P","Fill=—","Direction=H","UseDPDF=Y")</f>
        <v>310.62400000000002</v>
      </c>
      <c r="S28" s="13">
        <f>_xll.BDH("ITCI US Equity","TRAIL_12M_NET_SALES","FQ2 2023","FQ2 2023","Currency=USD","Period=FQ","BEST_FPERIOD_OVERRIDE=FQ","FILING_STATUS=MR","SCALING_FORMAT=MLN","FA_ADJUSTED=GAAP","Sort=A","Dates=H","DateFormat=P","Fill=—","Direction=H","UseDPDF=Y")</f>
        <v>365.83699999999999</v>
      </c>
      <c r="T28" s="13">
        <f>_xll.BDH("ITCI US Equity","TRAIL_12M_NET_SALES","FQ3 2023","FQ3 2023","Currency=USD","Period=FQ","BEST_FPERIOD_OVERRIDE=FQ","FILING_STATUS=MR","SCALING_FORMAT=MLN","FA_ADJUSTED=GAAP","Sort=A","Dates=H","DateFormat=P","Fill=—","Direction=H","UseDPDF=Y")</f>
        <v>420.14</v>
      </c>
      <c r="U28" s="13">
        <f>_xll.BDH("ITCI US Equity","TRAIL_12M_NET_SALES","FQ4 2023","FQ4 2023","Currency=USD","Period=FQ","BEST_FPERIOD_OVERRIDE=FQ","FILING_STATUS=MR","SCALING_FORMAT=MLN","FA_ADJUSTED=GAAP","Sort=A","Dates=H","DateFormat=P","Fill=—","Direction=H","UseDPDF=Y")</f>
        <v>464.37</v>
      </c>
      <c r="V28" s="13">
        <f>_xll.BDH("ITCI US Equity","TRAIL_12M_NET_SALES","FQ1 2024","FQ1 2024","Currency=USD","Period=FQ","BEST_FPERIOD_OVERRIDE=FQ","FILING_STATUS=MR","SCALING_FORMAT=MLN","FA_ADJUSTED=GAAP","Sort=A","Dates=H","DateFormat=P","Fill=—","Direction=H","UseDPDF=Y")</f>
        <v>513.92999999999995</v>
      </c>
      <c r="W28" s="13">
        <f>_xll.BDH("ITCI US Equity","TRAIL_12M_NET_SALES","FQ2 2024","FQ2 2024","Currency=USD","Period=FQ","BEST_FPERIOD_OVERRIDE=FQ","FILING_STATUS=MR","SCALING_FORMAT=MLN","FA_ADJUSTED=GAAP","Sort=A","Dates=H","DateFormat=P","Fill=—","Direction=H","UseDPDF=Y")</f>
        <v>564.52599999999995</v>
      </c>
      <c r="X28" s="13">
        <f>_xll.BDH("ITCI US Equity","TRAIL_12M_NET_SALES","FQ3 2024","FQ3 2024","Currency=USD","Period=FQ","BEST_FPERIOD_OVERRIDE=FQ","FILING_STATUS=MR","SCALING_FORMAT=MLN","FA_ADJUSTED=GAAP","Sort=A","Dates=H","DateFormat=P","Fill=—","Direction=H","UseDPDF=Y")</f>
        <v>613.72799999999995</v>
      </c>
      <c r="Y28" s="13">
        <f>_xll.BDH("ITCI US Equity","TRAIL_12M_NET_SALES","FQ4 2024","FQ4 2024","Currency=USD","Period=FQ","BEST_FPERIOD_OVERRIDE=FQ","FILING_STATUS=MR","SCALING_FORMAT=MLN","FA_ADJUSTED=GAAP","Sort=A","Dates=H","DateFormat=P","Fill=—","Direction=H","UseDPDF=Y")</f>
        <v>680.85199999999998</v>
      </c>
      <c r="Z28" s="16">
        <v>680.85199999999998</v>
      </c>
      <c r="AA28" s="13">
        <v>923.75</v>
      </c>
    </row>
    <row r="29" spans="1:27" x14ac:dyDescent="0.25">
      <c r="A29" s="10" t="s">
        <v>78</v>
      </c>
      <c r="B29" s="10" t="s">
        <v>277</v>
      </c>
      <c r="C29" s="13">
        <f>_xll.BDH("ITCI US Equity","T12M_EBITDA_AFTER_OPER_LEA_EXPN","FQ2 2019","FQ2 2019","Currency=USD","Period=FQ","BEST_FPERIOD_OVERRIDE=FQ","FILING_STATUS=MR","SCALING_FORMAT=MLN","FA_ADJUSTED=GAAP","Sort=A","Dates=H","DateFormat=P","Fill=—","Direction=H","UseDPDF=Y")</f>
        <v>-161.48439999999999</v>
      </c>
      <c r="D29" s="13">
        <f>_xll.BDH("ITCI US Equity","T12M_EBITDA_AFTER_OPER_LEA_EXPN","FQ3 2019","FQ3 2019","Currency=USD","Period=FQ","BEST_FPERIOD_OVERRIDE=FQ","FILING_STATUS=MR","SCALING_FORMAT=MLN","FA_ADJUSTED=GAAP","Sort=A","Dates=H","DateFormat=P","Fill=—","Direction=H","UseDPDF=Y")</f>
        <v>-154.43520000000001</v>
      </c>
      <c r="E29" s="13">
        <f>_xll.BDH("ITCI US Equity","T12M_EBITDA_AFTER_OPER_LEA_EXPN","FQ4 2019","FQ4 2019","Currency=USD","Period=FQ","BEST_FPERIOD_OVERRIDE=FQ","FILING_STATUS=MR","SCALING_FORMAT=MLN","FA_ADJUSTED=GAAP","Sort=A","Dates=H","DateFormat=P","Fill=—","Direction=H","UseDPDF=Y")</f>
        <v>-153.53469999999999</v>
      </c>
      <c r="F29" s="13">
        <f>_xll.BDH("ITCI US Equity","T12M_EBITDA_AFTER_OPER_LEA_EXPN","FQ1 2020","FQ1 2020","Currency=USD","Period=FQ","BEST_FPERIOD_OVERRIDE=FQ","FILING_STATUS=MR","SCALING_FORMAT=MLN","FA_ADJUSTED=GAAP","Sort=A","Dates=H","DateFormat=P","Fill=—","Direction=H","UseDPDF=Y")</f>
        <v>-165.87700000000001</v>
      </c>
      <c r="G29" s="13">
        <f>_xll.BDH("ITCI US Equity","T12M_EBITDA_AFTER_OPER_LEA_EXPN","FQ2 2020","FQ2 2020","Currency=USD","Period=FQ","BEST_FPERIOD_OVERRIDE=FQ","FILING_STATUS=MR","SCALING_FORMAT=MLN","FA_ADJUSTED=GAAP","Sort=A","Dates=H","DateFormat=P","Fill=—","Direction=H","UseDPDF=Y")</f>
        <v>-191.55090000000001</v>
      </c>
      <c r="H29" s="13">
        <f>_xll.BDH("ITCI US Equity","T12M_EBITDA_AFTER_OPER_LEA_EXPN","FQ3 2020","FQ3 2020","Currency=USD","Period=FQ","BEST_FPERIOD_OVERRIDE=FQ","FILING_STATUS=MR","SCALING_FORMAT=MLN","FA_ADJUSTED=GAAP","Sort=A","Dates=H","DateFormat=P","Fill=—","Direction=H","UseDPDF=Y")</f>
        <v>-211.1191</v>
      </c>
      <c r="I29" s="13">
        <f>_xll.BDH("ITCI US Equity","T12M_EBITDA_AFTER_OPER_LEA_EXPN","FQ4 2020","FQ4 2020","Currency=USD","Period=FQ","BEST_FPERIOD_OVERRIDE=FQ","FILING_STATUS=MR","SCALING_FORMAT=MLN","FA_ADJUSTED=GAAP","Sort=A","Dates=H","DateFormat=P","Fill=—","Direction=H","UseDPDF=Y")</f>
        <v>-230.6995</v>
      </c>
      <c r="J29" s="13">
        <f>_xll.BDH("ITCI US Equity","T12M_EBITDA_AFTER_OPER_LEA_EXPN","FQ1 2021","FQ1 2021","Currency=USD","Period=FQ","BEST_FPERIOD_OVERRIDE=FQ","FILING_STATUS=MR","SCALING_FORMAT=MLN","FA_ADJUSTED=GAAP","Sort=A","Dates=H","DateFormat=P","Fill=—","Direction=H","UseDPDF=Y")</f>
        <v>-234.8545</v>
      </c>
      <c r="K29" s="13">
        <f>_xll.BDH("ITCI US Equity","T12M_EBITDA_AFTER_OPER_LEA_EXPN","FQ2 2021","FQ2 2021","Currency=USD","Period=FQ","BEST_FPERIOD_OVERRIDE=FQ","FILING_STATUS=MR","SCALING_FORMAT=MLN","FA_ADJUSTED=GAAP","Sort=A","Dates=H","DateFormat=P","Fill=—","Direction=H","UseDPDF=Y")</f>
        <v>-239.12989999999999</v>
      </c>
      <c r="L29" s="13">
        <f>_xll.BDH("ITCI US Equity","T12M_EBITDA_AFTER_OPER_LEA_EXPN","FQ3 2021","FQ3 2021","Currency=USD","Period=FQ","BEST_FPERIOD_OVERRIDE=FQ","FILING_STATUS=MR","SCALING_FORMAT=MLN","FA_ADJUSTED=GAAP","Sort=A","Dates=H","DateFormat=P","Fill=—","Direction=H","UseDPDF=Y")</f>
        <v>-260.50439999999998</v>
      </c>
      <c r="M29" s="13">
        <f>_xll.BDH("ITCI US Equity","T12M_EBITDA_AFTER_OPER_LEA_EXPN","FQ4 2021","FQ4 2021","Currency=USD","Period=FQ","BEST_FPERIOD_OVERRIDE=FQ","FILING_STATUS=MR","SCALING_FORMAT=MLN","FA_ADJUSTED=GAAP","Sort=A","Dates=H","DateFormat=P","Fill=—","Direction=H","UseDPDF=Y")</f>
        <v>-285.15480000000002</v>
      </c>
      <c r="N29" s="13">
        <f>_xll.BDH("ITCI US Equity","T12M_EBITDA_AFTER_OPER_LEA_EXPN","FQ1 2022","FQ1 2022","Currency=USD","Period=FQ","BEST_FPERIOD_OVERRIDE=FQ","FILING_STATUS=MR","SCALING_FORMAT=MLN","FA_ADJUSTED=GAAP","Sort=A","Dates=H","DateFormat=P","Fill=—","Direction=H","UseDPDF=Y")</f>
        <v>-304.55410000000001</v>
      </c>
      <c r="O29" s="13">
        <f>_xll.BDH("ITCI US Equity","T12M_EBITDA_AFTER_OPER_LEA_EXPN","FQ2 2022","FQ2 2022","Currency=USD","Period=FQ","BEST_FPERIOD_OVERRIDE=FQ","FILING_STATUS=MR","SCALING_FORMAT=MLN","FA_ADJUSTED=GAAP","Sort=A","Dates=H","DateFormat=P","Fill=—","Direction=H","UseDPDF=Y")</f>
        <v>-323.28960000000001</v>
      </c>
      <c r="P29" s="13">
        <f>_xll.BDH("ITCI US Equity","T12M_EBITDA_AFTER_OPER_LEA_EXPN","FQ3 2022","FQ3 2022","Currency=USD","Period=FQ","BEST_FPERIOD_OVERRIDE=FQ","FILING_STATUS=MR","SCALING_FORMAT=MLN","FA_ADJUSTED=GAAP","Sort=A","Dates=H","DateFormat=P","Fill=—","Direction=H","UseDPDF=Y")</f>
        <v>-301.55869999999999</v>
      </c>
      <c r="Q29" s="13">
        <f>_xll.BDH("ITCI US Equity","T12M_EBITDA_AFTER_OPER_LEA_EXPN","FQ4 2022","FQ4 2022","Currency=USD","Period=FQ","BEST_FPERIOD_OVERRIDE=FQ","FILING_STATUS=MR","SCALING_FORMAT=MLN","FA_ADJUSTED=GAAP","Sort=A","Dates=H","DateFormat=P","Fill=—","Direction=H","UseDPDF=Y")</f>
        <v>-262.97000000000003</v>
      </c>
      <c r="R29" s="13">
        <f>_xll.BDH("ITCI US Equity","T12M_EBITDA_AFTER_OPER_LEA_EXPN","FQ1 2023","FQ1 2023","Currency=USD","Period=FQ","BEST_FPERIOD_OVERRIDE=FQ","FILING_STATUS=MR","SCALING_FORMAT=MLN","FA_ADJUSTED=GAAP","Sort=A","Dates=H","DateFormat=P","Fill=—","Direction=H","UseDPDF=Y")</f>
        <v>-238.73699999999999</v>
      </c>
      <c r="S29" s="13">
        <f>_xll.BDH("ITCI US Equity","T12M_EBITDA_AFTER_OPER_LEA_EXPN","FQ2 2023","FQ2 2023","Currency=USD","Period=FQ","BEST_FPERIOD_OVERRIDE=FQ","FILING_STATUS=MR","SCALING_FORMAT=MLN","FA_ADJUSTED=GAAP","Sort=A","Dates=H","DateFormat=P","Fill=—","Direction=H","UseDPDF=Y")</f>
        <v>-198.042</v>
      </c>
      <c r="T29" s="13">
        <f>_xll.BDH("ITCI US Equity","T12M_EBITDA_AFTER_OPER_LEA_EXPN","FQ3 2023","FQ3 2023","Currency=USD","Period=FQ","BEST_FPERIOD_OVERRIDE=FQ","FILING_STATUS=MR","SCALING_FORMAT=MLN","FA_ADJUSTED=GAAP","Sort=A","Dates=H","DateFormat=P","Fill=—","Direction=H","UseDPDF=Y")</f>
        <v>-172.161</v>
      </c>
      <c r="U29" s="13">
        <f>_xll.BDH("ITCI US Equity","T12M_EBITDA_AFTER_OPER_LEA_EXPN","FQ4 2023","FQ4 2023","Currency=USD","Period=FQ","BEST_FPERIOD_OVERRIDE=FQ","FILING_STATUS=MR","SCALING_FORMAT=MLN","FA_ADJUSTED=GAAP","Sort=A","Dates=H","DateFormat=P","Fill=—","Direction=H","UseDPDF=Y")</f>
        <v>-158.85300000000001</v>
      </c>
      <c r="V29" s="13">
        <f>_xll.BDH("ITCI US Equity","T12M_EBITDA_AFTER_OPER_LEA_EXPN","FQ1 2024","FQ1 2024","Currency=USD","Period=FQ","BEST_FPERIOD_OVERRIDE=FQ","FILING_STATUS=MR","SCALING_FORMAT=MLN","FA_ADJUSTED=GAAP","Sort=A","Dates=H","DateFormat=P","Fill=—","Direction=H","UseDPDF=Y")</f>
        <v>-131.41499999999999</v>
      </c>
      <c r="W29" s="13">
        <f>_xll.BDH("ITCI US Equity","T12M_EBITDA_AFTER_OPER_LEA_EXPN","FQ2 2024","FQ2 2024","Currency=USD","Period=FQ","BEST_FPERIOD_OVERRIDE=FQ","FILING_STATUS=MR","SCALING_FORMAT=MLN","FA_ADJUSTED=GAAP","Sort=A","Dates=H","DateFormat=P","Fill=—","Direction=H","UseDPDF=Y")</f>
        <v>-111.953</v>
      </c>
      <c r="X29" s="13">
        <f>_xll.BDH("ITCI US Equity","T12M_EBITDA_AFTER_OPER_LEA_EXPN","FQ3 2024","FQ3 2024","Currency=USD","Period=FQ","BEST_FPERIOD_OVERRIDE=FQ","FILING_STATUS=MR","SCALING_FORMAT=MLN","FA_ADJUSTED=GAAP","Sort=A","Dates=H","DateFormat=P","Fill=—","Direction=H","UseDPDF=Y")</f>
        <v>-121.086</v>
      </c>
      <c r="Y29" s="13">
        <f>_xll.BDH("ITCI US Equity","T12M_EBITDA_AFTER_OPER_LEA_EXPN","FQ4 2024","FQ4 2024","Currency=USD","Period=FQ","BEST_FPERIOD_OVERRIDE=FQ","FILING_STATUS=MR","SCALING_FORMAT=MLN","FA_ADJUSTED=GAAP","Sort=A","Dates=H","DateFormat=P","Fill=—","Direction=H","UseDPDF=Y")</f>
        <v>-116.21299999999999</v>
      </c>
      <c r="Z29" s="16">
        <v>-116.21299999999999</v>
      </c>
      <c r="AA29" s="13">
        <v>-12.77</v>
      </c>
    </row>
    <row r="30" spans="1:27" x14ac:dyDescent="0.25">
      <c r="A30" s="10" t="s">
        <v>141</v>
      </c>
      <c r="B30" s="10" t="s">
        <v>278</v>
      </c>
      <c r="C30" s="13">
        <f>_xll.BDH("ITCI US Equity","T12_EBIT_AFT_OPER_LEASE_EXPN","FQ2 2019","FQ2 2019","Currency=USD","Period=FQ","BEST_FPERIOD_OVERRIDE=FQ","FILING_STATUS=MR","SCALING_FORMAT=MLN","FA_ADJUSTED=GAAP","Sort=A","Dates=H","DateFormat=P","Fill=—","Direction=H","UseDPDF=Y")</f>
        <v>-161.88120000000001</v>
      </c>
      <c r="D30" s="13">
        <f>_xll.BDH("ITCI US Equity","T12_EBIT_AFT_OPER_LEASE_EXPN","FQ3 2019","FQ3 2019","Currency=USD","Period=FQ","BEST_FPERIOD_OVERRIDE=FQ","FILING_STATUS=MR","SCALING_FORMAT=MLN","FA_ADJUSTED=GAAP","Sort=A","Dates=H","DateFormat=P","Fill=—","Direction=H","UseDPDF=Y")</f>
        <v>-154.86609999999999</v>
      </c>
      <c r="E30" s="13">
        <f>_xll.BDH("ITCI US Equity","T12_EBIT_AFT_OPER_LEASE_EXPN","FQ4 2019","FQ4 2019","Currency=USD","Period=FQ","BEST_FPERIOD_OVERRIDE=FQ","FILING_STATUS=MR","SCALING_FORMAT=MLN","FA_ADJUSTED=GAAP","Sort=A","Dates=H","DateFormat=P","Fill=—","Direction=H","UseDPDF=Y")</f>
        <v>-154.01179999999999</v>
      </c>
      <c r="F30" s="13">
        <f>_xll.BDH("ITCI US Equity","T12_EBIT_AFT_OPER_LEASE_EXPN","FQ1 2020","FQ1 2020","Currency=USD","Period=FQ","BEST_FPERIOD_OVERRIDE=FQ","FILING_STATUS=MR","SCALING_FORMAT=MLN","FA_ADJUSTED=GAAP","Sort=A","Dates=H","DateFormat=P","Fill=—","Direction=H","UseDPDF=Y")</f>
        <v>-166.4015</v>
      </c>
      <c r="G30" s="13">
        <f>_xll.BDH("ITCI US Equity","T12_EBIT_AFT_OPER_LEASE_EXPN","FQ2 2020","FQ2 2020","Currency=USD","Period=FQ","BEST_FPERIOD_OVERRIDE=FQ","FILING_STATUS=MR","SCALING_FORMAT=MLN","FA_ADJUSTED=GAAP","Sort=A","Dates=H","DateFormat=P","Fill=—","Direction=H","UseDPDF=Y")</f>
        <v>-192.1027</v>
      </c>
      <c r="H30" s="13">
        <f>_xll.BDH("ITCI US Equity","T12_EBIT_AFT_OPER_LEASE_EXPN","FQ3 2020","FQ3 2020","Currency=USD","Period=FQ","BEST_FPERIOD_OVERRIDE=FQ","FILING_STATUS=MR","SCALING_FORMAT=MLN","FA_ADJUSTED=GAAP","Sort=A","Dates=H","DateFormat=P","Fill=—","Direction=H","UseDPDF=Y")</f>
        <v>-211.66300000000001</v>
      </c>
      <c r="I30" s="13">
        <f>_xll.BDH("ITCI US Equity","T12_EBIT_AFT_OPER_LEASE_EXPN","FQ4 2020","FQ4 2020","Currency=USD","Period=FQ","BEST_FPERIOD_OVERRIDE=FQ","FILING_STATUS=MR","SCALING_FORMAT=MLN","FA_ADJUSTED=GAAP","Sort=A","Dates=H","DateFormat=P","Fill=—","Direction=H","UseDPDF=Y")</f>
        <v>-231.2276</v>
      </c>
      <c r="J30" s="13">
        <f>_xll.BDH("ITCI US Equity","T12_EBIT_AFT_OPER_LEASE_EXPN","FQ1 2021","FQ1 2021","Currency=USD","Period=FQ","BEST_FPERIOD_OVERRIDE=FQ","FILING_STATUS=MR","SCALING_FORMAT=MLN","FA_ADJUSTED=GAAP","Sort=A","Dates=H","DateFormat=P","Fill=—","Direction=H","UseDPDF=Y")</f>
        <v>-235.36080000000001</v>
      </c>
      <c r="K30" s="13">
        <f>_xll.BDH("ITCI US Equity","T12_EBIT_AFT_OPER_LEASE_EXPN","FQ2 2021","FQ2 2021","Currency=USD","Period=FQ","BEST_FPERIOD_OVERRIDE=FQ","FILING_STATUS=MR","SCALING_FORMAT=MLN","FA_ADJUSTED=GAAP","Sort=A","Dates=H","DateFormat=P","Fill=—","Direction=H","UseDPDF=Y")</f>
        <v>-239.62950000000001</v>
      </c>
      <c r="L30" s="13">
        <f>_xll.BDH("ITCI US Equity","T12_EBIT_AFT_OPER_LEASE_EXPN","FQ3 2021","FQ3 2021","Currency=USD","Period=FQ","BEST_FPERIOD_OVERRIDE=FQ","FILING_STATUS=MR","SCALING_FORMAT=MLN","FA_ADJUSTED=GAAP","Sort=A","Dates=H","DateFormat=P","Fill=—","Direction=H","UseDPDF=Y")</f>
        <v>-261.01690000000002</v>
      </c>
      <c r="M30" s="13">
        <f>_xll.BDH("ITCI US Equity","T12_EBIT_AFT_OPER_LEASE_EXPN","FQ4 2021","FQ4 2021","Currency=USD","Period=FQ","BEST_FPERIOD_OVERRIDE=FQ","FILING_STATUS=MR","SCALING_FORMAT=MLN","FA_ADJUSTED=GAAP","Sort=A","Dates=H","DateFormat=P","Fill=—","Direction=H","UseDPDF=Y")</f>
        <v>-285.68810000000002</v>
      </c>
      <c r="N30" s="13">
        <f>_xll.BDH("ITCI US Equity","T12_EBIT_AFT_OPER_LEASE_EXPN","FQ1 2022","FQ1 2022","Currency=USD","Period=FQ","BEST_FPERIOD_OVERRIDE=FQ","FILING_STATUS=MR","SCALING_FORMAT=MLN","FA_ADJUSTED=GAAP","Sort=A","Dates=H","DateFormat=P","Fill=—","Direction=H","UseDPDF=Y")</f>
        <v>-305.13139999999999</v>
      </c>
      <c r="O30" s="13">
        <f>_xll.BDH("ITCI US Equity","T12_EBIT_AFT_OPER_LEASE_EXPN","FQ2 2022","FQ2 2022","Currency=USD","Period=FQ","BEST_FPERIOD_OVERRIDE=FQ","FILING_STATUS=MR","SCALING_FORMAT=MLN","FA_ADJUSTED=GAAP","Sort=A","Dates=H","DateFormat=P","Fill=—","Direction=H","UseDPDF=Y")</f>
        <v>-323.91340000000002</v>
      </c>
      <c r="P30" s="13">
        <f>_xll.BDH("ITCI US Equity","T12_EBIT_AFT_OPER_LEASE_EXPN","FQ3 2022","FQ3 2022","Currency=USD","Period=FQ","BEST_FPERIOD_OVERRIDE=FQ","FILING_STATUS=MR","SCALING_FORMAT=MLN","FA_ADJUSTED=GAAP","Sort=A","Dates=H","DateFormat=P","Fill=—","Direction=H","UseDPDF=Y")</f>
        <v>-302.21859999999998</v>
      </c>
      <c r="Q30" s="13">
        <f>_xll.BDH("ITCI US Equity","T12_EBIT_AFT_OPER_LEASE_EXPN","FQ4 2022","FQ4 2022","Currency=USD","Period=FQ","BEST_FPERIOD_OVERRIDE=FQ","FILING_STATUS=MR","SCALING_FORMAT=MLN","FA_ADJUSTED=GAAP","Sort=A","Dates=H","DateFormat=P","Fill=—","Direction=H","UseDPDF=Y")</f>
        <v>-263.62599999999998</v>
      </c>
      <c r="R30" s="13">
        <f>_xll.BDH("ITCI US Equity","T12_EBIT_AFT_OPER_LEASE_EXPN","FQ1 2023","FQ1 2023","Currency=USD","Period=FQ","BEST_FPERIOD_OVERRIDE=FQ","FILING_STATUS=MR","SCALING_FORMAT=MLN","FA_ADJUSTED=GAAP","Sort=A","Dates=H","DateFormat=P","Fill=—","Direction=H","UseDPDF=Y")</f>
        <v>-239.35599999999999</v>
      </c>
      <c r="S30" s="13">
        <f>_xll.BDH("ITCI US Equity","T12_EBIT_AFT_OPER_LEASE_EXPN","FQ2 2023","FQ2 2023","Currency=USD","Period=FQ","BEST_FPERIOD_OVERRIDE=FQ","FILING_STATUS=MR","SCALING_FORMAT=MLN","FA_ADJUSTED=GAAP","Sort=A","Dates=H","DateFormat=P","Fill=—","Direction=H","UseDPDF=Y")</f>
        <v>-198.61199999999999</v>
      </c>
      <c r="T30" s="13">
        <f>_xll.BDH("ITCI US Equity","T12_EBIT_AFT_OPER_LEASE_EXPN","FQ3 2023","FQ3 2023","Currency=USD","Period=FQ","BEST_FPERIOD_OVERRIDE=FQ","FILING_STATUS=MR","SCALING_FORMAT=MLN","FA_ADJUSTED=GAAP","Sort=A","Dates=H","DateFormat=P","Fill=—","Direction=H","UseDPDF=Y")</f>
        <v>-172.696</v>
      </c>
      <c r="U30" s="13">
        <f>_xll.BDH("ITCI US Equity","T12_EBIT_AFT_OPER_LEASE_EXPN","FQ4 2023","FQ4 2023","Currency=USD","Period=FQ","BEST_FPERIOD_OVERRIDE=FQ","FILING_STATUS=MR","SCALING_FORMAT=MLN","FA_ADJUSTED=GAAP","Sort=A","Dates=H","DateFormat=P","Fill=—","Direction=H","UseDPDF=Y")</f>
        <v>-159.381</v>
      </c>
      <c r="V30" s="13">
        <f>_xll.BDH("ITCI US Equity","T12_EBIT_AFT_OPER_LEASE_EXPN","FQ1 2024","FQ1 2024","Currency=USD","Period=FQ","BEST_FPERIOD_OVERRIDE=FQ","FILING_STATUS=MR","SCALING_FORMAT=MLN","FA_ADJUSTED=GAAP","Sort=A","Dates=H","DateFormat=P","Fill=—","Direction=H","UseDPDF=Y")</f>
        <v>-131.941</v>
      </c>
      <c r="W30" s="13">
        <f>_xll.BDH("ITCI US Equity","T12_EBIT_AFT_OPER_LEASE_EXPN","FQ2 2024","FQ2 2024","Currency=USD","Period=FQ","BEST_FPERIOD_OVERRIDE=FQ","FILING_STATUS=MR","SCALING_FORMAT=MLN","FA_ADJUSTED=GAAP","Sort=A","Dates=H","DateFormat=P","Fill=—","Direction=H","UseDPDF=Y")</f>
        <v>-112.485</v>
      </c>
      <c r="X30" s="13">
        <f>_xll.BDH("ITCI US Equity","T12_EBIT_AFT_OPER_LEASE_EXPN","FQ3 2024","FQ3 2024","Currency=USD","Period=FQ","BEST_FPERIOD_OVERRIDE=FQ","FILING_STATUS=MR","SCALING_FORMAT=MLN","FA_ADJUSTED=GAAP","Sort=A","Dates=H","DateFormat=P","Fill=—","Direction=H","UseDPDF=Y")</f>
        <v>-121.621</v>
      </c>
      <c r="Y30" s="13">
        <f>_xll.BDH("ITCI US Equity","T12_EBIT_AFT_OPER_LEASE_EXPN","FQ4 2024","FQ4 2024","Currency=USD","Period=FQ","BEST_FPERIOD_OVERRIDE=FQ","FILING_STATUS=MR","SCALING_FORMAT=MLN","FA_ADJUSTED=GAAP","Sort=A","Dates=H","DateFormat=P","Fill=—","Direction=H","UseDPDF=Y")</f>
        <v>-116.721</v>
      </c>
      <c r="Z30" s="16">
        <v>-116.721</v>
      </c>
      <c r="AA30" s="13">
        <v>-33.884</v>
      </c>
    </row>
    <row r="31" spans="1:27" x14ac:dyDescent="0.25">
      <c r="A31" s="7" t="s">
        <v>90</v>
      </c>
      <c r="B31" s="7"/>
      <c r="C31" s="7" t="s">
        <v>5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1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279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31</v>
      </c>
      <c r="AA4" s="4" t="s">
        <v>32</v>
      </c>
    </row>
    <row r="5" spans="1:27" x14ac:dyDescent="0.25">
      <c r="A5" s="9" t="s">
        <v>33</v>
      </c>
      <c r="B5" s="9"/>
      <c r="C5" s="5" t="s">
        <v>34</v>
      </c>
      <c r="D5" s="5" t="s">
        <v>35</v>
      </c>
      <c r="E5" s="5" t="s">
        <v>36</v>
      </c>
      <c r="F5" s="5" t="s">
        <v>37</v>
      </c>
      <c r="G5" s="5" t="s">
        <v>38</v>
      </c>
      <c r="H5" s="5" t="s">
        <v>39</v>
      </c>
      <c r="I5" s="5" t="s">
        <v>40</v>
      </c>
      <c r="J5" s="5" t="s">
        <v>41</v>
      </c>
      <c r="K5" s="5" t="s">
        <v>42</v>
      </c>
      <c r="L5" s="5" t="s">
        <v>43</v>
      </c>
      <c r="M5" s="5" t="s">
        <v>44</v>
      </c>
      <c r="N5" s="5" t="s">
        <v>45</v>
      </c>
      <c r="O5" s="5" t="s">
        <v>46</v>
      </c>
      <c r="P5" s="5" t="s">
        <v>47</v>
      </c>
      <c r="Q5" s="5" t="s">
        <v>48</v>
      </c>
      <c r="R5" s="5" t="s">
        <v>49</v>
      </c>
      <c r="S5" s="5" t="s">
        <v>50</v>
      </c>
      <c r="T5" s="5" t="s">
        <v>51</v>
      </c>
      <c r="U5" s="5" t="s">
        <v>52</v>
      </c>
      <c r="V5" s="5" t="s">
        <v>53</v>
      </c>
      <c r="W5" s="5" t="s">
        <v>54</v>
      </c>
      <c r="X5" s="5" t="s">
        <v>55</v>
      </c>
      <c r="Y5" s="5" t="s">
        <v>56</v>
      </c>
      <c r="Z5" s="5" t="s">
        <v>57</v>
      </c>
      <c r="AA5" s="5" t="s">
        <v>58</v>
      </c>
    </row>
    <row r="6" spans="1:27" x14ac:dyDescent="0.25">
      <c r="A6" s="6" t="s">
        <v>0</v>
      </c>
      <c r="B6" s="6" t="s">
        <v>70</v>
      </c>
      <c r="C6" s="19">
        <f>_xll.BDH("ITCI US Equity","SALES_REV_TURN","FQ2 2019","FQ2 2019","Currency=USD","Period=FQ","BEST_FPERIOD_OVERRIDE=FQ","FILING_STATUS=MR","SCALING_FORMAT=MLN","FA_ADJUSTED=Adjusted","Sort=A","Dates=H","DateFormat=P","Fill=—","Direction=H","UseDPDF=Y")</f>
        <v>0</v>
      </c>
      <c r="D6" s="19">
        <f>_xll.BDH("ITCI US Equity","SALES_REV_TURN","FQ3 2019","FQ3 2019","Currency=USD","Period=FQ","BEST_FPERIOD_OVERRIDE=FQ","FILING_STATUS=MR","SCALING_FORMAT=MLN","FA_ADJUSTED=Adjusted","Sort=A","Dates=H","DateFormat=P","Fill=—","Direction=H","UseDPDF=Y")</f>
        <v>0</v>
      </c>
      <c r="E6" s="19">
        <f>_xll.BDH("ITCI US Equity","SALES_REV_TURN","FQ4 2019","FQ4 2019","Currency=USD","Period=FQ","BEST_FPERIOD_OVERRIDE=FQ","FILING_STATUS=MR","SCALING_FORMAT=MLN","FA_ADJUSTED=Adjusted","Sort=A","Dates=H","DateFormat=P","Fill=—","Direction=H","UseDPDF=Y")</f>
        <v>6.0600000000000001E-2</v>
      </c>
      <c r="F6" s="19">
        <f>_xll.BDH("ITCI US Equity","SALES_REV_TURN","FQ1 2020","FQ1 2020","Currency=USD","Period=FQ","BEST_FPERIOD_OVERRIDE=FQ","FILING_STATUS=MR","SCALING_FORMAT=MLN","FA_ADJUSTED=Adjusted","Sort=A","Dates=H","DateFormat=P","Fill=—","Direction=H","UseDPDF=Y")</f>
        <v>1.0834999999999999</v>
      </c>
      <c r="G6" s="19">
        <f>_xll.BDH("ITCI US Equity","SALES_REV_TURN","FQ2 2020","FQ2 2020","Currency=USD","Period=FQ","BEST_FPERIOD_OVERRIDE=FQ","FILING_STATUS=MR","SCALING_FORMAT=MLN","FA_ADJUSTED=Adjusted","Sort=A","Dates=H","DateFormat=P","Fill=—","Direction=H","UseDPDF=Y")</f>
        <v>1.9066000000000001</v>
      </c>
      <c r="H6" s="19">
        <f>_xll.BDH("ITCI US Equity","SALES_REV_TURN","FQ3 2020","FQ3 2020","Currency=USD","Period=FQ","BEST_FPERIOD_OVERRIDE=FQ","FILING_STATUS=MR","SCALING_FORMAT=MLN","FA_ADJUSTED=Adjusted","Sort=A","Dates=H","DateFormat=P","Fill=—","Direction=H","UseDPDF=Y")</f>
        <v>7.3685999999999998</v>
      </c>
      <c r="I6" s="19">
        <f>_xll.BDH("ITCI US Equity","SALES_REV_TURN","FQ4 2020","FQ4 2020","Currency=USD","Period=FQ","BEST_FPERIOD_OVERRIDE=FQ","FILING_STATUS=MR","SCALING_FORMAT=MLN","FA_ADJUSTED=Adjusted","Sort=A","Dates=H","DateFormat=P","Fill=—","Direction=H","UseDPDF=Y")</f>
        <v>12.4543</v>
      </c>
      <c r="J6" s="19">
        <f>_xll.BDH("ITCI US Equity","SALES_REV_TURN","FQ1 2021","FQ1 2021","Currency=USD","Period=FQ","BEST_FPERIOD_OVERRIDE=FQ","FILING_STATUS=MR","SCALING_FORMAT=MLN","FA_ADJUSTED=Adjusted","Sort=A","Dates=H","DateFormat=P","Fill=—","Direction=H","UseDPDF=Y")</f>
        <v>15.878299999999999</v>
      </c>
      <c r="K6" s="19">
        <f>_xll.BDH("ITCI US Equity","SALES_REV_TURN","FQ2 2021","FQ2 2021","Currency=USD","Period=FQ","BEST_FPERIOD_OVERRIDE=FQ","FILING_STATUS=MR","SCALING_FORMAT=MLN","FA_ADJUSTED=Adjusted","Sort=A","Dates=H","DateFormat=P","Fill=—","Direction=H","UseDPDF=Y")</f>
        <v>20.046600000000002</v>
      </c>
      <c r="L6" s="19">
        <f>_xll.BDH("ITCI US Equity","SALES_REV_TURN","FQ3 2021","FQ3 2021","Currency=USD","Period=FQ","BEST_FPERIOD_OVERRIDE=FQ","FILING_STATUS=MR","SCALING_FORMAT=MLN","FA_ADJUSTED=Adjusted","Sort=A","Dates=H","DateFormat=P","Fill=—","Direction=H","UseDPDF=Y")</f>
        <v>22.2072</v>
      </c>
      <c r="M6" s="19">
        <f>_xll.BDH("ITCI US Equity","SALES_REV_TURN","FQ4 2021","FQ4 2021","Currency=USD","Period=FQ","BEST_FPERIOD_OVERRIDE=FQ","FILING_STATUS=MR","SCALING_FORMAT=MLN","FA_ADJUSTED=Adjusted","Sort=A","Dates=H","DateFormat=P","Fill=—","Direction=H","UseDPDF=Y")</f>
        <v>25.6709</v>
      </c>
      <c r="N6" s="19">
        <f>_xll.BDH("ITCI US Equity","SALES_REV_TURN","FQ1 2022","FQ1 2022","Currency=USD","Period=FQ","BEST_FPERIOD_OVERRIDE=FQ","FILING_STATUS=MR","SCALING_FORMAT=MLN","FA_ADJUSTED=Adjusted","Sort=A","Dates=H","DateFormat=P","Fill=—","Direction=H","UseDPDF=Y")</f>
        <v>34.996000000000002</v>
      </c>
      <c r="O6" s="19">
        <f>_xll.BDH("ITCI US Equity","SALES_REV_TURN","FQ2 2022","FQ2 2022","Currency=USD","Period=FQ","BEST_FPERIOD_OVERRIDE=FQ","FILING_STATUS=MR","SCALING_FORMAT=MLN","FA_ADJUSTED=Adjusted","Sort=A","Dates=H","DateFormat=P","Fill=—","Direction=H","UseDPDF=Y")</f>
        <v>55.579000000000001</v>
      </c>
      <c r="P6" s="19">
        <f>_xll.BDH("ITCI US Equity","SALES_REV_TURN","FQ3 2022","FQ3 2022","Currency=USD","Period=FQ","BEST_FPERIOD_OVERRIDE=FQ","FILING_STATUS=MR","SCALING_FORMAT=MLN","FA_ADJUSTED=Adjusted","Sort=A","Dates=H","DateFormat=P","Fill=—","Direction=H","UseDPDF=Y")</f>
        <v>71.87</v>
      </c>
      <c r="Q6" s="19">
        <f>_xll.BDH("ITCI US Equity","SALES_REV_TURN","FQ4 2022","FQ4 2022","Currency=USD","Period=FQ","BEST_FPERIOD_OVERRIDE=FQ","FILING_STATUS=MR","SCALING_FORMAT=MLN","FA_ADJUSTED=Adjusted","Sort=A","Dates=H","DateFormat=P","Fill=—","Direction=H","UseDPDF=Y")</f>
        <v>87.869</v>
      </c>
      <c r="R6" s="19">
        <f>_xll.BDH("ITCI US Equity","SALES_REV_TURN","FQ1 2023","FQ1 2023","Currency=USD","Period=FQ","BEST_FPERIOD_OVERRIDE=FQ","FILING_STATUS=MR","SCALING_FORMAT=MLN","FA_ADJUSTED=Adjusted","Sort=A","Dates=H","DateFormat=P","Fill=—","Direction=H","UseDPDF=Y")</f>
        <v>95.305999999999997</v>
      </c>
      <c r="S6" s="19">
        <f>_xll.BDH("ITCI US Equity","SALES_REV_TURN","FQ2 2023","FQ2 2023","Currency=USD","Period=FQ","BEST_FPERIOD_OVERRIDE=FQ","FILING_STATUS=MR","SCALING_FORMAT=MLN","FA_ADJUSTED=Adjusted","Sort=A","Dates=H","DateFormat=P","Fill=—","Direction=H","UseDPDF=Y")</f>
        <v>110.792</v>
      </c>
      <c r="T6" s="19">
        <f>_xll.BDH("ITCI US Equity","SALES_REV_TURN","FQ3 2023","FQ3 2023","Currency=USD","Period=FQ","BEST_FPERIOD_OVERRIDE=FQ","FILING_STATUS=MR","SCALING_FORMAT=MLN","FA_ADJUSTED=Adjusted","Sort=A","Dates=H","DateFormat=P","Fill=—","Direction=H","UseDPDF=Y")</f>
        <v>126.173</v>
      </c>
      <c r="U6" s="19">
        <f>_xll.BDH("ITCI US Equity","SALES_REV_TURN","FQ4 2023","FQ4 2023","Currency=USD","Period=FQ","BEST_FPERIOD_OVERRIDE=FQ","FILING_STATUS=MR","SCALING_FORMAT=MLN","FA_ADJUSTED=Adjusted","Sort=A","Dates=H","DateFormat=P","Fill=—","Direction=H","UseDPDF=Y")</f>
        <v>132.09899999999999</v>
      </c>
      <c r="V6" s="19">
        <f>_xll.BDH("ITCI US Equity","SALES_REV_TURN","FQ1 2024","FQ1 2024","Currency=USD","Period=FQ","BEST_FPERIOD_OVERRIDE=FQ","FILING_STATUS=MR","SCALING_FORMAT=MLN","FA_ADJUSTED=Adjusted","Sort=A","Dates=H","DateFormat=P","Fill=—","Direction=H","UseDPDF=Y")</f>
        <v>144.86600000000001</v>
      </c>
      <c r="W6" s="19">
        <f>_xll.BDH("ITCI US Equity","SALES_REV_TURN","FQ2 2024","FQ2 2024","Currency=USD","Period=FQ","BEST_FPERIOD_OVERRIDE=FQ","FILING_STATUS=MR","SCALING_FORMAT=MLN","FA_ADJUSTED=Adjusted","Sort=A","Dates=H","DateFormat=P","Fill=—","Direction=H","UseDPDF=Y")</f>
        <v>161.38800000000001</v>
      </c>
      <c r="X6" s="19">
        <f>_xll.BDH("ITCI US Equity","SALES_REV_TURN","FQ3 2024","FQ3 2024","Currency=USD","Period=FQ","BEST_FPERIOD_OVERRIDE=FQ","FILING_STATUS=MR","SCALING_FORMAT=MLN","FA_ADJUSTED=Adjusted","Sort=A","Dates=H","DateFormat=P","Fill=—","Direction=H","UseDPDF=Y")</f>
        <v>175.375</v>
      </c>
      <c r="Y6" s="19">
        <f>_xll.BDH("ITCI US Equity","SALES_REV_TURN","FQ4 2024","FQ4 2024","Currency=USD","Period=FQ","BEST_FPERIOD_OVERRIDE=FQ","FILING_STATUS=MR","SCALING_FORMAT=MLN","FA_ADJUSTED=Adjusted","Sort=A","Dates=H","DateFormat=P","Fill=—","Direction=H","UseDPDF=Y")</f>
        <v>199.22300000000001</v>
      </c>
      <c r="Z6" s="19">
        <v>203.875</v>
      </c>
      <c r="AA6" s="19">
        <v>219</v>
      </c>
    </row>
    <row r="7" spans="1:27" x14ac:dyDescent="0.25">
      <c r="A7" s="10" t="s">
        <v>280</v>
      </c>
      <c r="B7" s="10" t="s">
        <v>281</v>
      </c>
      <c r="C7" s="13">
        <f>_xll.BDH("ITCI US Equity","IS_SALES_AND_SERVICES_REVENUES","FQ2 2019","FQ2 2019","Currency=USD","Period=FQ","BEST_FPERIOD_OVERRIDE=FQ","FILING_STATUS=MR","SCALING_FORMAT=MLN","FA_ADJUSTED=Adjusted","Sort=A","Dates=H","DateFormat=P","Fill=—","Direction=H","UseDPDF=Y")</f>
        <v>0</v>
      </c>
      <c r="D7" s="13">
        <f>_xll.BDH("ITCI US Equity","IS_SALES_AND_SERVICES_REVENUES","FQ3 2019","FQ3 2019","Currency=USD","Period=FQ","BEST_FPERIOD_OVERRIDE=FQ","FILING_STATUS=MR","SCALING_FORMAT=MLN","FA_ADJUSTED=Adjusted","Sort=A","Dates=H","DateFormat=P","Fill=—","Direction=H","UseDPDF=Y")</f>
        <v>0</v>
      </c>
      <c r="E7" s="13">
        <f>_xll.BDH("ITCI US Equity","IS_SALES_AND_SERVICES_REVENUES","FQ4 2019","FQ4 2019","Currency=USD","Period=FQ","BEST_FPERIOD_OVERRIDE=FQ","FILING_STATUS=MR","SCALING_FORMAT=MLN","FA_ADJUSTED=Adjusted","Sort=A","Dates=H","DateFormat=P","Fill=—","Direction=H","UseDPDF=Y")</f>
        <v>6.0600000000000001E-2</v>
      </c>
      <c r="F7" s="13">
        <f>_xll.BDH("ITCI US Equity","IS_SALES_AND_SERVICES_REVENUES","FQ1 2020","FQ1 2020","Currency=USD","Period=FQ","BEST_FPERIOD_OVERRIDE=FQ","FILING_STATUS=MR","SCALING_FORMAT=MLN","FA_ADJUSTED=Adjusted","Sort=A","Dates=H","DateFormat=P","Fill=—","Direction=H","UseDPDF=Y")</f>
        <v>0.88249999999999995</v>
      </c>
      <c r="G7" s="13">
        <f>_xll.BDH("ITCI US Equity","IS_SALES_AND_SERVICES_REVENUES","FQ2 2020","FQ2 2020","Currency=USD","Period=FQ","BEST_FPERIOD_OVERRIDE=FQ","FILING_STATUS=MR","SCALING_FORMAT=MLN","FA_ADJUSTED=Adjusted","Sort=A","Dates=H","DateFormat=P","Fill=—","Direction=H","UseDPDF=Y")</f>
        <v>1.8758999999999999</v>
      </c>
      <c r="H7" s="13">
        <f>_xll.BDH("ITCI US Equity","IS_SALES_AND_SERVICES_REVENUES","FQ3 2020","FQ3 2020","Currency=USD","Period=FQ","BEST_FPERIOD_OVERRIDE=FQ","FILING_STATUS=MR","SCALING_FORMAT=MLN","FA_ADJUSTED=Adjusted","Sort=A","Dates=H","DateFormat=P","Fill=—","Direction=H","UseDPDF=Y")</f>
        <v>7.3685999999999998</v>
      </c>
      <c r="I7" s="13">
        <f>_xll.BDH("ITCI US Equity","IS_SALES_AND_SERVICES_REVENUES","FQ4 2020","FQ4 2020","Currency=USD","Period=FQ","BEST_FPERIOD_OVERRIDE=FQ","FILING_STATUS=MR","SCALING_FORMAT=MLN","FA_ADJUSTED=Adjusted","Sort=A","Dates=H","DateFormat=P","Fill=—","Direction=H","UseDPDF=Y")</f>
        <v>12.4038</v>
      </c>
      <c r="J7" s="13">
        <f>_xll.BDH("ITCI US Equity","IS_SALES_AND_SERVICES_REVENUES","FQ1 2021","FQ1 2021","Currency=USD","Period=FQ","BEST_FPERIOD_OVERRIDE=FQ","FILING_STATUS=MR","SCALING_FORMAT=MLN","FA_ADJUSTED=Adjusted","Sort=A","Dates=H","DateFormat=P","Fill=—","Direction=H","UseDPDF=Y")</f>
        <v>15.578900000000001</v>
      </c>
      <c r="K7" s="13">
        <f>_xll.BDH("ITCI US Equity","IS_SALES_AND_SERVICES_REVENUES","FQ2 2021","FQ2 2021","Currency=USD","Period=FQ","BEST_FPERIOD_OVERRIDE=FQ","FILING_STATUS=MR","SCALING_FORMAT=MLN","FA_ADJUSTED=Adjusted","Sort=A","Dates=H","DateFormat=P","Fill=—","Direction=H","UseDPDF=Y")</f>
        <v>19.006799999999998</v>
      </c>
      <c r="L7" s="13">
        <f>_xll.BDH("ITCI US Equity","IS_SALES_AND_SERVICES_REVENUES","FQ3 2021","FQ3 2021","Currency=USD","Period=FQ","BEST_FPERIOD_OVERRIDE=FQ","FILING_STATUS=MR","SCALING_FORMAT=MLN","FA_ADJUSTED=Adjusted","Sort=A","Dates=H","DateFormat=P","Fill=—","Direction=H","UseDPDF=Y")</f>
        <v>21.606200000000001</v>
      </c>
      <c r="M7" s="13">
        <f>_xll.BDH("ITCI US Equity","IS_SALES_AND_SERVICES_REVENUES","FQ4 2021","FQ4 2021","Currency=USD","Period=FQ","BEST_FPERIOD_OVERRIDE=FQ","FILING_STATUS=MR","SCALING_FORMAT=MLN","FA_ADJUSTED=Adjusted","Sort=A","Dates=H","DateFormat=P","Fill=—","Direction=H","UseDPDF=Y")</f>
        <v>25.515999999999998</v>
      </c>
      <c r="N7" s="13">
        <f>_xll.BDH("ITCI US Equity","IS_SALES_AND_SERVICES_REVENUES","FQ1 2022","FQ1 2022","Currency=USD","Period=FQ","BEST_FPERIOD_OVERRIDE=FQ","FILING_STATUS=MR","SCALING_FORMAT=MLN","FA_ADJUSTED=Adjusted","Sort=A","Dates=H","DateFormat=P","Fill=—","Direction=H","UseDPDF=Y")</f>
        <v>34.755000000000003</v>
      </c>
      <c r="O7" s="13">
        <f>_xll.BDH("ITCI US Equity","IS_SALES_AND_SERVICES_REVENUES","FQ2 2022","FQ2 2022","Currency=USD","Period=FQ","BEST_FPERIOD_OVERRIDE=FQ","FILING_STATUS=MR","SCALING_FORMAT=MLN","FA_ADJUSTED=Adjusted","Sort=A","Dates=H","DateFormat=P","Fill=—","Direction=H","UseDPDF=Y")</f>
        <v>55.073999999999998</v>
      </c>
      <c r="P7" s="13">
        <f>_xll.BDH("ITCI US Equity","IS_SALES_AND_SERVICES_REVENUES","FQ3 2022","FQ3 2022","Currency=USD","Period=FQ","BEST_FPERIOD_OVERRIDE=FQ","FILING_STATUS=MR","SCALING_FORMAT=MLN","FA_ADJUSTED=Adjusted","Sort=A","Dates=H","DateFormat=P","Fill=—","Direction=H","UseDPDF=Y")</f>
        <v>71.87</v>
      </c>
      <c r="Q7" s="13">
        <f>_xll.BDH("ITCI US Equity","IS_SALES_AND_SERVICES_REVENUES","FQ4 2022","FQ4 2022","Currency=USD","Period=FQ","BEST_FPERIOD_OVERRIDE=FQ","FILING_STATUS=MR","SCALING_FORMAT=MLN","FA_ADJUSTED=Adjusted","Sort=A","Dates=H","DateFormat=P","Fill=—","Direction=H","UseDPDF=Y")</f>
        <v>87.433000000000007</v>
      </c>
      <c r="R7" s="13">
        <f>_xll.BDH("ITCI US Equity","IS_SALES_AND_SERVICES_REVENUES","FQ1 2023","FQ1 2023","Currency=USD","Period=FQ","BEST_FPERIOD_OVERRIDE=FQ","FILING_STATUS=MR","SCALING_FORMAT=MLN","FA_ADJUSTED=Adjusted","Sort=A","Dates=H","DateFormat=P","Fill=—","Direction=H","UseDPDF=Y")</f>
        <v>94.730999999999995</v>
      </c>
      <c r="S7" s="13">
        <f>_xll.BDH("ITCI US Equity","IS_SALES_AND_SERVICES_REVENUES","FQ2 2023","FQ2 2023","Currency=USD","Period=FQ","BEST_FPERIOD_OVERRIDE=FQ","FILING_STATUS=MR","SCALING_FORMAT=MLN","FA_ADJUSTED=Adjusted","Sort=A","Dates=H","DateFormat=P","Fill=—","Direction=H","UseDPDF=Y")</f>
        <v>110.128</v>
      </c>
      <c r="T7" s="13">
        <f>_xll.BDH("ITCI US Equity","IS_SALES_AND_SERVICES_REVENUES","FQ3 2023","FQ3 2023","Currency=USD","Period=FQ","BEST_FPERIOD_OVERRIDE=FQ","FILING_STATUS=MR","SCALING_FORMAT=MLN","FA_ADJUSTED=Adjusted","Sort=A","Dates=H","DateFormat=P","Fill=—","Direction=H","UseDPDF=Y")</f>
        <v>125.81</v>
      </c>
      <c r="U7" s="13">
        <f>_xll.BDH("ITCI US Equity","IS_SALES_AND_SERVICES_REVENUES","FQ4 2023","FQ4 2023","Currency=USD","Period=FQ","BEST_FPERIOD_OVERRIDE=FQ","FILING_STATUS=MR","SCALING_FORMAT=MLN","FA_ADJUSTED=Adjusted","Sort=A","Dates=H","DateFormat=P","Fill=—","Direction=H","UseDPDF=Y")</f>
        <v>131.506</v>
      </c>
      <c r="V7" s="13">
        <f>_xll.BDH("ITCI US Equity","IS_SALES_AND_SERVICES_REVENUES","FQ1 2024","FQ1 2024","Currency=USD","Period=FQ","BEST_FPERIOD_OVERRIDE=FQ","FILING_STATUS=MR","SCALING_FORMAT=MLN","FA_ADJUSTED=Adjusted","Sort=A","Dates=H","DateFormat=P","Fill=—","Direction=H","UseDPDF=Y")</f>
        <v>144.84299999999999</v>
      </c>
      <c r="W7" s="13">
        <f>_xll.BDH("ITCI US Equity","IS_SALES_AND_SERVICES_REVENUES","FQ2 2024","FQ2 2024","Currency=USD","Period=FQ","BEST_FPERIOD_OVERRIDE=FQ","FILING_STATUS=MR","SCALING_FORMAT=MLN","FA_ADJUSTED=Adjusted","Sort=A","Dates=H","DateFormat=P","Fill=—","Direction=H","UseDPDF=Y")</f>
        <v>161.27600000000001</v>
      </c>
      <c r="X7" s="13">
        <f>_xll.BDH("ITCI US Equity","IS_SALES_AND_SERVICES_REVENUES","FQ3 2024","FQ3 2024","Currency=USD","Period=FQ","BEST_FPERIOD_OVERRIDE=FQ","FILING_STATUS=MR","SCALING_FORMAT=MLN","FA_ADJUSTED=Adjusted","Sort=A","Dates=H","DateFormat=P","Fill=—","Direction=H","UseDPDF=Y")</f>
        <v>175.15899999999999</v>
      </c>
      <c r="Y7" s="13">
        <f>_xll.BDH("ITCI US Equity","IS_SALES_AND_SERVICES_REVENUES","FQ4 2024","FQ4 2024","Currency=USD","Period=FQ","BEST_FPERIOD_OVERRIDE=FQ","FILING_STATUS=MR","SCALING_FORMAT=MLN","FA_ADJUSTED=Adjusted","Sort=A","Dates=H","DateFormat=P","Fill=—","Direction=H","UseDPDF=Y")</f>
        <v>199.22300000000001</v>
      </c>
      <c r="Z7" s="13"/>
      <c r="AA7" s="13"/>
    </row>
    <row r="8" spans="1:27" x14ac:dyDescent="0.25">
      <c r="A8" s="10" t="s">
        <v>282</v>
      </c>
      <c r="B8" s="10" t="s">
        <v>283</v>
      </c>
      <c r="C8" s="13" t="str">
        <f>_xll.BDH("ITCI US Equity","IS_OTHER_REVENUE","FQ2 2019","FQ2 2019","Currency=USD","Period=FQ","BEST_FPERIOD_OVERRIDE=FQ","FILING_STATUS=MR","SCALING_FORMAT=MLN","FA_ADJUSTED=Adjusted","Sort=A","Dates=H","DateFormat=P","Fill=—","Direction=H","UseDPDF=Y")</f>
        <v>—</v>
      </c>
      <c r="D8" s="13" t="str">
        <f>_xll.BDH("ITCI US Equity","IS_OTHER_REVENUE","FQ3 2019","FQ3 2019","Currency=USD","Period=FQ","BEST_FPERIOD_OVERRIDE=FQ","FILING_STATUS=MR","SCALING_FORMAT=MLN","FA_ADJUSTED=Adjusted","Sort=A","Dates=H","DateFormat=P","Fill=—","Direction=H","UseDPDF=Y")</f>
        <v>—</v>
      </c>
      <c r="E8" s="13" t="str">
        <f>_xll.BDH("ITCI US Equity","IS_OTHER_REVENUE","FQ4 2019","FQ4 2019","Currency=USD","Period=FQ","BEST_FPERIOD_OVERRIDE=FQ","FILING_STATUS=MR","SCALING_FORMAT=MLN","FA_ADJUSTED=Adjusted","Sort=A","Dates=H","DateFormat=P","Fill=—","Direction=H","UseDPDF=Y")</f>
        <v>—</v>
      </c>
      <c r="F8" s="13">
        <f>_xll.BDH("ITCI US Equity","IS_OTHER_REVENUE","FQ1 2020","FQ1 2020","Currency=USD","Period=FQ","BEST_FPERIOD_OVERRIDE=FQ","FILING_STATUS=MR","SCALING_FORMAT=MLN","FA_ADJUSTED=Adjusted","Sort=A","Dates=H","DateFormat=P","Fill=—","Direction=H","UseDPDF=Y")</f>
        <v>0.20100000000000001</v>
      </c>
      <c r="G8" s="13">
        <f>_xll.BDH("ITCI US Equity","IS_OTHER_REVENUE","FQ2 2020","FQ2 2020","Currency=USD","Period=FQ","BEST_FPERIOD_OVERRIDE=FQ","FILING_STATUS=MR","SCALING_FORMAT=MLN","FA_ADJUSTED=Adjusted","Sort=A","Dates=H","DateFormat=P","Fill=—","Direction=H","UseDPDF=Y")</f>
        <v>3.0700000000000002E-2</v>
      </c>
      <c r="H8" s="13" t="str">
        <f>_xll.BDH("ITCI US Equity","IS_OTHER_REVENUE","FQ3 2020","FQ3 2020","Currency=USD","Period=FQ","BEST_FPERIOD_OVERRIDE=FQ","FILING_STATUS=MR","SCALING_FORMAT=MLN","FA_ADJUSTED=Adjusted","Sort=A","Dates=H","DateFormat=P","Fill=—","Direction=H","UseDPDF=Y")</f>
        <v>—</v>
      </c>
      <c r="I8" s="13">
        <f>_xll.BDH("ITCI US Equity","IS_OTHER_REVENUE","FQ4 2020","FQ4 2020","Currency=USD","Period=FQ","BEST_FPERIOD_OVERRIDE=FQ","FILING_STATUS=MR","SCALING_FORMAT=MLN","FA_ADJUSTED=Adjusted","Sort=A","Dates=H","DateFormat=P","Fill=—","Direction=H","UseDPDF=Y")</f>
        <v>5.0500000000000003E-2</v>
      </c>
      <c r="J8" s="13">
        <f>_xll.BDH("ITCI US Equity","IS_OTHER_REVENUE","FQ1 2021","FQ1 2021","Currency=USD","Period=FQ","BEST_FPERIOD_OVERRIDE=FQ","FILING_STATUS=MR","SCALING_FORMAT=MLN","FA_ADJUSTED=Adjusted","Sort=A","Dates=H","DateFormat=P","Fill=—","Direction=H","UseDPDF=Y")</f>
        <v>0.2994</v>
      </c>
      <c r="K8" s="13">
        <f>_xll.BDH("ITCI US Equity","IS_OTHER_REVENUE","FQ2 2021","FQ2 2021","Currency=USD","Period=FQ","BEST_FPERIOD_OVERRIDE=FQ","FILING_STATUS=MR","SCALING_FORMAT=MLN","FA_ADJUSTED=Adjusted","Sort=A","Dates=H","DateFormat=P","Fill=—","Direction=H","UseDPDF=Y")</f>
        <v>1.0398000000000001</v>
      </c>
      <c r="L8" s="13">
        <f>_xll.BDH("ITCI US Equity","IS_OTHER_REVENUE","FQ3 2021","FQ3 2021","Currency=USD","Period=FQ","BEST_FPERIOD_OVERRIDE=FQ","FILING_STATUS=MR","SCALING_FORMAT=MLN","FA_ADJUSTED=Adjusted","Sort=A","Dates=H","DateFormat=P","Fill=—","Direction=H","UseDPDF=Y")</f>
        <v>0.60099999999999998</v>
      </c>
      <c r="M8" s="13">
        <f>_xll.BDH("ITCI US Equity","IS_OTHER_REVENUE","FQ4 2021","FQ4 2021","Currency=USD","Period=FQ","BEST_FPERIOD_OVERRIDE=FQ","FILING_STATUS=MR","SCALING_FORMAT=MLN","FA_ADJUSTED=Adjusted","Sort=A","Dates=H","DateFormat=P","Fill=—","Direction=H","UseDPDF=Y")</f>
        <v>0.15490000000000001</v>
      </c>
      <c r="N8" s="13">
        <f>_xll.BDH("ITCI US Equity","IS_OTHER_REVENUE","FQ1 2022","FQ1 2022","Currency=USD","Period=FQ","BEST_FPERIOD_OVERRIDE=FQ","FILING_STATUS=MR","SCALING_FORMAT=MLN","FA_ADJUSTED=Adjusted","Sort=A","Dates=H","DateFormat=P","Fill=—","Direction=H","UseDPDF=Y")</f>
        <v>0.24099999999999999</v>
      </c>
      <c r="O8" s="13">
        <f>_xll.BDH("ITCI US Equity","IS_OTHER_REVENUE","FQ2 2022","FQ2 2022","Currency=USD","Period=FQ","BEST_FPERIOD_OVERRIDE=FQ","FILING_STATUS=MR","SCALING_FORMAT=MLN","FA_ADJUSTED=Adjusted","Sort=A","Dates=H","DateFormat=P","Fill=—","Direction=H","UseDPDF=Y")</f>
        <v>0.505</v>
      </c>
      <c r="P8" s="13" t="str">
        <f>_xll.BDH("ITCI US Equity","IS_OTHER_REVENUE","FQ3 2022","FQ3 2022","Currency=USD","Period=FQ","BEST_FPERIOD_OVERRIDE=FQ","FILING_STATUS=MR","SCALING_FORMAT=MLN","FA_ADJUSTED=Adjusted","Sort=A","Dates=H","DateFormat=P","Fill=—","Direction=H","UseDPDF=Y")</f>
        <v>—</v>
      </c>
      <c r="Q8" s="13">
        <f>_xll.BDH("ITCI US Equity","IS_OTHER_REVENUE","FQ4 2022","FQ4 2022","Currency=USD","Period=FQ","BEST_FPERIOD_OVERRIDE=FQ","FILING_STATUS=MR","SCALING_FORMAT=MLN","FA_ADJUSTED=Adjusted","Sort=A","Dates=H","DateFormat=P","Fill=—","Direction=H","UseDPDF=Y")</f>
        <v>0.436</v>
      </c>
      <c r="R8" s="13">
        <f>_xll.BDH("ITCI US Equity","IS_OTHER_REVENUE","FQ1 2023","FQ1 2023","Currency=USD","Period=FQ","BEST_FPERIOD_OVERRIDE=FQ","FILING_STATUS=MR","SCALING_FORMAT=MLN","FA_ADJUSTED=Adjusted","Sort=A","Dates=H","DateFormat=P","Fill=—","Direction=H","UseDPDF=Y")</f>
        <v>0.57499999999999996</v>
      </c>
      <c r="S8" s="13">
        <f>_xll.BDH("ITCI US Equity","IS_OTHER_REVENUE","FQ2 2023","FQ2 2023","Currency=USD","Period=FQ","BEST_FPERIOD_OVERRIDE=FQ","FILING_STATUS=MR","SCALING_FORMAT=MLN","FA_ADJUSTED=Adjusted","Sort=A","Dates=H","DateFormat=P","Fill=—","Direction=H","UseDPDF=Y")</f>
        <v>0.66400000000000003</v>
      </c>
      <c r="T8" s="13">
        <f>_xll.BDH("ITCI US Equity","IS_OTHER_REVENUE","FQ3 2023","FQ3 2023","Currency=USD","Period=FQ","BEST_FPERIOD_OVERRIDE=FQ","FILING_STATUS=MR","SCALING_FORMAT=MLN","FA_ADJUSTED=Adjusted","Sort=A","Dates=H","DateFormat=P","Fill=—","Direction=H","UseDPDF=Y")</f>
        <v>0.36299999999999999</v>
      </c>
      <c r="U8" s="13">
        <f>_xll.BDH("ITCI US Equity","IS_OTHER_REVENUE","FQ4 2023","FQ4 2023","Currency=USD","Period=FQ","BEST_FPERIOD_OVERRIDE=FQ","FILING_STATUS=MR","SCALING_FORMAT=MLN","FA_ADJUSTED=Adjusted","Sort=A","Dates=H","DateFormat=P","Fill=—","Direction=H","UseDPDF=Y")</f>
        <v>0.59299999999999997</v>
      </c>
      <c r="V8" s="13">
        <f>_xll.BDH("ITCI US Equity","IS_OTHER_REVENUE","FQ1 2024","FQ1 2024","Currency=USD","Period=FQ","BEST_FPERIOD_OVERRIDE=FQ","FILING_STATUS=MR","SCALING_FORMAT=MLN","FA_ADJUSTED=Adjusted","Sort=A","Dates=H","DateFormat=P","Fill=—","Direction=H","UseDPDF=Y")</f>
        <v>2.3E-2</v>
      </c>
      <c r="W8" s="13">
        <f>_xll.BDH("ITCI US Equity","IS_OTHER_REVENUE","FQ2 2024","FQ2 2024","Currency=USD","Period=FQ","BEST_FPERIOD_OVERRIDE=FQ","FILING_STATUS=MR","SCALING_FORMAT=MLN","FA_ADJUSTED=Adjusted","Sort=A","Dates=H","DateFormat=P","Fill=—","Direction=H","UseDPDF=Y")</f>
        <v>0.112</v>
      </c>
      <c r="X8" s="13">
        <f>_xll.BDH("ITCI US Equity","IS_OTHER_REVENUE","FQ3 2024","FQ3 2024","Currency=USD","Period=FQ","BEST_FPERIOD_OVERRIDE=FQ","FILING_STATUS=MR","SCALING_FORMAT=MLN","FA_ADJUSTED=Adjusted","Sort=A","Dates=H","DateFormat=P","Fill=—","Direction=H","UseDPDF=Y")</f>
        <v>0.216</v>
      </c>
      <c r="Y8" s="13" t="str">
        <f>_xll.BDH("ITCI US Equity","IS_OTHER_REVENUE","FQ4 2024","FQ4 2024","Currency=USD","Period=FQ","BEST_FPERIOD_OVERRIDE=FQ","FILING_STATUS=MR","SCALING_FORMAT=MLN","FA_ADJUSTED=Adjusted","Sort=A","Dates=H","DateFormat=P","Fill=—","Direction=H","UseDPDF=Y")</f>
        <v>—</v>
      </c>
      <c r="Z8" s="13"/>
      <c r="AA8" s="13"/>
    </row>
    <row r="9" spans="1:27" x14ac:dyDescent="0.25">
      <c r="A9" s="10" t="s">
        <v>284</v>
      </c>
      <c r="B9" s="10" t="s">
        <v>285</v>
      </c>
      <c r="C9" s="13">
        <f>_xll.BDH("ITCI US Equity","IS_COGS_TO_FE_AND_PP_AND_G","FQ2 2019","FQ2 2019","Currency=USD","Period=FQ","BEST_FPERIOD_OVERRIDE=FQ","FILING_STATUS=MR","SCALING_FORMAT=MLN","FA_ADJUSTED=Adjusted","Sort=A","Dates=H","DateFormat=P","Fill=—","Direction=H","UseDPDF=Y")</f>
        <v>0</v>
      </c>
      <c r="D9" s="13" t="str">
        <f>_xll.BDH("ITCI US Equity","IS_COGS_TO_FE_AND_PP_AND_G","FQ3 2019","FQ3 2019","Currency=USD","Period=FQ","BEST_FPERIOD_OVERRIDE=FQ","FILING_STATUS=MR","SCALING_FORMAT=MLN","FA_ADJUSTED=Adjusted","Sort=A","Dates=H","DateFormat=P","Fill=—","Direction=H","UseDPDF=Y")</f>
        <v>—</v>
      </c>
      <c r="E9" s="13" t="str">
        <f>_xll.BDH("ITCI US Equity","IS_COGS_TO_FE_AND_PP_AND_G","FQ4 2019","FQ4 2019","Currency=USD","Period=FQ","BEST_FPERIOD_OVERRIDE=FQ","FILING_STATUS=MR","SCALING_FORMAT=MLN","FA_ADJUSTED=Adjusted","Sort=A","Dates=H","DateFormat=P","Fill=—","Direction=H","UseDPDF=Y")</f>
        <v>—</v>
      </c>
      <c r="F9" s="13">
        <f>_xll.BDH("ITCI US Equity","IS_COGS_TO_FE_AND_PP_AND_G","FQ1 2020","FQ1 2020","Currency=USD","Period=FQ","BEST_FPERIOD_OVERRIDE=FQ","FILING_STATUS=MR","SCALING_FORMAT=MLN","FA_ADJUSTED=Adjusted","Sort=A","Dates=H","DateFormat=P","Fill=—","Direction=H","UseDPDF=Y")</f>
        <v>6.93E-2</v>
      </c>
      <c r="G9" s="13">
        <f>_xll.BDH("ITCI US Equity","IS_COGS_TO_FE_AND_PP_AND_G","FQ2 2020","FQ2 2020","Currency=USD","Period=FQ","BEST_FPERIOD_OVERRIDE=FQ","FILING_STATUS=MR","SCALING_FORMAT=MLN","FA_ADJUSTED=Adjusted","Sort=A","Dates=H","DateFormat=P","Fill=—","Direction=H","UseDPDF=Y")</f>
        <v>0.1285</v>
      </c>
      <c r="H9" s="13">
        <f>_xll.BDH("ITCI US Equity","IS_COGS_TO_FE_AND_PP_AND_G","FQ3 2020","FQ3 2020","Currency=USD","Period=FQ","BEST_FPERIOD_OVERRIDE=FQ","FILING_STATUS=MR","SCALING_FORMAT=MLN","FA_ADJUSTED=Adjusted","Sort=A","Dates=H","DateFormat=P","Fill=—","Direction=H","UseDPDF=Y")</f>
        <v>0.55610000000000004</v>
      </c>
      <c r="I9" s="13">
        <f>_xll.BDH("ITCI US Equity","IS_COGS_TO_FE_AND_PP_AND_G","FQ4 2020","FQ4 2020","Currency=USD","Period=FQ","BEST_FPERIOD_OVERRIDE=FQ","FILING_STATUS=MR","SCALING_FORMAT=MLN","FA_ADJUSTED=Adjusted","Sort=A","Dates=H","DateFormat=P","Fill=—","Direction=H","UseDPDF=Y")</f>
        <v>1.1411</v>
      </c>
      <c r="J9" s="13">
        <f>_xll.BDH("ITCI US Equity","IS_COGS_TO_FE_AND_PP_AND_G","FQ1 2021","FQ1 2021","Currency=USD","Period=FQ","BEST_FPERIOD_OVERRIDE=FQ","FILING_STATUS=MR","SCALING_FORMAT=MLN","FA_ADJUSTED=Adjusted","Sort=A","Dates=H","DateFormat=P","Fill=—","Direction=H","UseDPDF=Y")</f>
        <v>1.4552</v>
      </c>
      <c r="K9" s="13">
        <f>_xll.BDH("ITCI US Equity","IS_COGS_TO_FE_AND_PP_AND_G","FQ2 2021","FQ2 2021","Currency=USD","Period=FQ","BEST_FPERIOD_OVERRIDE=FQ","FILING_STATUS=MR","SCALING_FORMAT=MLN","FA_ADJUSTED=Adjusted","Sort=A","Dates=H","DateFormat=P","Fill=—","Direction=H","UseDPDF=Y")</f>
        <v>2.04</v>
      </c>
      <c r="L9" s="13">
        <f>_xll.BDH("ITCI US Equity","IS_COGS_TO_FE_AND_PP_AND_G","FQ3 2021","FQ3 2021","Currency=USD","Period=FQ","BEST_FPERIOD_OVERRIDE=FQ","FILING_STATUS=MR","SCALING_FORMAT=MLN","FA_ADJUSTED=Adjusted","Sort=A","Dates=H","DateFormat=P","Fill=—","Direction=H","UseDPDF=Y")</f>
        <v>2.0013000000000001</v>
      </c>
      <c r="M9" s="13">
        <f>_xll.BDH("ITCI US Equity","IS_COGS_TO_FE_AND_PP_AND_G","FQ4 2021","FQ4 2021","Currency=USD","Period=FQ","BEST_FPERIOD_OVERRIDE=FQ","FILING_STATUS=MR","SCALING_FORMAT=MLN","FA_ADJUSTED=Adjusted","Sort=A","Dates=H","DateFormat=P","Fill=—","Direction=H","UseDPDF=Y")</f>
        <v>2.5379999999999998</v>
      </c>
      <c r="N9" s="13">
        <f>_xll.BDH("ITCI US Equity","IS_COGS_TO_FE_AND_PP_AND_G","FQ1 2022","FQ1 2022","Currency=USD","Period=FQ","BEST_FPERIOD_OVERRIDE=FQ","FILING_STATUS=MR","SCALING_FORMAT=MLN","FA_ADJUSTED=Adjusted","Sort=A","Dates=H","DateFormat=P","Fill=—","Direction=H","UseDPDF=Y")</f>
        <v>3.1549999999999998</v>
      </c>
      <c r="O9" s="13">
        <f>_xll.BDH("ITCI US Equity","IS_COGS_TO_FE_AND_PP_AND_G","FQ2 2022","FQ2 2022","Currency=USD","Period=FQ","BEST_FPERIOD_OVERRIDE=FQ","FILING_STATUS=MR","SCALING_FORMAT=MLN","FA_ADJUSTED=Adjusted","Sort=A","Dates=H","DateFormat=P","Fill=—","Direction=H","UseDPDF=Y")</f>
        <v>4.6500000000000004</v>
      </c>
      <c r="P9" s="13">
        <f>_xll.BDH("ITCI US Equity","IS_COGS_TO_FE_AND_PP_AND_G","FQ3 2022","FQ3 2022","Currency=USD","Period=FQ","BEST_FPERIOD_OVERRIDE=FQ","FILING_STATUS=MR","SCALING_FORMAT=MLN","FA_ADJUSTED=Adjusted","Sort=A","Dates=H","DateFormat=P","Fill=—","Direction=H","UseDPDF=Y")</f>
        <v>5.85</v>
      </c>
      <c r="Q9" s="13">
        <f>_xll.BDH("ITCI US Equity","IS_COGS_TO_FE_AND_PP_AND_G","FQ4 2022","FQ4 2022","Currency=USD","Period=FQ","BEST_FPERIOD_OVERRIDE=FQ","FILING_STATUS=MR","SCALING_FORMAT=MLN","FA_ADJUSTED=Adjusted","Sort=A","Dates=H","DateFormat=P","Fill=—","Direction=H","UseDPDF=Y")</f>
        <v>6.7880000000000003</v>
      </c>
      <c r="R9" s="13">
        <f>_xll.BDH("ITCI US Equity","IS_COGS_TO_FE_AND_PP_AND_G","FQ1 2023","FQ1 2023","Currency=USD","Period=FQ","BEST_FPERIOD_OVERRIDE=FQ","FILING_STATUS=MR","SCALING_FORMAT=MLN","FA_ADJUSTED=Adjusted","Sort=A","Dates=H","DateFormat=P","Fill=—","Direction=H","UseDPDF=Y")</f>
        <v>6.7510000000000003</v>
      </c>
      <c r="S9" s="13">
        <f>_xll.BDH("ITCI US Equity","IS_COGS_TO_FE_AND_PP_AND_G","FQ2 2023","FQ2 2023","Currency=USD","Period=FQ","BEST_FPERIOD_OVERRIDE=FQ","FILING_STATUS=MR","SCALING_FORMAT=MLN","FA_ADJUSTED=Adjusted","Sort=A","Dates=H","DateFormat=P","Fill=—","Direction=H","UseDPDF=Y")</f>
        <v>7.1630000000000003</v>
      </c>
      <c r="T9" s="13">
        <f>_xll.BDH("ITCI US Equity","IS_COGS_TO_FE_AND_PP_AND_G","FQ3 2023","FQ3 2023","Currency=USD","Period=FQ","BEST_FPERIOD_OVERRIDE=FQ","FILING_STATUS=MR","SCALING_FORMAT=MLN","FA_ADJUSTED=Adjusted","Sort=A","Dates=H","DateFormat=P","Fill=—","Direction=H","UseDPDF=Y")</f>
        <v>9.1289999999999996</v>
      </c>
      <c r="U9" s="13">
        <f>_xll.BDH("ITCI US Equity","IS_COGS_TO_FE_AND_PP_AND_G","FQ4 2023","FQ4 2023","Currency=USD","Period=FQ","BEST_FPERIOD_OVERRIDE=FQ","FILING_STATUS=MR","SCALING_FORMAT=MLN","FA_ADJUSTED=Adjusted","Sort=A","Dates=H","DateFormat=P","Fill=—","Direction=H","UseDPDF=Y")</f>
        <v>10.702</v>
      </c>
      <c r="V9" s="13">
        <f>_xll.BDH("ITCI US Equity","IS_COGS_TO_FE_AND_PP_AND_G","FQ1 2024","FQ1 2024","Currency=USD","Period=FQ","BEST_FPERIOD_OVERRIDE=FQ","FILING_STATUS=MR","SCALING_FORMAT=MLN","FA_ADJUSTED=Adjusted","Sort=A","Dates=H","DateFormat=P","Fill=—","Direction=H","UseDPDF=Y")</f>
        <v>9.9</v>
      </c>
      <c r="W9" s="13">
        <f>_xll.BDH("ITCI US Equity","IS_COGS_TO_FE_AND_PP_AND_G","FQ2 2024","FQ2 2024","Currency=USD","Period=FQ","BEST_FPERIOD_OVERRIDE=FQ","FILING_STATUS=MR","SCALING_FORMAT=MLN","FA_ADJUSTED=Adjusted","Sort=A","Dates=H","DateFormat=P","Fill=—","Direction=H","UseDPDF=Y")</f>
        <v>11.353999999999999</v>
      </c>
      <c r="X9" s="13">
        <f>_xll.BDH("ITCI US Equity","IS_COGS_TO_FE_AND_PP_AND_G","FQ3 2024","FQ3 2024","Currency=USD","Period=FQ","BEST_FPERIOD_OVERRIDE=FQ","FILING_STATUS=MR","SCALING_FORMAT=MLN","FA_ADJUSTED=Adjusted","Sort=A","Dates=H","DateFormat=P","Fill=—","Direction=H","UseDPDF=Y")</f>
        <v>15.304</v>
      </c>
      <c r="Y9" s="13">
        <f>_xll.BDH("ITCI US Equity","IS_COGS_TO_FE_AND_PP_AND_G","FQ4 2024","FQ4 2024","Currency=USD","Period=FQ","BEST_FPERIOD_OVERRIDE=FQ","FILING_STATUS=MR","SCALING_FORMAT=MLN","FA_ADJUSTED=Adjusted","Sort=A","Dates=H","DateFormat=P","Fill=—","Direction=H","UseDPDF=Y")</f>
        <v>20.405000000000001</v>
      </c>
      <c r="Z9" s="13"/>
      <c r="AA9" s="13"/>
    </row>
    <row r="10" spans="1:27" x14ac:dyDescent="0.25">
      <c r="A10" s="10" t="s">
        <v>286</v>
      </c>
      <c r="B10" s="10" t="s">
        <v>287</v>
      </c>
      <c r="C10" s="13" t="str">
        <f>_xll.BDH("ITCI US Equity","IS_COG_AND_SERVICES_SOLD","FQ2 2019","FQ2 2019","Currency=USD","Period=FQ","BEST_FPERIOD_OVERRIDE=FQ","FILING_STATUS=MR","SCALING_FORMAT=MLN","FA_ADJUSTED=Adjusted","Sort=A","Dates=H","DateFormat=P","Fill=—","Direction=H","UseDPDF=Y")</f>
        <v>—</v>
      </c>
      <c r="D10" s="13" t="str">
        <f>_xll.BDH("ITCI US Equity","IS_COG_AND_SERVICES_SOLD","FQ3 2019","FQ3 2019","Currency=USD","Period=FQ","BEST_FPERIOD_OVERRIDE=FQ","FILING_STATUS=MR","SCALING_FORMAT=MLN","FA_ADJUSTED=Adjusted","Sort=A","Dates=H","DateFormat=P","Fill=—","Direction=H","UseDPDF=Y")</f>
        <v>—</v>
      </c>
      <c r="E10" s="13" t="str">
        <f>_xll.BDH("ITCI US Equity","IS_COG_AND_SERVICES_SOLD","FQ4 2019","FQ4 2019","Currency=USD","Period=FQ","BEST_FPERIOD_OVERRIDE=FQ","FILING_STATUS=MR","SCALING_FORMAT=MLN","FA_ADJUSTED=Adjusted","Sort=A","Dates=H","DateFormat=P","Fill=—","Direction=H","UseDPDF=Y")</f>
        <v>—</v>
      </c>
      <c r="F10" s="13">
        <f>_xll.BDH("ITCI US Equity","IS_COG_AND_SERVICES_SOLD","FQ1 2020","FQ1 2020","Currency=USD","Period=FQ","BEST_FPERIOD_OVERRIDE=FQ","FILING_STATUS=MR","SCALING_FORMAT=MLN","FA_ADJUSTED=Adjusted","Sort=A","Dates=H","DateFormat=P","Fill=—","Direction=H","UseDPDF=Y")</f>
        <v>6.93E-2</v>
      </c>
      <c r="G10" s="13">
        <f>_xll.BDH("ITCI US Equity","IS_COG_AND_SERVICES_SOLD","FQ2 2020","FQ2 2020","Currency=USD","Period=FQ","BEST_FPERIOD_OVERRIDE=FQ","FILING_STATUS=MR","SCALING_FORMAT=MLN","FA_ADJUSTED=Adjusted","Sort=A","Dates=H","DateFormat=P","Fill=—","Direction=H","UseDPDF=Y")</f>
        <v>0.1285</v>
      </c>
      <c r="H10" s="13">
        <f>_xll.BDH("ITCI US Equity","IS_COG_AND_SERVICES_SOLD","FQ3 2020","FQ3 2020","Currency=USD","Period=FQ","BEST_FPERIOD_OVERRIDE=FQ","FILING_STATUS=MR","SCALING_FORMAT=MLN","FA_ADJUSTED=Adjusted","Sort=A","Dates=H","DateFormat=P","Fill=—","Direction=H","UseDPDF=Y")</f>
        <v>0.55610000000000004</v>
      </c>
      <c r="I10" s="13">
        <f>_xll.BDH("ITCI US Equity","IS_COG_AND_SERVICES_SOLD","FQ4 2020","FQ4 2020","Currency=USD","Period=FQ","BEST_FPERIOD_OVERRIDE=FQ","FILING_STATUS=MR","SCALING_FORMAT=MLN","FA_ADJUSTED=Adjusted","Sort=A","Dates=H","DateFormat=P","Fill=—","Direction=H","UseDPDF=Y")</f>
        <v>1.1411</v>
      </c>
      <c r="J10" s="13">
        <f>_xll.BDH("ITCI US Equity","IS_COG_AND_SERVICES_SOLD","FQ1 2021","FQ1 2021","Currency=USD","Period=FQ","BEST_FPERIOD_OVERRIDE=FQ","FILING_STATUS=MR","SCALING_FORMAT=MLN","FA_ADJUSTED=Adjusted","Sort=A","Dates=H","DateFormat=P","Fill=—","Direction=H","UseDPDF=Y")</f>
        <v>1.4552</v>
      </c>
      <c r="K10" s="13">
        <f>_xll.BDH("ITCI US Equity","IS_COG_AND_SERVICES_SOLD","FQ2 2021","FQ2 2021","Currency=USD","Period=FQ","BEST_FPERIOD_OVERRIDE=FQ","FILING_STATUS=MR","SCALING_FORMAT=MLN","FA_ADJUSTED=Adjusted","Sort=A","Dates=H","DateFormat=P","Fill=—","Direction=H","UseDPDF=Y")</f>
        <v>2.04</v>
      </c>
      <c r="L10" s="13">
        <f>_xll.BDH("ITCI US Equity","IS_COG_AND_SERVICES_SOLD","FQ3 2021","FQ3 2021","Currency=USD","Period=FQ","BEST_FPERIOD_OVERRIDE=FQ","FILING_STATUS=MR","SCALING_FORMAT=MLN","FA_ADJUSTED=Adjusted","Sort=A","Dates=H","DateFormat=P","Fill=—","Direction=H","UseDPDF=Y")</f>
        <v>2.0013000000000001</v>
      </c>
      <c r="M10" s="13">
        <f>_xll.BDH("ITCI US Equity","IS_COG_AND_SERVICES_SOLD","FQ4 2021","FQ4 2021","Currency=USD","Period=FQ","BEST_FPERIOD_OVERRIDE=FQ","FILING_STATUS=MR","SCALING_FORMAT=MLN","FA_ADJUSTED=Adjusted","Sort=A","Dates=H","DateFormat=P","Fill=—","Direction=H","UseDPDF=Y")</f>
        <v>2.5379999999999998</v>
      </c>
      <c r="N10" s="13">
        <f>_xll.BDH("ITCI US Equity","IS_COG_AND_SERVICES_SOLD","FQ1 2022","FQ1 2022","Currency=USD","Period=FQ","BEST_FPERIOD_OVERRIDE=FQ","FILING_STATUS=MR","SCALING_FORMAT=MLN","FA_ADJUSTED=Adjusted","Sort=A","Dates=H","DateFormat=P","Fill=—","Direction=H","UseDPDF=Y")</f>
        <v>3.1549999999999998</v>
      </c>
      <c r="O10" s="13">
        <f>_xll.BDH("ITCI US Equity","IS_COG_AND_SERVICES_SOLD","FQ2 2022","FQ2 2022","Currency=USD","Period=FQ","BEST_FPERIOD_OVERRIDE=FQ","FILING_STATUS=MR","SCALING_FORMAT=MLN","FA_ADJUSTED=Adjusted","Sort=A","Dates=H","DateFormat=P","Fill=—","Direction=H","UseDPDF=Y")</f>
        <v>4.6500000000000004</v>
      </c>
      <c r="P10" s="13">
        <f>_xll.BDH("ITCI US Equity","IS_COG_AND_SERVICES_SOLD","FQ3 2022","FQ3 2022","Currency=USD","Period=FQ","BEST_FPERIOD_OVERRIDE=FQ","FILING_STATUS=MR","SCALING_FORMAT=MLN","FA_ADJUSTED=Adjusted","Sort=A","Dates=H","DateFormat=P","Fill=—","Direction=H","UseDPDF=Y")</f>
        <v>5.85</v>
      </c>
      <c r="Q10" s="13">
        <f>_xll.BDH("ITCI US Equity","IS_COG_AND_SERVICES_SOLD","FQ4 2022","FQ4 2022","Currency=USD","Period=FQ","BEST_FPERIOD_OVERRIDE=FQ","FILING_STATUS=MR","SCALING_FORMAT=MLN","FA_ADJUSTED=Adjusted","Sort=A","Dates=H","DateFormat=P","Fill=—","Direction=H","UseDPDF=Y")</f>
        <v>6.7880000000000003</v>
      </c>
      <c r="R10" s="13">
        <f>_xll.BDH("ITCI US Equity","IS_COG_AND_SERVICES_SOLD","FQ1 2023","FQ1 2023","Currency=USD","Period=FQ","BEST_FPERIOD_OVERRIDE=FQ","FILING_STATUS=MR","SCALING_FORMAT=MLN","FA_ADJUSTED=Adjusted","Sort=A","Dates=H","DateFormat=P","Fill=—","Direction=H","UseDPDF=Y")</f>
        <v>6.7510000000000003</v>
      </c>
      <c r="S10" s="13">
        <f>_xll.BDH("ITCI US Equity","IS_COG_AND_SERVICES_SOLD","FQ2 2023","FQ2 2023","Currency=USD","Period=FQ","BEST_FPERIOD_OVERRIDE=FQ","FILING_STATUS=MR","SCALING_FORMAT=MLN","FA_ADJUSTED=Adjusted","Sort=A","Dates=H","DateFormat=P","Fill=—","Direction=H","UseDPDF=Y")</f>
        <v>7.1630000000000003</v>
      </c>
      <c r="T10" s="13">
        <f>_xll.BDH("ITCI US Equity","IS_COG_AND_SERVICES_SOLD","FQ3 2023","FQ3 2023","Currency=USD","Period=FQ","BEST_FPERIOD_OVERRIDE=FQ","FILING_STATUS=MR","SCALING_FORMAT=MLN","FA_ADJUSTED=Adjusted","Sort=A","Dates=H","DateFormat=P","Fill=—","Direction=H","UseDPDF=Y")</f>
        <v>9.1289999999999996</v>
      </c>
      <c r="U10" s="13">
        <f>_xll.BDH("ITCI US Equity","IS_COG_AND_SERVICES_SOLD","FQ4 2023","FQ4 2023","Currency=USD","Period=FQ","BEST_FPERIOD_OVERRIDE=FQ","FILING_STATUS=MR","SCALING_FORMAT=MLN","FA_ADJUSTED=Adjusted","Sort=A","Dates=H","DateFormat=P","Fill=—","Direction=H","UseDPDF=Y")</f>
        <v>10.702</v>
      </c>
      <c r="V10" s="13">
        <f>_xll.BDH("ITCI US Equity","IS_COG_AND_SERVICES_SOLD","FQ1 2024","FQ1 2024","Currency=USD","Period=FQ","BEST_FPERIOD_OVERRIDE=FQ","FILING_STATUS=MR","SCALING_FORMAT=MLN","FA_ADJUSTED=Adjusted","Sort=A","Dates=H","DateFormat=P","Fill=—","Direction=H","UseDPDF=Y")</f>
        <v>9.9</v>
      </c>
      <c r="W10" s="13">
        <f>_xll.BDH("ITCI US Equity","IS_COG_AND_SERVICES_SOLD","FQ2 2024","FQ2 2024","Currency=USD","Period=FQ","BEST_FPERIOD_OVERRIDE=FQ","FILING_STATUS=MR","SCALING_FORMAT=MLN","FA_ADJUSTED=Adjusted","Sort=A","Dates=H","DateFormat=P","Fill=—","Direction=H","UseDPDF=Y")</f>
        <v>11.353999999999999</v>
      </c>
      <c r="X10" s="13">
        <f>_xll.BDH("ITCI US Equity","IS_COG_AND_SERVICES_SOLD","FQ3 2024","FQ3 2024","Currency=USD","Period=FQ","BEST_FPERIOD_OVERRIDE=FQ","FILING_STATUS=MR","SCALING_FORMAT=MLN","FA_ADJUSTED=Adjusted","Sort=A","Dates=H","DateFormat=P","Fill=—","Direction=H","UseDPDF=Y")</f>
        <v>15.304</v>
      </c>
      <c r="Y10" s="13">
        <f>_xll.BDH("ITCI US Equity","IS_COG_AND_SERVICES_SOLD","FQ4 2024","FQ4 2024","Currency=USD","Period=FQ","BEST_FPERIOD_OVERRIDE=FQ","FILING_STATUS=MR","SCALING_FORMAT=MLN","FA_ADJUSTED=Adjusted","Sort=A","Dates=H","DateFormat=P","Fill=—","Direction=H","UseDPDF=Y")</f>
        <v>20.405000000000001</v>
      </c>
      <c r="Z10" s="13"/>
      <c r="AA10" s="13"/>
    </row>
    <row r="11" spans="1:27" x14ac:dyDescent="0.25">
      <c r="A11" s="6" t="s">
        <v>2</v>
      </c>
      <c r="B11" s="6" t="s">
        <v>74</v>
      </c>
      <c r="C11" s="19">
        <f>_xll.BDH("ITCI US Equity","GROSS_PROFIT","FQ2 2019","FQ2 2019","Currency=USD","Period=FQ","BEST_FPERIOD_OVERRIDE=FQ","FILING_STATUS=MR","SCALING_FORMAT=MLN","FA_ADJUSTED=Adjusted","Sort=A","Dates=H","DateFormat=P","Fill=—","Direction=H","UseDPDF=Y")</f>
        <v>0</v>
      </c>
      <c r="D11" s="19" t="str">
        <f>_xll.BDH("ITCI US Equity","GROSS_PROFIT","FQ3 2019","FQ3 2019","Currency=USD","Period=FQ","BEST_FPERIOD_OVERRIDE=FQ","FILING_STATUS=MR","SCALING_FORMAT=MLN","FA_ADJUSTED=Adjusted","Sort=A","Dates=H","DateFormat=P","Fill=—","Direction=H","UseDPDF=Y")</f>
        <v>—</v>
      </c>
      <c r="E11" s="19" t="str">
        <f>_xll.BDH("ITCI US Equity","GROSS_PROFIT","FQ4 2019","FQ4 2019","Currency=USD","Period=FQ","BEST_FPERIOD_OVERRIDE=FQ","FILING_STATUS=MR","SCALING_FORMAT=MLN","FA_ADJUSTED=Adjusted","Sort=A","Dates=H","DateFormat=P","Fill=—","Direction=H","UseDPDF=Y")</f>
        <v>—</v>
      </c>
      <c r="F11" s="19">
        <f>_xll.BDH("ITCI US Equity","GROSS_PROFIT","FQ1 2020","FQ1 2020","Currency=USD","Period=FQ","BEST_FPERIOD_OVERRIDE=FQ","FILING_STATUS=MR","SCALING_FORMAT=MLN","FA_ADJUSTED=Adjusted","Sort=A","Dates=H","DateFormat=P","Fill=—","Direction=H","UseDPDF=Y")</f>
        <v>1.0142</v>
      </c>
      <c r="G11" s="19">
        <f>_xll.BDH("ITCI US Equity","GROSS_PROFIT","FQ2 2020","FQ2 2020","Currency=USD","Period=FQ","BEST_FPERIOD_OVERRIDE=FQ","FILING_STATUS=MR","SCALING_FORMAT=MLN","FA_ADJUSTED=Adjusted","Sort=A","Dates=H","DateFormat=P","Fill=—","Direction=H","UseDPDF=Y")</f>
        <v>1.7781</v>
      </c>
      <c r="H11" s="19">
        <f>_xll.BDH("ITCI US Equity","GROSS_PROFIT","FQ3 2020","FQ3 2020","Currency=USD","Period=FQ","BEST_FPERIOD_OVERRIDE=FQ","FILING_STATUS=MR","SCALING_FORMAT=MLN","FA_ADJUSTED=Adjusted","Sort=A","Dates=H","DateFormat=P","Fill=—","Direction=H","UseDPDF=Y")</f>
        <v>6.8125</v>
      </c>
      <c r="I11" s="19">
        <f>_xll.BDH("ITCI US Equity","GROSS_PROFIT","FQ4 2020","FQ4 2020","Currency=USD","Period=FQ","BEST_FPERIOD_OVERRIDE=FQ","FILING_STATUS=MR","SCALING_FORMAT=MLN","FA_ADJUSTED=Adjusted","Sort=A","Dates=H","DateFormat=P","Fill=—","Direction=H","UseDPDF=Y")</f>
        <v>11.3132</v>
      </c>
      <c r="J11" s="19">
        <f>_xll.BDH("ITCI US Equity","GROSS_PROFIT","FQ1 2021","FQ1 2021","Currency=USD","Period=FQ","BEST_FPERIOD_OVERRIDE=FQ","FILING_STATUS=MR","SCALING_FORMAT=MLN","FA_ADJUSTED=Adjusted","Sort=A","Dates=H","DateFormat=P","Fill=—","Direction=H","UseDPDF=Y")</f>
        <v>14.4231</v>
      </c>
      <c r="K11" s="19">
        <f>_xll.BDH("ITCI US Equity","GROSS_PROFIT","FQ2 2021","FQ2 2021","Currency=USD","Period=FQ","BEST_FPERIOD_OVERRIDE=FQ","FILING_STATUS=MR","SCALING_FORMAT=MLN","FA_ADJUSTED=Adjusted","Sort=A","Dates=H","DateFormat=P","Fill=—","Direction=H","UseDPDF=Y")</f>
        <v>18.006499999999999</v>
      </c>
      <c r="L11" s="19">
        <f>_xll.BDH("ITCI US Equity","GROSS_PROFIT","FQ3 2021","FQ3 2021","Currency=USD","Period=FQ","BEST_FPERIOD_OVERRIDE=FQ","FILING_STATUS=MR","SCALING_FORMAT=MLN","FA_ADJUSTED=Adjusted","Sort=A","Dates=H","DateFormat=P","Fill=—","Direction=H","UseDPDF=Y")</f>
        <v>20.2059</v>
      </c>
      <c r="M11" s="19">
        <f>_xll.BDH("ITCI US Equity","GROSS_PROFIT","FQ4 2021","FQ4 2021","Currency=USD","Period=FQ","BEST_FPERIOD_OVERRIDE=FQ","FILING_STATUS=MR","SCALING_FORMAT=MLN","FA_ADJUSTED=Adjusted","Sort=A","Dates=H","DateFormat=P","Fill=—","Direction=H","UseDPDF=Y")</f>
        <v>23.132899999999999</v>
      </c>
      <c r="N11" s="19">
        <f>_xll.BDH("ITCI US Equity","GROSS_PROFIT","FQ1 2022","FQ1 2022","Currency=USD","Period=FQ","BEST_FPERIOD_OVERRIDE=FQ","FILING_STATUS=MR","SCALING_FORMAT=MLN","FA_ADJUSTED=Adjusted","Sort=A","Dates=H","DateFormat=P","Fill=—","Direction=H","UseDPDF=Y")</f>
        <v>31.841000000000001</v>
      </c>
      <c r="O11" s="19">
        <f>_xll.BDH("ITCI US Equity","GROSS_PROFIT","FQ2 2022","FQ2 2022","Currency=USD","Period=FQ","BEST_FPERIOD_OVERRIDE=FQ","FILING_STATUS=MR","SCALING_FORMAT=MLN","FA_ADJUSTED=Adjusted","Sort=A","Dates=H","DateFormat=P","Fill=—","Direction=H","UseDPDF=Y")</f>
        <v>50.929000000000002</v>
      </c>
      <c r="P11" s="19">
        <f>_xll.BDH("ITCI US Equity","GROSS_PROFIT","FQ3 2022","FQ3 2022","Currency=USD","Period=FQ","BEST_FPERIOD_OVERRIDE=FQ","FILING_STATUS=MR","SCALING_FORMAT=MLN","FA_ADJUSTED=Adjusted","Sort=A","Dates=H","DateFormat=P","Fill=—","Direction=H","UseDPDF=Y")</f>
        <v>66.02</v>
      </c>
      <c r="Q11" s="19">
        <f>_xll.BDH("ITCI US Equity","GROSS_PROFIT","FQ4 2022","FQ4 2022","Currency=USD","Period=FQ","BEST_FPERIOD_OVERRIDE=FQ","FILING_STATUS=MR","SCALING_FORMAT=MLN","FA_ADJUSTED=Adjusted","Sort=A","Dates=H","DateFormat=P","Fill=—","Direction=H","UseDPDF=Y")</f>
        <v>81.081000000000003</v>
      </c>
      <c r="R11" s="19">
        <f>_xll.BDH("ITCI US Equity","GROSS_PROFIT","FQ1 2023","FQ1 2023","Currency=USD","Period=FQ","BEST_FPERIOD_OVERRIDE=FQ","FILING_STATUS=MR","SCALING_FORMAT=MLN","FA_ADJUSTED=Adjusted","Sort=A","Dates=H","DateFormat=P","Fill=—","Direction=H","UseDPDF=Y")</f>
        <v>88.555000000000007</v>
      </c>
      <c r="S11" s="19">
        <f>_xll.BDH("ITCI US Equity","GROSS_PROFIT","FQ2 2023","FQ2 2023","Currency=USD","Period=FQ","BEST_FPERIOD_OVERRIDE=FQ","FILING_STATUS=MR","SCALING_FORMAT=MLN","FA_ADJUSTED=Adjusted","Sort=A","Dates=H","DateFormat=P","Fill=—","Direction=H","UseDPDF=Y")</f>
        <v>103.629</v>
      </c>
      <c r="T11" s="19">
        <f>_xll.BDH("ITCI US Equity","GROSS_PROFIT","FQ3 2023","FQ3 2023","Currency=USD","Period=FQ","BEST_FPERIOD_OVERRIDE=FQ","FILING_STATUS=MR","SCALING_FORMAT=MLN","FA_ADJUSTED=Adjusted","Sort=A","Dates=H","DateFormat=P","Fill=—","Direction=H","UseDPDF=Y")</f>
        <v>117.044</v>
      </c>
      <c r="U11" s="19">
        <f>_xll.BDH("ITCI US Equity","GROSS_PROFIT","FQ4 2023","FQ4 2023","Currency=USD","Period=FQ","BEST_FPERIOD_OVERRIDE=FQ","FILING_STATUS=MR","SCALING_FORMAT=MLN","FA_ADJUSTED=Adjusted","Sort=A","Dates=H","DateFormat=P","Fill=—","Direction=H","UseDPDF=Y")</f>
        <v>121.39700000000001</v>
      </c>
      <c r="V11" s="19">
        <f>_xll.BDH("ITCI US Equity","GROSS_PROFIT","FQ1 2024","FQ1 2024","Currency=USD","Period=FQ","BEST_FPERIOD_OVERRIDE=FQ","FILING_STATUS=MR","SCALING_FORMAT=MLN","FA_ADJUSTED=Adjusted","Sort=A","Dates=H","DateFormat=P","Fill=—","Direction=H","UseDPDF=Y")</f>
        <v>134.96600000000001</v>
      </c>
      <c r="W11" s="19">
        <f>_xll.BDH("ITCI US Equity","GROSS_PROFIT","FQ2 2024","FQ2 2024","Currency=USD","Period=FQ","BEST_FPERIOD_OVERRIDE=FQ","FILING_STATUS=MR","SCALING_FORMAT=MLN","FA_ADJUSTED=Adjusted","Sort=A","Dates=H","DateFormat=P","Fill=—","Direction=H","UseDPDF=Y")</f>
        <v>150.03399999999999</v>
      </c>
      <c r="X11" s="19">
        <f>_xll.BDH("ITCI US Equity","GROSS_PROFIT","FQ3 2024","FQ3 2024","Currency=USD","Period=FQ","BEST_FPERIOD_OVERRIDE=FQ","FILING_STATUS=MR","SCALING_FORMAT=MLN","FA_ADJUSTED=Adjusted","Sort=A","Dates=H","DateFormat=P","Fill=—","Direction=H","UseDPDF=Y")</f>
        <v>160.071</v>
      </c>
      <c r="Y11" s="19">
        <f>_xll.BDH("ITCI US Equity","GROSS_PROFIT","FQ4 2024","FQ4 2024","Currency=USD","Period=FQ","BEST_FPERIOD_OVERRIDE=FQ","FILING_STATUS=MR","SCALING_FORMAT=MLN","FA_ADJUSTED=Adjusted","Sort=A","Dates=H","DateFormat=P","Fill=—","Direction=H","UseDPDF=Y")</f>
        <v>178.81800000000001</v>
      </c>
      <c r="Z11" s="19">
        <v>188.58437499999999</v>
      </c>
      <c r="AA11" s="19">
        <v>202.46549999999999</v>
      </c>
    </row>
    <row r="12" spans="1:27" x14ac:dyDescent="0.25">
      <c r="A12" s="10" t="s">
        <v>288</v>
      </c>
      <c r="B12" s="10" t="s">
        <v>289</v>
      </c>
      <c r="C12" s="13">
        <f>_xll.BDH("ITCI US Equity","IS_OTHER_OPER_INC","FQ2 2019","FQ2 2019","Currency=USD","Period=FQ","BEST_FPERIOD_OVERRIDE=FQ","FILING_STATUS=MR","SCALING_FORMAT=MLN","FA_ADJUSTED=Adjusted","Sort=A","Dates=H","DateFormat=P","Fill=—","Direction=H","UseDPDF=Y")</f>
        <v>0</v>
      </c>
      <c r="D12" s="13">
        <f>_xll.BDH("ITCI US Equity","IS_OTHER_OPER_INC","FQ3 2019","FQ3 2019","Currency=USD","Period=FQ","BEST_FPERIOD_OVERRIDE=FQ","FILING_STATUS=MR","SCALING_FORMAT=MLN","FA_ADJUSTED=Adjusted","Sort=A","Dates=H","DateFormat=P","Fill=—","Direction=H","UseDPDF=Y")</f>
        <v>0</v>
      </c>
      <c r="E12" s="13">
        <f>_xll.BDH("ITCI US Equity","IS_OTHER_OPER_INC","FQ4 2019","FQ4 2019","Currency=USD","Period=FQ","BEST_FPERIOD_OVERRIDE=FQ","FILING_STATUS=MR","SCALING_FORMAT=MLN","FA_ADJUSTED=Adjusted","Sort=A","Dates=H","DateFormat=P","Fill=—","Direction=H","UseDPDF=Y")</f>
        <v>0</v>
      </c>
      <c r="F12" s="13">
        <f>_xll.BDH("ITCI US Equity","IS_OTHER_OPER_INC","FQ1 2020","FQ1 2020","Currency=USD","Period=FQ","BEST_FPERIOD_OVERRIDE=FQ","FILING_STATUS=MR","SCALING_FORMAT=MLN","FA_ADJUSTED=Adjusted","Sort=A","Dates=H","DateFormat=P","Fill=—","Direction=H","UseDPDF=Y")</f>
        <v>0</v>
      </c>
      <c r="G12" s="13">
        <f>_xll.BDH("ITCI US Equity","IS_OTHER_OPER_INC","FQ2 2020","FQ2 2020","Currency=USD","Period=FQ","BEST_FPERIOD_OVERRIDE=FQ","FILING_STATUS=MR","SCALING_FORMAT=MLN","FA_ADJUSTED=Adjusted","Sort=A","Dates=H","DateFormat=P","Fill=—","Direction=H","UseDPDF=Y")</f>
        <v>0</v>
      </c>
      <c r="H12" s="13">
        <f>_xll.BDH("ITCI US Equity","IS_OTHER_OPER_INC","FQ3 2020","FQ3 2020","Currency=USD","Period=FQ","BEST_FPERIOD_OVERRIDE=FQ","FILING_STATUS=MR","SCALING_FORMAT=MLN","FA_ADJUSTED=Adjusted","Sort=A","Dates=H","DateFormat=P","Fill=—","Direction=H","UseDPDF=Y")</f>
        <v>0</v>
      </c>
      <c r="I12" s="13">
        <f>_xll.BDH("ITCI US Equity","IS_OTHER_OPER_INC","FQ4 2020","FQ4 2020","Currency=USD","Period=FQ","BEST_FPERIOD_OVERRIDE=FQ","FILING_STATUS=MR","SCALING_FORMAT=MLN","FA_ADJUSTED=Adjusted","Sort=A","Dates=H","DateFormat=P","Fill=—","Direction=H","UseDPDF=Y")</f>
        <v>0</v>
      </c>
      <c r="J12" s="13">
        <f>_xll.BDH("ITCI US Equity","IS_OTHER_OPER_INC","FQ1 2021","FQ1 2021","Currency=USD","Period=FQ","BEST_FPERIOD_OVERRIDE=FQ","FILING_STATUS=MR","SCALING_FORMAT=MLN","FA_ADJUSTED=Adjusted","Sort=A","Dates=H","DateFormat=P","Fill=—","Direction=H","UseDPDF=Y")</f>
        <v>0</v>
      </c>
      <c r="K12" s="13">
        <f>_xll.BDH("ITCI US Equity","IS_OTHER_OPER_INC","FQ2 2021","FQ2 2021","Currency=USD","Period=FQ","BEST_FPERIOD_OVERRIDE=FQ","FILING_STATUS=MR","SCALING_FORMAT=MLN","FA_ADJUSTED=Adjusted","Sort=A","Dates=H","DateFormat=P","Fill=—","Direction=H","UseDPDF=Y")</f>
        <v>0</v>
      </c>
      <c r="L12" s="13">
        <f>_xll.BDH("ITCI US Equity","IS_OTHER_OPER_INC","FQ3 2021","FQ3 2021","Currency=USD","Period=FQ","BEST_FPERIOD_OVERRIDE=FQ","FILING_STATUS=MR","SCALING_FORMAT=MLN","FA_ADJUSTED=Adjusted","Sort=A","Dates=H","DateFormat=P","Fill=—","Direction=H","UseDPDF=Y")</f>
        <v>0</v>
      </c>
      <c r="M12" s="13">
        <f>_xll.BDH("ITCI US Equity","IS_OTHER_OPER_INC","FQ4 2021","FQ4 2021","Currency=USD","Period=FQ","BEST_FPERIOD_OVERRIDE=FQ","FILING_STATUS=MR","SCALING_FORMAT=MLN","FA_ADJUSTED=Adjusted","Sort=A","Dates=H","DateFormat=P","Fill=—","Direction=H","UseDPDF=Y")</f>
        <v>0</v>
      </c>
      <c r="N12" s="13">
        <f>_xll.BDH("ITCI US Equity","IS_OTHER_OPER_INC","FQ1 2022","FQ1 2022","Currency=USD","Period=FQ","BEST_FPERIOD_OVERRIDE=FQ","FILING_STATUS=MR","SCALING_FORMAT=MLN","FA_ADJUSTED=Adjusted","Sort=A","Dates=H","DateFormat=P","Fill=—","Direction=H","UseDPDF=Y")</f>
        <v>0</v>
      </c>
      <c r="O12" s="13">
        <f>_xll.BDH("ITCI US Equity","IS_OTHER_OPER_INC","FQ2 2022","FQ2 2022","Currency=USD","Period=FQ","BEST_FPERIOD_OVERRIDE=FQ","FILING_STATUS=MR","SCALING_FORMAT=MLN","FA_ADJUSTED=Adjusted","Sort=A","Dates=H","DateFormat=P","Fill=—","Direction=H","UseDPDF=Y")</f>
        <v>0</v>
      </c>
      <c r="P12" s="13">
        <f>_xll.BDH("ITCI US Equity","IS_OTHER_OPER_INC","FQ3 2022","FQ3 2022","Currency=USD","Period=FQ","BEST_FPERIOD_OVERRIDE=FQ","FILING_STATUS=MR","SCALING_FORMAT=MLN","FA_ADJUSTED=Adjusted","Sort=A","Dates=H","DateFormat=P","Fill=—","Direction=H","UseDPDF=Y")</f>
        <v>0</v>
      </c>
      <c r="Q12" s="13">
        <f>_xll.BDH("ITCI US Equity","IS_OTHER_OPER_INC","FQ4 2022","FQ4 2022","Currency=USD","Period=FQ","BEST_FPERIOD_OVERRIDE=FQ","FILING_STATUS=MR","SCALING_FORMAT=MLN","FA_ADJUSTED=Adjusted","Sort=A","Dates=H","DateFormat=P","Fill=—","Direction=H","UseDPDF=Y")</f>
        <v>0</v>
      </c>
      <c r="R12" s="13">
        <f>_xll.BDH("ITCI US Equity","IS_OTHER_OPER_INC","FQ1 2023","FQ1 2023","Currency=USD","Period=FQ","BEST_FPERIOD_OVERRIDE=FQ","FILING_STATUS=MR","SCALING_FORMAT=MLN","FA_ADJUSTED=Adjusted","Sort=A","Dates=H","DateFormat=P","Fill=—","Direction=H","UseDPDF=Y")</f>
        <v>0</v>
      </c>
      <c r="S12" s="13">
        <f>_xll.BDH("ITCI US Equity","IS_OTHER_OPER_INC","FQ2 2023","FQ2 2023","Currency=USD","Period=FQ","BEST_FPERIOD_OVERRIDE=FQ","FILING_STATUS=MR","SCALING_FORMAT=MLN","FA_ADJUSTED=Adjusted","Sort=A","Dates=H","DateFormat=P","Fill=—","Direction=H","UseDPDF=Y")</f>
        <v>0</v>
      </c>
      <c r="T12" s="13">
        <f>_xll.BDH("ITCI US Equity","IS_OTHER_OPER_INC","FQ3 2023","FQ3 2023","Currency=USD","Period=FQ","BEST_FPERIOD_OVERRIDE=FQ","FILING_STATUS=MR","SCALING_FORMAT=MLN","FA_ADJUSTED=Adjusted","Sort=A","Dates=H","DateFormat=P","Fill=—","Direction=H","UseDPDF=Y")</f>
        <v>0</v>
      </c>
      <c r="U12" s="13">
        <f>_xll.BDH("ITCI US Equity","IS_OTHER_OPER_INC","FQ4 2023","FQ4 2023","Currency=USD","Period=FQ","BEST_FPERIOD_OVERRIDE=FQ","FILING_STATUS=MR","SCALING_FORMAT=MLN","FA_ADJUSTED=Adjusted","Sort=A","Dates=H","DateFormat=P","Fill=—","Direction=H","UseDPDF=Y")</f>
        <v>0</v>
      </c>
      <c r="V12" s="13">
        <f>_xll.BDH("ITCI US Equity","IS_OTHER_OPER_INC","FQ1 2024","FQ1 2024","Currency=USD","Period=FQ","BEST_FPERIOD_OVERRIDE=FQ","FILING_STATUS=MR","SCALING_FORMAT=MLN","FA_ADJUSTED=Adjusted","Sort=A","Dates=H","DateFormat=P","Fill=—","Direction=H","UseDPDF=Y")</f>
        <v>0</v>
      </c>
      <c r="W12" s="13">
        <f>_xll.BDH("ITCI US Equity","IS_OTHER_OPER_INC","FQ2 2024","FQ2 2024","Currency=USD","Period=FQ","BEST_FPERIOD_OVERRIDE=FQ","FILING_STATUS=MR","SCALING_FORMAT=MLN","FA_ADJUSTED=Adjusted","Sort=A","Dates=H","DateFormat=P","Fill=—","Direction=H","UseDPDF=Y")</f>
        <v>0</v>
      </c>
      <c r="X12" s="13">
        <f>_xll.BDH("ITCI US Equity","IS_OTHER_OPER_INC","FQ3 2024","FQ3 2024","Currency=USD","Period=FQ","BEST_FPERIOD_OVERRIDE=FQ","FILING_STATUS=MR","SCALING_FORMAT=MLN","FA_ADJUSTED=Adjusted","Sort=A","Dates=H","DateFormat=P","Fill=—","Direction=H","UseDPDF=Y")</f>
        <v>0</v>
      </c>
      <c r="Y12" s="13">
        <f>_xll.BDH("ITCI US Equity","IS_OTHER_OPER_INC","FQ4 2024","FQ4 2024","Currency=USD","Period=FQ","BEST_FPERIOD_OVERRIDE=FQ","FILING_STATUS=MR","SCALING_FORMAT=MLN","FA_ADJUSTED=Adjusted","Sort=A","Dates=H","DateFormat=P","Fill=—","Direction=H","UseDPDF=Y")</f>
        <v>0</v>
      </c>
      <c r="Z12" s="13"/>
      <c r="AA12" s="13"/>
    </row>
    <row r="13" spans="1:27" x14ac:dyDescent="0.25">
      <c r="A13" s="10" t="s">
        <v>290</v>
      </c>
      <c r="B13" s="10" t="s">
        <v>291</v>
      </c>
      <c r="C13" s="13">
        <f>_xll.BDH("ITCI US Equity","IS_OPERATING_EXPN","FQ2 2019","FQ2 2019","Currency=USD","Period=FQ","BEST_FPERIOD_OVERRIDE=FQ","FILING_STATUS=MR","SCALING_FORMAT=MLN","FA_ADJUSTED=Adjusted","Sort=A","Dates=H","DateFormat=P","Fill=—","Direction=H","UseDPDF=Y")</f>
        <v>39.171100000000003</v>
      </c>
      <c r="D13" s="13">
        <f>_xll.BDH("ITCI US Equity","IS_OPERATING_EXPN","FQ3 2019","FQ3 2019","Currency=USD","Period=FQ","BEST_FPERIOD_OVERRIDE=FQ","FILING_STATUS=MR","SCALING_FORMAT=MLN","FA_ADJUSTED=Adjusted","Sort=A","Dates=H","DateFormat=P","Fill=—","Direction=H","UseDPDF=Y")</f>
        <v>36.376199999999997</v>
      </c>
      <c r="E13" s="13">
        <f>_xll.BDH("ITCI US Equity","IS_OPERATING_EXPN","FQ4 2019","FQ4 2019","Currency=USD","Period=FQ","BEST_FPERIOD_OVERRIDE=FQ","FILING_STATUS=MR","SCALING_FORMAT=MLN","FA_ADJUSTED=Adjusted","Sort=A","Dates=H","DateFormat=P","Fill=—","Direction=H","UseDPDF=Y")</f>
        <v>41.829300000000003</v>
      </c>
      <c r="F13" s="13">
        <f>_xll.BDH("ITCI US Equity","IS_OPERATING_EXPN","FQ1 2020","FQ1 2020","Currency=USD","Period=FQ","BEST_FPERIOD_OVERRIDE=FQ","FILING_STATUS=MR","SCALING_FORMAT=MLN","FA_ADJUSTED=Adjusted","Sort=A","Dates=H","DateFormat=P","Fill=—","Direction=H","UseDPDF=Y")</f>
        <v>50.099699999999999</v>
      </c>
      <c r="G13" s="13">
        <f>_xll.BDH("ITCI US Equity","IS_OPERATING_EXPN","FQ2 2020","FQ2 2020","Currency=USD","Period=FQ","BEST_FPERIOD_OVERRIDE=FQ","FILING_STATUS=MR","SCALING_FORMAT=MLN","FA_ADJUSTED=Adjusted","Sort=A","Dates=H","DateFormat=P","Fill=—","Direction=H","UseDPDF=Y")</f>
        <v>66.650400000000005</v>
      </c>
      <c r="H13" s="13">
        <f>_xll.BDH("ITCI US Equity","IS_OPERATING_EXPN","FQ3 2020","FQ3 2020","Currency=USD","Period=FQ","BEST_FPERIOD_OVERRIDE=FQ","FILING_STATUS=MR","SCALING_FORMAT=MLN","FA_ADJUSTED=Adjusted","Sort=A","Dates=H","DateFormat=P","Fill=—","Direction=H","UseDPDF=Y")</f>
        <v>62.748899999999999</v>
      </c>
      <c r="I13" s="13">
        <f>_xll.BDH("ITCI US Equity","IS_OPERATING_EXPN","FQ4 2020","FQ4 2020","Currency=USD","Period=FQ","BEST_FPERIOD_OVERRIDE=FQ","FILING_STATUS=MR","SCALING_FORMAT=MLN","FA_ADJUSTED=Adjusted","Sort=A","Dates=H","DateFormat=P","Fill=—","Direction=H","UseDPDF=Y")</f>
        <v>72.646500000000003</v>
      </c>
      <c r="J13" s="13">
        <f>_xll.BDH("ITCI US Equity","IS_OPERATING_EXPN","FQ1 2021","FQ1 2021","Currency=USD","Period=FQ","BEST_FPERIOD_OVERRIDE=FQ","FILING_STATUS=MR","SCALING_FORMAT=MLN","FA_ADJUSTED=Adjusted","Sort=A","Dates=H","DateFormat=P","Fill=—","Direction=H","UseDPDF=Y")</f>
        <v>67.641800000000003</v>
      </c>
      <c r="K13" s="13">
        <f>_xll.BDH("ITCI US Equity","IS_OPERATING_EXPN","FQ2 2021","FQ2 2021","Currency=USD","Period=FQ","BEST_FPERIOD_OVERRIDE=FQ","FILING_STATUS=MR","SCALING_FORMAT=MLN","FA_ADJUSTED=Adjusted","Sort=A","Dates=H","DateFormat=P","Fill=—","Direction=H","UseDPDF=Y")</f>
        <v>87.147599999999997</v>
      </c>
      <c r="L13" s="13">
        <f>_xll.BDH("ITCI US Equity","IS_OPERATING_EXPN","FQ3 2021","FQ3 2021","Currency=USD","Period=FQ","BEST_FPERIOD_OVERRIDE=FQ","FILING_STATUS=MR","SCALING_FORMAT=MLN","FA_ADJUSTED=Adjusted","Sort=A","Dates=H","DateFormat=P","Fill=—","Direction=H","UseDPDF=Y")</f>
        <v>97.529700000000005</v>
      </c>
      <c r="M13" s="13">
        <f>_xll.BDH("ITCI US Equity","IS_OPERATING_EXPN","FQ4 2021","FQ4 2021","Currency=USD","Period=FQ","BEST_FPERIOD_OVERRIDE=FQ","FILING_STATUS=MR","SCALING_FORMAT=MLN","FA_ADJUSTED=Adjusted","Sort=A","Dates=H","DateFormat=P","Fill=—","Direction=H","UseDPDF=Y")</f>
        <v>109.1375</v>
      </c>
      <c r="N13" s="13">
        <f>_xll.BDH("ITCI US Equity","IS_OPERATING_EXPN","FQ1 2022","FQ1 2022","Currency=USD","Period=FQ","BEST_FPERIOD_OVERRIDE=FQ","FILING_STATUS=MR","SCALING_FORMAT=MLN","FA_ADJUSTED=Adjusted","Sort=A","Dates=H","DateFormat=P","Fill=—","Direction=H","UseDPDF=Y")</f>
        <v>104.503</v>
      </c>
      <c r="O13" s="13">
        <f>_xll.BDH("ITCI US Equity","IS_OPERATING_EXPN","FQ2 2022","FQ2 2022","Currency=USD","Period=FQ","BEST_FPERIOD_OVERRIDE=FQ","FILING_STATUS=MR","SCALING_FORMAT=MLN","FA_ADJUSTED=Adjusted","Sort=A","Dates=H","DateFormat=P","Fill=—","Direction=H","UseDPDF=Y")</f>
        <v>138.852</v>
      </c>
      <c r="P13" s="13">
        <f>_xll.BDH("ITCI US Equity","IS_OPERATING_EXPN","FQ3 2022","FQ3 2022","Currency=USD","Period=FQ","BEST_FPERIOD_OVERRIDE=FQ","FILING_STATUS=MR","SCALING_FORMAT=MLN","FA_ADJUSTED=Adjusted","Sort=A","Dates=H","DateFormat=P","Fill=—","Direction=H","UseDPDF=Y")</f>
        <v>121.649</v>
      </c>
      <c r="Q13" s="13">
        <f>_xll.BDH("ITCI US Equity","IS_OPERATING_EXPN","FQ4 2022","FQ4 2022","Currency=USD","Period=FQ","BEST_FPERIOD_OVERRIDE=FQ","FILING_STATUS=MR","SCALING_FORMAT=MLN","FA_ADJUSTED=Adjusted","Sort=A","Dates=H","DateFormat=P","Fill=—","Direction=H","UseDPDF=Y")</f>
        <v>128.49299999999999</v>
      </c>
      <c r="R13" s="13">
        <f>_xll.BDH("ITCI US Equity","IS_OPERATING_EXPN","FQ1 2023","FQ1 2023","Currency=USD","Period=FQ","BEST_FPERIOD_OVERRIDE=FQ","FILING_STATUS=MR","SCALING_FORMAT=MLN","FA_ADJUSTED=Adjusted","Sort=A","Dates=H","DateFormat=P","Fill=—","Direction=H","UseDPDF=Y")</f>
        <v>136.947</v>
      </c>
      <c r="S13" s="13">
        <f>_xll.BDH("ITCI US Equity","IS_OPERATING_EXPN","FQ2 2023","FQ2 2023","Currency=USD","Period=FQ","BEST_FPERIOD_OVERRIDE=FQ","FILING_STATUS=MR","SCALING_FORMAT=MLN","FA_ADJUSTED=Adjusted","Sort=A","Dates=H","DateFormat=P","Fill=—","Direction=H","UseDPDF=Y")</f>
        <v>150.80799999999999</v>
      </c>
      <c r="T13" s="13">
        <f>_xll.BDH("ITCI US Equity","IS_OPERATING_EXPN","FQ3 2023","FQ3 2023","Currency=USD","Period=FQ","BEST_FPERIOD_OVERRIDE=FQ","FILING_STATUS=MR","SCALING_FORMAT=MLN","FA_ADJUSTED=Adjusted","Sort=A","Dates=H","DateFormat=P","Fill=—","Direction=H","UseDPDF=Y")</f>
        <v>146.75700000000001</v>
      </c>
      <c r="U13" s="13">
        <f>_xll.BDH("ITCI US Equity","IS_OPERATING_EXPN","FQ4 2023","FQ4 2023","Currency=USD","Period=FQ","BEST_FPERIOD_OVERRIDE=FQ","FILING_STATUS=MR","SCALING_FORMAT=MLN","FA_ADJUSTED=Adjusted","Sort=A","Dates=H","DateFormat=P","Fill=—","Direction=H","UseDPDF=Y")</f>
        <v>155.494</v>
      </c>
      <c r="V13" s="13">
        <f>_xll.BDH("ITCI US Equity","IS_OPERATING_EXPN","FQ1 2024","FQ1 2024","Currency=USD","Period=FQ","BEST_FPERIOD_OVERRIDE=FQ","FILING_STATUS=MR","SCALING_FORMAT=MLN","FA_ADJUSTED=Adjusted","Sort=A","Dates=H","DateFormat=P","Fill=—","Direction=H","UseDPDF=Y")</f>
        <v>155.91800000000001</v>
      </c>
      <c r="W13" s="13">
        <f>_xll.BDH("ITCI US Equity","IS_OPERATING_EXPN","FQ2 2024","FQ2 2024","Currency=USD","Period=FQ","BEST_FPERIOD_OVERRIDE=FQ","FILING_STATUS=MR","SCALING_FORMAT=MLN","FA_ADJUSTED=Adjusted","Sort=A","Dates=H","DateFormat=P","Fill=—","Direction=H","UseDPDF=Y")</f>
        <v>177.75700000000001</v>
      </c>
      <c r="X13" s="13">
        <f>_xll.BDH("ITCI US Equity","IS_OPERATING_EXPN","FQ3 2024","FQ3 2024","Currency=USD","Period=FQ","BEST_FPERIOD_OVERRIDE=FQ","FILING_STATUS=MR","SCALING_FORMAT=MLN","FA_ADJUSTED=Adjusted","Sort=A","Dates=H","DateFormat=P","Fill=—","Direction=H","UseDPDF=Y")</f>
        <v>198.92</v>
      </c>
      <c r="Y13" s="13">
        <f>_xll.BDH("ITCI US Equity","IS_OPERATING_EXPN","FQ4 2024","FQ4 2024","Currency=USD","Period=FQ","BEST_FPERIOD_OVERRIDE=FQ","FILING_STATUS=MR","SCALING_FORMAT=MLN","FA_ADJUSTED=Adjusted","Sort=A","Dates=H","DateFormat=P","Fill=—","Direction=H","UseDPDF=Y")</f>
        <v>208.01499999999999</v>
      </c>
      <c r="Z13" s="13"/>
      <c r="AA13" s="13"/>
    </row>
    <row r="14" spans="1:27" x14ac:dyDescent="0.25">
      <c r="A14" s="10" t="s">
        <v>292</v>
      </c>
      <c r="B14" s="10" t="s">
        <v>293</v>
      </c>
      <c r="C14" s="13">
        <f>_xll.BDH("ITCI US Equity","IS_SGA_EXPENSE","FQ2 2019","FQ2 2019","Currency=USD","Period=FQ","BEST_FPERIOD_OVERRIDE=FQ","FILING_STATUS=MR","SCALING_FORMAT=MLN","FA_ADJUSTED=Adjusted","Sort=A","Dates=H","DateFormat=P","Fill=—","Direction=H","UseDPDF=Y")</f>
        <v>15.4427</v>
      </c>
      <c r="D14" s="13">
        <f>_xll.BDH("ITCI US Equity","IS_SGA_EXPENSE","FQ3 2019","FQ3 2019","Currency=USD","Period=FQ","BEST_FPERIOD_OVERRIDE=FQ","FILING_STATUS=MR","SCALING_FORMAT=MLN","FA_ADJUSTED=Adjusted","Sort=A","Dates=H","DateFormat=P","Fill=—","Direction=H","UseDPDF=Y")</f>
        <v>15.0364</v>
      </c>
      <c r="E14" s="13">
        <f>_xll.BDH("ITCI US Equity","IS_SGA_EXPENSE","FQ4 2019","FQ4 2019","Currency=USD","Period=FQ","BEST_FPERIOD_OVERRIDE=FQ","FILING_STATUS=MR","SCALING_FORMAT=MLN","FA_ADJUSTED=Adjusted","Sort=A","Dates=H","DateFormat=P","Fill=—","Direction=H","UseDPDF=Y")</f>
        <v>22.763500000000001</v>
      </c>
      <c r="F14" s="13">
        <f>_xll.BDH("ITCI US Equity","IS_SGA_EXPENSE","FQ1 2020","FQ1 2020","Currency=USD","Period=FQ","BEST_FPERIOD_OVERRIDE=FQ","FILING_STATUS=MR","SCALING_FORMAT=MLN","FA_ADJUSTED=Adjusted","Sort=A","Dates=H","DateFormat=P","Fill=—","Direction=H","UseDPDF=Y")</f>
        <v>34.096400000000003</v>
      </c>
      <c r="G14" s="13">
        <f>_xll.BDH("ITCI US Equity","IS_SGA_EXPENSE","FQ2 2020","FQ2 2020","Currency=USD","Period=FQ","BEST_FPERIOD_OVERRIDE=FQ","FILING_STATUS=MR","SCALING_FORMAT=MLN","FA_ADJUSTED=Adjusted","Sort=A","Dates=H","DateFormat=P","Fill=—","Direction=H","UseDPDF=Y")</f>
        <v>41.445599999999999</v>
      </c>
      <c r="H14" s="13">
        <f>_xll.BDH("ITCI US Equity","IS_SGA_EXPENSE","FQ3 2020","FQ3 2020","Currency=USD","Period=FQ","BEST_FPERIOD_OVERRIDE=FQ","FILING_STATUS=MR","SCALING_FORMAT=MLN","FA_ADJUSTED=Adjusted","Sort=A","Dates=H","DateFormat=P","Fill=—","Direction=H","UseDPDF=Y")</f>
        <v>52.473599999999998</v>
      </c>
      <c r="I14" s="13">
        <f>_xll.BDH("ITCI US Equity","IS_SGA_EXPENSE","FQ4 2020","FQ4 2020","Currency=USD","Period=FQ","BEST_FPERIOD_OVERRIDE=FQ","FILING_STATUS=MR","SCALING_FORMAT=MLN","FA_ADJUSTED=Adjusted","Sort=A","Dates=H","DateFormat=P","Fill=—","Direction=H","UseDPDF=Y")</f>
        <v>58.347900000000003</v>
      </c>
      <c r="J14" s="13">
        <f>_xll.BDH("ITCI US Equity","IS_SGA_EXPENSE","FQ1 2021","FQ1 2021","Currency=USD","Period=FQ","BEST_FPERIOD_OVERRIDE=FQ","FILING_STATUS=MR","SCALING_FORMAT=MLN","FA_ADJUSTED=Adjusted","Sort=A","Dates=H","DateFormat=P","Fill=—","Direction=H","UseDPDF=Y")</f>
        <v>52.583599999999997</v>
      </c>
      <c r="K14" s="13">
        <f>_xll.BDH("ITCI US Equity","IS_SGA_EXPENSE","FQ2 2021","FQ2 2021","Currency=USD","Period=FQ","BEST_FPERIOD_OVERRIDE=FQ","FILING_STATUS=MR","SCALING_FORMAT=MLN","FA_ADJUSTED=Adjusted","Sort=A","Dates=H","DateFormat=P","Fill=—","Direction=H","UseDPDF=Y")</f>
        <v>69.851200000000006</v>
      </c>
      <c r="L14" s="13">
        <f>_xll.BDH("ITCI US Equity","IS_SGA_EXPENSE","FQ3 2021","FQ3 2021","Currency=USD","Period=FQ","BEST_FPERIOD_OVERRIDE=FQ","FILING_STATUS=MR","SCALING_FORMAT=MLN","FA_ADJUSTED=Adjusted","Sort=A","Dates=H","DateFormat=P","Fill=—","Direction=H","UseDPDF=Y")</f>
        <v>70.497900000000001</v>
      </c>
      <c r="M14" s="13">
        <f>_xll.BDH("ITCI US Equity","IS_SGA_EXPENSE","FQ4 2021","FQ4 2021","Currency=USD","Period=FQ","BEST_FPERIOD_OVERRIDE=FQ","FILING_STATUS=MR","SCALING_FORMAT=MLN","FA_ADJUSTED=Adjusted","Sort=A","Dates=H","DateFormat=P","Fill=—","Direction=H","UseDPDF=Y")</f>
        <v>79.678399999999996</v>
      </c>
      <c r="N14" s="13">
        <f>_xll.BDH("ITCI US Equity","IS_SGA_EXPENSE","FQ1 2022","FQ1 2022","Currency=USD","Period=FQ","BEST_FPERIOD_OVERRIDE=FQ","FILING_STATUS=MR","SCALING_FORMAT=MLN","FA_ADJUSTED=Adjusted","Sort=A","Dates=H","DateFormat=P","Fill=—","Direction=H","UseDPDF=Y")</f>
        <v>75.459999999999994</v>
      </c>
      <c r="O14" s="13">
        <f>_xll.BDH("ITCI US Equity","IS_SGA_EXPENSE","FQ2 2022","FQ2 2022","Currency=USD","Period=FQ","BEST_FPERIOD_OVERRIDE=FQ","FILING_STATUS=MR","SCALING_FORMAT=MLN","FA_ADJUSTED=Adjusted","Sort=A","Dates=H","DateFormat=P","Fill=—","Direction=H","UseDPDF=Y")</f>
        <v>100.316</v>
      </c>
      <c r="P14" s="13">
        <f>_xll.BDH("ITCI US Equity","IS_SGA_EXPENSE","FQ3 2022","FQ3 2022","Currency=USD","Period=FQ","BEST_FPERIOD_OVERRIDE=FQ","FILING_STATUS=MR","SCALING_FORMAT=MLN","FA_ADJUSTED=Adjusted","Sort=A","Dates=H","DateFormat=P","Fill=—","Direction=H","UseDPDF=Y")</f>
        <v>88.375</v>
      </c>
      <c r="Q14" s="13">
        <f>_xll.BDH("ITCI US Equity","IS_SGA_EXPENSE","FQ4 2022","FQ4 2022","Currency=USD","Period=FQ","BEST_FPERIOD_OVERRIDE=FQ","FILING_STATUS=MR","SCALING_FORMAT=MLN","FA_ADJUSTED=Adjusted","Sort=A","Dates=H","DateFormat=P","Fill=—","Direction=H","UseDPDF=Y")</f>
        <v>94.631</v>
      </c>
      <c r="R14" s="13">
        <f>_xll.BDH("ITCI US Equity","IS_SGA_EXPENSE","FQ1 2023","FQ1 2023","Currency=USD","Period=FQ","BEST_FPERIOD_OVERRIDE=FQ","FILING_STATUS=MR","SCALING_FORMAT=MLN","FA_ADJUSTED=Adjusted","Sort=A","Dates=H","DateFormat=P","Fill=—","Direction=H","UseDPDF=Y")</f>
        <v>98.923000000000002</v>
      </c>
      <c r="S14" s="13">
        <f>_xll.BDH("ITCI US Equity","IS_SGA_EXPENSE","FQ2 2023","FQ2 2023","Currency=USD","Period=FQ","BEST_FPERIOD_OVERRIDE=FQ","FILING_STATUS=MR","SCALING_FORMAT=MLN","FA_ADJUSTED=Adjusted","Sort=A","Dates=H","DateFormat=P","Fill=—","Direction=H","UseDPDF=Y")</f>
        <v>101.014</v>
      </c>
      <c r="T14" s="13">
        <f>_xll.BDH("ITCI US Equity","IS_SGA_EXPENSE","FQ3 2023","FQ3 2023","Currency=USD","Period=FQ","BEST_FPERIOD_OVERRIDE=FQ","FILING_STATUS=MR","SCALING_FORMAT=MLN","FA_ADJUSTED=Adjusted","Sort=A","Dates=H","DateFormat=P","Fill=—","Direction=H","UseDPDF=Y")</f>
        <v>105.20699999999999</v>
      </c>
      <c r="U14" s="13">
        <f>_xll.BDH("ITCI US Equity","IS_SGA_EXPENSE","FQ4 2023","FQ4 2023","Currency=USD","Period=FQ","BEST_FPERIOD_OVERRIDE=FQ","FILING_STATUS=MR","SCALING_FORMAT=MLN","FA_ADJUSTED=Adjusted","Sort=A","Dates=H","DateFormat=P","Fill=—","Direction=H","UseDPDF=Y")</f>
        <v>104.72</v>
      </c>
      <c r="V14" s="13">
        <f>_xll.BDH("ITCI US Equity","IS_SGA_EXPENSE","FQ1 2024","FQ1 2024","Currency=USD","Period=FQ","BEST_FPERIOD_OVERRIDE=FQ","FILING_STATUS=MR","SCALING_FORMAT=MLN","FA_ADJUSTED=Adjusted","Sort=A","Dates=H","DateFormat=P","Fill=—","Direction=H","UseDPDF=Y")</f>
        <v>113.08499999999999</v>
      </c>
      <c r="W14" s="13">
        <f>_xll.BDH("ITCI US Equity","IS_SGA_EXPENSE","FQ2 2024","FQ2 2024","Currency=USD","Period=FQ","BEST_FPERIOD_OVERRIDE=FQ","FILING_STATUS=MR","SCALING_FORMAT=MLN","FA_ADJUSTED=Adjusted","Sort=A","Dates=H","DateFormat=P","Fill=—","Direction=H","UseDPDF=Y")</f>
        <v>121.574</v>
      </c>
      <c r="X14" s="13">
        <f>_xll.BDH("ITCI US Equity","IS_SGA_EXPENSE","FQ3 2024","FQ3 2024","Currency=USD","Period=FQ","BEST_FPERIOD_OVERRIDE=FQ","FILING_STATUS=MR","SCALING_FORMAT=MLN","FA_ADJUSTED=Adjusted","Sort=A","Dates=H","DateFormat=P","Fill=—","Direction=H","UseDPDF=Y")</f>
        <v>132.101</v>
      </c>
      <c r="Y14" s="13">
        <f>_xll.BDH("ITCI US Equity","IS_SGA_EXPENSE","FQ4 2024","FQ4 2024","Currency=USD","Period=FQ","BEST_FPERIOD_OVERRIDE=FQ","FILING_STATUS=MR","SCALING_FORMAT=MLN","FA_ADJUSTED=Adjusted","Sort=A","Dates=H","DateFormat=P","Fill=—","Direction=H","UseDPDF=Y")</f>
        <v>137.72900000000001</v>
      </c>
      <c r="Z14" s="13"/>
      <c r="AA14" s="13"/>
    </row>
    <row r="15" spans="1:27" x14ac:dyDescent="0.25">
      <c r="A15" s="11" t="s">
        <v>294</v>
      </c>
      <c r="B15" s="11" t="s">
        <v>295</v>
      </c>
      <c r="C15" s="25">
        <f>_xll.BDH("ITCI US Equity","IS_SELLING_EXPENSES","FQ2 2019","FQ2 2019","Currency=USD","Period=FQ","BEST_FPERIOD_OVERRIDE=FQ","FILING_STATUS=MR","SCALING_FORMAT=MLN","FA_ADJUSTED=Adjusted","Sort=A","Dates=H","DateFormat=P","Fill=—","Direction=H","UseDPDF=Y")</f>
        <v>7.7427000000000001</v>
      </c>
      <c r="D15" s="25">
        <f>_xll.BDH("ITCI US Equity","IS_SELLING_EXPENSES","FQ3 2019","FQ3 2019","Currency=USD","Period=FQ","BEST_FPERIOD_OVERRIDE=FQ","FILING_STATUS=MR","SCALING_FORMAT=MLN","FA_ADJUSTED=Adjusted","Sort=A","Dates=H","DateFormat=P","Fill=—","Direction=H","UseDPDF=Y")</f>
        <v>6.5625</v>
      </c>
      <c r="E15" s="25">
        <f>_xll.BDH("ITCI US Equity","IS_SELLING_EXPENSES","FQ4 2019","FQ4 2019","Currency=USD","Period=FQ","BEST_FPERIOD_OVERRIDE=FQ","FILING_STATUS=MR","SCALING_FORMAT=MLN","FA_ADJUSTED=Adjusted","Sort=A","Dates=H","DateFormat=P","Fill=—","Direction=H","UseDPDF=Y")</f>
        <v>13.163500000000001</v>
      </c>
      <c r="F15" s="25">
        <f>_xll.BDH("ITCI US Equity","IS_SELLING_EXPENSES","FQ1 2020","FQ1 2020","Currency=USD","Period=FQ","BEST_FPERIOD_OVERRIDE=FQ","FILING_STATUS=MR","SCALING_FORMAT=MLN","FA_ADJUSTED=Adjusted","Sort=A","Dates=H","DateFormat=P","Fill=—","Direction=H","UseDPDF=Y")</f>
        <v>20.796399999999998</v>
      </c>
      <c r="G15" s="25">
        <f>_xll.BDH("ITCI US Equity","IS_SELLING_EXPENSES","FQ2 2020","FQ2 2020","Currency=USD","Period=FQ","BEST_FPERIOD_OVERRIDE=FQ","FILING_STATUS=MR","SCALING_FORMAT=MLN","FA_ADJUSTED=Adjusted","Sort=A","Dates=H","DateFormat=P","Fill=—","Direction=H","UseDPDF=Y")</f>
        <v>28.345600000000001</v>
      </c>
      <c r="H15" s="25">
        <f>_xll.BDH("ITCI US Equity","IS_SELLING_EXPENSES","FQ3 2020","FQ3 2020","Currency=USD","Period=FQ","BEST_FPERIOD_OVERRIDE=FQ","FILING_STATUS=MR","SCALING_FORMAT=MLN","FA_ADJUSTED=Adjusted","Sort=A","Dates=H","DateFormat=P","Fill=—","Direction=H","UseDPDF=Y")</f>
        <v>38.273600000000002</v>
      </c>
      <c r="I15" s="25">
        <f>_xll.BDH("ITCI US Equity","IS_SELLING_EXPENSES","FQ4 2020","FQ4 2020","Currency=USD","Period=FQ","BEST_FPERIOD_OVERRIDE=FQ","FILING_STATUS=MR","SCALING_FORMAT=MLN","FA_ADJUSTED=Adjusted","Sort=A","Dates=H","DateFormat=P","Fill=—","Direction=H","UseDPDF=Y")</f>
        <v>44.947899999999997</v>
      </c>
      <c r="J15" s="25">
        <f>_xll.BDH("ITCI US Equity","IS_SELLING_EXPENSES","FQ1 2021","FQ1 2021","Currency=USD","Period=FQ","BEST_FPERIOD_OVERRIDE=FQ","FILING_STATUS=MR","SCALING_FORMAT=MLN","FA_ADJUSTED=Adjusted","Sort=A","Dates=H","DateFormat=P","Fill=—","Direction=H","UseDPDF=Y")</f>
        <v>38.2836</v>
      </c>
      <c r="K15" s="25">
        <f>_xll.BDH("ITCI US Equity","IS_SELLING_EXPENSES","FQ2 2021","FQ2 2021","Currency=USD","Period=FQ","BEST_FPERIOD_OVERRIDE=FQ","FILING_STATUS=MR","SCALING_FORMAT=MLN","FA_ADJUSTED=Adjusted","Sort=A","Dates=H","DateFormat=P","Fill=—","Direction=H","UseDPDF=Y")</f>
        <v>52.151200000000003</v>
      </c>
      <c r="L15" s="25">
        <f>_xll.BDH("ITCI US Equity","IS_SELLING_EXPENSES","FQ3 2021","FQ3 2021","Currency=USD","Period=FQ","BEST_FPERIOD_OVERRIDE=FQ","FILING_STATUS=MR","SCALING_FORMAT=MLN","FA_ADJUSTED=Adjusted","Sort=A","Dates=H","DateFormat=P","Fill=—","Direction=H","UseDPDF=Y")</f>
        <v>52.597900000000003</v>
      </c>
      <c r="M15" s="25">
        <f>_xll.BDH("ITCI US Equity","IS_SELLING_EXPENSES","FQ4 2021","FQ4 2021","Currency=USD","Period=FQ","BEST_FPERIOD_OVERRIDE=FQ","FILING_STATUS=MR","SCALING_FORMAT=MLN","FA_ADJUSTED=Adjusted","Sort=A","Dates=H","DateFormat=P","Fill=—","Direction=H","UseDPDF=Y")</f>
        <v>60.578400000000002</v>
      </c>
      <c r="N15" s="25">
        <f>_xll.BDH("ITCI US Equity","IS_SELLING_EXPENSES","FQ1 2022","FQ1 2022","Currency=USD","Period=FQ","BEST_FPERIOD_OVERRIDE=FQ","FILING_STATUS=MR","SCALING_FORMAT=MLN","FA_ADJUSTED=Adjusted","Sort=A","Dates=H","DateFormat=P","Fill=—","Direction=H","UseDPDF=Y")</f>
        <v>56.06</v>
      </c>
      <c r="O15" s="25">
        <f>_xll.BDH("ITCI US Equity","IS_SELLING_EXPENSES","FQ2 2022","FQ2 2022","Currency=USD","Period=FQ","BEST_FPERIOD_OVERRIDE=FQ","FILING_STATUS=MR","SCALING_FORMAT=MLN","FA_ADJUSTED=Adjusted","Sort=A","Dates=H","DateFormat=P","Fill=—","Direction=H","UseDPDF=Y")</f>
        <v>81.316000000000003</v>
      </c>
      <c r="P15" s="25">
        <f>_xll.BDH("ITCI US Equity","IS_SELLING_EXPENSES","FQ3 2022","FQ3 2022","Currency=USD","Period=FQ","BEST_FPERIOD_OVERRIDE=FQ","FILING_STATUS=MR","SCALING_FORMAT=MLN","FA_ADJUSTED=Adjusted","Sort=A","Dates=H","DateFormat=P","Fill=—","Direction=H","UseDPDF=Y")</f>
        <v>68.075000000000003</v>
      </c>
      <c r="Q15" s="25">
        <f>_xll.BDH("ITCI US Equity","IS_SELLING_EXPENSES","FQ4 2022","FQ4 2022","Currency=USD","Period=FQ","BEST_FPERIOD_OVERRIDE=FQ","FILING_STATUS=MR","SCALING_FORMAT=MLN","FA_ADJUSTED=Adjusted","Sort=A","Dates=H","DateFormat=P","Fill=—","Direction=H","UseDPDF=Y")</f>
        <v>72.331000000000003</v>
      </c>
      <c r="R15" s="25">
        <f>_xll.BDH("ITCI US Equity","IS_SELLING_EXPENSES","FQ1 2023","FQ1 2023","Currency=USD","Period=FQ","BEST_FPERIOD_OVERRIDE=FQ","FILING_STATUS=MR","SCALING_FORMAT=MLN","FA_ADJUSTED=Adjusted","Sort=A","Dates=H","DateFormat=P","Fill=—","Direction=H","UseDPDF=Y")</f>
        <v>76.522999999999996</v>
      </c>
      <c r="S15" s="25">
        <f>_xll.BDH("ITCI US Equity","IS_SELLING_EXPENSES","FQ2 2023","FQ2 2023","Currency=USD","Period=FQ","BEST_FPERIOD_OVERRIDE=FQ","FILING_STATUS=MR","SCALING_FORMAT=MLN","FA_ADJUSTED=Adjusted","Sort=A","Dates=H","DateFormat=P","Fill=—","Direction=H","UseDPDF=Y")</f>
        <v>76.114000000000004</v>
      </c>
      <c r="T15" s="25">
        <f>_xll.BDH("ITCI US Equity","IS_SELLING_EXPENSES","FQ3 2023","FQ3 2023","Currency=USD","Period=FQ","BEST_FPERIOD_OVERRIDE=FQ","FILING_STATUS=MR","SCALING_FORMAT=MLN","FA_ADJUSTED=Adjusted","Sort=A","Dates=H","DateFormat=P","Fill=—","Direction=H","UseDPDF=Y")</f>
        <v>80.906999999999996</v>
      </c>
      <c r="U15" s="25">
        <f>_xll.BDH("ITCI US Equity","IS_SELLING_EXPENSES","FQ4 2023","FQ4 2023","Currency=USD","Period=FQ","BEST_FPERIOD_OVERRIDE=FQ","FILING_STATUS=MR","SCALING_FORMAT=MLN","FA_ADJUSTED=Adjusted","Sort=A","Dates=H","DateFormat=P","Fill=—","Direction=H","UseDPDF=Y")</f>
        <v>90.92</v>
      </c>
      <c r="V15" s="25">
        <f>_xll.BDH("ITCI US Equity","IS_SELLING_EXPENSES","FQ1 2024","FQ1 2024","Currency=USD","Period=FQ","BEST_FPERIOD_OVERRIDE=FQ","FILING_STATUS=MR","SCALING_FORMAT=MLN","FA_ADJUSTED=Adjusted","Sort=A","Dates=H","DateFormat=P","Fill=—","Direction=H","UseDPDF=Y")</f>
        <v>87.685000000000002</v>
      </c>
      <c r="W15" s="25">
        <f>_xll.BDH("ITCI US Equity","IS_SELLING_EXPENSES","FQ2 2024","FQ2 2024","Currency=USD","Period=FQ","BEST_FPERIOD_OVERRIDE=FQ","FILING_STATUS=MR","SCALING_FORMAT=MLN","FA_ADJUSTED=Adjusted","Sort=A","Dates=H","DateFormat=P","Fill=—","Direction=H","UseDPDF=Y")</f>
        <v>92.873999999999995</v>
      </c>
      <c r="X15" s="25">
        <f>_xll.BDH("ITCI US Equity","IS_SELLING_EXPENSES","FQ3 2024","FQ3 2024","Currency=USD","Period=FQ","BEST_FPERIOD_OVERRIDE=FQ","FILING_STATUS=MR","SCALING_FORMAT=MLN","FA_ADJUSTED=Adjusted","Sort=A","Dates=H","DateFormat=P","Fill=—","Direction=H","UseDPDF=Y")</f>
        <v>98.700999999999993</v>
      </c>
      <c r="Y15" s="25">
        <f>_xll.BDH("ITCI US Equity","IS_SELLING_EXPENSES","FQ4 2024","FQ4 2024","Currency=USD","Period=FQ","BEST_FPERIOD_OVERRIDE=FQ","FILING_STATUS=MR","SCALING_FORMAT=MLN","FA_ADJUSTED=Adjusted","Sort=A","Dates=H","DateFormat=P","Fill=—","Direction=H","UseDPDF=Y")</f>
        <v>105.529</v>
      </c>
      <c r="Z15" s="25"/>
      <c r="AA15" s="25"/>
    </row>
    <row r="16" spans="1:27" x14ac:dyDescent="0.25">
      <c r="A16" s="11" t="s">
        <v>296</v>
      </c>
      <c r="B16" s="11" t="s">
        <v>297</v>
      </c>
      <c r="C16" s="25">
        <f>_xll.BDH("ITCI US Equity","IS_GENERAL_AND_ADMINISTRATIVE","FQ2 2019","FQ2 2019","Currency=USD","Period=FQ","BEST_FPERIOD_OVERRIDE=FQ","FILING_STATUS=MR","SCALING_FORMAT=MLN","FA_ADJUSTED=Adjusted","Sort=A","Dates=H","DateFormat=P","Fill=—","Direction=H","UseDPDF=Y")</f>
        <v>7.7</v>
      </c>
      <c r="D16" s="25">
        <f>_xll.BDH("ITCI US Equity","IS_GENERAL_AND_ADMINISTRATIVE","FQ3 2019","FQ3 2019","Currency=USD","Period=FQ","BEST_FPERIOD_OVERRIDE=FQ","FILING_STATUS=MR","SCALING_FORMAT=MLN","FA_ADJUSTED=Adjusted","Sort=A","Dates=H","DateFormat=P","Fill=—","Direction=H","UseDPDF=Y")</f>
        <v>8.4739000000000004</v>
      </c>
      <c r="E16" s="25">
        <f>_xll.BDH("ITCI US Equity","IS_GENERAL_AND_ADMINISTRATIVE","FQ4 2019","FQ4 2019","Currency=USD","Period=FQ","BEST_FPERIOD_OVERRIDE=FQ","FILING_STATUS=MR","SCALING_FORMAT=MLN","FA_ADJUSTED=Adjusted","Sort=A","Dates=H","DateFormat=P","Fill=—","Direction=H","UseDPDF=Y")</f>
        <v>9.6</v>
      </c>
      <c r="F16" s="25">
        <f>_xll.BDH("ITCI US Equity","IS_GENERAL_AND_ADMINISTRATIVE","FQ1 2020","FQ1 2020","Currency=USD","Period=FQ","BEST_FPERIOD_OVERRIDE=FQ","FILING_STATUS=MR","SCALING_FORMAT=MLN","FA_ADJUSTED=Adjusted","Sort=A","Dates=H","DateFormat=P","Fill=—","Direction=H","UseDPDF=Y")</f>
        <v>13.3</v>
      </c>
      <c r="G16" s="25">
        <f>_xll.BDH("ITCI US Equity","IS_GENERAL_AND_ADMINISTRATIVE","FQ2 2020","FQ2 2020","Currency=USD","Period=FQ","BEST_FPERIOD_OVERRIDE=FQ","FILING_STATUS=MR","SCALING_FORMAT=MLN","FA_ADJUSTED=Adjusted","Sort=A","Dates=H","DateFormat=P","Fill=—","Direction=H","UseDPDF=Y")</f>
        <v>13.1</v>
      </c>
      <c r="H16" s="25">
        <f>_xll.BDH("ITCI US Equity","IS_GENERAL_AND_ADMINISTRATIVE","FQ3 2020","FQ3 2020","Currency=USD","Period=FQ","BEST_FPERIOD_OVERRIDE=FQ","FILING_STATUS=MR","SCALING_FORMAT=MLN","FA_ADJUSTED=Adjusted","Sort=A","Dates=H","DateFormat=P","Fill=—","Direction=H","UseDPDF=Y")</f>
        <v>14.2</v>
      </c>
      <c r="I16" s="25">
        <f>_xll.BDH("ITCI US Equity","IS_GENERAL_AND_ADMINISTRATIVE","FQ4 2020","FQ4 2020","Currency=USD","Period=FQ","BEST_FPERIOD_OVERRIDE=FQ","FILING_STATUS=MR","SCALING_FORMAT=MLN","FA_ADJUSTED=Adjusted","Sort=A","Dates=H","DateFormat=P","Fill=—","Direction=H","UseDPDF=Y")</f>
        <v>13.4</v>
      </c>
      <c r="J16" s="25">
        <f>_xll.BDH("ITCI US Equity","IS_GENERAL_AND_ADMINISTRATIVE","FQ1 2021","FQ1 2021","Currency=USD","Period=FQ","BEST_FPERIOD_OVERRIDE=FQ","FILING_STATUS=MR","SCALING_FORMAT=MLN","FA_ADJUSTED=Adjusted","Sort=A","Dates=H","DateFormat=P","Fill=—","Direction=H","UseDPDF=Y")</f>
        <v>14.3</v>
      </c>
      <c r="K16" s="25">
        <f>_xll.BDH("ITCI US Equity","IS_GENERAL_AND_ADMINISTRATIVE","FQ2 2021","FQ2 2021","Currency=USD","Period=FQ","BEST_FPERIOD_OVERRIDE=FQ","FILING_STATUS=MR","SCALING_FORMAT=MLN","FA_ADJUSTED=Adjusted","Sort=A","Dates=H","DateFormat=P","Fill=—","Direction=H","UseDPDF=Y")</f>
        <v>17.7</v>
      </c>
      <c r="L16" s="25">
        <f>_xll.BDH("ITCI US Equity","IS_GENERAL_AND_ADMINISTRATIVE","FQ3 2021","FQ3 2021","Currency=USD","Period=FQ","BEST_FPERIOD_OVERRIDE=FQ","FILING_STATUS=MR","SCALING_FORMAT=MLN","FA_ADJUSTED=Adjusted","Sort=A","Dates=H","DateFormat=P","Fill=—","Direction=H","UseDPDF=Y")</f>
        <v>17.899999999999999</v>
      </c>
      <c r="M16" s="25">
        <f>_xll.BDH("ITCI US Equity","IS_GENERAL_AND_ADMINISTRATIVE","FQ4 2021","FQ4 2021","Currency=USD","Period=FQ","BEST_FPERIOD_OVERRIDE=FQ","FILING_STATUS=MR","SCALING_FORMAT=MLN","FA_ADJUSTED=Adjusted","Sort=A","Dates=H","DateFormat=P","Fill=—","Direction=H","UseDPDF=Y")</f>
        <v>19.100000000000001</v>
      </c>
      <c r="N16" s="25">
        <f>_xll.BDH("ITCI US Equity","IS_GENERAL_AND_ADMINISTRATIVE","FQ1 2022","FQ1 2022","Currency=USD","Period=FQ","BEST_FPERIOD_OVERRIDE=FQ","FILING_STATUS=MR","SCALING_FORMAT=MLN","FA_ADJUSTED=Adjusted","Sort=A","Dates=H","DateFormat=P","Fill=—","Direction=H","UseDPDF=Y")</f>
        <v>19.399999999999999</v>
      </c>
      <c r="O16" s="25">
        <f>_xll.BDH("ITCI US Equity","IS_GENERAL_AND_ADMINISTRATIVE","FQ2 2022","FQ2 2022","Currency=USD","Period=FQ","BEST_FPERIOD_OVERRIDE=FQ","FILING_STATUS=MR","SCALING_FORMAT=MLN","FA_ADJUSTED=Adjusted","Sort=A","Dates=H","DateFormat=P","Fill=—","Direction=H","UseDPDF=Y")</f>
        <v>19</v>
      </c>
      <c r="P16" s="25">
        <f>_xll.BDH("ITCI US Equity","IS_GENERAL_AND_ADMINISTRATIVE","FQ3 2022","FQ3 2022","Currency=USD","Period=FQ","BEST_FPERIOD_OVERRIDE=FQ","FILING_STATUS=MR","SCALING_FORMAT=MLN","FA_ADJUSTED=Adjusted","Sort=A","Dates=H","DateFormat=P","Fill=—","Direction=H","UseDPDF=Y")</f>
        <v>20.3</v>
      </c>
      <c r="Q16" s="25">
        <f>_xll.BDH("ITCI US Equity","IS_GENERAL_AND_ADMINISTRATIVE","FQ4 2022","FQ4 2022","Currency=USD","Period=FQ","BEST_FPERIOD_OVERRIDE=FQ","FILING_STATUS=MR","SCALING_FORMAT=MLN","FA_ADJUSTED=Adjusted","Sort=A","Dates=H","DateFormat=P","Fill=—","Direction=H","UseDPDF=Y")</f>
        <v>22.3</v>
      </c>
      <c r="R16" s="25">
        <f>_xll.BDH("ITCI US Equity","IS_GENERAL_AND_ADMINISTRATIVE","FQ1 2023","FQ1 2023","Currency=USD","Period=FQ","BEST_FPERIOD_OVERRIDE=FQ","FILING_STATUS=MR","SCALING_FORMAT=MLN","FA_ADJUSTED=Adjusted","Sort=A","Dates=H","DateFormat=P","Fill=—","Direction=H","UseDPDF=Y")</f>
        <v>22.4</v>
      </c>
      <c r="S16" s="25">
        <f>_xll.BDH("ITCI US Equity","IS_GENERAL_AND_ADMINISTRATIVE","FQ2 2023","FQ2 2023","Currency=USD","Period=FQ","BEST_FPERIOD_OVERRIDE=FQ","FILING_STATUS=MR","SCALING_FORMAT=MLN","FA_ADJUSTED=Adjusted","Sort=A","Dates=H","DateFormat=P","Fill=—","Direction=H","UseDPDF=Y")</f>
        <v>24.9</v>
      </c>
      <c r="T16" s="25">
        <f>_xll.BDH("ITCI US Equity","IS_GENERAL_AND_ADMINISTRATIVE","FQ3 2023","FQ3 2023","Currency=USD","Period=FQ","BEST_FPERIOD_OVERRIDE=FQ","FILING_STATUS=MR","SCALING_FORMAT=MLN","FA_ADJUSTED=Adjusted","Sort=A","Dates=H","DateFormat=P","Fill=—","Direction=H","UseDPDF=Y")</f>
        <v>24.3</v>
      </c>
      <c r="U16" s="25">
        <f>_xll.BDH("ITCI US Equity","IS_GENERAL_AND_ADMINISTRATIVE","FQ4 2023","FQ4 2023","Currency=USD","Period=FQ","BEST_FPERIOD_OVERRIDE=FQ","FILING_STATUS=MR","SCALING_FORMAT=MLN","FA_ADJUSTED=Adjusted","Sort=A","Dates=H","DateFormat=P","Fill=—","Direction=H","UseDPDF=Y")</f>
        <v>13.8</v>
      </c>
      <c r="V16" s="25">
        <f>_xll.BDH("ITCI US Equity","IS_GENERAL_AND_ADMINISTRATIVE","FQ1 2024","FQ1 2024","Currency=USD","Period=FQ","BEST_FPERIOD_OVERRIDE=FQ","FILING_STATUS=MR","SCALING_FORMAT=MLN","FA_ADJUSTED=Adjusted","Sort=A","Dates=H","DateFormat=P","Fill=—","Direction=H","UseDPDF=Y")</f>
        <v>25.4</v>
      </c>
      <c r="W16" s="25">
        <f>_xll.BDH("ITCI US Equity","IS_GENERAL_AND_ADMINISTRATIVE","FQ2 2024","FQ2 2024","Currency=USD","Period=FQ","BEST_FPERIOD_OVERRIDE=FQ","FILING_STATUS=MR","SCALING_FORMAT=MLN","FA_ADJUSTED=Adjusted","Sort=A","Dates=H","DateFormat=P","Fill=—","Direction=H","UseDPDF=Y")</f>
        <v>28.7</v>
      </c>
      <c r="X16" s="25">
        <f>_xll.BDH("ITCI US Equity","IS_GENERAL_AND_ADMINISTRATIVE","FQ3 2024","FQ3 2024","Currency=USD","Period=FQ","BEST_FPERIOD_OVERRIDE=FQ","FILING_STATUS=MR","SCALING_FORMAT=MLN","FA_ADJUSTED=Adjusted","Sort=A","Dates=H","DateFormat=P","Fill=—","Direction=H","UseDPDF=Y")</f>
        <v>33.4</v>
      </c>
      <c r="Y16" s="25">
        <f>_xll.BDH("ITCI US Equity","IS_GENERAL_AND_ADMINISTRATIVE","FQ4 2024","FQ4 2024","Currency=USD","Period=FQ","BEST_FPERIOD_OVERRIDE=FQ","FILING_STATUS=MR","SCALING_FORMAT=MLN","FA_ADJUSTED=Adjusted","Sort=A","Dates=H","DateFormat=P","Fill=—","Direction=H","UseDPDF=Y")</f>
        <v>32.200000000000003</v>
      </c>
      <c r="Z16" s="25"/>
      <c r="AA16" s="25"/>
    </row>
    <row r="17" spans="1:27" x14ac:dyDescent="0.25">
      <c r="A17" s="10" t="s">
        <v>298</v>
      </c>
      <c r="B17" s="10" t="s">
        <v>299</v>
      </c>
      <c r="C17" s="13">
        <f>_xll.BDH("ITCI US Equity","IS_OPERATING_EXPENSES_RD","FQ2 2019","FQ2 2019","Currency=USD","Period=FQ","BEST_FPERIOD_OVERRIDE=FQ","FILING_STATUS=MR","SCALING_FORMAT=MLN","Sort=A","Dates=H","DateFormat=P","Fill=—","Direction=H","UseDPDF=Y")</f>
        <v>23.7285</v>
      </c>
      <c r="D17" s="13">
        <f>_xll.BDH("ITCI US Equity","IS_OPERATING_EXPENSES_RD","FQ3 2019","FQ3 2019","Currency=USD","Period=FQ","BEST_FPERIOD_OVERRIDE=FQ","FILING_STATUS=MR","SCALING_FORMAT=MLN","Sort=A","Dates=H","DateFormat=P","Fill=—","Direction=H","UseDPDF=Y")</f>
        <v>21.3398</v>
      </c>
      <c r="E17" s="13">
        <f>_xll.BDH("ITCI US Equity","IS_OPERATING_EXPENSES_RD","FQ4 2019","FQ4 2019","Currency=USD","Period=FQ","BEST_FPERIOD_OVERRIDE=FQ","FILING_STATUS=MR","SCALING_FORMAT=MLN","Sort=A","Dates=H","DateFormat=P","Fill=—","Direction=H","UseDPDF=Y")</f>
        <v>19.0657</v>
      </c>
      <c r="F17" s="13">
        <f>_xll.BDH("ITCI US Equity","IS_OPERATING_EXPENSES_RD","FQ1 2020","FQ1 2020","Currency=USD","Period=FQ","BEST_FPERIOD_OVERRIDE=FQ","FILING_STATUS=MR","SCALING_FORMAT=MLN","Sort=A","Dates=H","DateFormat=P","Fill=—","Direction=H","UseDPDF=Y")</f>
        <v>16.003299999999999</v>
      </c>
      <c r="G17" s="13">
        <f>_xll.BDH("ITCI US Equity","IS_OPERATING_EXPENSES_RD","FQ2 2020","FQ2 2020","Currency=USD","Period=FQ","BEST_FPERIOD_OVERRIDE=FQ","FILING_STATUS=MR","SCALING_FORMAT=MLN","Sort=A","Dates=H","DateFormat=P","Fill=—","Direction=H","UseDPDF=Y")</f>
        <v>25.204899999999999</v>
      </c>
      <c r="H17" s="13">
        <f>_xll.BDH("ITCI US Equity","IS_OPERATING_EXPENSES_RD","FQ3 2020","FQ3 2020","Currency=USD","Period=FQ","BEST_FPERIOD_OVERRIDE=FQ","FILING_STATUS=MR","SCALING_FORMAT=MLN","Sort=A","Dates=H","DateFormat=P","Fill=—","Direction=H","UseDPDF=Y")</f>
        <v>10.275399999999999</v>
      </c>
      <c r="I17" s="13">
        <f>_xll.BDH("ITCI US Equity","IS_OPERATING_EXPENSES_RD","FQ4 2020","FQ4 2020","Currency=USD","Period=FQ","BEST_FPERIOD_OVERRIDE=FQ","FILING_STATUS=MR","SCALING_FORMAT=MLN","Sort=A","Dates=H","DateFormat=P","Fill=—","Direction=H","UseDPDF=Y")</f>
        <v>14.2986</v>
      </c>
      <c r="J17" s="13">
        <f>_xll.BDH("ITCI US Equity","IS_OPERATING_EXPENSES_RD","FQ1 2021","FQ1 2021","Currency=USD","Period=FQ","BEST_FPERIOD_OVERRIDE=FQ","FILING_STATUS=MR","SCALING_FORMAT=MLN","Sort=A","Dates=H","DateFormat=P","Fill=—","Direction=H","UseDPDF=Y")</f>
        <v>15.058199999999999</v>
      </c>
      <c r="K17" s="13">
        <f>_xll.BDH("ITCI US Equity","IS_OPERATING_EXPENSES_RD","FQ2 2021","FQ2 2021","Currency=USD","Period=FQ","BEST_FPERIOD_OVERRIDE=FQ","FILING_STATUS=MR","SCALING_FORMAT=MLN","Sort=A","Dates=H","DateFormat=P","Fill=—","Direction=H","UseDPDF=Y")</f>
        <v>17.296399999999998</v>
      </c>
      <c r="L17" s="13">
        <f>_xll.BDH("ITCI US Equity","IS_OPERATING_EXPENSES_RD","FQ3 2021","FQ3 2021","Currency=USD","Period=FQ","BEST_FPERIOD_OVERRIDE=FQ","FILING_STATUS=MR","SCALING_FORMAT=MLN","Sort=A","Dates=H","DateFormat=P","Fill=—","Direction=H","UseDPDF=Y")</f>
        <v>27.0318</v>
      </c>
      <c r="M17" s="13">
        <f>_xll.BDH("ITCI US Equity","IS_OPERATING_EXPENSES_RD","FQ4 2021","FQ4 2021","Currency=USD","Period=FQ","BEST_FPERIOD_OVERRIDE=FQ","FILING_STATUS=MR","SCALING_FORMAT=MLN","Sort=A","Dates=H","DateFormat=P","Fill=—","Direction=H","UseDPDF=Y")</f>
        <v>29.459099999999999</v>
      </c>
      <c r="N17" s="13">
        <f>_xll.BDH("ITCI US Equity","IS_OPERATING_EXPENSES_RD","FQ1 2022","FQ1 2022","Currency=USD","Period=FQ","BEST_FPERIOD_OVERRIDE=FQ","FILING_STATUS=MR","SCALING_FORMAT=MLN","Sort=A","Dates=H","DateFormat=P","Fill=—","Direction=H","UseDPDF=Y")</f>
        <v>29.042999999999999</v>
      </c>
      <c r="O17" s="13">
        <f>_xll.BDH("ITCI US Equity","IS_OPERATING_EXPENSES_RD","FQ2 2022","FQ2 2022","Currency=USD","Period=FQ","BEST_FPERIOD_OVERRIDE=FQ","FILING_STATUS=MR","SCALING_FORMAT=MLN","Sort=A","Dates=H","DateFormat=P","Fill=—","Direction=H","UseDPDF=Y")</f>
        <v>38.536000000000001</v>
      </c>
      <c r="P17" s="13">
        <f>_xll.BDH("ITCI US Equity","IS_OPERATING_EXPENSES_RD","FQ3 2022","FQ3 2022","Currency=USD","Period=FQ","BEST_FPERIOD_OVERRIDE=FQ","FILING_STATUS=MR","SCALING_FORMAT=MLN","Sort=A","Dates=H","DateFormat=P","Fill=—","Direction=H","UseDPDF=Y")</f>
        <v>33.274000000000001</v>
      </c>
      <c r="Q17" s="13">
        <f>_xll.BDH("ITCI US Equity","IS_OPERATING_EXPENSES_RD","FQ4 2022","FQ4 2022","Currency=USD","Period=FQ","BEST_FPERIOD_OVERRIDE=FQ","FILING_STATUS=MR","SCALING_FORMAT=MLN","Sort=A","Dates=H","DateFormat=P","Fill=—","Direction=H","UseDPDF=Y")</f>
        <v>33.862000000000002</v>
      </c>
      <c r="R17" s="13">
        <f>_xll.BDH("ITCI US Equity","IS_OPERATING_EXPENSES_RD","FQ1 2023","FQ1 2023","Currency=USD","Period=FQ","BEST_FPERIOD_OVERRIDE=FQ","FILING_STATUS=MR","SCALING_FORMAT=MLN","Sort=A","Dates=H","DateFormat=P","Fill=—","Direction=H","UseDPDF=Y")</f>
        <v>38.024000000000001</v>
      </c>
      <c r="S17" s="13">
        <f>_xll.BDH("ITCI US Equity","IS_OPERATING_EXPENSES_RD","FQ2 2023","FQ2 2023","Currency=USD","Period=FQ","BEST_FPERIOD_OVERRIDE=FQ","FILING_STATUS=MR","SCALING_FORMAT=MLN","Sort=A","Dates=H","DateFormat=P","Fill=—","Direction=H","UseDPDF=Y")</f>
        <v>49.793999999999997</v>
      </c>
      <c r="T17" s="13">
        <f>_xll.BDH("ITCI US Equity","IS_OPERATING_EXPENSES_RD","FQ3 2023","FQ3 2023","Currency=USD","Period=FQ","BEST_FPERIOD_OVERRIDE=FQ","FILING_STATUS=MR","SCALING_FORMAT=MLN","Sort=A","Dates=H","DateFormat=P","Fill=—","Direction=H","UseDPDF=Y")</f>
        <v>41.55</v>
      </c>
      <c r="U17" s="13">
        <f>_xll.BDH("ITCI US Equity","IS_OPERATING_EXPENSES_RD","FQ4 2023","FQ4 2023","Currency=USD","Period=FQ","BEST_FPERIOD_OVERRIDE=FQ","FILING_STATUS=MR","SCALING_FORMAT=MLN","Sort=A","Dates=H","DateFormat=P","Fill=—","Direction=H","UseDPDF=Y")</f>
        <v>50.774000000000001</v>
      </c>
      <c r="V17" s="13">
        <f>_xll.BDH("ITCI US Equity","IS_OPERATING_EXPENSES_RD","FQ1 2024","FQ1 2024","Currency=USD","Period=FQ","BEST_FPERIOD_OVERRIDE=FQ","FILING_STATUS=MR","SCALING_FORMAT=MLN","Sort=A","Dates=H","DateFormat=P","Fill=—","Direction=H","UseDPDF=Y")</f>
        <v>42.832999999999998</v>
      </c>
      <c r="W17" s="13">
        <f>_xll.BDH("ITCI US Equity","IS_OPERATING_EXPENSES_RD","FQ2 2024","FQ2 2024","Currency=USD","Period=FQ","BEST_FPERIOD_OVERRIDE=FQ","FILING_STATUS=MR","SCALING_FORMAT=MLN","Sort=A","Dates=H","DateFormat=P","Fill=—","Direction=H","UseDPDF=Y")</f>
        <v>56.183</v>
      </c>
      <c r="X17" s="13">
        <f>_xll.BDH("ITCI US Equity","IS_OPERATING_EXPENSES_RD","FQ3 2024","FQ3 2024","Currency=USD","Period=FQ","BEST_FPERIOD_OVERRIDE=FQ","FILING_STATUS=MR","SCALING_FORMAT=MLN","Sort=A","Dates=H","DateFormat=P","Fill=—","Direction=H","UseDPDF=Y")</f>
        <v>66.819000000000003</v>
      </c>
      <c r="Y17" s="13">
        <f>_xll.BDH("ITCI US Equity","IS_OPERATING_EXPENSES_RD","FQ4 2024","FQ4 2024","Currency=USD","Period=FQ","BEST_FPERIOD_OVERRIDE=FQ","FILING_STATUS=MR","SCALING_FORMAT=MLN","Sort=A","Dates=H","DateFormat=P","Fill=—","Direction=H","UseDPDF=Y")</f>
        <v>70.286000000000001</v>
      </c>
      <c r="Z17" s="13"/>
      <c r="AA17" s="13"/>
    </row>
    <row r="18" spans="1:27" x14ac:dyDescent="0.25">
      <c r="A18" s="10" t="s">
        <v>300</v>
      </c>
      <c r="B18" s="10" t="s">
        <v>301</v>
      </c>
      <c r="C18" s="13">
        <f>_xll.BDH("ITCI US Equity","IS_OTHER_OPERATING_EXPENSES","FQ2 2019","FQ2 2019","Currency=USD","Period=FQ","BEST_FPERIOD_OVERRIDE=FQ","FILING_STATUS=MR","SCALING_FORMAT=MLN","FA_ADJUSTED=Adjusted","Sort=A","Dates=H","DateFormat=P","Fill=—","Direction=H","UseDPDF=Y")</f>
        <v>0</v>
      </c>
      <c r="D18" s="13">
        <f>_xll.BDH("ITCI US Equity","IS_OTHER_OPERATING_EXPENSES","FQ3 2019","FQ3 2019","Currency=USD","Period=FQ","BEST_FPERIOD_OVERRIDE=FQ","FILING_STATUS=MR","SCALING_FORMAT=MLN","FA_ADJUSTED=Adjusted","Sort=A","Dates=H","DateFormat=P","Fill=—","Direction=H","UseDPDF=Y")</f>
        <v>0</v>
      </c>
      <c r="E18" s="13">
        <f>_xll.BDH("ITCI US Equity","IS_OTHER_OPERATING_EXPENSES","FQ4 2019","FQ4 2019","Currency=USD","Period=FQ","BEST_FPERIOD_OVERRIDE=FQ","FILING_STATUS=MR","SCALING_FORMAT=MLN","FA_ADJUSTED=Adjusted","Sort=A","Dates=H","DateFormat=P","Fill=—","Direction=H","UseDPDF=Y")</f>
        <v>0</v>
      </c>
      <c r="F18" s="13">
        <f>_xll.BDH("ITCI US Equity","IS_OTHER_OPERATING_EXPENSES","FQ1 2020","FQ1 2020","Currency=USD","Period=FQ","BEST_FPERIOD_OVERRIDE=FQ","FILING_STATUS=MR","SCALING_FORMAT=MLN","FA_ADJUSTED=Adjusted","Sort=A","Dates=H","DateFormat=P","Fill=—","Direction=H","UseDPDF=Y")</f>
        <v>0</v>
      </c>
      <c r="G18" s="13">
        <f>_xll.BDH("ITCI US Equity","IS_OTHER_OPERATING_EXPENSES","FQ2 2020","FQ2 2020","Currency=USD","Period=FQ","BEST_FPERIOD_OVERRIDE=FQ","FILING_STATUS=MR","SCALING_FORMAT=MLN","FA_ADJUSTED=Adjusted","Sort=A","Dates=H","DateFormat=P","Fill=—","Direction=H","UseDPDF=Y")</f>
        <v>0</v>
      </c>
      <c r="H18" s="13">
        <f>_xll.BDH("ITCI US Equity","IS_OTHER_OPERATING_EXPENSES","FQ3 2020","FQ3 2020","Currency=USD","Period=FQ","BEST_FPERIOD_OVERRIDE=FQ","FILING_STATUS=MR","SCALING_FORMAT=MLN","FA_ADJUSTED=Adjusted","Sort=A","Dates=H","DateFormat=P","Fill=—","Direction=H","UseDPDF=Y")</f>
        <v>0</v>
      </c>
      <c r="I18" s="13">
        <f>_xll.BDH("ITCI US Equity","IS_OTHER_OPERATING_EXPENSES","FQ4 2020","FQ4 2020","Currency=USD","Period=FQ","BEST_FPERIOD_OVERRIDE=FQ","FILING_STATUS=MR","SCALING_FORMAT=MLN","FA_ADJUSTED=Adjusted","Sort=A","Dates=H","DateFormat=P","Fill=—","Direction=H","UseDPDF=Y")</f>
        <v>0</v>
      </c>
      <c r="J18" s="13">
        <f>_xll.BDH("ITCI US Equity","IS_OTHER_OPERATING_EXPENSES","FQ1 2021","FQ1 2021","Currency=USD","Period=FQ","BEST_FPERIOD_OVERRIDE=FQ","FILING_STATUS=MR","SCALING_FORMAT=MLN","FA_ADJUSTED=Adjusted","Sort=A","Dates=H","DateFormat=P","Fill=—","Direction=H","UseDPDF=Y")</f>
        <v>0</v>
      </c>
      <c r="K18" s="13">
        <f>_xll.BDH("ITCI US Equity","IS_OTHER_OPERATING_EXPENSES","FQ2 2021","FQ2 2021","Currency=USD","Period=FQ","BEST_FPERIOD_OVERRIDE=FQ","FILING_STATUS=MR","SCALING_FORMAT=MLN","FA_ADJUSTED=Adjusted","Sort=A","Dates=H","DateFormat=P","Fill=—","Direction=H","UseDPDF=Y")</f>
        <v>0</v>
      </c>
      <c r="L18" s="13">
        <f>_xll.BDH("ITCI US Equity","IS_OTHER_OPERATING_EXPENSES","FQ3 2021","FQ3 2021","Currency=USD","Period=FQ","BEST_FPERIOD_OVERRIDE=FQ","FILING_STATUS=MR","SCALING_FORMAT=MLN","FA_ADJUSTED=Adjusted","Sort=A","Dates=H","DateFormat=P","Fill=—","Direction=H","UseDPDF=Y")</f>
        <v>0</v>
      </c>
      <c r="M18" s="13">
        <f>_xll.BDH("ITCI US Equity","IS_OTHER_OPERATING_EXPENSES","FQ4 2021","FQ4 2021","Currency=USD","Period=FQ","BEST_FPERIOD_OVERRIDE=FQ","FILING_STATUS=MR","SCALING_FORMAT=MLN","FA_ADJUSTED=Adjusted","Sort=A","Dates=H","DateFormat=P","Fill=—","Direction=H","UseDPDF=Y")</f>
        <v>0</v>
      </c>
      <c r="N18" s="13">
        <f>_xll.BDH("ITCI US Equity","IS_OTHER_OPERATING_EXPENSES","FQ1 2022","FQ1 2022","Currency=USD","Period=FQ","BEST_FPERIOD_OVERRIDE=FQ","FILING_STATUS=MR","SCALING_FORMAT=MLN","FA_ADJUSTED=Adjusted","Sort=A","Dates=H","DateFormat=P","Fill=—","Direction=H","UseDPDF=Y")</f>
        <v>0</v>
      </c>
      <c r="O18" s="13">
        <f>_xll.BDH("ITCI US Equity","IS_OTHER_OPERATING_EXPENSES","FQ2 2022","FQ2 2022","Currency=USD","Period=FQ","BEST_FPERIOD_OVERRIDE=FQ","FILING_STATUS=MR","SCALING_FORMAT=MLN","FA_ADJUSTED=Adjusted","Sort=A","Dates=H","DateFormat=P","Fill=—","Direction=H","UseDPDF=Y")</f>
        <v>0</v>
      </c>
      <c r="P18" s="13">
        <f>_xll.BDH("ITCI US Equity","IS_OTHER_OPERATING_EXPENSES","FQ3 2022","FQ3 2022","Currency=USD","Period=FQ","BEST_FPERIOD_OVERRIDE=FQ","FILING_STATUS=MR","SCALING_FORMAT=MLN","FA_ADJUSTED=Adjusted","Sort=A","Dates=H","DateFormat=P","Fill=—","Direction=H","UseDPDF=Y")</f>
        <v>0</v>
      </c>
      <c r="Q18" s="13">
        <f>_xll.BDH("ITCI US Equity","IS_OTHER_OPERATING_EXPENSES","FQ4 2022","FQ4 2022","Currency=USD","Period=FQ","BEST_FPERIOD_OVERRIDE=FQ","FILING_STATUS=MR","SCALING_FORMAT=MLN","FA_ADJUSTED=Adjusted","Sort=A","Dates=H","DateFormat=P","Fill=—","Direction=H","UseDPDF=Y")</f>
        <v>0</v>
      </c>
      <c r="R18" s="13">
        <f>_xll.BDH("ITCI US Equity","IS_OTHER_OPERATING_EXPENSES","FQ1 2023","FQ1 2023","Currency=USD","Period=FQ","BEST_FPERIOD_OVERRIDE=FQ","FILING_STATUS=MR","SCALING_FORMAT=MLN","FA_ADJUSTED=Adjusted","Sort=A","Dates=H","DateFormat=P","Fill=—","Direction=H","UseDPDF=Y")</f>
        <v>0</v>
      </c>
      <c r="S18" s="13">
        <f>_xll.BDH("ITCI US Equity","IS_OTHER_OPERATING_EXPENSES","FQ2 2023","FQ2 2023","Currency=USD","Period=FQ","BEST_FPERIOD_OVERRIDE=FQ","FILING_STATUS=MR","SCALING_FORMAT=MLN","FA_ADJUSTED=Adjusted","Sort=A","Dates=H","DateFormat=P","Fill=—","Direction=H","UseDPDF=Y")</f>
        <v>0</v>
      </c>
      <c r="T18" s="13">
        <f>_xll.BDH("ITCI US Equity","IS_OTHER_OPERATING_EXPENSES","FQ3 2023","FQ3 2023","Currency=USD","Period=FQ","BEST_FPERIOD_OVERRIDE=FQ","FILING_STATUS=MR","SCALING_FORMAT=MLN","FA_ADJUSTED=Adjusted","Sort=A","Dates=H","DateFormat=P","Fill=—","Direction=H","UseDPDF=Y")</f>
        <v>0</v>
      </c>
      <c r="U18" s="13">
        <f>_xll.BDH("ITCI US Equity","IS_OTHER_OPERATING_EXPENSES","FQ4 2023","FQ4 2023","Currency=USD","Period=FQ","BEST_FPERIOD_OVERRIDE=FQ","FILING_STATUS=MR","SCALING_FORMAT=MLN","FA_ADJUSTED=Adjusted","Sort=A","Dates=H","DateFormat=P","Fill=—","Direction=H","UseDPDF=Y")</f>
        <v>0</v>
      </c>
      <c r="V18" s="13">
        <f>_xll.BDH("ITCI US Equity","IS_OTHER_OPERATING_EXPENSES","FQ1 2024","FQ1 2024","Currency=USD","Period=FQ","BEST_FPERIOD_OVERRIDE=FQ","FILING_STATUS=MR","SCALING_FORMAT=MLN","FA_ADJUSTED=Adjusted","Sort=A","Dates=H","DateFormat=P","Fill=—","Direction=H","UseDPDF=Y")</f>
        <v>0</v>
      </c>
      <c r="W18" s="13">
        <f>_xll.BDH("ITCI US Equity","IS_OTHER_OPERATING_EXPENSES","FQ2 2024","FQ2 2024","Currency=USD","Period=FQ","BEST_FPERIOD_OVERRIDE=FQ","FILING_STATUS=MR","SCALING_FORMAT=MLN","FA_ADJUSTED=Adjusted","Sort=A","Dates=H","DateFormat=P","Fill=—","Direction=H","UseDPDF=Y")</f>
        <v>0</v>
      </c>
      <c r="X18" s="13">
        <f>_xll.BDH("ITCI US Equity","IS_OTHER_OPERATING_EXPENSES","FQ3 2024","FQ3 2024","Currency=USD","Period=FQ","BEST_FPERIOD_OVERRIDE=FQ","FILING_STATUS=MR","SCALING_FORMAT=MLN","FA_ADJUSTED=Adjusted","Sort=A","Dates=H","DateFormat=P","Fill=—","Direction=H","UseDPDF=Y")</f>
        <v>0</v>
      </c>
      <c r="Y18" s="13">
        <f>_xll.BDH("ITCI US Equity","IS_OTHER_OPERATING_EXPENSES","FQ4 2024","FQ4 2024","Currency=USD","Period=FQ","BEST_FPERIOD_OVERRIDE=FQ","FILING_STATUS=MR","SCALING_FORMAT=MLN","FA_ADJUSTED=Adjusted","Sort=A","Dates=H","DateFormat=P","Fill=—","Direction=H","UseDPDF=Y")</f>
        <v>0</v>
      </c>
      <c r="Z18" s="13"/>
      <c r="AA18" s="13"/>
    </row>
    <row r="19" spans="1:27" x14ac:dyDescent="0.25">
      <c r="A19" s="6" t="s">
        <v>302</v>
      </c>
      <c r="B19" s="6" t="s">
        <v>99</v>
      </c>
      <c r="C19" s="19">
        <f>_xll.BDH("ITCI US Equity","IS_OPER_INC","FQ2 2019","FQ2 2019","Currency=USD","Period=FQ","BEST_FPERIOD_OVERRIDE=FQ","FILING_STATUS=MR","SCALING_FORMAT=MLN","FA_ADJUSTED=Adjusted","Sort=A","Dates=H","DateFormat=P","Fill=—","Direction=H","UseDPDF=Y")</f>
        <v>-39.171100000000003</v>
      </c>
      <c r="D19" s="19">
        <f>_xll.BDH("ITCI US Equity","IS_OPER_INC","FQ3 2019","FQ3 2019","Currency=USD","Period=FQ","BEST_FPERIOD_OVERRIDE=FQ","FILING_STATUS=MR","SCALING_FORMAT=MLN","FA_ADJUSTED=Adjusted","Sort=A","Dates=H","DateFormat=P","Fill=—","Direction=H","UseDPDF=Y")</f>
        <v>-36.376199999999997</v>
      </c>
      <c r="E19" s="19">
        <f>_xll.BDH("ITCI US Equity","IS_OPER_INC","FQ4 2019","FQ4 2019","Currency=USD","Period=FQ","BEST_FPERIOD_OVERRIDE=FQ","FILING_STATUS=MR","SCALING_FORMAT=MLN","FA_ADJUSTED=Adjusted","Sort=A","Dates=H","DateFormat=P","Fill=—","Direction=H","UseDPDF=Y")</f>
        <v>-41.768700000000003</v>
      </c>
      <c r="F19" s="19">
        <f>_xll.BDH("ITCI US Equity","IS_OPER_INC","FQ1 2020","FQ1 2020","Currency=USD","Period=FQ","BEST_FPERIOD_OVERRIDE=FQ","FILING_STATUS=MR","SCALING_FORMAT=MLN","FA_ADJUSTED=Adjusted","Sort=A","Dates=H","DateFormat=P","Fill=—","Direction=H","UseDPDF=Y")</f>
        <v>-49.085500000000003</v>
      </c>
      <c r="G19" s="19">
        <f>_xll.BDH("ITCI US Equity","IS_OPER_INC","FQ2 2020","FQ2 2020","Currency=USD","Period=FQ","BEST_FPERIOD_OVERRIDE=FQ","FILING_STATUS=MR","SCALING_FORMAT=MLN","FA_ADJUSTED=Adjusted","Sort=A","Dates=H","DateFormat=P","Fill=—","Direction=H","UseDPDF=Y")</f>
        <v>-64.872299999999996</v>
      </c>
      <c r="H19" s="19">
        <f>_xll.BDH("ITCI US Equity","IS_OPER_INC","FQ3 2020","FQ3 2020","Currency=USD","Period=FQ","BEST_FPERIOD_OVERRIDE=FQ","FILING_STATUS=MR","SCALING_FORMAT=MLN","FA_ADJUSTED=Adjusted","Sort=A","Dates=H","DateFormat=P","Fill=—","Direction=H","UseDPDF=Y")</f>
        <v>-55.936500000000002</v>
      </c>
      <c r="I19" s="19">
        <f>_xll.BDH("ITCI US Equity","IS_OPER_INC","FQ4 2020","FQ4 2020","Currency=USD","Period=FQ","BEST_FPERIOD_OVERRIDE=FQ","FILING_STATUS=MR","SCALING_FORMAT=MLN","FA_ADJUSTED=Adjusted","Sort=A","Dates=H","DateFormat=P","Fill=—","Direction=H","UseDPDF=Y")</f>
        <v>-61.333300000000001</v>
      </c>
      <c r="J19" s="19">
        <f>_xll.BDH("ITCI US Equity","IS_OPER_INC","FQ1 2021","FQ1 2021","Currency=USD","Period=FQ","BEST_FPERIOD_OVERRIDE=FQ","FILING_STATUS=MR","SCALING_FORMAT=MLN","FA_ADJUSTED=Adjusted","Sort=A","Dates=H","DateFormat=P","Fill=—","Direction=H","UseDPDF=Y")</f>
        <v>-53.218699999999998</v>
      </c>
      <c r="K19" s="19">
        <f>_xll.BDH("ITCI US Equity","IS_OPER_INC","FQ2 2021","FQ2 2021","Currency=USD","Period=FQ","BEST_FPERIOD_OVERRIDE=FQ","FILING_STATUS=MR","SCALING_FORMAT=MLN","FA_ADJUSTED=Adjusted","Sort=A","Dates=H","DateFormat=P","Fill=—","Direction=H","UseDPDF=Y")</f>
        <v>-69.141099999999994</v>
      </c>
      <c r="L19" s="19">
        <f>_xll.BDH("ITCI US Equity","IS_OPER_INC","FQ3 2021","FQ3 2021","Currency=USD","Period=FQ","BEST_FPERIOD_OVERRIDE=FQ","FILING_STATUS=MR","SCALING_FORMAT=MLN","FA_ADJUSTED=Adjusted","Sort=A","Dates=H","DateFormat=P","Fill=—","Direction=H","UseDPDF=Y")</f>
        <v>-77.323800000000006</v>
      </c>
      <c r="M19" s="19">
        <f>_xll.BDH("ITCI US Equity","IS_OPER_INC","FQ4 2021","FQ4 2021","Currency=USD","Period=FQ","BEST_FPERIOD_OVERRIDE=FQ","FILING_STATUS=MR","SCALING_FORMAT=MLN","FA_ADJUSTED=Adjusted","Sort=A","Dates=H","DateFormat=P","Fill=—","Direction=H","UseDPDF=Y")</f>
        <v>-86.004599999999996</v>
      </c>
      <c r="N19" s="19">
        <f>_xll.BDH("ITCI US Equity","IS_OPER_INC","FQ1 2022","FQ1 2022","Currency=USD","Period=FQ","BEST_FPERIOD_OVERRIDE=FQ","FILING_STATUS=MR","SCALING_FORMAT=MLN","FA_ADJUSTED=Adjusted","Sort=A","Dates=H","DateFormat=P","Fill=—","Direction=H","UseDPDF=Y")</f>
        <v>-72.662000000000006</v>
      </c>
      <c r="O19" s="19">
        <f>_xll.BDH("ITCI US Equity","IS_OPER_INC","FQ2 2022","FQ2 2022","Currency=USD","Period=FQ","BEST_FPERIOD_OVERRIDE=FQ","FILING_STATUS=MR","SCALING_FORMAT=MLN","FA_ADJUSTED=Adjusted","Sort=A","Dates=H","DateFormat=P","Fill=—","Direction=H","UseDPDF=Y")</f>
        <v>-87.923000000000002</v>
      </c>
      <c r="P19" s="19">
        <f>_xll.BDH("ITCI US Equity","IS_OPER_INC","FQ3 2022","FQ3 2022","Currency=USD","Period=FQ","BEST_FPERIOD_OVERRIDE=FQ","FILING_STATUS=MR","SCALING_FORMAT=MLN","FA_ADJUSTED=Adjusted","Sort=A","Dates=H","DateFormat=P","Fill=—","Direction=H","UseDPDF=Y")</f>
        <v>-55.628999999999998</v>
      </c>
      <c r="Q19" s="19">
        <f>_xll.BDH("ITCI US Equity","IS_OPER_INC","FQ4 2022","FQ4 2022","Currency=USD","Period=FQ","BEST_FPERIOD_OVERRIDE=FQ","FILING_STATUS=MR","SCALING_FORMAT=MLN","FA_ADJUSTED=Adjusted","Sort=A","Dates=H","DateFormat=P","Fill=—","Direction=H","UseDPDF=Y")</f>
        <v>-47.411999999999999</v>
      </c>
      <c r="R19" s="19">
        <f>_xll.BDH("ITCI US Equity","IS_OPER_INC","FQ1 2023","FQ1 2023","Currency=USD","Period=FQ","BEST_FPERIOD_OVERRIDE=FQ","FILING_STATUS=MR","SCALING_FORMAT=MLN","FA_ADJUSTED=Adjusted","Sort=A","Dates=H","DateFormat=P","Fill=—","Direction=H","UseDPDF=Y")</f>
        <v>-48.392000000000003</v>
      </c>
      <c r="S19" s="19">
        <f>_xll.BDH("ITCI US Equity","IS_OPER_INC","FQ2 2023","FQ2 2023","Currency=USD","Period=FQ","BEST_FPERIOD_OVERRIDE=FQ","FILING_STATUS=MR","SCALING_FORMAT=MLN","FA_ADJUSTED=Adjusted","Sort=A","Dates=H","DateFormat=P","Fill=—","Direction=H","UseDPDF=Y")</f>
        <v>-47.179000000000002</v>
      </c>
      <c r="T19" s="19">
        <f>_xll.BDH("ITCI US Equity","IS_OPER_INC","FQ3 2023","FQ3 2023","Currency=USD","Period=FQ","BEST_FPERIOD_OVERRIDE=FQ","FILING_STATUS=MR","SCALING_FORMAT=MLN","FA_ADJUSTED=Adjusted","Sort=A","Dates=H","DateFormat=P","Fill=—","Direction=H","UseDPDF=Y")</f>
        <v>-29.713000000000001</v>
      </c>
      <c r="U19" s="19">
        <f>_xll.BDH("ITCI US Equity","IS_OPER_INC","FQ4 2023","FQ4 2023","Currency=USD","Period=FQ","BEST_FPERIOD_OVERRIDE=FQ","FILING_STATUS=MR","SCALING_FORMAT=MLN","FA_ADJUSTED=Adjusted","Sort=A","Dates=H","DateFormat=P","Fill=—","Direction=H","UseDPDF=Y")</f>
        <v>-34.097000000000001</v>
      </c>
      <c r="V19" s="19">
        <f>_xll.BDH("ITCI US Equity","IS_OPER_INC","FQ1 2024","FQ1 2024","Currency=USD","Period=FQ","BEST_FPERIOD_OVERRIDE=FQ","FILING_STATUS=MR","SCALING_FORMAT=MLN","FA_ADJUSTED=Adjusted","Sort=A","Dates=H","DateFormat=P","Fill=—","Direction=H","UseDPDF=Y")</f>
        <v>-20.952000000000002</v>
      </c>
      <c r="W19" s="19">
        <f>_xll.BDH("ITCI US Equity","IS_OPER_INC","FQ2 2024","FQ2 2024","Currency=USD","Period=FQ","BEST_FPERIOD_OVERRIDE=FQ","FILING_STATUS=MR","SCALING_FORMAT=MLN","FA_ADJUSTED=Adjusted","Sort=A","Dates=H","DateFormat=P","Fill=—","Direction=H","UseDPDF=Y")</f>
        <v>-27.722999999999999</v>
      </c>
      <c r="X19" s="19">
        <f>_xll.BDH("ITCI US Equity","IS_OPER_INC","FQ3 2024","FQ3 2024","Currency=USD","Period=FQ","BEST_FPERIOD_OVERRIDE=FQ","FILING_STATUS=MR","SCALING_FORMAT=MLN","FA_ADJUSTED=Adjusted","Sort=A","Dates=H","DateFormat=P","Fill=—","Direction=H","UseDPDF=Y")</f>
        <v>-38.848999999999997</v>
      </c>
      <c r="Y19" s="19">
        <f>_xll.BDH("ITCI US Equity","IS_OPER_INC","FQ4 2024","FQ4 2024","Currency=USD","Period=FQ","BEST_FPERIOD_OVERRIDE=FQ","FILING_STATUS=MR","SCALING_FORMAT=MLN","FA_ADJUSTED=Adjusted","Sort=A","Dates=H","DateFormat=P","Fill=—","Direction=H","UseDPDF=Y")</f>
        <v>-29.196999999999999</v>
      </c>
      <c r="Z19" s="19">
        <v>-19.46</v>
      </c>
      <c r="AA19" s="19">
        <v>-14.603999999999999</v>
      </c>
    </row>
    <row r="20" spans="1:27" x14ac:dyDescent="0.25">
      <c r="A20" s="10" t="s">
        <v>303</v>
      </c>
      <c r="B20" s="10" t="s">
        <v>304</v>
      </c>
      <c r="C20" s="13">
        <f>_xll.BDH("ITCI US Equity","IS_NONOP_INCOME_LOSS","FQ2 2019","FQ2 2019","Currency=USD","Period=FQ","BEST_FPERIOD_OVERRIDE=FQ","FILING_STATUS=MR","SCALING_FORMAT=MLN","FA_ADJUSTED=Adjusted","Sort=A","Dates=H","DateFormat=P","Fill=—","Direction=H","UseDPDF=Y")</f>
        <v>-1.7316</v>
      </c>
      <c r="D20" s="13">
        <f>_xll.BDH("ITCI US Equity","IS_NONOP_INCOME_LOSS","FQ3 2019","FQ3 2019","Currency=USD","Period=FQ","BEST_FPERIOD_OVERRIDE=FQ","FILING_STATUS=MR","SCALING_FORMAT=MLN","FA_ADJUSTED=Adjusted","Sort=A","Dates=H","DateFormat=P","Fill=—","Direction=H","UseDPDF=Y")</f>
        <v>-1.5138</v>
      </c>
      <c r="E20" s="13">
        <f>_xll.BDH("ITCI US Equity","IS_NONOP_INCOME_LOSS","FQ4 2019","FQ4 2019","Currency=USD","Period=FQ","BEST_FPERIOD_OVERRIDE=FQ","FILING_STATUS=MR","SCALING_FORMAT=MLN","FA_ADJUSTED=Adjusted","Sort=A","Dates=H","DateFormat=P","Fill=—","Direction=H","UseDPDF=Y")</f>
        <v>-1.1858</v>
      </c>
      <c r="F20" s="13">
        <f>_xll.BDH("ITCI US Equity","IS_NONOP_INCOME_LOSS","FQ1 2020","FQ1 2020","Currency=USD","Period=FQ","BEST_FPERIOD_OVERRIDE=FQ","FILING_STATUS=MR","SCALING_FORMAT=MLN","FA_ADJUSTED=Adjusted","Sort=A","Dates=H","DateFormat=P","Fill=—","Direction=H","UseDPDF=Y")</f>
        <v>-1.6781999999999999</v>
      </c>
      <c r="G20" s="13">
        <f>_xll.BDH("ITCI US Equity","IS_NONOP_INCOME_LOSS","FQ2 2020","FQ2 2020","Currency=USD","Period=FQ","BEST_FPERIOD_OVERRIDE=FQ","FILING_STATUS=MR","SCALING_FORMAT=MLN","FA_ADJUSTED=Adjusted","Sort=A","Dates=H","DateFormat=P","Fill=—","Direction=H","UseDPDF=Y")</f>
        <v>-1.1600999999999999</v>
      </c>
      <c r="H20" s="13">
        <f>_xll.BDH("ITCI US Equity","IS_NONOP_INCOME_LOSS","FQ3 2020","FQ3 2020","Currency=USD","Period=FQ","BEST_FPERIOD_OVERRIDE=FQ","FILING_STATUS=MR","SCALING_FORMAT=MLN","FA_ADJUSTED=Adjusted","Sort=A","Dates=H","DateFormat=P","Fill=—","Direction=H","UseDPDF=Y")</f>
        <v>-0.75280000000000002</v>
      </c>
      <c r="I20" s="13">
        <f>_xll.BDH("ITCI US Equity","IS_NONOP_INCOME_LOSS","FQ4 2020","FQ4 2020","Currency=USD","Period=FQ","BEST_FPERIOD_OVERRIDE=FQ","FILING_STATUS=MR","SCALING_FORMAT=MLN","FA_ADJUSTED=Adjusted","Sort=A","Dates=H","DateFormat=P","Fill=—","Direction=H","UseDPDF=Y")</f>
        <v>-0.64439999999999997</v>
      </c>
      <c r="J20" s="13">
        <f>_xll.BDH("ITCI US Equity","IS_NONOP_INCOME_LOSS","FQ1 2021","FQ1 2021","Currency=USD","Period=FQ","BEST_FPERIOD_OVERRIDE=FQ","FILING_STATUS=MR","SCALING_FORMAT=MLN","FA_ADJUSTED=Adjusted","Sort=A","Dates=H","DateFormat=P","Fill=—","Direction=H","UseDPDF=Y")</f>
        <v>-0.48380000000000001</v>
      </c>
      <c r="K20" s="13">
        <f>_xll.BDH("ITCI US Equity","IS_NONOP_INCOME_LOSS","FQ2 2021","FQ2 2021","Currency=USD","Period=FQ","BEST_FPERIOD_OVERRIDE=FQ","FILING_STATUS=MR","SCALING_FORMAT=MLN","FA_ADJUSTED=Adjusted","Sort=A","Dates=H","DateFormat=P","Fill=—","Direction=H","UseDPDF=Y")</f>
        <v>-0.42099999999999999</v>
      </c>
      <c r="L20" s="13">
        <f>_xll.BDH("ITCI US Equity","IS_NONOP_INCOME_LOSS","FQ3 2021","FQ3 2021","Currency=USD","Period=FQ","BEST_FPERIOD_OVERRIDE=FQ","FILING_STATUS=MR","SCALING_FORMAT=MLN","FA_ADJUSTED=Adjusted","Sort=A","Dates=H","DateFormat=P","Fill=—","Direction=H","UseDPDF=Y")</f>
        <v>-0.39269999999999999</v>
      </c>
      <c r="M20" s="13">
        <f>_xll.BDH("ITCI US Equity","IS_NONOP_INCOME_LOSS","FQ4 2021","FQ4 2021","Currency=USD","Period=FQ","BEST_FPERIOD_OVERRIDE=FQ","FILING_STATUS=MR","SCALING_FORMAT=MLN","FA_ADJUSTED=Adjusted","Sort=A","Dates=H","DateFormat=P","Fill=—","Direction=H","UseDPDF=Y")</f>
        <v>-0.27060000000000001</v>
      </c>
      <c r="N20" s="13">
        <f>_xll.BDH("ITCI US Equity","IS_NONOP_INCOME_LOSS","FQ1 2022","FQ1 2022","Currency=USD","Period=FQ","BEST_FPERIOD_OVERRIDE=FQ","FILING_STATUS=MR","SCALING_FORMAT=MLN","FA_ADJUSTED=Adjusted","Sort=A","Dates=H","DateFormat=P","Fill=—","Direction=H","UseDPDF=Y")</f>
        <v>-0.54800000000000004</v>
      </c>
      <c r="O20" s="13">
        <f>_xll.BDH("ITCI US Equity","IS_NONOP_INCOME_LOSS","FQ2 2022","FQ2 2022","Currency=USD","Period=FQ","BEST_FPERIOD_OVERRIDE=FQ","FILING_STATUS=MR","SCALING_FORMAT=MLN","FA_ADJUSTED=Adjusted","Sort=A","Dates=H","DateFormat=P","Fill=—","Direction=H","UseDPDF=Y")</f>
        <v>-1.32</v>
      </c>
      <c r="P20" s="13">
        <f>_xll.BDH("ITCI US Equity","IS_NONOP_INCOME_LOSS","FQ3 2022","FQ3 2022","Currency=USD","Period=FQ","BEST_FPERIOD_OVERRIDE=FQ","FILING_STATUS=MR","SCALING_FORMAT=MLN","FA_ADJUSTED=Adjusted","Sort=A","Dates=H","DateFormat=P","Fill=—","Direction=H","UseDPDF=Y")</f>
        <v>-2.1219999999999999</v>
      </c>
      <c r="Q20" s="13">
        <f>_xll.BDH("ITCI US Equity","IS_NONOP_INCOME_LOSS","FQ4 2022","FQ4 2022","Currency=USD","Period=FQ","BEST_FPERIOD_OVERRIDE=FQ","FILING_STATUS=MR","SCALING_FORMAT=MLN","FA_ADJUSTED=Adjusted","Sort=A","Dates=H","DateFormat=P","Fill=—","Direction=H","UseDPDF=Y")</f>
        <v>-3.3860000000000001</v>
      </c>
      <c r="R20" s="13">
        <f>_xll.BDH("ITCI US Equity","IS_NONOP_INCOME_LOSS","FQ1 2023","FQ1 2023","Currency=USD","Period=FQ","BEST_FPERIOD_OVERRIDE=FQ","FILING_STATUS=MR","SCALING_FORMAT=MLN","FA_ADJUSTED=Adjusted","Sort=A","Dates=H","DateFormat=P","Fill=—","Direction=H","UseDPDF=Y")</f>
        <v>-4.3490000000000002</v>
      </c>
      <c r="S20" s="13">
        <f>_xll.BDH("ITCI US Equity","IS_NONOP_INCOME_LOSS","FQ2 2023","FQ2 2023","Currency=USD","Period=FQ","BEST_FPERIOD_OVERRIDE=FQ","FILING_STATUS=MR","SCALING_FORMAT=MLN","FA_ADJUSTED=Adjusted","Sort=A","Dates=H","DateFormat=P","Fill=—","Direction=H","UseDPDF=Y")</f>
        <v>-4.53</v>
      </c>
      <c r="T20" s="13">
        <f>_xll.BDH("ITCI US Equity","IS_NONOP_INCOME_LOSS","FQ3 2023","FQ3 2023","Currency=USD","Period=FQ","BEST_FPERIOD_OVERRIDE=FQ","FILING_STATUS=MR","SCALING_FORMAT=MLN","FA_ADJUSTED=Adjusted","Sort=A","Dates=H","DateFormat=P","Fill=—","Direction=H","UseDPDF=Y")</f>
        <v>-5.4980000000000002</v>
      </c>
      <c r="U20" s="13">
        <f>_xll.BDH("ITCI US Equity","IS_NONOP_INCOME_LOSS","FQ4 2023","FQ4 2023","Currency=USD","Period=FQ","BEST_FPERIOD_OVERRIDE=FQ","FILING_STATUS=MR","SCALING_FORMAT=MLN","FA_ADJUSTED=Adjusted","Sort=A","Dates=H","DateFormat=P","Fill=—","Direction=H","UseDPDF=Y")</f>
        <v>-5.9660000000000002</v>
      </c>
      <c r="V20" s="13">
        <f>_xll.BDH("ITCI US Equity","IS_NONOP_INCOME_LOSS","FQ1 2024","FQ1 2024","Currency=USD","Period=FQ","BEST_FPERIOD_OVERRIDE=FQ","FILING_STATUS=MR","SCALING_FORMAT=MLN","FA_ADJUSTED=Adjusted","Sort=A","Dates=H","DateFormat=P","Fill=—","Direction=H","UseDPDF=Y")</f>
        <v>-6.0640000000000001</v>
      </c>
      <c r="W20" s="13">
        <f>_xll.BDH("ITCI US Equity","IS_NONOP_INCOME_LOSS","FQ2 2024","FQ2 2024","Currency=USD","Period=FQ","BEST_FPERIOD_OVERRIDE=FQ","FILING_STATUS=MR","SCALING_FORMAT=MLN","FA_ADJUSTED=Adjusted","Sort=A","Dates=H","DateFormat=P","Fill=—","Direction=H","UseDPDF=Y")</f>
        <v>-11.56</v>
      </c>
      <c r="X20" s="13">
        <f>_xll.BDH("ITCI US Equity","IS_NONOP_INCOME_LOSS","FQ3 2024","FQ3 2024","Currency=USD","Period=FQ","BEST_FPERIOD_OVERRIDE=FQ","FILING_STATUS=MR","SCALING_FORMAT=MLN","FA_ADJUSTED=Adjusted","Sort=A","Dates=H","DateFormat=P","Fill=—","Direction=H","UseDPDF=Y")</f>
        <v>-12.898999999999999</v>
      </c>
      <c r="Y20" s="13">
        <f>_xll.BDH("ITCI US Equity","IS_NONOP_INCOME_LOSS","FQ4 2024","FQ4 2024","Currency=USD","Period=FQ","BEST_FPERIOD_OVERRIDE=FQ","FILING_STATUS=MR","SCALING_FORMAT=MLN","FA_ADJUSTED=Adjusted","Sort=A","Dates=H","DateFormat=P","Fill=—","Direction=H","UseDPDF=Y")</f>
        <v>-11.994999999999999</v>
      </c>
      <c r="Z20" s="13"/>
      <c r="AA20" s="13"/>
    </row>
    <row r="21" spans="1:27" x14ac:dyDescent="0.25">
      <c r="A21" s="10" t="s">
        <v>305</v>
      </c>
      <c r="B21" s="10" t="s">
        <v>306</v>
      </c>
      <c r="C21" s="13">
        <f>_xll.BDH("ITCI US Equity","IS_NET_INTEREST_EXPENSE","FQ2 2019","FQ2 2019","Currency=USD","Period=FQ","BEST_FPERIOD_OVERRIDE=FQ","FILING_STATUS=MR","SCALING_FORMAT=MLN","FA_ADJUSTED=Adjusted","Sort=A","Dates=H","DateFormat=P","Fill=—","Direction=H","UseDPDF=Y")</f>
        <v>-1.7316</v>
      </c>
      <c r="D21" s="13">
        <f>_xll.BDH("ITCI US Equity","IS_NET_INTEREST_EXPENSE","FQ3 2019","FQ3 2019","Currency=USD","Period=FQ","BEST_FPERIOD_OVERRIDE=FQ","FILING_STATUS=MR","SCALING_FORMAT=MLN","FA_ADJUSTED=Adjusted","Sort=A","Dates=H","DateFormat=P","Fill=—","Direction=H","UseDPDF=Y")</f>
        <v>-1.5138</v>
      </c>
      <c r="E21" s="13">
        <f>_xll.BDH("ITCI US Equity","IS_NET_INTEREST_EXPENSE","FQ4 2019","FQ4 2019","Currency=USD","Period=FQ","BEST_FPERIOD_OVERRIDE=FQ","FILING_STATUS=MR","SCALING_FORMAT=MLN","FA_ADJUSTED=Adjusted","Sort=A","Dates=H","DateFormat=P","Fill=—","Direction=H","UseDPDF=Y")</f>
        <v>-1.1858</v>
      </c>
      <c r="F21" s="13" t="str">
        <f>_xll.BDH("ITCI US Equity","IS_NET_INTEREST_EXPENSE","FQ1 2020","FQ1 2020","Currency=USD","Period=FQ","BEST_FPERIOD_OVERRIDE=FQ","FILING_STATUS=MR","SCALING_FORMAT=MLN","FA_ADJUSTED=Adjusted","Sort=A","Dates=H","DateFormat=P","Fill=—","Direction=H","UseDPDF=Y")</f>
        <v>—</v>
      </c>
      <c r="G21" s="13">
        <f>_xll.BDH("ITCI US Equity","IS_NET_INTEREST_EXPENSE","FQ2 2020","FQ2 2020","Currency=USD","Period=FQ","BEST_FPERIOD_OVERRIDE=FQ","FILING_STATUS=MR","SCALING_FORMAT=MLN","FA_ADJUSTED=Adjusted","Sort=A","Dates=H","DateFormat=P","Fill=—","Direction=H","UseDPDF=Y")</f>
        <v>-1.1600999999999999</v>
      </c>
      <c r="H21" s="13">
        <f>_xll.BDH("ITCI US Equity","IS_NET_INTEREST_EXPENSE","FQ3 2020","FQ3 2020","Currency=USD","Period=FQ","BEST_FPERIOD_OVERRIDE=FQ","FILING_STATUS=MR","SCALING_FORMAT=MLN","FA_ADJUSTED=Adjusted","Sort=A","Dates=H","DateFormat=P","Fill=—","Direction=H","UseDPDF=Y")</f>
        <v>-0.75280000000000002</v>
      </c>
      <c r="I21" s="13">
        <f>_xll.BDH("ITCI US Equity","IS_NET_INTEREST_EXPENSE","FQ4 2020","FQ4 2020","Currency=USD","Period=FQ","BEST_FPERIOD_OVERRIDE=FQ","FILING_STATUS=MR","SCALING_FORMAT=MLN","FA_ADJUSTED=Adjusted","Sort=A","Dates=H","DateFormat=P","Fill=—","Direction=H","UseDPDF=Y")</f>
        <v>-0.64439999999999997</v>
      </c>
      <c r="J21" s="13" t="str">
        <f>_xll.BDH("ITCI US Equity","IS_NET_INTEREST_EXPENSE","FQ1 2021","FQ1 2021","Currency=USD","Period=FQ","BEST_FPERIOD_OVERRIDE=FQ","FILING_STATUS=MR","SCALING_FORMAT=MLN","FA_ADJUSTED=Adjusted","Sort=A","Dates=H","DateFormat=P","Fill=—","Direction=H","UseDPDF=Y")</f>
        <v>—</v>
      </c>
      <c r="K21" s="13" t="str">
        <f>_xll.BDH("ITCI US Equity","IS_NET_INTEREST_EXPENSE","FQ2 2021","FQ2 2021","Currency=USD","Period=FQ","BEST_FPERIOD_OVERRIDE=FQ","FILING_STATUS=MR","SCALING_FORMAT=MLN","FA_ADJUSTED=Adjusted","Sort=A","Dates=H","DateFormat=P","Fill=—","Direction=H","UseDPDF=Y")</f>
        <v>—</v>
      </c>
      <c r="L21" s="13" t="str">
        <f>_xll.BDH("ITCI US Equity","IS_NET_INTEREST_EXPENSE","FQ3 2021","FQ3 2021","Currency=USD","Period=FQ","BEST_FPERIOD_OVERRIDE=FQ","FILING_STATUS=MR","SCALING_FORMAT=MLN","FA_ADJUSTED=Adjusted","Sort=A","Dates=H","DateFormat=P","Fill=—","Direction=H","UseDPDF=Y")</f>
        <v>—</v>
      </c>
      <c r="M21" s="13">
        <f>_xll.BDH("ITCI US Equity","IS_NET_INTEREST_EXPENSE","FQ4 2021","FQ4 2021","Currency=USD","Period=FQ","BEST_FPERIOD_OVERRIDE=FQ","FILING_STATUS=MR","SCALING_FORMAT=MLN","FA_ADJUSTED=Adjusted","Sort=A","Dates=H","DateFormat=P","Fill=—","Direction=H","UseDPDF=Y")</f>
        <v>-0.27060000000000001</v>
      </c>
      <c r="N21" s="13" t="str">
        <f>_xll.BDH("ITCI US Equity","IS_NET_INTEREST_EXPENSE","FQ1 2022","FQ1 2022","Currency=USD","Period=FQ","BEST_FPERIOD_OVERRIDE=FQ","FILING_STATUS=MR","SCALING_FORMAT=MLN","FA_ADJUSTED=Adjusted","Sort=A","Dates=H","DateFormat=P","Fill=—","Direction=H","UseDPDF=Y")</f>
        <v>—</v>
      </c>
      <c r="O21" s="13">
        <f>_xll.BDH("ITCI US Equity","IS_NET_INTEREST_EXPENSE","FQ2 2022","FQ2 2022","Currency=USD","Period=FQ","BEST_FPERIOD_OVERRIDE=FQ","FILING_STATUS=MR","SCALING_FORMAT=MLN","FA_ADJUSTED=Adjusted","Sort=A","Dates=H","DateFormat=P","Fill=—","Direction=H","UseDPDF=Y")</f>
        <v>-1.32</v>
      </c>
      <c r="P21" s="13" t="str">
        <f>_xll.BDH("ITCI US Equity","IS_NET_INTEREST_EXPENSE","FQ3 2022","FQ3 2022","Currency=USD","Period=FQ","BEST_FPERIOD_OVERRIDE=FQ","FILING_STATUS=MR","SCALING_FORMAT=MLN","FA_ADJUSTED=Adjusted","Sort=A","Dates=H","DateFormat=P","Fill=—","Direction=H","UseDPDF=Y")</f>
        <v>—</v>
      </c>
      <c r="Q21" s="13">
        <f>_xll.BDH("ITCI US Equity","IS_NET_INTEREST_EXPENSE","FQ4 2022","FQ4 2022","Currency=USD","Period=FQ","BEST_FPERIOD_OVERRIDE=FQ","FILING_STATUS=MR","SCALING_FORMAT=MLN","FA_ADJUSTED=Adjusted","Sort=A","Dates=H","DateFormat=P","Fill=—","Direction=H","UseDPDF=Y")</f>
        <v>-3.3860000000000001</v>
      </c>
      <c r="R21" s="13" t="str">
        <f>_xll.BDH("ITCI US Equity","IS_NET_INTEREST_EXPENSE","FQ1 2023","FQ1 2023","Currency=USD","Period=FQ","BEST_FPERIOD_OVERRIDE=FQ","FILING_STATUS=MR","SCALING_FORMAT=MLN","FA_ADJUSTED=Adjusted","Sort=A","Dates=H","DateFormat=P","Fill=—","Direction=H","UseDPDF=Y")</f>
        <v>—</v>
      </c>
      <c r="S21" s="13" t="str">
        <f>_xll.BDH("ITCI US Equity","IS_NET_INTEREST_EXPENSE","FQ2 2023","FQ2 2023","Currency=USD","Period=FQ","BEST_FPERIOD_OVERRIDE=FQ","FILING_STATUS=MR","SCALING_FORMAT=MLN","FA_ADJUSTED=Adjusted","Sort=A","Dates=H","DateFormat=P","Fill=—","Direction=H","UseDPDF=Y")</f>
        <v>—</v>
      </c>
      <c r="T21" s="13" t="str">
        <f>_xll.BDH("ITCI US Equity","IS_NET_INTEREST_EXPENSE","FQ3 2023","FQ3 2023","Currency=USD","Period=FQ","BEST_FPERIOD_OVERRIDE=FQ","FILING_STATUS=MR","SCALING_FORMAT=MLN","FA_ADJUSTED=Adjusted","Sort=A","Dates=H","DateFormat=P","Fill=—","Direction=H","UseDPDF=Y")</f>
        <v>—</v>
      </c>
      <c r="U21" s="13">
        <f>_xll.BDH("ITCI US Equity","IS_NET_INTEREST_EXPENSE","FQ4 2023","FQ4 2023","Currency=USD","Period=FQ","BEST_FPERIOD_OVERRIDE=FQ","FILING_STATUS=MR","SCALING_FORMAT=MLN","FA_ADJUSTED=Adjusted","Sort=A","Dates=H","DateFormat=P","Fill=—","Direction=H","UseDPDF=Y")</f>
        <v>-5.9660000000000002</v>
      </c>
      <c r="V21" s="13" t="str">
        <f>_xll.BDH("ITCI US Equity","IS_NET_INTEREST_EXPENSE","FQ1 2024","FQ1 2024","Currency=USD","Period=FQ","BEST_FPERIOD_OVERRIDE=FQ","FILING_STATUS=MR","SCALING_FORMAT=MLN","FA_ADJUSTED=Adjusted","Sort=A","Dates=H","DateFormat=P","Fill=—","Direction=H","UseDPDF=Y")</f>
        <v>—</v>
      </c>
      <c r="W21" s="13" t="str">
        <f>_xll.BDH("ITCI US Equity","IS_NET_INTEREST_EXPENSE","FQ2 2024","FQ2 2024","Currency=USD","Period=FQ","BEST_FPERIOD_OVERRIDE=FQ","FILING_STATUS=MR","SCALING_FORMAT=MLN","FA_ADJUSTED=Adjusted","Sort=A","Dates=H","DateFormat=P","Fill=—","Direction=H","UseDPDF=Y")</f>
        <v>—</v>
      </c>
      <c r="X21" s="13" t="str">
        <f>_xll.BDH("ITCI US Equity","IS_NET_INTEREST_EXPENSE","FQ3 2024","FQ3 2024","Currency=USD","Period=FQ","BEST_FPERIOD_OVERRIDE=FQ","FILING_STATUS=MR","SCALING_FORMAT=MLN","FA_ADJUSTED=Adjusted","Sort=A","Dates=H","DateFormat=P","Fill=—","Direction=H","UseDPDF=Y")</f>
        <v>—</v>
      </c>
      <c r="Y21" s="13">
        <f>_xll.BDH("ITCI US Equity","IS_NET_INTEREST_EXPENSE","FQ4 2024","FQ4 2024","Currency=USD","Period=FQ","BEST_FPERIOD_OVERRIDE=FQ","FILING_STATUS=MR","SCALING_FORMAT=MLN","FA_ADJUSTED=Adjusted","Sort=A","Dates=H","DateFormat=P","Fill=—","Direction=H","UseDPDF=Y")</f>
        <v>-11.994999999999999</v>
      </c>
      <c r="Z21" s="13"/>
      <c r="AA21" s="13"/>
    </row>
    <row r="22" spans="1:27" x14ac:dyDescent="0.25">
      <c r="A22" s="11" t="s">
        <v>307</v>
      </c>
      <c r="B22" s="11" t="s">
        <v>308</v>
      </c>
      <c r="C22" s="25">
        <f>_xll.BDH("ITCI US Equity","IS_INT_EXPENSE","FQ2 2019","FQ2 2019","Currency=USD","Period=FQ","BEST_FPERIOD_OVERRIDE=FQ","FILING_STATUS=MR","SCALING_FORMAT=MLN","FA_ADJUSTED=Adjusted","Sort=A","Dates=H","DateFormat=P","Fill=—","Direction=H","UseDPDF=Y")</f>
        <v>0</v>
      </c>
      <c r="D22" s="25">
        <f>_xll.BDH("ITCI US Equity","IS_INT_EXPENSE","FQ3 2019","FQ3 2019","Currency=USD","Period=FQ","BEST_FPERIOD_OVERRIDE=FQ","FILING_STATUS=MR","SCALING_FORMAT=MLN","FA_ADJUSTED=Adjusted","Sort=A","Dates=H","DateFormat=P","Fill=—","Direction=H","UseDPDF=Y")</f>
        <v>0</v>
      </c>
      <c r="E22" s="25">
        <f>_xll.BDH("ITCI US Equity","IS_INT_EXPENSE","FQ4 2019","FQ4 2019","Currency=USD","Period=FQ","BEST_FPERIOD_OVERRIDE=FQ","FILING_STATUS=MR","SCALING_FORMAT=MLN","FA_ADJUSTED=Adjusted","Sort=A","Dates=H","DateFormat=P","Fill=—","Direction=H","UseDPDF=Y")</f>
        <v>0</v>
      </c>
      <c r="F22" s="25" t="str">
        <f>_xll.BDH("ITCI US Equity","IS_INT_EXPENSE","FQ1 2020","FQ1 2020","Currency=USD","Period=FQ","BEST_FPERIOD_OVERRIDE=FQ","FILING_STATUS=MR","SCALING_FORMAT=MLN","FA_ADJUSTED=Adjusted","Sort=A","Dates=H","DateFormat=P","Fill=—","Direction=H","UseDPDF=Y")</f>
        <v>—</v>
      </c>
      <c r="G22" s="25">
        <f>_xll.BDH("ITCI US Equity","IS_INT_EXPENSE","FQ2 2020","FQ2 2020","Currency=USD","Period=FQ","BEST_FPERIOD_OVERRIDE=FQ","FILING_STATUS=MR","SCALING_FORMAT=MLN","FA_ADJUSTED=Adjusted","Sort=A","Dates=H","DateFormat=P","Fill=—","Direction=H","UseDPDF=Y")</f>
        <v>0</v>
      </c>
      <c r="H22" s="25">
        <f>_xll.BDH("ITCI US Equity","IS_INT_EXPENSE","FQ3 2020","FQ3 2020","Currency=USD","Period=FQ","BEST_FPERIOD_OVERRIDE=FQ","FILING_STATUS=MR","SCALING_FORMAT=MLN","FA_ADJUSTED=Adjusted","Sort=A","Dates=H","DateFormat=P","Fill=—","Direction=H","UseDPDF=Y")</f>
        <v>0</v>
      </c>
      <c r="I22" s="25">
        <f>_xll.BDH("ITCI US Equity","IS_INT_EXPENSE","FQ4 2020","FQ4 2020","Currency=USD","Period=FQ","BEST_FPERIOD_OVERRIDE=FQ","FILING_STATUS=MR","SCALING_FORMAT=MLN","FA_ADJUSTED=Adjusted","Sort=A","Dates=H","DateFormat=P","Fill=—","Direction=H","UseDPDF=Y")</f>
        <v>0</v>
      </c>
      <c r="J22" s="25" t="str">
        <f>_xll.BDH("ITCI US Equity","IS_INT_EXPENSE","FQ1 2021","FQ1 2021","Currency=USD","Period=FQ","BEST_FPERIOD_OVERRIDE=FQ","FILING_STATUS=MR","SCALING_FORMAT=MLN","FA_ADJUSTED=Adjusted","Sort=A","Dates=H","DateFormat=P","Fill=—","Direction=H","UseDPDF=Y")</f>
        <v>—</v>
      </c>
      <c r="K22" s="25" t="str">
        <f>_xll.BDH("ITCI US Equity","IS_INT_EXPENSE","FQ2 2021","FQ2 2021","Currency=USD","Period=FQ","BEST_FPERIOD_OVERRIDE=FQ","FILING_STATUS=MR","SCALING_FORMAT=MLN","FA_ADJUSTED=Adjusted","Sort=A","Dates=H","DateFormat=P","Fill=—","Direction=H","UseDPDF=Y")</f>
        <v>—</v>
      </c>
      <c r="L22" s="25" t="str">
        <f>_xll.BDH("ITCI US Equity","IS_INT_EXPENSE","FQ3 2021","FQ3 2021","Currency=USD","Period=FQ","BEST_FPERIOD_OVERRIDE=FQ","FILING_STATUS=MR","SCALING_FORMAT=MLN","FA_ADJUSTED=Adjusted","Sort=A","Dates=H","DateFormat=P","Fill=—","Direction=H","UseDPDF=Y")</f>
        <v>—</v>
      </c>
      <c r="M22" s="25">
        <f>_xll.BDH("ITCI US Equity","IS_INT_EXPENSE","FQ4 2021","FQ4 2021","Currency=USD","Period=FQ","BEST_FPERIOD_OVERRIDE=FQ","FILING_STATUS=MR","SCALING_FORMAT=MLN","FA_ADJUSTED=Adjusted","Sort=A","Dates=H","DateFormat=P","Fill=—","Direction=H","UseDPDF=Y")</f>
        <v>0</v>
      </c>
      <c r="N22" s="25" t="str">
        <f>_xll.BDH("ITCI US Equity","IS_INT_EXPENSE","FQ1 2022","FQ1 2022","Currency=USD","Period=FQ","BEST_FPERIOD_OVERRIDE=FQ","FILING_STATUS=MR","SCALING_FORMAT=MLN","FA_ADJUSTED=Adjusted","Sort=A","Dates=H","DateFormat=P","Fill=—","Direction=H","UseDPDF=Y")</f>
        <v>—</v>
      </c>
      <c r="O22" s="25">
        <f>_xll.BDH("ITCI US Equity","IS_INT_EXPENSE","FQ2 2022","FQ2 2022","Currency=USD","Period=FQ","BEST_FPERIOD_OVERRIDE=FQ","FILING_STATUS=MR","SCALING_FORMAT=MLN","FA_ADJUSTED=Adjusted","Sort=A","Dates=H","DateFormat=P","Fill=—","Direction=H","UseDPDF=Y")</f>
        <v>0</v>
      </c>
      <c r="P22" s="25" t="str">
        <f>_xll.BDH("ITCI US Equity","IS_INT_EXPENSE","FQ3 2022","FQ3 2022","Currency=USD","Period=FQ","BEST_FPERIOD_OVERRIDE=FQ","FILING_STATUS=MR","SCALING_FORMAT=MLN","FA_ADJUSTED=Adjusted","Sort=A","Dates=H","DateFormat=P","Fill=—","Direction=H","UseDPDF=Y")</f>
        <v>—</v>
      </c>
      <c r="Q22" s="25">
        <f>_xll.BDH("ITCI US Equity","IS_INT_EXPENSE","FQ4 2022","FQ4 2022","Currency=USD","Period=FQ","BEST_FPERIOD_OVERRIDE=FQ","FILING_STATUS=MR","SCALING_FORMAT=MLN","FA_ADJUSTED=Adjusted","Sort=A","Dates=H","DateFormat=P","Fill=—","Direction=H","UseDPDF=Y")</f>
        <v>0</v>
      </c>
      <c r="R22" s="25" t="str">
        <f>_xll.BDH("ITCI US Equity","IS_INT_EXPENSE","FQ1 2023","FQ1 2023","Currency=USD","Period=FQ","BEST_FPERIOD_OVERRIDE=FQ","FILING_STATUS=MR","SCALING_FORMAT=MLN","FA_ADJUSTED=Adjusted","Sort=A","Dates=H","DateFormat=P","Fill=—","Direction=H","UseDPDF=Y")</f>
        <v>—</v>
      </c>
      <c r="S22" s="25" t="str">
        <f>_xll.BDH("ITCI US Equity","IS_INT_EXPENSE","FQ2 2023","FQ2 2023","Currency=USD","Period=FQ","BEST_FPERIOD_OVERRIDE=FQ","FILING_STATUS=MR","SCALING_FORMAT=MLN","FA_ADJUSTED=Adjusted","Sort=A","Dates=H","DateFormat=P","Fill=—","Direction=H","UseDPDF=Y")</f>
        <v>—</v>
      </c>
      <c r="T22" s="25" t="str">
        <f>_xll.BDH("ITCI US Equity","IS_INT_EXPENSE","FQ3 2023","FQ3 2023","Currency=USD","Period=FQ","BEST_FPERIOD_OVERRIDE=FQ","FILING_STATUS=MR","SCALING_FORMAT=MLN","FA_ADJUSTED=Adjusted","Sort=A","Dates=H","DateFormat=P","Fill=—","Direction=H","UseDPDF=Y")</f>
        <v>—</v>
      </c>
      <c r="U22" s="25">
        <f>_xll.BDH("ITCI US Equity","IS_INT_EXPENSE","FQ4 2023","FQ4 2023","Currency=USD","Period=FQ","BEST_FPERIOD_OVERRIDE=FQ","FILING_STATUS=MR","SCALING_FORMAT=MLN","FA_ADJUSTED=Adjusted","Sort=A","Dates=H","DateFormat=P","Fill=—","Direction=H","UseDPDF=Y")</f>
        <v>0</v>
      </c>
      <c r="V22" s="25" t="str">
        <f>_xll.BDH("ITCI US Equity","IS_INT_EXPENSE","FQ1 2024","FQ1 2024","Currency=USD","Period=FQ","BEST_FPERIOD_OVERRIDE=FQ","FILING_STATUS=MR","SCALING_FORMAT=MLN","FA_ADJUSTED=Adjusted","Sort=A","Dates=H","DateFormat=P","Fill=—","Direction=H","UseDPDF=Y")</f>
        <v>—</v>
      </c>
      <c r="W22" s="25" t="str">
        <f>_xll.BDH("ITCI US Equity","IS_INT_EXPENSE","FQ2 2024","FQ2 2024","Currency=USD","Period=FQ","BEST_FPERIOD_OVERRIDE=FQ","FILING_STATUS=MR","SCALING_FORMAT=MLN","FA_ADJUSTED=Adjusted","Sort=A","Dates=H","DateFormat=P","Fill=—","Direction=H","UseDPDF=Y")</f>
        <v>—</v>
      </c>
      <c r="X22" s="25" t="str">
        <f>_xll.BDH("ITCI US Equity","IS_INT_EXPENSE","FQ3 2024","FQ3 2024","Currency=USD","Period=FQ","BEST_FPERIOD_OVERRIDE=FQ","FILING_STATUS=MR","SCALING_FORMAT=MLN","FA_ADJUSTED=Adjusted","Sort=A","Dates=H","DateFormat=P","Fill=—","Direction=H","UseDPDF=Y")</f>
        <v>—</v>
      </c>
      <c r="Y22" s="25">
        <f>_xll.BDH("ITCI US Equity","IS_INT_EXPENSE","FQ4 2024","FQ4 2024","Currency=USD","Period=FQ","BEST_FPERIOD_OVERRIDE=FQ","FILING_STATUS=MR","SCALING_FORMAT=MLN","FA_ADJUSTED=Adjusted","Sort=A","Dates=H","DateFormat=P","Fill=—","Direction=H","UseDPDF=Y")</f>
        <v>0</v>
      </c>
      <c r="Z22" s="25"/>
      <c r="AA22" s="25"/>
    </row>
    <row r="23" spans="1:27" x14ac:dyDescent="0.25">
      <c r="A23" s="11" t="s">
        <v>309</v>
      </c>
      <c r="B23" s="11" t="s">
        <v>310</v>
      </c>
      <c r="C23" s="25">
        <f>_xll.BDH("ITCI US Equity","IS_INT_INC","FQ2 2019","FQ2 2019","Currency=USD","Period=FQ","BEST_FPERIOD_OVERRIDE=FQ","FILING_STATUS=MR","SCALING_FORMAT=MLN","FA_ADJUSTED=Adjusted","Sort=A","Dates=H","DateFormat=P","Fill=—","Direction=H","UseDPDF=Y")</f>
        <v>1.7316</v>
      </c>
      <c r="D23" s="25">
        <f>_xll.BDH("ITCI US Equity","IS_INT_INC","FQ3 2019","FQ3 2019","Currency=USD","Period=FQ","BEST_FPERIOD_OVERRIDE=FQ","FILING_STATUS=MR","SCALING_FORMAT=MLN","FA_ADJUSTED=Adjusted","Sort=A","Dates=H","DateFormat=P","Fill=—","Direction=H","UseDPDF=Y")</f>
        <v>1.5138</v>
      </c>
      <c r="E23" s="25">
        <f>_xll.BDH("ITCI US Equity","IS_INT_INC","FQ4 2019","FQ4 2019","Currency=USD","Period=FQ","BEST_FPERIOD_OVERRIDE=FQ","FILING_STATUS=MR","SCALING_FORMAT=MLN","FA_ADJUSTED=Adjusted","Sort=A","Dates=H","DateFormat=P","Fill=—","Direction=H","UseDPDF=Y")</f>
        <v>1.1858</v>
      </c>
      <c r="F23" s="25">
        <f>_xll.BDH("ITCI US Equity","IS_INT_INC","FQ1 2020","FQ1 2020","Currency=USD","Period=FQ","BEST_FPERIOD_OVERRIDE=FQ","FILING_STATUS=MR","SCALING_FORMAT=MLN","FA_ADJUSTED=Adjusted","Sort=A","Dates=H","DateFormat=P","Fill=—","Direction=H","UseDPDF=Y")</f>
        <v>1.6781999999999999</v>
      </c>
      <c r="G23" s="25">
        <f>_xll.BDH("ITCI US Equity","IS_INT_INC","FQ2 2020","FQ2 2020","Currency=USD","Period=FQ","BEST_FPERIOD_OVERRIDE=FQ","FILING_STATUS=MR","SCALING_FORMAT=MLN","FA_ADJUSTED=Adjusted","Sort=A","Dates=H","DateFormat=P","Fill=—","Direction=H","UseDPDF=Y")</f>
        <v>1.1600999999999999</v>
      </c>
      <c r="H23" s="25">
        <f>_xll.BDH("ITCI US Equity","IS_INT_INC","FQ3 2020","FQ3 2020","Currency=USD","Period=FQ","BEST_FPERIOD_OVERRIDE=FQ","FILING_STATUS=MR","SCALING_FORMAT=MLN","FA_ADJUSTED=Adjusted","Sort=A","Dates=H","DateFormat=P","Fill=—","Direction=H","UseDPDF=Y")</f>
        <v>0.75280000000000002</v>
      </c>
      <c r="I23" s="25">
        <f>_xll.BDH("ITCI US Equity","IS_INT_INC","FQ4 2020","FQ4 2020","Currency=USD","Period=FQ","BEST_FPERIOD_OVERRIDE=FQ","FILING_STATUS=MR","SCALING_FORMAT=MLN","FA_ADJUSTED=Adjusted","Sort=A","Dates=H","DateFormat=P","Fill=—","Direction=H","UseDPDF=Y")</f>
        <v>0.64439999999999997</v>
      </c>
      <c r="J23" s="25">
        <f>_xll.BDH("ITCI US Equity","IS_INT_INC","FQ1 2021","FQ1 2021","Currency=USD","Period=FQ","BEST_FPERIOD_OVERRIDE=FQ","FILING_STATUS=MR","SCALING_FORMAT=MLN","FA_ADJUSTED=Adjusted","Sort=A","Dates=H","DateFormat=P","Fill=—","Direction=H","UseDPDF=Y")</f>
        <v>0.48380000000000001</v>
      </c>
      <c r="K23" s="25">
        <f>_xll.BDH("ITCI US Equity","IS_INT_INC","FQ2 2021","FQ2 2021","Currency=USD","Period=FQ","BEST_FPERIOD_OVERRIDE=FQ","FILING_STATUS=MR","SCALING_FORMAT=MLN","FA_ADJUSTED=Adjusted","Sort=A","Dates=H","DateFormat=P","Fill=—","Direction=H","UseDPDF=Y")</f>
        <v>0.42099999999999999</v>
      </c>
      <c r="L23" s="25">
        <f>_xll.BDH("ITCI US Equity","IS_INT_INC","FQ3 2021","FQ3 2021","Currency=USD","Period=FQ","BEST_FPERIOD_OVERRIDE=FQ","FILING_STATUS=MR","SCALING_FORMAT=MLN","FA_ADJUSTED=Adjusted","Sort=A","Dates=H","DateFormat=P","Fill=—","Direction=H","UseDPDF=Y")</f>
        <v>0.39269999999999999</v>
      </c>
      <c r="M23" s="25">
        <f>_xll.BDH("ITCI US Equity","IS_INT_INC","FQ4 2021","FQ4 2021","Currency=USD","Period=FQ","BEST_FPERIOD_OVERRIDE=FQ","FILING_STATUS=MR","SCALING_FORMAT=MLN","FA_ADJUSTED=Adjusted","Sort=A","Dates=H","DateFormat=P","Fill=—","Direction=H","UseDPDF=Y")</f>
        <v>0.27060000000000001</v>
      </c>
      <c r="N23" s="25">
        <f>_xll.BDH("ITCI US Equity","IS_INT_INC","FQ1 2022","FQ1 2022","Currency=USD","Period=FQ","BEST_FPERIOD_OVERRIDE=FQ","FILING_STATUS=MR","SCALING_FORMAT=MLN","FA_ADJUSTED=Adjusted","Sort=A","Dates=H","DateFormat=P","Fill=—","Direction=H","UseDPDF=Y")</f>
        <v>0.54800000000000004</v>
      </c>
      <c r="O23" s="25">
        <f>_xll.BDH("ITCI US Equity","IS_INT_INC","FQ2 2022","FQ2 2022","Currency=USD","Period=FQ","BEST_FPERIOD_OVERRIDE=FQ","FILING_STATUS=MR","SCALING_FORMAT=MLN","FA_ADJUSTED=Adjusted","Sort=A","Dates=H","DateFormat=P","Fill=—","Direction=H","UseDPDF=Y")</f>
        <v>1.32</v>
      </c>
      <c r="P23" s="25">
        <f>_xll.BDH("ITCI US Equity","IS_INT_INC","FQ3 2022","FQ3 2022","Currency=USD","Period=FQ","BEST_FPERIOD_OVERRIDE=FQ","FILING_STATUS=MR","SCALING_FORMAT=MLN","FA_ADJUSTED=Adjusted","Sort=A","Dates=H","DateFormat=P","Fill=—","Direction=H","UseDPDF=Y")</f>
        <v>2.1219999999999999</v>
      </c>
      <c r="Q23" s="25">
        <f>_xll.BDH("ITCI US Equity","IS_INT_INC","FQ4 2022","FQ4 2022","Currency=USD","Period=FQ","BEST_FPERIOD_OVERRIDE=FQ","FILING_STATUS=MR","SCALING_FORMAT=MLN","FA_ADJUSTED=Adjusted","Sort=A","Dates=H","DateFormat=P","Fill=—","Direction=H","UseDPDF=Y")</f>
        <v>3.3860000000000001</v>
      </c>
      <c r="R23" s="25">
        <f>_xll.BDH("ITCI US Equity","IS_INT_INC","FQ1 2023","FQ1 2023","Currency=USD","Period=FQ","BEST_FPERIOD_OVERRIDE=FQ","FILING_STATUS=MR","SCALING_FORMAT=MLN","FA_ADJUSTED=Adjusted","Sort=A","Dates=H","DateFormat=P","Fill=—","Direction=H","UseDPDF=Y")</f>
        <v>4.3490000000000002</v>
      </c>
      <c r="S23" s="25">
        <f>_xll.BDH("ITCI US Equity","IS_INT_INC","FQ2 2023","FQ2 2023","Currency=USD","Period=FQ","BEST_FPERIOD_OVERRIDE=FQ","FILING_STATUS=MR","SCALING_FORMAT=MLN","FA_ADJUSTED=Adjusted","Sort=A","Dates=H","DateFormat=P","Fill=—","Direction=H","UseDPDF=Y")</f>
        <v>4.53</v>
      </c>
      <c r="T23" s="25">
        <f>_xll.BDH("ITCI US Equity","IS_INT_INC","FQ3 2023","FQ3 2023","Currency=USD","Period=FQ","BEST_FPERIOD_OVERRIDE=FQ","FILING_STATUS=MR","SCALING_FORMAT=MLN","FA_ADJUSTED=Adjusted","Sort=A","Dates=H","DateFormat=P","Fill=—","Direction=H","UseDPDF=Y")</f>
        <v>5.4980000000000002</v>
      </c>
      <c r="U23" s="25">
        <f>_xll.BDH("ITCI US Equity","IS_INT_INC","FQ4 2023","FQ4 2023","Currency=USD","Period=FQ","BEST_FPERIOD_OVERRIDE=FQ","FILING_STATUS=MR","SCALING_FORMAT=MLN","FA_ADJUSTED=Adjusted","Sort=A","Dates=H","DateFormat=P","Fill=—","Direction=H","UseDPDF=Y")</f>
        <v>5.9660000000000002</v>
      </c>
      <c r="V23" s="25">
        <f>_xll.BDH("ITCI US Equity","IS_INT_INC","FQ1 2024","FQ1 2024","Currency=USD","Period=FQ","BEST_FPERIOD_OVERRIDE=FQ","FILING_STATUS=MR","SCALING_FORMAT=MLN","FA_ADJUSTED=Adjusted","Sort=A","Dates=H","DateFormat=P","Fill=—","Direction=H","UseDPDF=Y")</f>
        <v>6.0640000000000001</v>
      </c>
      <c r="W23" s="25">
        <f>_xll.BDH("ITCI US Equity","IS_INT_INC","FQ2 2024","FQ2 2024","Currency=USD","Period=FQ","BEST_FPERIOD_OVERRIDE=FQ","FILING_STATUS=MR","SCALING_FORMAT=MLN","FA_ADJUSTED=Adjusted","Sort=A","Dates=H","DateFormat=P","Fill=—","Direction=H","UseDPDF=Y")</f>
        <v>11.56</v>
      </c>
      <c r="X23" s="25">
        <f>_xll.BDH("ITCI US Equity","IS_INT_INC","FQ3 2024","FQ3 2024","Currency=USD","Period=FQ","BEST_FPERIOD_OVERRIDE=FQ","FILING_STATUS=MR","SCALING_FORMAT=MLN","FA_ADJUSTED=Adjusted","Sort=A","Dates=H","DateFormat=P","Fill=—","Direction=H","UseDPDF=Y")</f>
        <v>12.898999999999999</v>
      </c>
      <c r="Y23" s="25">
        <f>_xll.BDH("ITCI US Equity","IS_INT_INC","FQ4 2024","FQ4 2024","Currency=USD","Period=FQ","BEST_FPERIOD_OVERRIDE=FQ","FILING_STATUS=MR","SCALING_FORMAT=MLN","FA_ADJUSTED=Adjusted","Sort=A","Dates=H","DateFormat=P","Fill=—","Direction=H","UseDPDF=Y")</f>
        <v>11.994999999999999</v>
      </c>
      <c r="Z23" s="25"/>
      <c r="AA23" s="25"/>
    </row>
    <row r="24" spans="1:27" x14ac:dyDescent="0.25">
      <c r="A24" s="10" t="s">
        <v>311</v>
      </c>
      <c r="B24" s="10" t="s">
        <v>312</v>
      </c>
      <c r="C24" s="13">
        <f>_xll.BDH("ITCI US Equity","IS_OTHER_NON_OPERATING_INC_LOSS","FQ2 2019","FQ2 2019","Currency=USD","Period=FQ","BEST_FPERIOD_OVERRIDE=FQ","FILING_STATUS=MR","SCALING_FORMAT=MLN","FA_ADJUSTED=Adjusted","Sort=A","Dates=H","DateFormat=P","Fill=—","Direction=H","UseDPDF=Y")</f>
        <v>0</v>
      </c>
      <c r="D24" s="13">
        <f>_xll.BDH("ITCI US Equity","IS_OTHER_NON_OPERATING_INC_LOSS","FQ3 2019","FQ3 2019","Currency=USD","Period=FQ","BEST_FPERIOD_OVERRIDE=FQ","FILING_STATUS=MR","SCALING_FORMAT=MLN","FA_ADJUSTED=Adjusted","Sort=A","Dates=H","DateFormat=P","Fill=—","Direction=H","UseDPDF=Y")</f>
        <v>0</v>
      </c>
      <c r="E24" s="13">
        <f>_xll.BDH("ITCI US Equity","IS_OTHER_NON_OPERATING_INC_LOSS","FQ4 2019","FQ4 2019","Currency=USD","Period=FQ","BEST_FPERIOD_OVERRIDE=FQ","FILING_STATUS=MR","SCALING_FORMAT=MLN","FA_ADJUSTED=Adjusted","Sort=A","Dates=H","DateFormat=P","Fill=—","Direction=H","UseDPDF=Y")</f>
        <v>0</v>
      </c>
      <c r="F24" s="13">
        <f>_xll.BDH("ITCI US Equity","IS_OTHER_NON_OPERATING_INC_LOSS","FQ1 2020","FQ1 2020","Currency=USD","Period=FQ","BEST_FPERIOD_OVERRIDE=FQ","FILING_STATUS=MR","SCALING_FORMAT=MLN","FA_ADJUSTED=Adjusted","Sort=A","Dates=H","DateFormat=P","Fill=—","Direction=H","UseDPDF=Y")</f>
        <v>0</v>
      </c>
      <c r="G24" s="13">
        <f>_xll.BDH("ITCI US Equity","IS_OTHER_NON_OPERATING_INC_LOSS","FQ2 2020","FQ2 2020","Currency=USD","Period=FQ","BEST_FPERIOD_OVERRIDE=FQ","FILING_STATUS=MR","SCALING_FORMAT=MLN","FA_ADJUSTED=Adjusted","Sort=A","Dates=H","DateFormat=P","Fill=—","Direction=H","UseDPDF=Y")</f>
        <v>0</v>
      </c>
      <c r="H24" s="13">
        <f>_xll.BDH("ITCI US Equity","IS_OTHER_NON_OPERATING_INC_LOSS","FQ3 2020","FQ3 2020","Currency=USD","Period=FQ","BEST_FPERIOD_OVERRIDE=FQ","FILING_STATUS=MR","SCALING_FORMAT=MLN","FA_ADJUSTED=Adjusted","Sort=A","Dates=H","DateFormat=P","Fill=—","Direction=H","UseDPDF=Y")</f>
        <v>0</v>
      </c>
      <c r="I24" s="13">
        <f>_xll.BDH("ITCI US Equity","IS_OTHER_NON_OPERATING_INC_LOSS","FQ4 2020","FQ4 2020","Currency=USD","Period=FQ","BEST_FPERIOD_OVERRIDE=FQ","FILING_STATUS=MR","SCALING_FORMAT=MLN","FA_ADJUSTED=Adjusted","Sort=A","Dates=H","DateFormat=P","Fill=—","Direction=H","UseDPDF=Y")</f>
        <v>0</v>
      </c>
      <c r="J24" s="13">
        <f>_xll.BDH("ITCI US Equity","IS_OTHER_NON_OPERATING_INC_LOSS","FQ1 2021","FQ1 2021","Currency=USD","Period=FQ","BEST_FPERIOD_OVERRIDE=FQ","FILING_STATUS=MR","SCALING_FORMAT=MLN","FA_ADJUSTED=Adjusted","Sort=A","Dates=H","DateFormat=P","Fill=—","Direction=H","UseDPDF=Y")</f>
        <v>0</v>
      </c>
      <c r="K24" s="13">
        <f>_xll.BDH("ITCI US Equity","IS_OTHER_NON_OPERATING_INC_LOSS","FQ2 2021","FQ2 2021","Currency=USD","Period=FQ","BEST_FPERIOD_OVERRIDE=FQ","FILING_STATUS=MR","SCALING_FORMAT=MLN","FA_ADJUSTED=Adjusted","Sort=A","Dates=H","DateFormat=P","Fill=—","Direction=H","UseDPDF=Y")</f>
        <v>0</v>
      </c>
      <c r="L24" s="13">
        <f>_xll.BDH("ITCI US Equity","IS_OTHER_NON_OPERATING_INC_LOSS","FQ3 2021","FQ3 2021","Currency=USD","Period=FQ","BEST_FPERIOD_OVERRIDE=FQ","FILING_STATUS=MR","SCALING_FORMAT=MLN","FA_ADJUSTED=Adjusted","Sort=A","Dates=H","DateFormat=P","Fill=—","Direction=H","UseDPDF=Y")</f>
        <v>0</v>
      </c>
      <c r="M24" s="13">
        <f>_xll.BDH("ITCI US Equity","IS_OTHER_NON_OPERATING_INC_LOSS","FQ4 2021","FQ4 2021","Currency=USD","Period=FQ","BEST_FPERIOD_OVERRIDE=FQ","FILING_STATUS=MR","SCALING_FORMAT=MLN","FA_ADJUSTED=Adjusted","Sort=A","Dates=H","DateFormat=P","Fill=—","Direction=H","UseDPDF=Y")</f>
        <v>0</v>
      </c>
      <c r="N24" s="13">
        <f>_xll.BDH("ITCI US Equity","IS_OTHER_NON_OPERATING_INC_LOSS","FQ1 2022","FQ1 2022","Currency=USD","Period=FQ","BEST_FPERIOD_OVERRIDE=FQ","FILING_STATUS=MR","SCALING_FORMAT=MLN","FA_ADJUSTED=Adjusted","Sort=A","Dates=H","DateFormat=P","Fill=—","Direction=H","UseDPDF=Y")</f>
        <v>0</v>
      </c>
      <c r="O24" s="13">
        <f>_xll.BDH("ITCI US Equity","IS_OTHER_NON_OPERATING_INC_LOSS","FQ2 2022","FQ2 2022","Currency=USD","Period=FQ","BEST_FPERIOD_OVERRIDE=FQ","FILING_STATUS=MR","SCALING_FORMAT=MLN","FA_ADJUSTED=Adjusted","Sort=A","Dates=H","DateFormat=P","Fill=—","Direction=H","UseDPDF=Y")</f>
        <v>0</v>
      </c>
      <c r="P24" s="13">
        <f>_xll.BDH("ITCI US Equity","IS_OTHER_NON_OPERATING_INC_LOSS","FQ3 2022","FQ3 2022","Currency=USD","Period=FQ","BEST_FPERIOD_OVERRIDE=FQ","FILING_STATUS=MR","SCALING_FORMAT=MLN","FA_ADJUSTED=Adjusted","Sort=A","Dates=H","DateFormat=P","Fill=—","Direction=H","UseDPDF=Y")</f>
        <v>0</v>
      </c>
      <c r="Q24" s="13">
        <f>_xll.BDH("ITCI US Equity","IS_OTHER_NON_OPERATING_INC_LOSS","FQ4 2022","FQ4 2022","Currency=USD","Period=FQ","BEST_FPERIOD_OVERRIDE=FQ","FILING_STATUS=MR","SCALING_FORMAT=MLN","FA_ADJUSTED=Adjusted","Sort=A","Dates=H","DateFormat=P","Fill=—","Direction=H","UseDPDF=Y")</f>
        <v>0</v>
      </c>
      <c r="R24" s="13">
        <f>_xll.BDH("ITCI US Equity","IS_OTHER_NON_OPERATING_INC_LOSS","FQ1 2023","FQ1 2023","Currency=USD","Period=FQ","BEST_FPERIOD_OVERRIDE=FQ","FILING_STATUS=MR","SCALING_FORMAT=MLN","FA_ADJUSTED=Adjusted","Sort=A","Dates=H","DateFormat=P","Fill=—","Direction=H","UseDPDF=Y")</f>
        <v>0</v>
      </c>
      <c r="S24" s="13">
        <f>_xll.BDH("ITCI US Equity","IS_OTHER_NON_OPERATING_INC_LOSS","FQ2 2023","FQ2 2023","Currency=USD","Period=FQ","BEST_FPERIOD_OVERRIDE=FQ","FILING_STATUS=MR","SCALING_FORMAT=MLN","FA_ADJUSTED=Adjusted","Sort=A","Dates=H","DateFormat=P","Fill=—","Direction=H","UseDPDF=Y")</f>
        <v>0</v>
      </c>
      <c r="T24" s="13">
        <f>_xll.BDH("ITCI US Equity","IS_OTHER_NON_OPERATING_INC_LOSS","FQ3 2023","FQ3 2023","Currency=USD","Period=FQ","BEST_FPERIOD_OVERRIDE=FQ","FILING_STATUS=MR","SCALING_FORMAT=MLN","FA_ADJUSTED=Adjusted","Sort=A","Dates=H","DateFormat=P","Fill=—","Direction=H","UseDPDF=Y")</f>
        <v>0</v>
      </c>
      <c r="U24" s="13">
        <f>_xll.BDH("ITCI US Equity","IS_OTHER_NON_OPERATING_INC_LOSS","FQ4 2023","FQ4 2023","Currency=USD","Period=FQ","BEST_FPERIOD_OVERRIDE=FQ","FILING_STATUS=MR","SCALING_FORMAT=MLN","FA_ADJUSTED=Adjusted","Sort=A","Dates=H","DateFormat=P","Fill=—","Direction=H","UseDPDF=Y")</f>
        <v>0</v>
      </c>
      <c r="V24" s="13">
        <f>_xll.BDH("ITCI US Equity","IS_OTHER_NON_OPERATING_INC_LOSS","FQ1 2024","FQ1 2024","Currency=USD","Period=FQ","BEST_FPERIOD_OVERRIDE=FQ","FILING_STATUS=MR","SCALING_FORMAT=MLN","FA_ADJUSTED=Adjusted","Sort=A","Dates=H","DateFormat=P","Fill=—","Direction=H","UseDPDF=Y")</f>
        <v>0</v>
      </c>
      <c r="W24" s="13">
        <f>_xll.BDH("ITCI US Equity","IS_OTHER_NON_OPERATING_INC_LOSS","FQ2 2024","FQ2 2024","Currency=USD","Period=FQ","BEST_FPERIOD_OVERRIDE=FQ","FILING_STATUS=MR","SCALING_FORMAT=MLN","FA_ADJUSTED=Adjusted","Sort=A","Dates=H","DateFormat=P","Fill=—","Direction=H","UseDPDF=Y")</f>
        <v>0</v>
      </c>
      <c r="X24" s="13">
        <f>_xll.BDH("ITCI US Equity","IS_OTHER_NON_OPERATING_INC_LOSS","FQ3 2024","FQ3 2024","Currency=USD","Period=FQ","BEST_FPERIOD_OVERRIDE=FQ","FILING_STATUS=MR","SCALING_FORMAT=MLN","FA_ADJUSTED=Adjusted","Sort=A","Dates=H","DateFormat=P","Fill=—","Direction=H","UseDPDF=Y")</f>
        <v>0</v>
      </c>
      <c r="Y24" s="13">
        <f>_xll.BDH("ITCI US Equity","IS_OTHER_NON_OPERATING_INC_LOSS","FQ4 2024","FQ4 2024","Currency=USD","Period=FQ","BEST_FPERIOD_OVERRIDE=FQ","FILING_STATUS=MR","SCALING_FORMAT=MLN","FA_ADJUSTED=Adjusted","Sort=A","Dates=H","DateFormat=P","Fill=—","Direction=H","UseDPDF=Y")</f>
        <v>0</v>
      </c>
      <c r="Z24" s="13"/>
      <c r="AA24" s="13"/>
    </row>
    <row r="25" spans="1:27" x14ac:dyDescent="0.25">
      <c r="A25" s="6" t="s">
        <v>313</v>
      </c>
      <c r="B25" s="6" t="s">
        <v>157</v>
      </c>
      <c r="C25" s="19">
        <f>_xll.BDH("ITCI US Equity","PRETAX_INC","FQ2 2019","FQ2 2019","Currency=USD","Period=FQ","BEST_FPERIOD_OVERRIDE=FQ","FILING_STATUS=MR","SCALING_FORMAT=MLN","FA_ADJUSTED=Adjusted","Sort=A","Dates=H","DateFormat=P","Fill=—","Direction=H","UseDPDF=Y")</f>
        <v>-37.439599999999999</v>
      </c>
      <c r="D25" s="19">
        <f>_xll.BDH("ITCI US Equity","PRETAX_INC","FQ3 2019","FQ3 2019","Currency=USD","Period=FQ","BEST_FPERIOD_OVERRIDE=FQ","FILING_STATUS=MR","SCALING_FORMAT=MLN","FA_ADJUSTED=Adjusted","Sort=A","Dates=H","DateFormat=P","Fill=—","Direction=H","UseDPDF=Y")</f>
        <v>-34.862400000000001</v>
      </c>
      <c r="E25" s="19">
        <f>_xll.BDH("ITCI US Equity","PRETAX_INC","FQ4 2019","FQ4 2019","Currency=USD","Period=FQ","BEST_FPERIOD_OVERRIDE=FQ","FILING_STATUS=MR","SCALING_FORMAT=MLN","FA_ADJUSTED=Adjusted","Sort=A","Dates=H","DateFormat=P","Fill=—","Direction=H","UseDPDF=Y")</f>
        <v>-40.582900000000002</v>
      </c>
      <c r="F25" s="19">
        <f>_xll.BDH("ITCI US Equity","PRETAX_INC","FQ1 2020","FQ1 2020","Currency=USD","Period=FQ","BEST_FPERIOD_OVERRIDE=FQ","FILING_STATUS=MR","SCALING_FORMAT=MLN","FA_ADJUSTED=Adjusted","Sort=A","Dates=H","DateFormat=P","Fill=—","Direction=H","UseDPDF=Y")</f>
        <v>-47.407299999999999</v>
      </c>
      <c r="G25" s="19">
        <f>_xll.BDH("ITCI US Equity","PRETAX_INC","FQ2 2020","FQ2 2020","Currency=USD","Period=FQ","BEST_FPERIOD_OVERRIDE=FQ","FILING_STATUS=MR","SCALING_FORMAT=MLN","FA_ADJUSTED=Adjusted","Sort=A","Dates=H","DateFormat=P","Fill=—","Direction=H","UseDPDF=Y")</f>
        <v>-63.712299999999999</v>
      </c>
      <c r="H25" s="19">
        <f>_xll.BDH("ITCI US Equity","PRETAX_INC","FQ3 2020","FQ3 2020","Currency=USD","Period=FQ","BEST_FPERIOD_OVERRIDE=FQ","FILING_STATUS=MR","SCALING_FORMAT=MLN","FA_ADJUSTED=Adjusted","Sort=A","Dates=H","DateFormat=P","Fill=—","Direction=H","UseDPDF=Y")</f>
        <v>-55.183599999999998</v>
      </c>
      <c r="I25" s="19">
        <f>_xll.BDH("ITCI US Equity","PRETAX_INC","FQ4 2020","FQ4 2020","Currency=USD","Period=FQ","BEST_FPERIOD_OVERRIDE=FQ","FILING_STATUS=MR","SCALING_FORMAT=MLN","FA_ADJUSTED=Adjusted","Sort=A","Dates=H","DateFormat=P","Fill=—","Direction=H","UseDPDF=Y")</f>
        <v>-60.688899999999997</v>
      </c>
      <c r="J25" s="19">
        <f>_xll.BDH("ITCI US Equity","PRETAX_INC","FQ1 2021","FQ1 2021","Currency=USD","Period=FQ","BEST_FPERIOD_OVERRIDE=FQ","FILING_STATUS=MR","SCALING_FORMAT=MLN","FA_ADJUSTED=Adjusted","Sort=A","Dates=H","DateFormat=P","Fill=—","Direction=H","UseDPDF=Y")</f>
        <v>-52.734900000000003</v>
      </c>
      <c r="K25" s="19">
        <f>_xll.BDH("ITCI US Equity","PRETAX_INC","FQ2 2021","FQ2 2021","Currency=USD","Period=FQ","BEST_FPERIOD_OVERRIDE=FQ","FILING_STATUS=MR","SCALING_FORMAT=MLN","FA_ADJUSTED=Adjusted","Sort=A","Dates=H","DateFormat=P","Fill=—","Direction=H","UseDPDF=Y")</f>
        <v>-68.72</v>
      </c>
      <c r="L25" s="19">
        <f>_xll.BDH("ITCI US Equity","PRETAX_INC","FQ3 2021","FQ3 2021","Currency=USD","Period=FQ","BEST_FPERIOD_OVERRIDE=FQ","FILING_STATUS=MR","SCALING_FORMAT=MLN","FA_ADJUSTED=Adjusted","Sort=A","Dates=H","DateFormat=P","Fill=—","Direction=H","UseDPDF=Y")</f>
        <v>-76.931100000000001</v>
      </c>
      <c r="M25" s="19">
        <f>_xll.BDH("ITCI US Equity","PRETAX_INC","FQ4 2021","FQ4 2021","Currency=USD","Period=FQ","BEST_FPERIOD_OVERRIDE=FQ","FILING_STATUS=MR","SCALING_FORMAT=MLN","FA_ADJUSTED=Adjusted","Sort=A","Dates=H","DateFormat=P","Fill=—","Direction=H","UseDPDF=Y")</f>
        <v>-85.733900000000006</v>
      </c>
      <c r="N25" s="19">
        <f>_xll.BDH("ITCI US Equity","PRETAX_INC","FQ1 2022","FQ1 2022","Currency=USD","Period=FQ","BEST_FPERIOD_OVERRIDE=FQ","FILING_STATUS=MR","SCALING_FORMAT=MLN","FA_ADJUSTED=Adjusted","Sort=A","Dates=H","DateFormat=P","Fill=—","Direction=H","UseDPDF=Y")</f>
        <v>-72.114000000000004</v>
      </c>
      <c r="O25" s="19">
        <f>_xll.BDH("ITCI US Equity","PRETAX_INC","FQ2 2022","FQ2 2022","Currency=USD","Period=FQ","BEST_FPERIOD_OVERRIDE=FQ","FILING_STATUS=MR","SCALING_FORMAT=MLN","FA_ADJUSTED=Adjusted","Sort=A","Dates=H","DateFormat=P","Fill=—","Direction=H","UseDPDF=Y")</f>
        <v>-86.602999999999994</v>
      </c>
      <c r="P25" s="19">
        <f>_xll.BDH("ITCI US Equity","PRETAX_INC","FQ3 2022","FQ3 2022","Currency=USD","Period=FQ","BEST_FPERIOD_OVERRIDE=FQ","FILING_STATUS=MR","SCALING_FORMAT=MLN","FA_ADJUSTED=Adjusted","Sort=A","Dates=H","DateFormat=P","Fill=—","Direction=H","UseDPDF=Y")</f>
        <v>-53.506999999999998</v>
      </c>
      <c r="Q25" s="19">
        <f>_xll.BDH("ITCI US Equity","PRETAX_INC","FQ4 2022","FQ4 2022","Currency=USD","Period=FQ","BEST_FPERIOD_OVERRIDE=FQ","FILING_STATUS=MR","SCALING_FORMAT=MLN","FA_ADJUSTED=Adjusted","Sort=A","Dates=H","DateFormat=P","Fill=—","Direction=H","UseDPDF=Y")</f>
        <v>-44.026000000000003</v>
      </c>
      <c r="R25" s="19">
        <f>_xll.BDH("ITCI US Equity","PRETAX_INC","FQ1 2023","FQ1 2023","Currency=USD","Period=FQ","BEST_FPERIOD_OVERRIDE=FQ","FILING_STATUS=MR","SCALING_FORMAT=MLN","FA_ADJUSTED=Adjusted","Sort=A","Dates=H","DateFormat=P","Fill=—","Direction=H","UseDPDF=Y")</f>
        <v>-44.042999999999999</v>
      </c>
      <c r="S25" s="19">
        <f>_xll.BDH("ITCI US Equity","PRETAX_INC","FQ2 2023","FQ2 2023","Currency=USD","Period=FQ","BEST_FPERIOD_OVERRIDE=FQ","FILING_STATUS=MR","SCALING_FORMAT=MLN","FA_ADJUSTED=Adjusted","Sort=A","Dates=H","DateFormat=P","Fill=—","Direction=H","UseDPDF=Y")</f>
        <v>-42.649000000000001</v>
      </c>
      <c r="T25" s="19">
        <f>_xll.BDH("ITCI US Equity","PRETAX_INC","FQ3 2023","FQ3 2023","Currency=USD","Period=FQ","BEST_FPERIOD_OVERRIDE=FQ","FILING_STATUS=MR","SCALING_FORMAT=MLN","FA_ADJUSTED=Adjusted","Sort=A","Dates=H","DateFormat=P","Fill=—","Direction=H","UseDPDF=Y")</f>
        <v>-24.215</v>
      </c>
      <c r="U25" s="19">
        <f>_xll.BDH("ITCI US Equity","PRETAX_INC","FQ4 2023","FQ4 2023","Currency=USD","Period=FQ","BEST_FPERIOD_OVERRIDE=FQ","FILING_STATUS=MR","SCALING_FORMAT=MLN","FA_ADJUSTED=Adjusted","Sort=A","Dates=H","DateFormat=P","Fill=—","Direction=H","UseDPDF=Y")</f>
        <v>-28.131</v>
      </c>
      <c r="V25" s="19">
        <f>_xll.BDH("ITCI US Equity","PRETAX_INC","FQ1 2024","FQ1 2024","Currency=USD","Period=FQ","BEST_FPERIOD_OVERRIDE=FQ","FILING_STATUS=MR","SCALING_FORMAT=MLN","FA_ADJUSTED=Adjusted","Sort=A","Dates=H","DateFormat=P","Fill=—","Direction=H","UseDPDF=Y")</f>
        <v>-14.888</v>
      </c>
      <c r="W25" s="19">
        <f>_xll.BDH("ITCI US Equity","PRETAX_INC","FQ2 2024","FQ2 2024","Currency=USD","Period=FQ","BEST_FPERIOD_OVERRIDE=FQ","FILING_STATUS=MR","SCALING_FORMAT=MLN","FA_ADJUSTED=Adjusted","Sort=A","Dates=H","DateFormat=P","Fill=—","Direction=H","UseDPDF=Y")</f>
        <v>-16.163</v>
      </c>
      <c r="X25" s="19">
        <f>_xll.BDH("ITCI US Equity","PRETAX_INC","FQ3 2024","FQ3 2024","Currency=USD","Period=FQ","BEST_FPERIOD_OVERRIDE=FQ","FILING_STATUS=MR","SCALING_FORMAT=MLN","FA_ADJUSTED=Adjusted","Sort=A","Dates=H","DateFormat=P","Fill=—","Direction=H","UseDPDF=Y")</f>
        <v>-25.95</v>
      </c>
      <c r="Y25" s="19">
        <f>_xll.BDH("ITCI US Equity","PRETAX_INC","FQ4 2024","FQ4 2024","Currency=USD","Period=FQ","BEST_FPERIOD_OVERRIDE=FQ","FILING_STATUS=MR","SCALING_FORMAT=MLN","FA_ADJUSTED=Adjusted","Sort=A","Dates=H","DateFormat=P","Fill=—","Direction=H","UseDPDF=Y")</f>
        <v>-17.202000000000002</v>
      </c>
      <c r="Z25" s="19">
        <v>-14.47</v>
      </c>
      <c r="AA25" s="19">
        <v>-4.867</v>
      </c>
    </row>
    <row r="26" spans="1:27" x14ac:dyDescent="0.25">
      <c r="A26" s="10" t="s">
        <v>314</v>
      </c>
      <c r="B26" s="10" t="s">
        <v>315</v>
      </c>
      <c r="C26" s="13">
        <f>_xll.BDH("ITCI US Equity","IS_ABNORMAL_ITEM","FQ2 2019","FQ2 2019","Currency=USD","Period=FQ","BEST_FPERIOD_OVERRIDE=FQ","FILING_STATUS=MR","SCALING_FORMAT=MLN","Sort=A","Dates=H","DateFormat=P","Fill=—","Direction=H","UseDPDF=Y")</f>
        <v>0</v>
      </c>
      <c r="D26" s="13">
        <f>_xll.BDH("ITCI US Equity","IS_ABNORMAL_ITEM","FQ3 2019","FQ3 2019","Currency=USD","Period=FQ","BEST_FPERIOD_OVERRIDE=FQ","FILING_STATUS=MR","SCALING_FORMAT=MLN","Sort=A","Dates=H","DateFormat=P","Fill=—","Direction=H","UseDPDF=Y")</f>
        <v>0</v>
      </c>
      <c r="E26" s="13">
        <f>_xll.BDH("ITCI US Equity","IS_ABNORMAL_ITEM","FQ4 2019","FQ4 2019","Currency=USD","Period=FQ","BEST_FPERIOD_OVERRIDE=FQ","FILING_STATUS=MR","SCALING_FORMAT=MLN","Sort=A","Dates=H","DateFormat=P","Fill=—","Direction=H","UseDPDF=Y")</f>
        <v>0</v>
      </c>
      <c r="F26" s="13">
        <f>_xll.BDH("ITCI US Equity","IS_ABNORMAL_ITEM","FQ1 2020","FQ1 2020","Currency=USD","Period=FQ","BEST_FPERIOD_OVERRIDE=FQ","FILING_STATUS=MR","SCALING_FORMAT=MLN","Sort=A","Dates=H","DateFormat=P","Fill=—","Direction=H","UseDPDF=Y")</f>
        <v>0</v>
      </c>
      <c r="G26" s="13">
        <f>_xll.BDH("ITCI US Equity","IS_ABNORMAL_ITEM","FQ2 2020","FQ2 2020","Currency=USD","Period=FQ","BEST_FPERIOD_OVERRIDE=FQ","FILING_STATUS=MR","SCALING_FORMAT=MLN","Sort=A","Dates=H","DateFormat=P","Fill=—","Direction=H","UseDPDF=Y")</f>
        <v>0</v>
      </c>
      <c r="H26" s="13">
        <f>_xll.BDH("ITCI US Equity","IS_ABNORMAL_ITEM","FQ3 2020","FQ3 2020","Currency=USD","Period=FQ","BEST_FPERIOD_OVERRIDE=FQ","FILING_STATUS=MR","SCALING_FORMAT=MLN","Sort=A","Dates=H","DateFormat=P","Fill=—","Direction=H","UseDPDF=Y")</f>
        <v>0</v>
      </c>
      <c r="I26" s="13">
        <f>_xll.BDH("ITCI US Equity","IS_ABNORMAL_ITEM","FQ4 2020","FQ4 2020","Currency=USD","Period=FQ","BEST_FPERIOD_OVERRIDE=FQ","FILING_STATUS=MR","SCALING_FORMAT=MLN","Sort=A","Dates=H","DateFormat=P","Fill=—","Direction=H","UseDPDF=Y")</f>
        <v>0</v>
      </c>
      <c r="J26" s="13">
        <f>_xll.BDH("ITCI US Equity","IS_ABNORMAL_ITEM","FQ1 2021","FQ1 2021","Currency=USD","Period=FQ","BEST_FPERIOD_OVERRIDE=FQ","FILING_STATUS=MR","SCALING_FORMAT=MLN","Sort=A","Dates=H","DateFormat=P","Fill=—","Direction=H","UseDPDF=Y")</f>
        <v>0</v>
      </c>
      <c r="K26" s="13">
        <f>_xll.BDH("ITCI US Equity","IS_ABNORMAL_ITEM","FQ2 2021","FQ2 2021","Currency=USD","Period=FQ","BEST_FPERIOD_OVERRIDE=FQ","FILING_STATUS=MR","SCALING_FORMAT=MLN","Sort=A","Dates=H","DateFormat=P","Fill=—","Direction=H","UseDPDF=Y")</f>
        <v>0</v>
      </c>
      <c r="L26" s="13">
        <f>_xll.BDH("ITCI US Equity","IS_ABNORMAL_ITEM","FQ3 2021","FQ3 2021","Currency=USD","Period=FQ","BEST_FPERIOD_OVERRIDE=FQ","FILING_STATUS=MR","SCALING_FORMAT=MLN","Sort=A","Dates=H","DateFormat=P","Fill=—","Direction=H","UseDPDF=Y")</f>
        <v>0</v>
      </c>
      <c r="M26" s="13">
        <f>_xll.BDH("ITCI US Equity","IS_ABNORMAL_ITEM","FQ4 2021","FQ4 2021","Currency=USD","Period=FQ","BEST_FPERIOD_OVERRIDE=FQ","FILING_STATUS=MR","SCALING_FORMAT=MLN","Sort=A","Dates=H","DateFormat=P","Fill=—","Direction=H","UseDPDF=Y")</f>
        <v>0</v>
      </c>
      <c r="N26" s="13">
        <f>_xll.BDH("ITCI US Equity","IS_ABNORMAL_ITEM","FQ1 2022","FQ1 2022","Currency=USD","Period=FQ","BEST_FPERIOD_OVERRIDE=FQ","FILING_STATUS=MR","SCALING_FORMAT=MLN","Sort=A","Dates=H","DateFormat=P","Fill=—","Direction=H","UseDPDF=Y")</f>
        <v>0</v>
      </c>
      <c r="O26" s="13">
        <f>_xll.BDH("ITCI US Equity","IS_ABNORMAL_ITEM","FQ2 2022","FQ2 2022","Currency=USD","Period=FQ","BEST_FPERIOD_OVERRIDE=FQ","FILING_STATUS=MR","SCALING_FORMAT=MLN","Sort=A","Dates=H","DateFormat=P","Fill=—","Direction=H","UseDPDF=Y")</f>
        <v>0</v>
      </c>
      <c r="P26" s="13">
        <f>_xll.BDH("ITCI US Equity","IS_ABNORMAL_ITEM","FQ3 2022","FQ3 2022","Currency=USD","Period=FQ","BEST_FPERIOD_OVERRIDE=FQ","FILING_STATUS=MR","SCALING_FORMAT=MLN","Sort=A","Dates=H","DateFormat=P","Fill=—","Direction=H","UseDPDF=Y")</f>
        <v>0</v>
      </c>
      <c r="Q26" s="13">
        <f>_xll.BDH("ITCI US Equity","IS_ABNORMAL_ITEM","FQ4 2022","FQ4 2022","Currency=USD","Period=FQ","BEST_FPERIOD_OVERRIDE=FQ","FILING_STATUS=MR","SCALING_FORMAT=MLN","Sort=A","Dates=H","DateFormat=P","Fill=—","Direction=H","UseDPDF=Y")</f>
        <v>0</v>
      </c>
      <c r="R26" s="13">
        <f>_xll.BDH("ITCI US Equity","IS_ABNORMAL_ITEM","FQ1 2023","FQ1 2023","Currency=USD","Period=FQ","BEST_FPERIOD_OVERRIDE=FQ","FILING_STATUS=MR","SCALING_FORMAT=MLN","Sort=A","Dates=H","DateFormat=P","Fill=—","Direction=H","UseDPDF=Y")</f>
        <v>0</v>
      </c>
      <c r="S26" s="13">
        <f>_xll.BDH("ITCI US Equity","IS_ABNORMAL_ITEM","FQ2 2023","FQ2 2023","Currency=USD","Period=FQ","BEST_FPERIOD_OVERRIDE=FQ","FILING_STATUS=MR","SCALING_FORMAT=MLN","Sort=A","Dates=H","DateFormat=P","Fill=—","Direction=H","UseDPDF=Y")</f>
        <v>0</v>
      </c>
      <c r="T26" s="13">
        <f>_xll.BDH("ITCI US Equity","IS_ABNORMAL_ITEM","FQ3 2023","FQ3 2023","Currency=USD","Period=FQ","BEST_FPERIOD_OVERRIDE=FQ","FILING_STATUS=MR","SCALING_FORMAT=MLN","Sort=A","Dates=H","DateFormat=P","Fill=—","Direction=H","UseDPDF=Y")</f>
        <v>0</v>
      </c>
      <c r="U26" s="13">
        <f>_xll.BDH("ITCI US Equity","IS_ABNORMAL_ITEM","FQ4 2023","FQ4 2023","Currency=USD","Period=FQ","BEST_FPERIOD_OVERRIDE=FQ","FILING_STATUS=MR","SCALING_FORMAT=MLN","Sort=A","Dates=H","DateFormat=P","Fill=—","Direction=H","UseDPDF=Y")</f>
        <v>0</v>
      </c>
      <c r="V26" s="13">
        <f>_xll.BDH("ITCI US Equity","IS_ABNORMAL_ITEM","FQ1 2024","FQ1 2024","Currency=USD","Period=FQ","BEST_FPERIOD_OVERRIDE=FQ","FILING_STATUS=MR","SCALING_FORMAT=MLN","Sort=A","Dates=H","DateFormat=P","Fill=—","Direction=H","UseDPDF=Y")</f>
        <v>0</v>
      </c>
      <c r="W26" s="13">
        <f>_xll.BDH("ITCI US Equity","IS_ABNORMAL_ITEM","FQ2 2024","FQ2 2024","Currency=USD","Period=FQ","BEST_FPERIOD_OVERRIDE=FQ","FILING_STATUS=MR","SCALING_FORMAT=MLN","Sort=A","Dates=H","DateFormat=P","Fill=—","Direction=H","UseDPDF=Y")</f>
        <v>0</v>
      </c>
      <c r="X26" s="13">
        <f>_xll.BDH("ITCI US Equity","IS_ABNORMAL_ITEM","FQ3 2024","FQ3 2024","Currency=USD","Period=FQ","BEST_FPERIOD_OVERRIDE=FQ","FILING_STATUS=MR","SCALING_FORMAT=MLN","Sort=A","Dates=H","DateFormat=P","Fill=—","Direction=H","UseDPDF=Y")</f>
        <v>0</v>
      </c>
      <c r="Y26" s="13">
        <f>_xll.BDH("ITCI US Equity","IS_ABNORMAL_ITEM","FQ4 2024","FQ4 2024","Currency=USD","Period=FQ","BEST_FPERIOD_OVERRIDE=FQ","FILING_STATUS=MR","SCALING_FORMAT=MLN","Sort=A","Dates=H","DateFormat=P","Fill=—","Direction=H","UseDPDF=Y")</f>
        <v>0</v>
      </c>
      <c r="Z26" s="13"/>
      <c r="AA26" s="13"/>
    </row>
    <row r="27" spans="1:27" x14ac:dyDescent="0.25">
      <c r="A27" s="6" t="s">
        <v>316</v>
      </c>
      <c r="B27" s="6" t="s">
        <v>157</v>
      </c>
      <c r="C27" s="19">
        <f>_xll.BDH("ITCI US Equity","PRETAX_INC","FQ2 2019","FQ2 2019","Currency=USD","Period=FQ","BEST_FPERIOD_OVERRIDE=FQ","FILING_STATUS=MR","SCALING_FORMAT=MLN","FA_ADJUSTED=GAAP","Sort=A","Dates=H","DateFormat=P","Fill=—","Direction=H","UseDPDF=Y")</f>
        <v>-37.439599999999999</v>
      </c>
      <c r="D27" s="19">
        <f>_xll.BDH("ITCI US Equity","PRETAX_INC","FQ3 2019","FQ3 2019","Currency=USD","Period=FQ","BEST_FPERIOD_OVERRIDE=FQ","FILING_STATUS=MR","SCALING_FORMAT=MLN","FA_ADJUSTED=GAAP","Sort=A","Dates=H","DateFormat=P","Fill=—","Direction=H","UseDPDF=Y")</f>
        <v>-34.862400000000001</v>
      </c>
      <c r="E27" s="19">
        <f>_xll.BDH("ITCI US Equity","PRETAX_INC","FQ4 2019","FQ4 2019","Currency=USD","Period=FQ","BEST_FPERIOD_OVERRIDE=FQ","FILING_STATUS=MR","SCALING_FORMAT=MLN","FA_ADJUSTED=GAAP","Sort=A","Dates=H","DateFormat=P","Fill=—","Direction=H","UseDPDF=Y")</f>
        <v>-40.582900000000002</v>
      </c>
      <c r="F27" s="19">
        <f>_xll.BDH("ITCI US Equity","PRETAX_INC","FQ1 2020","FQ1 2020","Currency=USD","Period=FQ","BEST_FPERIOD_OVERRIDE=FQ","FILING_STATUS=MR","SCALING_FORMAT=MLN","FA_ADJUSTED=GAAP","Sort=A","Dates=H","DateFormat=P","Fill=—","Direction=H","UseDPDF=Y")</f>
        <v>-47.407299999999999</v>
      </c>
      <c r="G27" s="19">
        <f>_xll.BDH("ITCI US Equity","PRETAX_INC","FQ2 2020","FQ2 2020","Currency=USD","Period=FQ","BEST_FPERIOD_OVERRIDE=FQ","FILING_STATUS=MR","SCALING_FORMAT=MLN","FA_ADJUSTED=GAAP","Sort=A","Dates=H","DateFormat=P","Fill=—","Direction=H","UseDPDF=Y")</f>
        <v>-63.712299999999999</v>
      </c>
      <c r="H27" s="19">
        <f>_xll.BDH("ITCI US Equity","PRETAX_INC","FQ3 2020","FQ3 2020","Currency=USD","Period=FQ","BEST_FPERIOD_OVERRIDE=FQ","FILING_STATUS=MR","SCALING_FORMAT=MLN","FA_ADJUSTED=GAAP","Sort=A","Dates=H","DateFormat=P","Fill=—","Direction=H","UseDPDF=Y")</f>
        <v>-55.183599999999998</v>
      </c>
      <c r="I27" s="19">
        <f>_xll.BDH("ITCI US Equity","PRETAX_INC","FQ4 2020","FQ4 2020","Currency=USD","Period=FQ","BEST_FPERIOD_OVERRIDE=FQ","FILING_STATUS=MR","SCALING_FORMAT=MLN","FA_ADJUSTED=GAAP","Sort=A","Dates=H","DateFormat=P","Fill=—","Direction=H","UseDPDF=Y")</f>
        <v>-60.688899999999997</v>
      </c>
      <c r="J27" s="19">
        <f>_xll.BDH("ITCI US Equity","PRETAX_INC","FQ1 2021","FQ1 2021","Currency=USD","Period=FQ","BEST_FPERIOD_OVERRIDE=FQ","FILING_STATUS=MR","SCALING_FORMAT=MLN","FA_ADJUSTED=GAAP","Sort=A","Dates=H","DateFormat=P","Fill=—","Direction=H","UseDPDF=Y")</f>
        <v>-52.734900000000003</v>
      </c>
      <c r="K27" s="19">
        <f>_xll.BDH("ITCI US Equity","PRETAX_INC","FQ2 2021","FQ2 2021","Currency=USD","Period=FQ","BEST_FPERIOD_OVERRIDE=FQ","FILING_STATUS=MR","SCALING_FORMAT=MLN","FA_ADJUSTED=GAAP","Sort=A","Dates=H","DateFormat=P","Fill=—","Direction=H","UseDPDF=Y")</f>
        <v>-68.72</v>
      </c>
      <c r="L27" s="19">
        <f>_xll.BDH("ITCI US Equity","PRETAX_INC","FQ3 2021","FQ3 2021","Currency=USD","Period=FQ","BEST_FPERIOD_OVERRIDE=FQ","FILING_STATUS=MR","SCALING_FORMAT=MLN","FA_ADJUSTED=GAAP","Sort=A","Dates=H","DateFormat=P","Fill=—","Direction=H","UseDPDF=Y")</f>
        <v>-76.931100000000001</v>
      </c>
      <c r="M27" s="19">
        <f>_xll.BDH("ITCI US Equity","PRETAX_INC","FQ4 2021","FQ4 2021","Currency=USD","Period=FQ","BEST_FPERIOD_OVERRIDE=FQ","FILING_STATUS=MR","SCALING_FORMAT=MLN","FA_ADJUSTED=GAAP","Sort=A","Dates=H","DateFormat=P","Fill=—","Direction=H","UseDPDF=Y")</f>
        <v>-85.733900000000006</v>
      </c>
      <c r="N27" s="19">
        <f>_xll.BDH("ITCI US Equity","PRETAX_INC","FQ1 2022","FQ1 2022","Currency=USD","Period=FQ","BEST_FPERIOD_OVERRIDE=FQ","FILING_STATUS=MR","SCALING_FORMAT=MLN","FA_ADJUSTED=GAAP","Sort=A","Dates=H","DateFormat=P","Fill=—","Direction=H","UseDPDF=Y")</f>
        <v>-72.114000000000004</v>
      </c>
      <c r="O27" s="19">
        <f>_xll.BDH("ITCI US Equity","PRETAX_INC","FQ2 2022","FQ2 2022","Currency=USD","Period=FQ","BEST_FPERIOD_OVERRIDE=FQ","FILING_STATUS=MR","SCALING_FORMAT=MLN","FA_ADJUSTED=GAAP","Sort=A","Dates=H","DateFormat=P","Fill=—","Direction=H","UseDPDF=Y")</f>
        <v>-86.602999999999994</v>
      </c>
      <c r="P27" s="19">
        <f>_xll.BDH("ITCI US Equity","PRETAX_INC","FQ3 2022","FQ3 2022","Currency=USD","Period=FQ","BEST_FPERIOD_OVERRIDE=FQ","FILING_STATUS=MR","SCALING_FORMAT=MLN","FA_ADJUSTED=GAAP","Sort=A","Dates=H","DateFormat=P","Fill=—","Direction=H","UseDPDF=Y")</f>
        <v>-53.506999999999998</v>
      </c>
      <c r="Q27" s="19">
        <f>_xll.BDH("ITCI US Equity","PRETAX_INC","FQ4 2022","FQ4 2022","Currency=USD","Period=FQ","BEST_FPERIOD_OVERRIDE=FQ","FILING_STATUS=MR","SCALING_FORMAT=MLN","FA_ADJUSTED=GAAP","Sort=A","Dates=H","DateFormat=P","Fill=—","Direction=H","UseDPDF=Y")</f>
        <v>-44.026000000000003</v>
      </c>
      <c r="R27" s="19">
        <f>_xll.BDH("ITCI US Equity","PRETAX_INC","FQ1 2023","FQ1 2023","Currency=USD","Period=FQ","BEST_FPERIOD_OVERRIDE=FQ","FILING_STATUS=MR","SCALING_FORMAT=MLN","FA_ADJUSTED=GAAP","Sort=A","Dates=H","DateFormat=P","Fill=—","Direction=H","UseDPDF=Y")</f>
        <v>-44.042999999999999</v>
      </c>
      <c r="S27" s="19">
        <f>_xll.BDH("ITCI US Equity","PRETAX_INC","FQ2 2023","FQ2 2023","Currency=USD","Period=FQ","BEST_FPERIOD_OVERRIDE=FQ","FILING_STATUS=MR","SCALING_FORMAT=MLN","FA_ADJUSTED=GAAP","Sort=A","Dates=H","DateFormat=P","Fill=—","Direction=H","UseDPDF=Y")</f>
        <v>-42.649000000000001</v>
      </c>
      <c r="T27" s="19">
        <f>_xll.BDH("ITCI US Equity","PRETAX_INC","FQ3 2023","FQ3 2023","Currency=USD","Period=FQ","BEST_FPERIOD_OVERRIDE=FQ","FILING_STATUS=MR","SCALING_FORMAT=MLN","FA_ADJUSTED=GAAP","Sort=A","Dates=H","DateFormat=P","Fill=—","Direction=H","UseDPDF=Y")</f>
        <v>-24.215</v>
      </c>
      <c r="U27" s="19">
        <f>_xll.BDH("ITCI US Equity","PRETAX_INC","FQ4 2023","FQ4 2023","Currency=USD","Period=FQ","BEST_FPERIOD_OVERRIDE=FQ","FILING_STATUS=MR","SCALING_FORMAT=MLN","FA_ADJUSTED=GAAP","Sort=A","Dates=H","DateFormat=P","Fill=—","Direction=H","UseDPDF=Y")</f>
        <v>-28.131</v>
      </c>
      <c r="V27" s="19">
        <f>_xll.BDH("ITCI US Equity","PRETAX_INC","FQ1 2024","FQ1 2024","Currency=USD","Period=FQ","BEST_FPERIOD_OVERRIDE=FQ","FILING_STATUS=MR","SCALING_FORMAT=MLN","FA_ADJUSTED=GAAP","Sort=A","Dates=H","DateFormat=P","Fill=—","Direction=H","UseDPDF=Y")</f>
        <v>-14.888</v>
      </c>
      <c r="W27" s="19">
        <f>_xll.BDH("ITCI US Equity","PRETAX_INC","FQ2 2024","FQ2 2024","Currency=USD","Period=FQ","BEST_FPERIOD_OVERRIDE=FQ","FILING_STATUS=MR","SCALING_FORMAT=MLN","FA_ADJUSTED=GAAP","Sort=A","Dates=H","DateFormat=P","Fill=—","Direction=H","UseDPDF=Y")</f>
        <v>-16.163</v>
      </c>
      <c r="X27" s="19">
        <f>_xll.BDH("ITCI US Equity","PRETAX_INC","FQ3 2024","FQ3 2024","Currency=USD","Period=FQ","BEST_FPERIOD_OVERRIDE=FQ","FILING_STATUS=MR","SCALING_FORMAT=MLN","FA_ADJUSTED=GAAP","Sort=A","Dates=H","DateFormat=P","Fill=—","Direction=H","UseDPDF=Y")</f>
        <v>-25.95</v>
      </c>
      <c r="Y27" s="19">
        <f>_xll.BDH("ITCI US Equity","PRETAX_INC","FQ4 2024","FQ4 2024","Currency=USD","Period=FQ","BEST_FPERIOD_OVERRIDE=FQ","FILING_STATUS=MR","SCALING_FORMAT=MLN","FA_ADJUSTED=GAAP","Sort=A","Dates=H","DateFormat=P","Fill=—","Direction=H","UseDPDF=Y")</f>
        <v>-17.202000000000002</v>
      </c>
      <c r="Z27" s="19">
        <v>-14.47</v>
      </c>
      <c r="AA27" s="19">
        <v>-4.867</v>
      </c>
    </row>
    <row r="28" spans="1:27" x14ac:dyDescent="0.25">
      <c r="A28" s="10" t="s">
        <v>317</v>
      </c>
      <c r="B28" s="10" t="s">
        <v>318</v>
      </c>
      <c r="C28" s="13">
        <f>_xll.BDH("ITCI US Equity","IS_INC_TAX_EXP","FQ2 2019","FQ2 2019","Currency=USD","Period=FQ","BEST_FPERIOD_OVERRIDE=FQ","FILING_STATUS=MR","SCALING_FORMAT=MLN","FA_ADJUSTED=GAAP","Sort=A","Dates=H","DateFormat=P","Fill=—","Direction=H","UseDPDF=Y")</f>
        <v>1.6000000000000001E-3</v>
      </c>
      <c r="D28" s="13">
        <f>_xll.BDH("ITCI US Equity","IS_INC_TAX_EXP","FQ3 2019","FQ3 2019","Currency=USD","Period=FQ","BEST_FPERIOD_OVERRIDE=FQ","FILING_STATUS=MR","SCALING_FORMAT=MLN","FA_ADJUSTED=GAAP","Sort=A","Dates=H","DateFormat=P","Fill=—","Direction=H","UseDPDF=Y")</f>
        <v>0</v>
      </c>
      <c r="E28" s="13">
        <f>_xll.BDH("ITCI US Equity","IS_INC_TAX_EXP","FQ4 2019","FQ4 2019","Currency=USD","Period=FQ","BEST_FPERIOD_OVERRIDE=FQ","FILING_STATUS=MR","SCALING_FORMAT=MLN","FA_ADJUSTED=GAAP","Sort=A","Dates=H","DateFormat=P","Fill=—","Direction=H","UseDPDF=Y")</f>
        <v>0</v>
      </c>
      <c r="F28" s="13">
        <f>_xll.BDH("ITCI US Equity","IS_INC_TAX_EXP","FQ1 2020","FQ1 2020","Currency=USD","Period=FQ","BEST_FPERIOD_OVERRIDE=FQ","FILING_STATUS=MR","SCALING_FORMAT=MLN","FA_ADJUSTED=GAAP","Sort=A","Dates=H","DateFormat=P","Fill=—","Direction=H","UseDPDF=Y")</f>
        <v>3.3E-3</v>
      </c>
      <c r="G28" s="13">
        <f>_xll.BDH("ITCI US Equity","IS_INC_TAX_EXP","FQ2 2020","FQ2 2020","Currency=USD","Period=FQ","BEST_FPERIOD_OVERRIDE=FQ","FILING_STATUS=MR","SCALING_FORMAT=MLN","FA_ADJUSTED=GAAP","Sort=A","Dates=H","DateFormat=P","Fill=—","Direction=H","UseDPDF=Y")</f>
        <v>0</v>
      </c>
      <c r="H28" s="13">
        <f>_xll.BDH("ITCI US Equity","IS_INC_TAX_EXP","FQ3 2020","FQ3 2020","Currency=USD","Period=FQ","BEST_FPERIOD_OVERRIDE=FQ","FILING_STATUS=MR","SCALING_FORMAT=MLN","FA_ADJUSTED=GAAP","Sort=A","Dates=H","DateFormat=P","Fill=—","Direction=H","UseDPDF=Y")</f>
        <v>0</v>
      </c>
      <c r="I28" s="13">
        <f>_xll.BDH("ITCI US Equity","IS_INC_TAX_EXP","FQ4 2020","FQ4 2020","Currency=USD","Period=FQ","BEST_FPERIOD_OVERRIDE=FQ","FILING_STATUS=MR","SCALING_FORMAT=MLN","FA_ADJUSTED=GAAP","Sort=A","Dates=H","DateFormat=P","Fill=—","Direction=H","UseDPDF=Y")</f>
        <v>1.0200000000000001E-2</v>
      </c>
      <c r="J28" s="13">
        <f>_xll.BDH("ITCI US Equity","IS_INC_TAX_EXP","FQ1 2021","FQ1 2021","Currency=USD","Period=FQ","BEST_FPERIOD_OVERRIDE=FQ","FILING_STATUS=MR","SCALING_FORMAT=MLN","FA_ADJUSTED=GAAP","Sort=A","Dates=H","DateFormat=P","Fill=—","Direction=H","UseDPDF=Y")</f>
        <v>5.0000000000000001E-3</v>
      </c>
      <c r="K28" s="13">
        <f>_xll.BDH("ITCI US Equity","IS_INC_TAX_EXP","FQ2 2021","FQ2 2021","Currency=USD","Period=FQ","BEST_FPERIOD_OVERRIDE=FQ","FILING_STATUS=MR","SCALING_FORMAT=MLN","FA_ADJUSTED=GAAP","Sort=A","Dates=H","DateFormat=P","Fill=—","Direction=H","UseDPDF=Y")</f>
        <v>2.3800000000000002E-2</v>
      </c>
      <c r="L28" s="13">
        <f>_xll.BDH("ITCI US Equity","IS_INC_TAX_EXP","FQ3 2021","FQ3 2021","Currency=USD","Period=FQ","BEST_FPERIOD_OVERRIDE=FQ","FILING_STATUS=MR","SCALING_FORMAT=MLN","FA_ADJUSTED=GAAP","Sort=A","Dates=H","DateFormat=P","Fill=—","Direction=H","UseDPDF=Y")</f>
        <v>-2.3099999999999999E-2</v>
      </c>
      <c r="M28" s="13">
        <f>_xll.BDH("ITCI US Equity","IS_INC_TAX_EXP","FQ4 2021","FQ4 2021","Currency=USD","Period=FQ","BEST_FPERIOD_OVERRIDE=FQ","FILING_STATUS=MR","SCALING_FORMAT=MLN","FA_ADJUSTED=GAAP","Sort=A","Dates=H","DateFormat=P","Fill=—","Direction=H","UseDPDF=Y")</f>
        <v>0</v>
      </c>
      <c r="N28" s="13">
        <f>_xll.BDH("ITCI US Equity","IS_INC_TAX_EXP","FQ1 2022","FQ1 2022","Currency=USD","Period=FQ","BEST_FPERIOD_OVERRIDE=FQ","FILING_STATUS=MR","SCALING_FORMAT=MLN","FA_ADJUSTED=GAAP","Sort=A","Dates=H","DateFormat=P","Fill=—","Direction=H","UseDPDF=Y")</f>
        <v>5.0000000000000001E-3</v>
      </c>
      <c r="O28" s="13">
        <f>_xll.BDH("ITCI US Equity","IS_INC_TAX_EXP","FQ2 2022","FQ2 2022","Currency=USD","Period=FQ","BEST_FPERIOD_OVERRIDE=FQ","FILING_STATUS=MR","SCALING_FORMAT=MLN","FA_ADJUSTED=GAAP","Sort=A","Dates=H","DateFormat=P","Fill=—","Direction=H","UseDPDF=Y")</f>
        <v>0</v>
      </c>
      <c r="P28" s="13">
        <f>_xll.BDH("ITCI US Equity","IS_INC_TAX_EXP","FQ3 2022","FQ3 2022","Currency=USD","Period=FQ","BEST_FPERIOD_OVERRIDE=FQ","FILING_STATUS=MR","SCALING_FORMAT=MLN","FA_ADJUSTED=GAAP","Sort=A","Dates=H","DateFormat=P","Fill=—","Direction=H","UseDPDF=Y")</f>
        <v>1E-3</v>
      </c>
      <c r="Q28" s="13">
        <f>_xll.BDH("ITCI US Equity","IS_INC_TAX_EXP","FQ4 2022","FQ4 2022","Currency=USD","Period=FQ","BEST_FPERIOD_OVERRIDE=FQ","FILING_STATUS=MR","SCALING_FORMAT=MLN","FA_ADJUSTED=GAAP","Sort=A","Dates=H","DateFormat=P","Fill=—","Direction=H","UseDPDF=Y")</f>
        <v>0</v>
      </c>
      <c r="R28" s="13">
        <f>_xll.BDH("ITCI US Equity","IS_INC_TAX_EXP","FQ1 2023","FQ1 2023","Currency=USD","Period=FQ","BEST_FPERIOD_OVERRIDE=FQ","FILING_STATUS=MR","SCALING_FORMAT=MLN","FA_ADJUSTED=GAAP","Sort=A","Dates=H","DateFormat=P","Fill=—","Direction=H","UseDPDF=Y")</f>
        <v>0.01</v>
      </c>
      <c r="S28" s="13">
        <f>_xll.BDH("ITCI US Equity","IS_INC_TAX_EXP","FQ2 2023","FQ2 2023","Currency=USD","Period=FQ","BEST_FPERIOD_OVERRIDE=FQ","FILING_STATUS=MR","SCALING_FORMAT=MLN","FA_ADJUSTED=GAAP","Sort=A","Dates=H","DateFormat=P","Fill=—","Direction=H","UseDPDF=Y")</f>
        <v>0.13500000000000001</v>
      </c>
      <c r="T28" s="13">
        <f>_xll.BDH("ITCI US Equity","IS_INC_TAX_EXP","FQ3 2023","FQ3 2023","Currency=USD","Period=FQ","BEST_FPERIOD_OVERRIDE=FQ","FILING_STATUS=MR","SCALING_FORMAT=MLN","FA_ADJUSTED=GAAP","Sort=A","Dates=H","DateFormat=P","Fill=—","Direction=H","UseDPDF=Y")</f>
        <v>4.2999999999999997E-2</v>
      </c>
      <c r="U28" s="13">
        <f>_xll.BDH("ITCI US Equity","IS_INC_TAX_EXP","FQ4 2023","FQ4 2023","Currency=USD","Period=FQ","BEST_FPERIOD_OVERRIDE=FQ","FILING_STATUS=MR","SCALING_FORMAT=MLN","FA_ADJUSTED=GAAP","Sort=A","Dates=H","DateFormat=P","Fill=—","Direction=H","UseDPDF=Y")</f>
        <v>0.44800000000000001</v>
      </c>
      <c r="V28" s="13">
        <f>_xll.BDH("ITCI US Equity","IS_INC_TAX_EXP","FQ1 2024","FQ1 2024","Currency=USD","Period=FQ","BEST_FPERIOD_OVERRIDE=FQ","FILING_STATUS=MR","SCALING_FORMAT=MLN","FA_ADJUSTED=GAAP","Sort=A","Dates=H","DateFormat=P","Fill=—","Direction=H","UseDPDF=Y")</f>
        <v>0.35899999999999999</v>
      </c>
      <c r="W28" s="13">
        <f>_xll.BDH("ITCI US Equity","IS_INC_TAX_EXP","FQ2 2024","FQ2 2024","Currency=USD","Period=FQ","BEST_FPERIOD_OVERRIDE=FQ","FILING_STATUS=MR","SCALING_FORMAT=MLN","FA_ADJUSTED=GAAP","Sort=A","Dates=H","DateFormat=P","Fill=—","Direction=H","UseDPDF=Y")</f>
        <v>5.7000000000000002E-2</v>
      </c>
      <c r="X28" s="13">
        <f>_xll.BDH("ITCI US Equity","IS_INC_TAX_EXP","FQ3 2024","FQ3 2024","Currency=USD","Period=FQ","BEST_FPERIOD_OVERRIDE=FQ","FILING_STATUS=MR","SCALING_FORMAT=MLN","FA_ADJUSTED=GAAP","Sort=A","Dates=H","DateFormat=P","Fill=—","Direction=H","UseDPDF=Y")</f>
        <v>0.374</v>
      </c>
      <c r="Y28" s="13">
        <f>_xll.BDH("ITCI US Equity","IS_INC_TAX_EXP","FQ4 2024","FQ4 2024","Currency=USD","Period=FQ","BEST_FPERIOD_OVERRIDE=FQ","FILING_STATUS=MR","SCALING_FORMAT=MLN","FA_ADJUSTED=GAAP","Sort=A","Dates=H","DateFormat=P","Fill=—","Direction=H","UseDPDF=Y")</f>
        <v>-0.317</v>
      </c>
      <c r="Z28" s="13"/>
      <c r="AA28" s="13"/>
    </row>
    <row r="29" spans="1:27" x14ac:dyDescent="0.25">
      <c r="A29" s="10" t="s">
        <v>319</v>
      </c>
      <c r="B29" s="10" t="s">
        <v>320</v>
      </c>
      <c r="C29" s="13" t="str">
        <f>_xll.BDH("ITCI US Equity","IS_CURRENT_INCOME_TAX_BENEFIT","FQ2 2019","FQ2 2019","Currency=USD","Period=FQ","BEST_FPERIOD_OVERRIDE=FQ","FILING_STATUS=MR","SCALING_FORMAT=MLN","Sort=A","Dates=H","DateFormat=P","Fill=—","Direction=H","UseDPDF=Y")</f>
        <v>—</v>
      </c>
      <c r="D29" s="13" t="str">
        <f>_xll.BDH("ITCI US Equity","IS_CURRENT_INCOME_TAX_BENEFIT","FQ3 2019","FQ3 2019","Currency=USD","Period=FQ","BEST_FPERIOD_OVERRIDE=FQ","FILING_STATUS=MR","SCALING_FORMAT=MLN","Sort=A","Dates=H","DateFormat=P","Fill=—","Direction=H","UseDPDF=Y")</f>
        <v>—</v>
      </c>
      <c r="E29" s="13">
        <f>_xll.BDH("ITCI US Equity","IS_CURRENT_INCOME_TAX_BENEFIT","FQ4 2019","FQ4 2019","Currency=USD","Period=FQ","BEST_FPERIOD_OVERRIDE=FQ","FILING_STATUS=MR","SCALING_FORMAT=MLN","Sort=A","Dates=H","DateFormat=P","Fill=—","Direction=H","UseDPDF=Y")</f>
        <v>0</v>
      </c>
      <c r="F29" s="13" t="str">
        <f>_xll.BDH("ITCI US Equity","IS_CURRENT_INCOME_TAX_BENEFIT","FQ1 2020","FQ1 2020","Currency=USD","Period=FQ","BEST_FPERIOD_OVERRIDE=FQ","FILING_STATUS=MR","SCALING_FORMAT=MLN","Sort=A","Dates=H","DateFormat=P","Fill=—","Direction=H","UseDPDF=Y")</f>
        <v>—</v>
      </c>
      <c r="G29" s="13" t="str">
        <f>_xll.BDH("ITCI US Equity","IS_CURRENT_INCOME_TAX_BENEFIT","FQ2 2020","FQ2 2020","Currency=USD","Period=FQ","BEST_FPERIOD_OVERRIDE=FQ","FILING_STATUS=MR","SCALING_FORMAT=MLN","Sort=A","Dates=H","DateFormat=P","Fill=—","Direction=H","UseDPDF=Y")</f>
        <v>—</v>
      </c>
      <c r="H29" s="13" t="str">
        <f>_xll.BDH("ITCI US Equity","IS_CURRENT_INCOME_TAX_BENEFIT","FQ3 2020","FQ3 2020","Currency=USD","Period=FQ","BEST_FPERIOD_OVERRIDE=FQ","FILING_STATUS=MR","SCALING_FORMAT=MLN","Sort=A","Dates=H","DateFormat=P","Fill=—","Direction=H","UseDPDF=Y")</f>
        <v>—</v>
      </c>
      <c r="I29" s="13" t="str">
        <f>_xll.BDH("ITCI US Equity","IS_CURRENT_INCOME_TAX_BENEFIT","FQ4 2020","FQ4 2020","Currency=USD","Period=FQ","BEST_FPERIOD_OVERRIDE=FQ","FILING_STATUS=MR","SCALING_FORMAT=MLN","Sort=A","Dates=H","DateFormat=P","Fill=—","Direction=H","UseDPDF=Y")</f>
        <v>—</v>
      </c>
      <c r="J29" s="13" t="str">
        <f>_xll.BDH("ITCI US Equity","IS_CURRENT_INCOME_TAX_BENEFIT","FQ1 2021","FQ1 2021","Currency=USD","Period=FQ","BEST_FPERIOD_OVERRIDE=FQ","FILING_STATUS=MR","SCALING_FORMAT=MLN","Sort=A","Dates=H","DateFormat=P","Fill=—","Direction=H","UseDPDF=Y")</f>
        <v>—</v>
      </c>
      <c r="K29" s="13" t="str">
        <f>_xll.BDH("ITCI US Equity","IS_CURRENT_INCOME_TAX_BENEFIT","FQ2 2021","FQ2 2021","Currency=USD","Period=FQ","BEST_FPERIOD_OVERRIDE=FQ","FILING_STATUS=MR","SCALING_FORMAT=MLN","Sort=A","Dates=H","DateFormat=P","Fill=—","Direction=H","UseDPDF=Y")</f>
        <v>—</v>
      </c>
      <c r="L29" s="13" t="str">
        <f>_xll.BDH("ITCI US Equity","IS_CURRENT_INCOME_TAX_BENEFIT","FQ3 2021","FQ3 2021","Currency=USD","Period=FQ","BEST_FPERIOD_OVERRIDE=FQ","FILING_STATUS=MR","SCALING_FORMAT=MLN","Sort=A","Dates=H","DateFormat=P","Fill=—","Direction=H","UseDPDF=Y")</f>
        <v>—</v>
      </c>
      <c r="M29" s="13">
        <f>_xll.BDH("ITCI US Equity","IS_CURRENT_INCOME_TAX_BENEFIT","FQ4 2021","FQ4 2021","Currency=USD","Period=FQ","BEST_FPERIOD_OVERRIDE=FQ","FILING_STATUS=MR","SCALING_FORMAT=MLN","Sort=A","Dates=H","DateFormat=P","Fill=—","Direction=H","UseDPDF=Y")</f>
        <v>0</v>
      </c>
      <c r="N29" s="13" t="str">
        <f>_xll.BDH("ITCI US Equity","IS_CURRENT_INCOME_TAX_BENEFIT","FQ1 2022","FQ1 2022","Currency=USD","Period=FQ","BEST_FPERIOD_OVERRIDE=FQ","FILING_STATUS=MR","SCALING_FORMAT=MLN","Sort=A","Dates=H","DateFormat=P","Fill=—","Direction=H","UseDPDF=Y")</f>
        <v>—</v>
      </c>
      <c r="O29" s="13" t="str">
        <f>_xll.BDH("ITCI US Equity","IS_CURRENT_INCOME_TAX_BENEFIT","FQ2 2022","FQ2 2022","Currency=USD","Period=FQ","BEST_FPERIOD_OVERRIDE=FQ","FILING_STATUS=MR","SCALING_FORMAT=MLN","Sort=A","Dates=H","DateFormat=P","Fill=—","Direction=H","UseDPDF=Y")</f>
        <v>—</v>
      </c>
      <c r="P29" s="13" t="str">
        <f>_xll.BDH("ITCI US Equity","IS_CURRENT_INCOME_TAX_BENEFIT","FQ3 2022","FQ3 2022","Currency=USD","Period=FQ","BEST_FPERIOD_OVERRIDE=FQ","FILING_STATUS=MR","SCALING_FORMAT=MLN","Sort=A","Dates=H","DateFormat=P","Fill=—","Direction=H","UseDPDF=Y")</f>
        <v>—</v>
      </c>
      <c r="Q29" s="13" t="str">
        <f>_xll.BDH("ITCI US Equity","IS_CURRENT_INCOME_TAX_BENEFIT","FQ4 2022","FQ4 2022","Currency=USD","Period=FQ","BEST_FPERIOD_OVERRIDE=FQ","FILING_STATUS=MR","SCALING_FORMAT=MLN","Sort=A","Dates=H","DateFormat=P","Fill=—","Direction=H","UseDPDF=Y")</f>
        <v>—</v>
      </c>
      <c r="R29" s="13" t="str">
        <f>_xll.BDH("ITCI US Equity","IS_CURRENT_INCOME_TAX_BENEFIT","FQ1 2023","FQ1 2023","Currency=USD","Period=FQ","BEST_FPERIOD_OVERRIDE=FQ","FILING_STATUS=MR","SCALING_FORMAT=MLN","Sort=A","Dates=H","DateFormat=P","Fill=—","Direction=H","UseDPDF=Y")</f>
        <v>—</v>
      </c>
      <c r="S29" s="13" t="str">
        <f>_xll.BDH("ITCI US Equity","IS_CURRENT_INCOME_TAX_BENEFIT","FQ2 2023","FQ2 2023","Currency=USD","Period=FQ","BEST_FPERIOD_OVERRIDE=FQ","FILING_STATUS=MR","SCALING_FORMAT=MLN","Sort=A","Dates=H","DateFormat=P","Fill=—","Direction=H","UseDPDF=Y")</f>
        <v>—</v>
      </c>
      <c r="T29" s="13" t="str">
        <f>_xll.BDH("ITCI US Equity","IS_CURRENT_INCOME_TAX_BENEFIT","FQ3 2023","FQ3 2023","Currency=USD","Period=FQ","BEST_FPERIOD_OVERRIDE=FQ","FILING_STATUS=MR","SCALING_FORMAT=MLN","Sort=A","Dates=H","DateFormat=P","Fill=—","Direction=H","UseDPDF=Y")</f>
        <v>—</v>
      </c>
      <c r="U29" s="13" t="str">
        <f>_xll.BDH("ITCI US Equity","IS_CURRENT_INCOME_TAX_BENEFIT","FQ4 2023","FQ4 2023","Currency=USD","Period=FQ","BEST_FPERIOD_OVERRIDE=FQ","FILING_STATUS=MR","SCALING_FORMAT=MLN","Sort=A","Dates=H","DateFormat=P","Fill=—","Direction=H","UseDPDF=Y")</f>
        <v>—</v>
      </c>
      <c r="V29" s="13" t="str">
        <f>_xll.BDH("ITCI US Equity","IS_CURRENT_INCOME_TAX_BENEFIT","FQ1 2024","FQ1 2024","Currency=USD","Period=FQ","BEST_FPERIOD_OVERRIDE=FQ","FILING_STATUS=MR","SCALING_FORMAT=MLN","Sort=A","Dates=H","DateFormat=P","Fill=—","Direction=H","UseDPDF=Y")</f>
        <v>—</v>
      </c>
      <c r="W29" s="13" t="str">
        <f>_xll.BDH("ITCI US Equity","IS_CURRENT_INCOME_TAX_BENEFIT","FQ2 2024","FQ2 2024","Currency=USD","Period=FQ","BEST_FPERIOD_OVERRIDE=FQ","FILING_STATUS=MR","SCALING_FORMAT=MLN","Sort=A","Dates=H","DateFormat=P","Fill=—","Direction=H","UseDPDF=Y")</f>
        <v>—</v>
      </c>
      <c r="X29" s="13" t="str">
        <f>_xll.BDH("ITCI US Equity","IS_CURRENT_INCOME_TAX_BENEFIT","FQ3 2024","FQ3 2024","Currency=USD","Period=FQ","BEST_FPERIOD_OVERRIDE=FQ","FILING_STATUS=MR","SCALING_FORMAT=MLN","Sort=A","Dates=H","DateFormat=P","Fill=—","Direction=H","UseDPDF=Y")</f>
        <v>—</v>
      </c>
      <c r="Y29" s="13" t="str">
        <f>_xll.BDH("ITCI US Equity","IS_CURRENT_INCOME_TAX_BENEFIT","FQ4 2024","FQ4 2024","Currency=USD","Period=FQ","BEST_FPERIOD_OVERRIDE=FQ","FILING_STATUS=MR","SCALING_FORMAT=MLN","Sort=A","Dates=H","DateFormat=P","Fill=—","Direction=H","UseDPDF=Y")</f>
        <v>—</v>
      </c>
      <c r="Z29" s="13"/>
      <c r="AA29" s="13"/>
    </row>
    <row r="30" spans="1:27" x14ac:dyDescent="0.25">
      <c r="A30" s="10" t="s">
        <v>321</v>
      </c>
      <c r="B30" s="10" t="s">
        <v>322</v>
      </c>
      <c r="C30" s="13" t="str">
        <f>_xll.BDH("ITCI US Equity","IS_DEFERRED_INCOME_TAX_BENEFIT","FQ2 2019","FQ2 2019","Currency=USD","Period=FQ","BEST_FPERIOD_OVERRIDE=FQ","FILING_STATUS=MR","SCALING_FORMAT=MLN","Sort=A","Dates=H","DateFormat=P","Fill=—","Direction=H","UseDPDF=Y")</f>
        <v>—</v>
      </c>
      <c r="D30" s="13" t="str">
        <f>_xll.BDH("ITCI US Equity","IS_DEFERRED_INCOME_TAX_BENEFIT","FQ3 2019","FQ3 2019","Currency=USD","Period=FQ","BEST_FPERIOD_OVERRIDE=FQ","FILING_STATUS=MR","SCALING_FORMAT=MLN","Sort=A","Dates=H","DateFormat=P","Fill=—","Direction=H","UseDPDF=Y")</f>
        <v>—</v>
      </c>
      <c r="E30" s="13">
        <f>_xll.BDH("ITCI US Equity","IS_DEFERRED_INCOME_TAX_BENEFIT","FQ4 2019","FQ4 2019","Currency=USD","Period=FQ","BEST_FPERIOD_OVERRIDE=FQ","FILING_STATUS=MR","SCALING_FORMAT=MLN","Sort=A","Dates=H","DateFormat=P","Fill=—","Direction=H","UseDPDF=Y")</f>
        <v>0</v>
      </c>
      <c r="F30" s="13" t="str">
        <f>_xll.BDH("ITCI US Equity","IS_DEFERRED_INCOME_TAX_BENEFIT","FQ1 2020","FQ1 2020","Currency=USD","Period=FQ","BEST_FPERIOD_OVERRIDE=FQ","FILING_STATUS=MR","SCALING_FORMAT=MLN","Sort=A","Dates=H","DateFormat=P","Fill=—","Direction=H","UseDPDF=Y")</f>
        <v>—</v>
      </c>
      <c r="G30" s="13" t="str">
        <f>_xll.BDH("ITCI US Equity","IS_DEFERRED_INCOME_TAX_BENEFIT","FQ2 2020","FQ2 2020","Currency=USD","Period=FQ","BEST_FPERIOD_OVERRIDE=FQ","FILING_STATUS=MR","SCALING_FORMAT=MLN","Sort=A","Dates=H","DateFormat=P","Fill=—","Direction=H","UseDPDF=Y")</f>
        <v>—</v>
      </c>
      <c r="H30" s="13" t="str">
        <f>_xll.BDH("ITCI US Equity","IS_DEFERRED_INCOME_TAX_BENEFIT","FQ3 2020","FQ3 2020","Currency=USD","Period=FQ","BEST_FPERIOD_OVERRIDE=FQ","FILING_STATUS=MR","SCALING_FORMAT=MLN","Sort=A","Dates=H","DateFormat=P","Fill=—","Direction=H","UseDPDF=Y")</f>
        <v>—</v>
      </c>
      <c r="I30" s="13" t="str">
        <f>_xll.BDH("ITCI US Equity","IS_DEFERRED_INCOME_TAX_BENEFIT","FQ4 2020","FQ4 2020","Currency=USD","Period=FQ","BEST_FPERIOD_OVERRIDE=FQ","FILING_STATUS=MR","SCALING_FORMAT=MLN","Sort=A","Dates=H","DateFormat=P","Fill=—","Direction=H","UseDPDF=Y")</f>
        <v>—</v>
      </c>
      <c r="J30" s="13" t="str">
        <f>_xll.BDH("ITCI US Equity","IS_DEFERRED_INCOME_TAX_BENEFIT","FQ1 2021","FQ1 2021","Currency=USD","Period=FQ","BEST_FPERIOD_OVERRIDE=FQ","FILING_STATUS=MR","SCALING_FORMAT=MLN","Sort=A","Dates=H","DateFormat=P","Fill=—","Direction=H","UseDPDF=Y")</f>
        <v>—</v>
      </c>
      <c r="K30" s="13" t="str">
        <f>_xll.BDH("ITCI US Equity","IS_DEFERRED_INCOME_TAX_BENEFIT","FQ2 2021","FQ2 2021","Currency=USD","Period=FQ","BEST_FPERIOD_OVERRIDE=FQ","FILING_STATUS=MR","SCALING_FORMAT=MLN","Sort=A","Dates=H","DateFormat=P","Fill=—","Direction=H","UseDPDF=Y")</f>
        <v>—</v>
      </c>
      <c r="L30" s="13" t="str">
        <f>_xll.BDH("ITCI US Equity","IS_DEFERRED_INCOME_TAX_BENEFIT","FQ3 2021","FQ3 2021","Currency=USD","Period=FQ","BEST_FPERIOD_OVERRIDE=FQ","FILING_STATUS=MR","SCALING_FORMAT=MLN","Sort=A","Dates=H","DateFormat=P","Fill=—","Direction=H","UseDPDF=Y")</f>
        <v>—</v>
      </c>
      <c r="M30" s="13">
        <f>_xll.BDH("ITCI US Equity","IS_DEFERRED_INCOME_TAX_BENEFIT","FQ4 2021","FQ4 2021","Currency=USD","Period=FQ","BEST_FPERIOD_OVERRIDE=FQ","FILING_STATUS=MR","SCALING_FORMAT=MLN","Sort=A","Dates=H","DateFormat=P","Fill=—","Direction=H","UseDPDF=Y")</f>
        <v>0</v>
      </c>
      <c r="N30" s="13" t="str">
        <f>_xll.BDH("ITCI US Equity","IS_DEFERRED_INCOME_TAX_BENEFIT","FQ1 2022","FQ1 2022","Currency=USD","Period=FQ","BEST_FPERIOD_OVERRIDE=FQ","FILING_STATUS=MR","SCALING_FORMAT=MLN","Sort=A","Dates=H","DateFormat=P","Fill=—","Direction=H","UseDPDF=Y")</f>
        <v>—</v>
      </c>
      <c r="O30" s="13" t="str">
        <f>_xll.BDH("ITCI US Equity","IS_DEFERRED_INCOME_TAX_BENEFIT","FQ2 2022","FQ2 2022","Currency=USD","Period=FQ","BEST_FPERIOD_OVERRIDE=FQ","FILING_STATUS=MR","SCALING_FORMAT=MLN","Sort=A","Dates=H","DateFormat=P","Fill=—","Direction=H","UseDPDF=Y")</f>
        <v>—</v>
      </c>
      <c r="P30" s="13" t="str">
        <f>_xll.BDH("ITCI US Equity","IS_DEFERRED_INCOME_TAX_BENEFIT","FQ3 2022","FQ3 2022","Currency=USD","Period=FQ","BEST_FPERIOD_OVERRIDE=FQ","FILING_STATUS=MR","SCALING_FORMAT=MLN","Sort=A","Dates=H","DateFormat=P","Fill=—","Direction=H","UseDPDF=Y")</f>
        <v>—</v>
      </c>
      <c r="Q30" s="13" t="str">
        <f>_xll.BDH("ITCI US Equity","IS_DEFERRED_INCOME_TAX_BENEFIT","FQ4 2022","FQ4 2022","Currency=USD","Period=FQ","BEST_FPERIOD_OVERRIDE=FQ","FILING_STATUS=MR","SCALING_FORMAT=MLN","Sort=A","Dates=H","DateFormat=P","Fill=—","Direction=H","UseDPDF=Y")</f>
        <v>—</v>
      </c>
      <c r="R30" s="13" t="str">
        <f>_xll.BDH("ITCI US Equity","IS_DEFERRED_INCOME_TAX_BENEFIT","FQ1 2023","FQ1 2023","Currency=USD","Period=FQ","BEST_FPERIOD_OVERRIDE=FQ","FILING_STATUS=MR","SCALING_FORMAT=MLN","Sort=A","Dates=H","DateFormat=P","Fill=—","Direction=H","UseDPDF=Y")</f>
        <v>—</v>
      </c>
      <c r="S30" s="13" t="str">
        <f>_xll.BDH("ITCI US Equity","IS_DEFERRED_INCOME_TAX_BENEFIT","FQ2 2023","FQ2 2023","Currency=USD","Period=FQ","BEST_FPERIOD_OVERRIDE=FQ","FILING_STATUS=MR","SCALING_FORMAT=MLN","Sort=A","Dates=H","DateFormat=P","Fill=—","Direction=H","UseDPDF=Y")</f>
        <v>—</v>
      </c>
      <c r="T30" s="13" t="str">
        <f>_xll.BDH("ITCI US Equity","IS_DEFERRED_INCOME_TAX_BENEFIT","FQ3 2023","FQ3 2023","Currency=USD","Period=FQ","BEST_FPERIOD_OVERRIDE=FQ","FILING_STATUS=MR","SCALING_FORMAT=MLN","Sort=A","Dates=H","DateFormat=P","Fill=—","Direction=H","UseDPDF=Y")</f>
        <v>—</v>
      </c>
      <c r="U30" s="13" t="str">
        <f>_xll.BDH("ITCI US Equity","IS_DEFERRED_INCOME_TAX_BENEFIT","FQ4 2023","FQ4 2023","Currency=USD","Period=FQ","BEST_FPERIOD_OVERRIDE=FQ","FILING_STATUS=MR","SCALING_FORMAT=MLN","Sort=A","Dates=H","DateFormat=P","Fill=—","Direction=H","UseDPDF=Y")</f>
        <v>—</v>
      </c>
      <c r="V30" s="13" t="str">
        <f>_xll.BDH("ITCI US Equity","IS_DEFERRED_INCOME_TAX_BENEFIT","FQ1 2024","FQ1 2024","Currency=USD","Period=FQ","BEST_FPERIOD_OVERRIDE=FQ","FILING_STATUS=MR","SCALING_FORMAT=MLN","Sort=A","Dates=H","DateFormat=P","Fill=—","Direction=H","UseDPDF=Y")</f>
        <v>—</v>
      </c>
      <c r="W30" s="13" t="str">
        <f>_xll.BDH("ITCI US Equity","IS_DEFERRED_INCOME_TAX_BENEFIT","FQ2 2024","FQ2 2024","Currency=USD","Period=FQ","BEST_FPERIOD_OVERRIDE=FQ","FILING_STATUS=MR","SCALING_FORMAT=MLN","Sort=A","Dates=H","DateFormat=P","Fill=—","Direction=H","UseDPDF=Y")</f>
        <v>—</v>
      </c>
      <c r="X30" s="13" t="str">
        <f>_xll.BDH("ITCI US Equity","IS_DEFERRED_INCOME_TAX_BENEFIT","FQ3 2024","FQ3 2024","Currency=USD","Period=FQ","BEST_FPERIOD_OVERRIDE=FQ","FILING_STATUS=MR","SCALING_FORMAT=MLN","Sort=A","Dates=H","DateFormat=P","Fill=—","Direction=H","UseDPDF=Y")</f>
        <v>—</v>
      </c>
      <c r="Y30" s="13" t="str">
        <f>_xll.BDH("ITCI US Equity","IS_DEFERRED_INCOME_TAX_BENEFIT","FQ4 2024","FQ4 2024","Currency=USD","Period=FQ","BEST_FPERIOD_OVERRIDE=FQ","FILING_STATUS=MR","SCALING_FORMAT=MLN","Sort=A","Dates=H","DateFormat=P","Fill=—","Direction=H","UseDPDF=Y")</f>
        <v>—</v>
      </c>
      <c r="Z30" s="13"/>
      <c r="AA30" s="13"/>
    </row>
    <row r="31" spans="1:27" x14ac:dyDescent="0.25">
      <c r="A31" s="6" t="s">
        <v>323</v>
      </c>
      <c r="B31" s="6" t="s">
        <v>324</v>
      </c>
      <c r="C31" s="19">
        <f>_xll.BDH("ITCI US Equity","IS_INC_BEF_XO_ITEM","FQ2 2019","FQ2 2019","Currency=USD","Period=FQ","BEST_FPERIOD_OVERRIDE=FQ","FILING_STATUS=MR","SCALING_FORMAT=MLN","Sort=A","Dates=H","DateFormat=P","Fill=—","Direction=H","UseDPDF=Y")</f>
        <v>-37.441200000000002</v>
      </c>
      <c r="D31" s="19">
        <f>_xll.BDH("ITCI US Equity","IS_INC_BEF_XO_ITEM","FQ3 2019","FQ3 2019","Currency=USD","Period=FQ","BEST_FPERIOD_OVERRIDE=FQ","FILING_STATUS=MR","SCALING_FORMAT=MLN","Sort=A","Dates=H","DateFormat=P","Fill=—","Direction=H","UseDPDF=Y")</f>
        <v>-34.862400000000001</v>
      </c>
      <c r="E31" s="19">
        <f>_xll.BDH("ITCI US Equity","IS_INC_BEF_XO_ITEM","FQ4 2019","FQ4 2019","Currency=USD","Period=FQ","BEST_FPERIOD_OVERRIDE=FQ","FILING_STATUS=MR","SCALING_FORMAT=MLN","Sort=A","Dates=H","DateFormat=P","Fill=—","Direction=H","UseDPDF=Y")</f>
        <v>-40.582900000000002</v>
      </c>
      <c r="F31" s="19">
        <f>_xll.BDH("ITCI US Equity","IS_INC_BEF_XO_ITEM","FQ1 2020","FQ1 2020","Currency=USD","Period=FQ","BEST_FPERIOD_OVERRIDE=FQ","FILING_STATUS=MR","SCALING_FORMAT=MLN","Sort=A","Dates=H","DateFormat=P","Fill=—","Direction=H","UseDPDF=Y")</f>
        <v>-47.410600000000002</v>
      </c>
      <c r="G31" s="19">
        <f>_xll.BDH("ITCI US Equity","IS_INC_BEF_XO_ITEM","FQ2 2020","FQ2 2020","Currency=USD","Period=FQ","BEST_FPERIOD_OVERRIDE=FQ","FILING_STATUS=MR","SCALING_FORMAT=MLN","Sort=A","Dates=H","DateFormat=P","Fill=—","Direction=H","UseDPDF=Y")</f>
        <v>-63.712299999999999</v>
      </c>
      <c r="H31" s="19">
        <f>_xll.BDH("ITCI US Equity","IS_INC_BEF_XO_ITEM","FQ3 2020","FQ3 2020","Currency=USD","Period=FQ","BEST_FPERIOD_OVERRIDE=FQ","FILING_STATUS=MR","SCALING_FORMAT=MLN","Sort=A","Dates=H","DateFormat=P","Fill=—","Direction=H","UseDPDF=Y")</f>
        <v>-55.183599999999998</v>
      </c>
      <c r="I31" s="19">
        <f>_xll.BDH("ITCI US Equity","IS_INC_BEF_XO_ITEM","FQ4 2020","FQ4 2020","Currency=USD","Period=FQ","BEST_FPERIOD_OVERRIDE=FQ","FILING_STATUS=MR","SCALING_FORMAT=MLN","Sort=A","Dates=H","DateFormat=P","Fill=—","Direction=H","UseDPDF=Y")</f>
        <v>-60.699199999999998</v>
      </c>
      <c r="J31" s="19">
        <f>_xll.BDH("ITCI US Equity","IS_INC_BEF_XO_ITEM","FQ1 2021","FQ1 2021","Currency=USD","Period=FQ","BEST_FPERIOD_OVERRIDE=FQ","FILING_STATUS=MR","SCALING_FORMAT=MLN","Sort=A","Dates=H","DateFormat=P","Fill=—","Direction=H","UseDPDF=Y")</f>
        <v>-52.739899999999999</v>
      </c>
      <c r="K31" s="19">
        <f>_xll.BDH("ITCI US Equity","IS_INC_BEF_XO_ITEM","FQ2 2021","FQ2 2021","Currency=USD","Period=FQ","BEST_FPERIOD_OVERRIDE=FQ","FILING_STATUS=MR","SCALING_FORMAT=MLN","Sort=A","Dates=H","DateFormat=P","Fill=—","Direction=H","UseDPDF=Y")</f>
        <v>-68.743799999999993</v>
      </c>
      <c r="L31" s="19">
        <f>_xll.BDH("ITCI US Equity","IS_INC_BEF_XO_ITEM","FQ3 2021","FQ3 2021","Currency=USD","Period=FQ","BEST_FPERIOD_OVERRIDE=FQ","FILING_STATUS=MR","SCALING_FORMAT=MLN","Sort=A","Dates=H","DateFormat=P","Fill=—","Direction=H","UseDPDF=Y")</f>
        <v>-76.908000000000001</v>
      </c>
      <c r="M31" s="19">
        <f>_xll.BDH("ITCI US Equity","IS_INC_BEF_XO_ITEM","FQ4 2021","FQ4 2021","Currency=USD","Period=FQ","BEST_FPERIOD_OVERRIDE=FQ","FILING_STATUS=MR","SCALING_FORMAT=MLN","Sort=A","Dates=H","DateFormat=P","Fill=—","Direction=H","UseDPDF=Y")</f>
        <v>-85.733900000000006</v>
      </c>
      <c r="N31" s="19">
        <f>_xll.BDH("ITCI US Equity","IS_INC_BEF_XO_ITEM","FQ1 2022","FQ1 2022","Currency=USD","Period=FQ","BEST_FPERIOD_OVERRIDE=FQ","FILING_STATUS=MR","SCALING_FORMAT=MLN","Sort=A","Dates=H","DateFormat=P","Fill=—","Direction=H","UseDPDF=Y")</f>
        <v>-72.119</v>
      </c>
      <c r="O31" s="19">
        <f>_xll.BDH("ITCI US Equity","IS_INC_BEF_XO_ITEM","FQ2 2022","FQ2 2022","Currency=USD","Period=FQ","BEST_FPERIOD_OVERRIDE=FQ","FILING_STATUS=MR","SCALING_FORMAT=MLN","Sort=A","Dates=H","DateFormat=P","Fill=—","Direction=H","UseDPDF=Y")</f>
        <v>-86.602999999999994</v>
      </c>
      <c r="P31" s="19">
        <f>_xll.BDH("ITCI US Equity","IS_INC_BEF_XO_ITEM","FQ3 2022","FQ3 2022","Currency=USD","Period=FQ","BEST_FPERIOD_OVERRIDE=FQ","FILING_STATUS=MR","SCALING_FORMAT=MLN","Sort=A","Dates=H","DateFormat=P","Fill=—","Direction=H","UseDPDF=Y")</f>
        <v>-53.508000000000003</v>
      </c>
      <c r="Q31" s="19">
        <f>_xll.BDH("ITCI US Equity","IS_INC_BEF_XO_ITEM","FQ4 2022","FQ4 2022","Currency=USD","Period=FQ","BEST_FPERIOD_OVERRIDE=FQ","FILING_STATUS=MR","SCALING_FORMAT=MLN","Sort=A","Dates=H","DateFormat=P","Fill=—","Direction=H","UseDPDF=Y")</f>
        <v>-44.026000000000003</v>
      </c>
      <c r="R31" s="19">
        <f>_xll.BDH("ITCI US Equity","IS_INC_BEF_XO_ITEM","FQ1 2023","FQ1 2023","Currency=USD","Period=FQ","BEST_FPERIOD_OVERRIDE=FQ","FILING_STATUS=MR","SCALING_FORMAT=MLN","Sort=A","Dates=H","DateFormat=P","Fill=—","Direction=H","UseDPDF=Y")</f>
        <v>-44.052999999999997</v>
      </c>
      <c r="S31" s="19">
        <f>_xll.BDH("ITCI US Equity","IS_INC_BEF_XO_ITEM","FQ2 2023","FQ2 2023","Currency=USD","Period=FQ","BEST_FPERIOD_OVERRIDE=FQ","FILING_STATUS=MR","SCALING_FORMAT=MLN","Sort=A","Dates=H","DateFormat=P","Fill=—","Direction=H","UseDPDF=Y")</f>
        <v>-42.783999999999999</v>
      </c>
      <c r="T31" s="19">
        <f>_xll.BDH("ITCI US Equity","IS_INC_BEF_XO_ITEM","FQ3 2023","FQ3 2023","Currency=USD","Period=FQ","BEST_FPERIOD_OVERRIDE=FQ","FILING_STATUS=MR","SCALING_FORMAT=MLN","Sort=A","Dates=H","DateFormat=P","Fill=—","Direction=H","UseDPDF=Y")</f>
        <v>-24.257999999999999</v>
      </c>
      <c r="U31" s="19">
        <f>_xll.BDH("ITCI US Equity","IS_INC_BEF_XO_ITEM","FQ4 2023","FQ4 2023","Currency=USD","Period=FQ","BEST_FPERIOD_OVERRIDE=FQ","FILING_STATUS=MR","SCALING_FORMAT=MLN","Sort=A","Dates=H","DateFormat=P","Fill=—","Direction=H","UseDPDF=Y")</f>
        <v>-28.579000000000001</v>
      </c>
      <c r="V31" s="19">
        <f>_xll.BDH("ITCI US Equity","IS_INC_BEF_XO_ITEM","FQ1 2024","FQ1 2024","Currency=USD","Period=FQ","BEST_FPERIOD_OVERRIDE=FQ","FILING_STATUS=MR","SCALING_FORMAT=MLN","Sort=A","Dates=H","DateFormat=P","Fill=—","Direction=H","UseDPDF=Y")</f>
        <v>-15.247</v>
      </c>
      <c r="W31" s="19">
        <f>_xll.BDH("ITCI US Equity","IS_INC_BEF_XO_ITEM","FQ2 2024","FQ2 2024","Currency=USD","Period=FQ","BEST_FPERIOD_OVERRIDE=FQ","FILING_STATUS=MR","SCALING_FORMAT=MLN","Sort=A","Dates=H","DateFormat=P","Fill=—","Direction=H","UseDPDF=Y")</f>
        <v>-16.22</v>
      </c>
      <c r="X31" s="19">
        <f>_xll.BDH("ITCI US Equity","IS_INC_BEF_XO_ITEM","FQ3 2024","FQ3 2024","Currency=USD","Period=FQ","BEST_FPERIOD_OVERRIDE=FQ","FILING_STATUS=MR","SCALING_FORMAT=MLN","Sort=A","Dates=H","DateFormat=P","Fill=—","Direction=H","UseDPDF=Y")</f>
        <v>-26.324000000000002</v>
      </c>
      <c r="Y31" s="19">
        <f>_xll.BDH("ITCI US Equity","IS_INC_BEF_XO_ITEM","FQ4 2024","FQ4 2024","Currency=USD","Period=FQ","BEST_FPERIOD_OVERRIDE=FQ","FILING_STATUS=MR","SCALING_FORMAT=MLN","Sort=A","Dates=H","DateFormat=P","Fill=—","Direction=H","UseDPDF=Y")</f>
        <v>-16.885000000000002</v>
      </c>
      <c r="Z31" s="19">
        <v>-11.425000000000001</v>
      </c>
      <c r="AA31" s="19">
        <v>-3.2170000000000001</v>
      </c>
    </row>
    <row r="32" spans="1:27" x14ac:dyDescent="0.25">
      <c r="A32" s="10" t="s">
        <v>325</v>
      </c>
      <c r="B32" s="10" t="s">
        <v>326</v>
      </c>
      <c r="C32" s="13">
        <f>_xll.BDH("ITCI US Equity","XO_GL_NET_OF_TAX","FQ2 2019","FQ2 2019","Currency=USD","Period=FQ","BEST_FPERIOD_OVERRIDE=FQ","FILING_STATUS=MR","SCALING_FORMAT=MLN","Sort=A","Dates=H","DateFormat=P","Fill=—","Direction=H","UseDPDF=Y")</f>
        <v>0</v>
      </c>
      <c r="D32" s="13">
        <f>_xll.BDH("ITCI US Equity","XO_GL_NET_OF_TAX","FQ3 2019","FQ3 2019","Currency=USD","Period=FQ","BEST_FPERIOD_OVERRIDE=FQ","FILING_STATUS=MR","SCALING_FORMAT=MLN","Sort=A","Dates=H","DateFormat=P","Fill=—","Direction=H","UseDPDF=Y")</f>
        <v>0</v>
      </c>
      <c r="E32" s="13">
        <f>_xll.BDH("ITCI US Equity","XO_GL_NET_OF_TAX","FQ4 2019","FQ4 2019","Currency=USD","Period=FQ","BEST_FPERIOD_OVERRIDE=FQ","FILING_STATUS=MR","SCALING_FORMAT=MLN","Sort=A","Dates=H","DateFormat=P","Fill=—","Direction=H","UseDPDF=Y")</f>
        <v>0</v>
      </c>
      <c r="F32" s="13">
        <f>_xll.BDH("ITCI US Equity","XO_GL_NET_OF_TAX","FQ1 2020","FQ1 2020","Currency=USD","Period=FQ","BEST_FPERIOD_OVERRIDE=FQ","FILING_STATUS=MR","SCALING_FORMAT=MLN","Sort=A","Dates=H","DateFormat=P","Fill=—","Direction=H","UseDPDF=Y")</f>
        <v>0</v>
      </c>
      <c r="G32" s="13">
        <f>_xll.BDH("ITCI US Equity","XO_GL_NET_OF_TAX","FQ2 2020","FQ2 2020","Currency=USD","Period=FQ","BEST_FPERIOD_OVERRIDE=FQ","FILING_STATUS=MR","SCALING_FORMAT=MLN","Sort=A","Dates=H","DateFormat=P","Fill=—","Direction=H","UseDPDF=Y")</f>
        <v>0</v>
      </c>
      <c r="H32" s="13">
        <f>_xll.BDH("ITCI US Equity","XO_GL_NET_OF_TAX","FQ3 2020","FQ3 2020","Currency=USD","Period=FQ","BEST_FPERIOD_OVERRIDE=FQ","FILING_STATUS=MR","SCALING_FORMAT=MLN","Sort=A","Dates=H","DateFormat=P","Fill=—","Direction=H","UseDPDF=Y")</f>
        <v>0</v>
      </c>
      <c r="I32" s="13">
        <f>_xll.BDH("ITCI US Equity","XO_GL_NET_OF_TAX","FQ4 2020","FQ4 2020","Currency=USD","Period=FQ","BEST_FPERIOD_OVERRIDE=FQ","FILING_STATUS=MR","SCALING_FORMAT=MLN","Sort=A","Dates=H","DateFormat=P","Fill=—","Direction=H","UseDPDF=Y")</f>
        <v>0</v>
      </c>
      <c r="J32" s="13">
        <f>_xll.BDH("ITCI US Equity","XO_GL_NET_OF_TAX","FQ1 2021","FQ1 2021","Currency=USD","Period=FQ","BEST_FPERIOD_OVERRIDE=FQ","FILING_STATUS=MR","SCALING_FORMAT=MLN","Sort=A","Dates=H","DateFormat=P","Fill=—","Direction=H","UseDPDF=Y")</f>
        <v>0</v>
      </c>
      <c r="K32" s="13">
        <f>_xll.BDH("ITCI US Equity","XO_GL_NET_OF_TAX","FQ2 2021","FQ2 2021","Currency=USD","Period=FQ","BEST_FPERIOD_OVERRIDE=FQ","FILING_STATUS=MR","SCALING_FORMAT=MLN","Sort=A","Dates=H","DateFormat=P","Fill=—","Direction=H","UseDPDF=Y")</f>
        <v>0</v>
      </c>
      <c r="L32" s="13">
        <f>_xll.BDH("ITCI US Equity","XO_GL_NET_OF_TAX","FQ3 2021","FQ3 2021","Currency=USD","Period=FQ","BEST_FPERIOD_OVERRIDE=FQ","FILING_STATUS=MR","SCALING_FORMAT=MLN","Sort=A","Dates=H","DateFormat=P","Fill=—","Direction=H","UseDPDF=Y")</f>
        <v>0</v>
      </c>
      <c r="M32" s="13">
        <f>_xll.BDH("ITCI US Equity","XO_GL_NET_OF_TAX","FQ4 2021","FQ4 2021","Currency=USD","Period=FQ","BEST_FPERIOD_OVERRIDE=FQ","FILING_STATUS=MR","SCALING_FORMAT=MLN","Sort=A","Dates=H","DateFormat=P","Fill=—","Direction=H","UseDPDF=Y")</f>
        <v>0</v>
      </c>
      <c r="N32" s="13">
        <f>_xll.BDH("ITCI US Equity","XO_GL_NET_OF_TAX","FQ1 2022","FQ1 2022","Currency=USD","Period=FQ","BEST_FPERIOD_OVERRIDE=FQ","FILING_STATUS=MR","SCALING_FORMAT=MLN","Sort=A","Dates=H","DateFormat=P","Fill=—","Direction=H","UseDPDF=Y")</f>
        <v>0</v>
      </c>
      <c r="O32" s="13">
        <f>_xll.BDH("ITCI US Equity","XO_GL_NET_OF_TAX","FQ2 2022","FQ2 2022","Currency=USD","Period=FQ","BEST_FPERIOD_OVERRIDE=FQ","FILING_STATUS=MR","SCALING_FORMAT=MLN","Sort=A","Dates=H","DateFormat=P","Fill=—","Direction=H","UseDPDF=Y")</f>
        <v>0</v>
      </c>
      <c r="P32" s="13">
        <f>_xll.BDH("ITCI US Equity","XO_GL_NET_OF_TAX","FQ3 2022","FQ3 2022","Currency=USD","Period=FQ","BEST_FPERIOD_OVERRIDE=FQ","FILING_STATUS=MR","SCALING_FORMAT=MLN","Sort=A","Dates=H","DateFormat=P","Fill=—","Direction=H","UseDPDF=Y")</f>
        <v>0</v>
      </c>
      <c r="Q32" s="13">
        <f>_xll.BDH("ITCI US Equity","XO_GL_NET_OF_TAX","FQ4 2022","FQ4 2022","Currency=USD","Period=FQ","BEST_FPERIOD_OVERRIDE=FQ","FILING_STATUS=MR","SCALING_FORMAT=MLN","Sort=A","Dates=H","DateFormat=P","Fill=—","Direction=H","UseDPDF=Y")</f>
        <v>0</v>
      </c>
      <c r="R32" s="13">
        <f>_xll.BDH("ITCI US Equity","XO_GL_NET_OF_TAX","FQ1 2023","FQ1 2023","Currency=USD","Period=FQ","BEST_FPERIOD_OVERRIDE=FQ","FILING_STATUS=MR","SCALING_FORMAT=MLN","Sort=A","Dates=H","DateFormat=P","Fill=—","Direction=H","UseDPDF=Y")</f>
        <v>0</v>
      </c>
      <c r="S32" s="13">
        <f>_xll.BDH("ITCI US Equity","XO_GL_NET_OF_TAX","FQ2 2023","FQ2 2023","Currency=USD","Period=FQ","BEST_FPERIOD_OVERRIDE=FQ","FILING_STATUS=MR","SCALING_FORMAT=MLN","Sort=A","Dates=H","DateFormat=P","Fill=—","Direction=H","UseDPDF=Y")</f>
        <v>0</v>
      </c>
      <c r="T32" s="13">
        <f>_xll.BDH("ITCI US Equity","XO_GL_NET_OF_TAX","FQ3 2023","FQ3 2023","Currency=USD","Period=FQ","BEST_FPERIOD_OVERRIDE=FQ","FILING_STATUS=MR","SCALING_FORMAT=MLN","Sort=A","Dates=H","DateFormat=P","Fill=—","Direction=H","UseDPDF=Y")</f>
        <v>0</v>
      </c>
      <c r="U32" s="13">
        <f>_xll.BDH("ITCI US Equity","XO_GL_NET_OF_TAX","FQ4 2023","FQ4 2023","Currency=USD","Period=FQ","BEST_FPERIOD_OVERRIDE=FQ","FILING_STATUS=MR","SCALING_FORMAT=MLN","Sort=A","Dates=H","DateFormat=P","Fill=—","Direction=H","UseDPDF=Y")</f>
        <v>0</v>
      </c>
      <c r="V32" s="13">
        <f>_xll.BDH("ITCI US Equity","XO_GL_NET_OF_TAX","FQ1 2024","FQ1 2024","Currency=USD","Period=FQ","BEST_FPERIOD_OVERRIDE=FQ","FILING_STATUS=MR","SCALING_FORMAT=MLN","Sort=A","Dates=H","DateFormat=P","Fill=—","Direction=H","UseDPDF=Y")</f>
        <v>0</v>
      </c>
      <c r="W32" s="13">
        <f>_xll.BDH("ITCI US Equity","XO_GL_NET_OF_TAX","FQ2 2024","FQ2 2024","Currency=USD","Period=FQ","BEST_FPERIOD_OVERRIDE=FQ","FILING_STATUS=MR","SCALING_FORMAT=MLN","Sort=A","Dates=H","DateFormat=P","Fill=—","Direction=H","UseDPDF=Y")</f>
        <v>0</v>
      </c>
      <c r="X32" s="13">
        <f>_xll.BDH("ITCI US Equity","XO_GL_NET_OF_TAX","FQ3 2024","FQ3 2024","Currency=USD","Period=FQ","BEST_FPERIOD_OVERRIDE=FQ","FILING_STATUS=MR","SCALING_FORMAT=MLN","Sort=A","Dates=H","DateFormat=P","Fill=—","Direction=H","UseDPDF=Y")</f>
        <v>0</v>
      </c>
      <c r="Y32" s="13">
        <f>_xll.BDH("ITCI US Equity","XO_GL_NET_OF_TAX","FQ4 2024","FQ4 2024","Currency=USD","Period=FQ","BEST_FPERIOD_OVERRIDE=FQ","FILING_STATUS=MR","SCALING_FORMAT=MLN","Sort=A","Dates=H","DateFormat=P","Fill=—","Direction=H","UseDPDF=Y")</f>
        <v>0</v>
      </c>
      <c r="Z32" s="13"/>
      <c r="AA32" s="13"/>
    </row>
    <row r="33" spans="1:27" x14ac:dyDescent="0.25">
      <c r="A33" s="10" t="s">
        <v>327</v>
      </c>
      <c r="B33" s="10" t="s">
        <v>328</v>
      </c>
      <c r="C33" s="13">
        <f>_xll.BDH("ITCI US Equity","IS_DISCONTINUED_OPERATIONS","FQ2 2019","FQ2 2019","Currency=USD","Period=FQ","BEST_FPERIOD_OVERRIDE=FQ","FILING_STATUS=MR","SCALING_FORMAT=MLN","Sort=A","Dates=H","DateFormat=P","Fill=—","Direction=H","UseDPDF=Y")</f>
        <v>0</v>
      </c>
      <c r="D33" s="13">
        <f>_xll.BDH("ITCI US Equity","IS_DISCONTINUED_OPERATIONS","FQ3 2019","FQ3 2019","Currency=USD","Period=FQ","BEST_FPERIOD_OVERRIDE=FQ","FILING_STATUS=MR","SCALING_FORMAT=MLN","Sort=A","Dates=H","DateFormat=P","Fill=—","Direction=H","UseDPDF=Y")</f>
        <v>0</v>
      </c>
      <c r="E33" s="13">
        <f>_xll.BDH("ITCI US Equity","IS_DISCONTINUED_OPERATIONS","FQ4 2019","FQ4 2019","Currency=USD","Period=FQ","BEST_FPERIOD_OVERRIDE=FQ","FILING_STATUS=MR","SCALING_FORMAT=MLN","Sort=A","Dates=H","DateFormat=P","Fill=—","Direction=H","UseDPDF=Y")</f>
        <v>0</v>
      </c>
      <c r="F33" s="13">
        <f>_xll.BDH("ITCI US Equity","IS_DISCONTINUED_OPERATIONS","FQ1 2020","FQ1 2020","Currency=USD","Period=FQ","BEST_FPERIOD_OVERRIDE=FQ","FILING_STATUS=MR","SCALING_FORMAT=MLN","Sort=A","Dates=H","DateFormat=P","Fill=—","Direction=H","UseDPDF=Y")</f>
        <v>0</v>
      </c>
      <c r="G33" s="13">
        <f>_xll.BDH("ITCI US Equity","IS_DISCONTINUED_OPERATIONS","FQ2 2020","FQ2 2020","Currency=USD","Period=FQ","BEST_FPERIOD_OVERRIDE=FQ","FILING_STATUS=MR","SCALING_FORMAT=MLN","Sort=A","Dates=H","DateFormat=P","Fill=—","Direction=H","UseDPDF=Y")</f>
        <v>0</v>
      </c>
      <c r="H33" s="13">
        <f>_xll.BDH("ITCI US Equity","IS_DISCONTINUED_OPERATIONS","FQ3 2020","FQ3 2020","Currency=USD","Period=FQ","BEST_FPERIOD_OVERRIDE=FQ","FILING_STATUS=MR","SCALING_FORMAT=MLN","Sort=A","Dates=H","DateFormat=P","Fill=—","Direction=H","UseDPDF=Y")</f>
        <v>0</v>
      </c>
      <c r="I33" s="13">
        <f>_xll.BDH("ITCI US Equity","IS_DISCONTINUED_OPERATIONS","FQ4 2020","FQ4 2020","Currency=USD","Period=FQ","BEST_FPERIOD_OVERRIDE=FQ","FILING_STATUS=MR","SCALING_FORMAT=MLN","Sort=A","Dates=H","DateFormat=P","Fill=—","Direction=H","UseDPDF=Y")</f>
        <v>0</v>
      </c>
      <c r="J33" s="13">
        <f>_xll.BDH("ITCI US Equity","IS_DISCONTINUED_OPERATIONS","FQ1 2021","FQ1 2021","Currency=USD","Period=FQ","BEST_FPERIOD_OVERRIDE=FQ","FILING_STATUS=MR","SCALING_FORMAT=MLN","Sort=A","Dates=H","DateFormat=P","Fill=—","Direction=H","UseDPDF=Y")</f>
        <v>0</v>
      </c>
      <c r="K33" s="13">
        <f>_xll.BDH("ITCI US Equity","IS_DISCONTINUED_OPERATIONS","FQ2 2021","FQ2 2021","Currency=USD","Period=FQ","BEST_FPERIOD_OVERRIDE=FQ","FILING_STATUS=MR","SCALING_FORMAT=MLN","Sort=A","Dates=H","DateFormat=P","Fill=—","Direction=H","UseDPDF=Y")</f>
        <v>0</v>
      </c>
      <c r="L33" s="13">
        <f>_xll.BDH("ITCI US Equity","IS_DISCONTINUED_OPERATIONS","FQ3 2021","FQ3 2021","Currency=USD","Period=FQ","BEST_FPERIOD_OVERRIDE=FQ","FILING_STATUS=MR","SCALING_FORMAT=MLN","Sort=A","Dates=H","DateFormat=P","Fill=—","Direction=H","UseDPDF=Y")</f>
        <v>0</v>
      </c>
      <c r="M33" s="13">
        <f>_xll.BDH("ITCI US Equity","IS_DISCONTINUED_OPERATIONS","FQ4 2021","FQ4 2021","Currency=USD","Period=FQ","BEST_FPERIOD_OVERRIDE=FQ","FILING_STATUS=MR","SCALING_FORMAT=MLN","Sort=A","Dates=H","DateFormat=P","Fill=—","Direction=H","UseDPDF=Y")</f>
        <v>0</v>
      </c>
      <c r="N33" s="13">
        <f>_xll.BDH("ITCI US Equity","IS_DISCONTINUED_OPERATIONS","FQ1 2022","FQ1 2022","Currency=USD","Period=FQ","BEST_FPERIOD_OVERRIDE=FQ","FILING_STATUS=MR","SCALING_FORMAT=MLN","Sort=A","Dates=H","DateFormat=P","Fill=—","Direction=H","UseDPDF=Y")</f>
        <v>0</v>
      </c>
      <c r="O33" s="13">
        <f>_xll.BDH("ITCI US Equity","IS_DISCONTINUED_OPERATIONS","FQ2 2022","FQ2 2022","Currency=USD","Period=FQ","BEST_FPERIOD_OVERRIDE=FQ","FILING_STATUS=MR","SCALING_FORMAT=MLN","Sort=A","Dates=H","DateFormat=P","Fill=—","Direction=H","UseDPDF=Y")</f>
        <v>0</v>
      </c>
      <c r="P33" s="13">
        <f>_xll.BDH("ITCI US Equity","IS_DISCONTINUED_OPERATIONS","FQ3 2022","FQ3 2022","Currency=USD","Period=FQ","BEST_FPERIOD_OVERRIDE=FQ","FILING_STATUS=MR","SCALING_FORMAT=MLN","Sort=A","Dates=H","DateFormat=P","Fill=—","Direction=H","UseDPDF=Y")</f>
        <v>0</v>
      </c>
      <c r="Q33" s="13">
        <f>_xll.BDH("ITCI US Equity","IS_DISCONTINUED_OPERATIONS","FQ4 2022","FQ4 2022","Currency=USD","Period=FQ","BEST_FPERIOD_OVERRIDE=FQ","FILING_STATUS=MR","SCALING_FORMAT=MLN","Sort=A","Dates=H","DateFormat=P","Fill=—","Direction=H","UseDPDF=Y")</f>
        <v>0</v>
      </c>
      <c r="R33" s="13">
        <f>_xll.BDH("ITCI US Equity","IS_DISCONTINUED_OPERATIONS","FQ1 2023","FQ1 2023","Currency=USD","Period=FQ","BEST_FPERIOD_OVERRIDE=FQ","FILING_STATUS=MR","SCALING_FORMAT=MLN","Sort=A","Dates=H","DateFormat=P","Fill=—","Direction=H","UseDPDF=Y")</f>
        <v>0</v>
      </c>
      <c r="S33" s="13">
        <f>_xll.BDH("ITCI US Equity","IS_DISCONTINUED_OPERATIONS","FQ2 2023","FQ2 2023","Currency=USD","Period=FQ","BEST_FPERIOD_OVERRIDE=FQ","FILING_STATUS=MR","SCALING_FORMAT=MLN","Sort=A","Dates=H","DateFormat=P","Fill=—","Direction=H","UseDPDF=Y")</f>
        <v>0</v>
      </c>
      <c r="T33" s="13">
        <f>_xll.BDH("ITCI US Equity","IS_DISCONTINUED_OPERATIONS","FQ3 2023","FQ3 2023","Currency=USD","Period=FQ","BEST_FPERIOD_OVERRIDE=FQ","FILING_STATUS=MR","SCALING_FORMAT=MLN","Sort=A","Dates=H","DateFormat=P","Fill=—","Direction=H","UseDPDF=Y")</f>
        <v>0</v>
      </c>
      <c r="U33" s="13">
        <f>_xll.BDH("ITCI US Equity","IS_DISCONTINUED_OPERATIONS","FQ4 2023","FQ4 2023","Currency=USD","Period=FQ","BEST_FPERIOD_OVERRIDE=FQ","FILING_STATUS=MR","SCALING_FORMAT=MLN","Sort=A","Dates=H","DateFormat=P","Fill=—","Direction=H","UseDPDF=Y")</f>
        <v>0</v>
      </c>
      <c r="V33" s="13">
        <f>_xll.BDH("ITCI US Equity","IS_DISCONTINUED_OPERATIONS","FQ1 2024","FQ1 2024","Currency=USD","Period=FQ","BEST_FPERIOD_OVERRIDE=FQ","FILING_STATUS=MR","SCALING_FORMAT=MLN","Sort=A","Dates=H","DateFormat=P","Fill=—","Direction=H","UseDPDF=Y")</f>
        <v>0</v>
      </c>
      <c r="W33" s="13">
        <f>_xll.BDH("ITCI US Equity","IS_DISCONTINUED_OPERATIONS","FQ2 2024","FQ2 2024","Currency=USD","Period=FQ","BEST_FPERIOD_OVERRIDE=FQ","FILING_STATUS=MR","SCALING_FORMAT=MLN","Sort=A","Dates=H","DateFormat=P","Fill=—","Direction=H","UseDPDF=Y")</f>
        <v>0</v>
      </c>
      <c r="X33" s="13">
        <f>_xll.BDH("ITCI US Equity","IS_DISCONTINUED_OPERATIONS","FQ3 2024","FQ3 2024","Currency=USD","Period=FQ","BEST_FPERIOD_OVERRIDE=FQ","FILING_STATUS=MR","SCALING_FORMAT=MLN","Sort=A","Dates=H","DateFormat=P","Fill=—","Direction=H","UseDPDF=Y")</f>
        <v>0</v>
      </c>
      <c r="Y33" s="13">
        <f>_xll.BDH("ITCI US Equity","IS_DISCONTINUED_OPERATIONS","FQ4 2024","FQ4 2024","Currency=USD","Period=FQ","BEST_FPERIOD_OVERRIDE=FQ","FILING_STATUS=MR","SCALING_FORMAT=MLN","Sort=A","Dates=H","DateFormat=P","Fill=—","Direction=H","UseDPDF=Y")</f>
        <v>0</v>
      </c>
      <c r="Z33" s="13"/>
      <c r="AA33" s="13"/>
    </row>
    <row r="34" spans="1:27" x14ac:dyDescent="0.25">
      <c r="A34" s="10" t="s">
        <v>329</v>
      </c>
      <c r="B34" s="10" t="s">
        <v>330</v>
      </c>
      <c r="C34" s="13">
        <f>_xll.BDH("ITCI US Equity","EXTRAORD_ITEMS_ACCOUNTING_CHANGS","FQ2 2019","FQ2 2019","Currency=USD","Period=FQ","BEST_FPERIOD_OVERRIDE=FQ","FILING_STATUS=MR","SCALING_FORMAT=MLN","Sort=A","Dates=H","DateFormat=P","Fill=—","Direction=H","UseDPDF=Y")</f>
        <v>0</v>
      </c>
      <c r="D34" s="13">
        <f>_xll.BDH("ITCI US Equity","EXTRAORD_ITEMS_ACCOUNTING_CHANGS","FQ3 2019","FQ3 2019","Currency=USD","Period=FQ","BEST_FPERIOD_OVERRIDE=FQ","FILING_STATUS=MR","SCALING_FORMAT=MLN","Sort=A","Dates=H","DateFormat=P","Fill=—","Direction=H","UseDPDF=Y")</f>
        <v>0</v>
      </c>
      <c r="E34" s="13">
        <f>_xll.BDH("ITCI US Equity","EXTRAORD_ITEMS_ACCOUNTING_CHANGS","FQ4 2019","FQ4 2019","Currency=USD","Period=FQ","BEST_FPERIOD_OVERRIDE=FQ","FILING_STATUS=MR","SCALING_FORMAT=MLN","Sort=A","Dates=H","DateFormat=P","Fill=—","Direction=H","UseDPDF=Y")</f>
        <v>0</v>
      </c>
      <c r="F34" s="13">
        <f>_xll.BDH("ITCI US Equity","EXTRAORD_ITEMS_ACCOUNTING_CHANGS","FQ1 2020","FQ1 2020","Currency=USD","Period=FQ","BEST_FPERIOD_OVERRIDE=FQ","FILING_STATUS=MR","SCALING_FORMAT=MLN","Sort=A","Dates=H","DateFormat=P","Fill=—","Direction=H","UseDPDF=Y")</f>
        <v>0</v>
      </c>
      <c r="G34" s="13">
        <f>_xll.BDH("ITCI US Equity","EXTRAORD_ITEMS_ACCOUNTING_CHANGS","FQ2 2020","FQ2 2020","Currency=USD","Period=FQ","BEST_FPERIOD_OVERRIDE=FQ","FILING_STATUS=MR","SCALING_FORMAT=MLN","Sort=A","Dates=H","DateFormat=P","Fill=—","Direction=H","UseDPDF=Y")</f>
        <v>0</v>
      </c>
      <c r="H34" s="13">
        <f>_xll.BDH("ITCI US Equity","EXTRAORD_ITEMS_ACCOUNTING_CHANGS","FQ3 2020","FQ3 2020","Currency=USD","Period=FQ","BEST_FPERIOD_OVERRIDE=FQ","FILING_STATUS=MR","SCALING_FORMAT=MLN","Sort=A","Dates=H","DateFormat=P","Fill=—","Direction=H","UseDPDF=Y")</f>
        <v>0</v>
      </c>
      <c r="I34" s="13">
        <f>_xll.BDH("ITCI US Equity","EXTRAORD_ITEMS_ACCOUNTING_CHANGS","FQ4 2020","FQ4 2020","Currency=USD","Period=FQ","BEST_FPERIOD_OVERRIDE=FQ","FILING_STATUS=MR","SCALING_FORMAT=MLN","Sort=A","Dates=H","DateFormat=P","Fill=—","Direction=H","UseDPDF=Y")</f>
        <v>0</v>
      </c>
      <c r="J34" s="13">
        <f>_xll.BDH("ITCI US Equity","EXTRAORD_ITEMS_ACCOUNTING_CHANGS","FQ1 2021","FQ1 2021","Currency=USD","Period=FQ","BEST_FPERIOD_OVERRIDE=FQ","FILING_STATUS=MR","SCALING_FORMAT=MLN","Sort=A","Dates=H","DateFormat=P","Fill=—","Direction=H","UseDPDF=Y")</f>
        <v>0</v>
      </c>
      <c r="K34" s="13">
        <f>_xll.BDH("ITCI US Equity","EXTRAORD_ITEMS_ACCOUNTING_CHANGS","FQ2 2021","FQ2 2021","Currency=USD","Period=FQ","BEST_FPERIOD_OVERRIDE=FQ","FILING_STATUS=MR","SCALING_FORMAT=MLN","Sort=A","Dates=H","DateFormat=P","Fill=—","Direction=H","UseDPDF=Y")</f>
        <v>0</v>
      </c>
      <c r="L34" s="13">
        <f>_xll.BDH("ITCI US Equity","EXTRAORD_ITEMS_ACCOUNTING_CHANGS","FQ3 2021","FQ3 2021","Currency=USD","Period=FQ","BEST_FPERIOD_OVERRIDE=FQ","FILING_STATUS=MR","SCALING_FORMAT=MLN","Sort=A","Dates=H","DateFormat=P","Fill=—","Direction=H","UseDPDF=Y")</f>
        <v>0</v>
      </c>
      <c r="M34" s="13">
        <f>_xll.BDH("ITCI US Equity","EXTRAORD_ITEMS_ACCOUNTING_CHANGS","FQ4 2021","FQ4 2021","Currency=USD","Period=FQ","BEST_FPERIOD_OVERRIDE=FQ","FILING_STATUS=MR","SCALING_FORMAT=MLN","Sort=A","Dates=H","DateFormat=P","Fill=—","Direction=H","UseDPDF=Y")</f>
        <v>0</v>
      </c>
      <c r="N34" s="13">
        <f>_xll.BDH("ITCI US Equity","EXTRAORD_ITEMS_ACCOUNTING_CHANGS","FQ1 2022","FQ1 2022","Currency=USD","Period=FQ","BEST_FPERIOD_OVERRIDE=FQ","FILING_STATUS=MR","SCALING_FORMAT=MLN","Sort=A","Dates=H","DateFormat=P","Fill=—","Direction=H","UseDPDF=Y")</f>
        <v>0</v>
      </c>
      <c r="O34" s="13">
        <f>_xll.BDH("ITCI US Equity","EXTRAORD_ITEMS_ACCOUNTING_CHANGS","FQ2 2022","FQ2 2022","Currency=USD","Period=FQ","BEST_FPERIOD_OVERRIDE=FQ","FILING_STATUS=MR","SCALING_FORMAT=MLN","Sort=A","Dates=H","DateFormat=P","Fill=—","Direction=H","UseDPDF=Y")</f>
        <v>0</v>
      </c>
      <c r="P34" s="13">
        <f>_xll.BDH("ITCI US Equity","EXTRAORD_ITEMS_ACCOUNTING_CHANGS","FQ3 2022","FQ3 2022","Currency=USD","Period=FQ","BEST_FPERIOD_OVERRIDE=FQ","FILING_STATUS=MR","SCALING_FORMAT=MLN","Sort=A","Dates=H","DateFormat=P","Fill=—","Direction=H","UseDPDF=Y")</f>
        <v>0</v>
      </c>
      <c r="Q34" s="13">
        <f>_xll.BDH("ITCI US Equity","EXTRAORD_ITEMS_ACCOUNTING_CHANGS","FQ4 2022","FQ4 2022","Currency=USD","Period=FQ","BEST_FPERIOD_OVERRIDE=FQ","FILING_STATUS=MR","SCALING_FORMAT=MLN","Sort=A","Dates=H","DateFormat=P","Fill=—","Direction=H","UseDPDF=Y")</f>
        <v>0</v>
      </c>
      <c r="R34" s="13">
        <f>_xll.BDH("ITCI US Equity","EXTRAORD_ITEMS_ACCOUNTING_CHANGS","FQ1 2023","FQ1 2023","Currency=USD","Period=FQ","BEST_FPERIOD_OVERRIDE=FQ","FILING_STATUS=MR","SCALING_FORMAT=MLN","Sort=A","Dates=H","DateFormat=P","Fill=—","Direction=H","UseDPDF=Y")</f>
        <v>0</v>
      </c>
      <c r="S34" s="13">
        <f>_xll.BDH("ITCI US Equity","EXTRAORD_ITEMS_ACCOUNTING_CHANGS","FQ2 2023","FQ2 2023","Currency=USD","Period=FQ","BEST_FPERIOD_OVERRIDE=FQ","FILING_STATUS=MR","SCALING_FORMAT=MLN","Sort=A","Dates=H","DateFormat=P","Fill=—","Direction=H","UseDPDF=Y")</f>
        <v>0</v>
      </c>
      <c r="T34" s="13">
        <f>_xll.BDH("ITCI US Equity","EXTRAORD_ITEMS_ACCOUNTING_CHANGS","FQ3 2023","FQ3 2023","Currency=USD","Period=FQ","BEST_FPERIOD_OVERRIDE=FQ","FILING_STATUS=MR","SCALING_FORMAT=MLN","Sort=A","Dates=H","DateFormat=P","Fill=—","Direction=H","UseDPDF=Y")</f>
        <v>0</v>
      </c>
      <c r="U34" s="13">
        <f>_xll.BDH("ITCI US Equity","EXTRAORD_ITEMS_ACCOUNTING_CHANGS","FQ4 2023","FQ4 2023","Currency=USD","Period=FQ","BEST_FPERIOD_OVERRIDE=FQ","FILING_STATUS=MR","SCALING_FORMAT=MLN","Sort=A","Dates=H","DateFormat=P","Fill=—","Direction=H","UseDPDF=Y")</f>
        <v>0</v>
      </c>
      <c r="V34" s="13">
        <f>_xll.BDH("ITCI US Equity","EXTRAORD_ITEMS_ACCOUNTING_CHANGS","FQ1 2024","FQ1 2024","Currency=USD","Period=FQ","BEST_FPERIOD_OVERRIDE=FQ","FILING_STATUS=MR","SCALING_FORMAT=MLN","Sort=A","Dates=H","DateFormat=P","Fill=—","Direction=H","UseDPDF=Y")</f>
        <v>0</v>
      </c>
      <c r="W34" s="13">
        <f>_xll.BDH("ITCI US Equity","EXTRAORD_ITEMS_ACCOUNTING_CHANGS","FQ2 2024","FQ2 2024","Currency=USD","Period=FQ","BEST_FPERIOD_OVERRIDE=FQ","FILING_STATUS=MR","SCALING_FORMAT=MLN","Sort=A","Dates=H","DateFormat=P","Fill=—","Direction=H","UseDPDF=Y")</f>
        <v>0</v>
      </c>
      <c r="X34" s="13">
        <f>_xll.BDH("ITCI US Equity","EXTRAORD_ITEMS_ACCOUNTING_CHANGS","FQ3 2024","FQ3 2024","Currency=USD","Period=FQ","BEST_FPERIOD_OVERRIDE=FQ","FILING_STATUS=MR","SCALING_FORMAT=MLN","Sort=A","Dates=H","DateFormat=P","Fill=—","Direction=H","UseDPDF=Y")</f>
        <v>0</v>
      </c>
      <c r="Y34" s="13">
        <f>_xll.BDH("ITCI US Equity","EXTRAORD_ITEMS_ACCOUNTING_CHANGS","FQ4 2024","FQ4 2024","Currency=USD","Period=FQ","BEST_FPERIOD_OVERRIDE=FQ","FILING_STATUS=MR","SCALING_FORMAT=MLN","Sort=A","Dates=H","DateFormat=P","Fill=—","Direction=H","UseDPDF=Y")</f>
        <v>0</v>
      </c>
      <c r="Z34" s="13"/>
      <c r="AA34" s="13"/>
    </row>
    <row r="35" spans="1:27" x14ac:dyDescent="0.25">
      <c r="A35" s="6" t="s">
        <v>331</v>
      </c>
      <c r="B35" s="6" t="s">
        <v>332</v>
      </c>
      <c r="C35" s="19">
        <f>_xll.BDH("ITCI US Equity","NI_INCLUDING_MINORITY_INT_RATIO","FQ2 2019","FQ2 2019","Currency=USD","Period=FQ","BEST_FPERIOD_OVERRIDE=FQ","FILING_STATUS=MR","SCALING_FORMAT=MLN","FA_ADJUSTED=GAAP","Sort=A","Dates=H","DateFormat=P","Fill=—","Direction=H","UseDPDF=Y")</f>
        <v>-37.441200000000002</v>
      </c>
      <c r="D35" s="19">
        <f>_xll.BDH("ITCI US Equity","NI_INCLUDING_MINORITY_INT_RATIO","FQ3 2019","FQ3 2019","Currency=USD","Period=FQ","BEST_FPERIOD_OVERRIDE=FQ","FILING_STATUS=MR","SCALING_FORMAT=MLN","FA_ADJUSTED=GAAP","Sort=A","Dates=H","DateFormat=P","Fill=—","Direction=H","UseDPDF=Y")</f>
        <v>-34.862400000000001</v>
      </c>
      <c r="E35" s="19">
        <f>_xll.BDH("ITCI US Equity","NI_INCLUDING_MINORITY_INT_RATIO","FQ4 2019","FQ4 2019","Currency=USD","Period=FQ","BEST_FPERIOD_OVERRIDE=FQ","FILING_STATUS=MR","SCALING_FORMAT=MLN","FA_ADJUSTED=GAAP","Sort=A","Dates=H","DateFormat=P","Fill=—","Direction=H","UseDPDF=Y")</f>
        <v>-40.582900000000002</v>
      </c>
      <c r="F35" s="19">
        <f>_xll.BDH("ITCI US Equity","NI_INCLUDING_MINORITY_INT_RATIO","FQ1 2020","FQ1 2020","Currency=USD","Period=FQ","BEST_FPERIOD_OVERRIDE=FQ","FILING_STATUS=MR","SCALING_FORMAT=MLN","FA_ADJUSTED=GAAP","Sort=A","Dates=H","DateFormat=P","Fill=—","Direction=H","UseDPDF=Y")</f>
        <v>-47.410600000000002</v>
      </c>
      <c r="G35" s="19">
        <f>_xll.BDH("ITCI US Equity","NI_INCLUDING_MINORITY_INT_RATIO","FQ2 2020","FQ2 2020","Currency=USD","Period=FQ","BEST_FPERIOD_OVERRIDE=FQ","FILING_STATUS=MR","SCALING_FORMAT=MLN","FA_ADJUSTED=GAAP","Sort=A","Dates=H","DateFormat=P","Fill=—","Direction=H","UseDPDF=Y")</f>
        <v>-63.712299999999999</v>
      </c>
      <c r="H35" s="19">
        <f>_xll.BDH("ITCI US Equity","NI_INCLUDING_MINORITY_INT_RATIO","FQ3 2020","FQ3 2020","Currency=USD","Period=FQ","BEST_FPERIOD_OVERRIDE=FQ","FILING_STATUS=MR","SCALING_FORMAT=MLN","FA_ADJUSTED=GAAP","Sort=A","Dates=H","DateFormat=P","Fill=—","Direction=H","UseDPDF=Y")</f>
        <v>-55.183599999999998</v>
      </c>
      <c r="I35" s="19">
        <f>_xll.BDH("ITCI US Equity","NI_INCLUDING_MINORITY_INT_RATIO","FQ4 2020","FQ4 2020","Currency=USD","Period=FQ","BEST_FPERIOD_OVERRIDE=FQ","FILING_STATUS=MR","SCALING_FORMAT=MLN","FA_ADJUSTED=GAAP","Sort=A","Dates=H","DateFormat=P","Fill=—","Direction=H","UseDPDF=Y")</f>
        <v>-60.699199999999998</v>
      </c>
      <c r="J35" s="19">
        <f>_xll.BDH("ITCI US Equity","NI_INCLUDING_MINORITY_INT_RATIO","FQ1 2021","FQ1 2021","Currency=USD","Period=FQ","BEST_FPERIOD_OVERRIDE=FQ","FILING_STATUS=MR","SCALING_FORMAT=MLN","FA_ADJUSTED=GAAP","Sort=A","Dates=H","DateFormat=P","Fill=—","Direction=H","UseDPDF=Y")</f>
        <v>-52.739899999999999</v>
      </c>
      <c r="K35" s="19">
        <f>_xll.BDH("ITCI US Equity","NI_INCLUDING_MINORITY_INT_RATIO","FQ2 2021","FQ2 2021","Currency=USD","Period=FQ","BEST_FPERIOD_OVERRIDE=FQ","FILING_STATUS=MR","SCALING_FORMAT=MLN","FA_ADJUSTED=GAAP","Sort=A","Dates=H","DateFormat=P","Fill=—","Direction=H","UseDPDF=Y")</f>
        <v>-68.743799999999993</v>
      </c>
      <c r="L35" s="19">
        <f>_xll.BDH("ITCI US Equity","NI_INCLUDING_MINORITY_INT_RATIO","FQ3 2021","FQ3 2021","Currency=USD","Period=FQ","BEST_FPERIOD_OVERRIDE=FQ","FILING_STATUS=MR","SCALING_FORMAT=MLN","FA_ADJUSTED=GAAP","Sort=A","Dates=H","DateFormat=P","Fill=—","Direction=H","UseDPDF=Y")</f>
        <v>-76.908000000000001</v>
      </c>
      <c r="M35" s="19">
        <f>_xll.BDH("ITCI US Equity","NI_INCLUDING_MINORITY_INT_RATIO","FQ4 2021","FQ4 2021","Currency=USD","Period=FQ","BEST_FPERIOD_OVERRIDE=FQ","FILING_STATUS=MR","SCALING_FORMAT=MLN","FA_ADJUSTED=GAAP","Sort=A","Dates=H","DateFormat=P","Fill=—","Direction=H","UseDPDF=Y")</f>
        <v>-85.733900000000006</v>
      </c>
      <c r="N35" s="19">
        <f>_xll.BDH("ITCI US Equity","NI_INCLUDING_MINORITY_INT_RATIO","FQ1 2022","FQ1 2022","Currency=USD","Period=FQ","BEST_FPERIOD_OVERRIDE=FQ","FILING_STATUS=MR","SCALING_FORMAT=MLN","FA_ADJUSTED=GAAP","Sort=A","Dates=H","DateFormat=P","Fill=—","Direction=H","UseDPDF=Y")</f>
        <v>-72.119</v>
      </c>
      <c r="O35" s="19">
        <f>_xll.BDH("ITCI US Equity","NI_INCLUDING_MINORITY_INT_RATIO","FQ2 2022","FQ2 2022","Currency=USD","Period=FQ","BEST_FPERIOD_OVERRIDE=FQ","FILING_STATUS=MR","SCALING_FORMAT=MLN","FA_ADJUSTED=GAAP","Sort=A","Dates=H","DateFormat=P","Fill=—","Direction=H","UseDPDF=Y")</f>
        <v>-86.602999999999994</v>
      </c>
      <c r="P35" s="19">
        <f>_xll.BDH("ITCI US Equity","NI_INCLUDING_MINORITY_INT_RATIO","FQ3 2022","FQ3 2022","Currency=USD","Period=FQ","BEST_FPERIOD_OVERRIDE=FQ","FILING_STATUS=MR","SCALING_FORMAT=MLN","FA_ADJUSTED=GAAP","Sort=A","Dates=H","DateFormat=P","Fill=—","Direction=H","UseDPDF=Y")</f>
        <v>-53.508000000000003</v>
      </c>
      <c r="Q35" s="19">
        <f>_xll.BDH("ITCI US Equity","NI_INCLUDING_MINORITY_INT_RATIO","FQ4 2022","FQ4 2022","Currency=USD","Period=FQ","BEST_FPERIOD_OVERRIDE=FQ","FILING_STATUS=MR","SCALING_FORMAT=MLN","FA_ADJUSTED=GAAP","Sort=A","Dates=H","DateFormat=P","Fill=—","Direction=H","UseDPDF=Y")</f>
        <v>-44.026000000000003</v>
      </c>
      <c r="R35" s="19">
        <f>_xll.BDH("ITCI US Equity","NI_INCLUDING_MINORITY_INT_RATIO","FQ1 2023","FQ1 2023","Currency=USD","Period=FQ","BEST_FPERIOD_OVERRIDE=FQ","FILING_STATUS=MR","SCALING_FORMAT=MLN","FA_ADJUSTED=GAAP","Sort=A","Dates=H","DateFormat=P","Fill=—","Direction=H","UseDPDF=Y")</f>
        <v>-44.052999999999997</v>
      </c>
      <c r="S35" s="19">
        <f>_xll.BDH("ITCI US Equity","NI_INCLUDING_MINORITY_INT_RATIO","FQ2 2023","FQ2 2023","Currency=USD","Period=FQ","BEST_FPERIOD_OVERRIDE=FQ","FILING_STATUS=MR","SCALING_FORMAT=MLN","FA_ADJUSTED=GAAP","Sort=A","Dates=H","DateFormat=P","Fill=—","Direction=H","UseDPDF=Y")</f>
        <v>-42.783999999999999</v>
      </c>
      <c r="T35" s="19">
        <f>_xll.BDH("ITCI US Equity","NI_INCLUDING_MINORITY_INT_RATIO","FQ3 2023","FQ3 2023","Currency=USD","Period=FQ","BEST_FPERIOD_OVERRIDE=FQ","FILING_STATUS=MR","SCALING_FORMAT=MLN","FA_ADJUSTED=GAAP","Sort=A","Dates=H","DateFormat=P","Fill=—","Direction=H","UseDPDF=Y")</f>
        <v>-24.257999999999999</v>
      </c>
      <c r="U35" s="19">
        <f>_xll.BDH("ITCI US Equity","NI_INCLUDING_MINORITY_INT_RATIO","FQ4 2023","FQ4 2023","Currency=USD","Period=FQ","BEST_FPERIOD_OVERRIDE=FQ","FILING_STATUS=MR","SCALING_FORMAT=MLN","FA_ADJUSTED=GAAP","Sort=A","Dates=H","DateFormat=P","Fill=—","Direction=H","UseDPDF=Y")</f>
        <v>-28.579000000000001</v>
      </c>
      <c r="V35" s="19">
        <f>_xll.BDH("ITCI US Equity","NI_INCLUDING_MINORITY_INT_RATIO","FQ1 2024","FQ1 2024","Currency=USD","Period=FQ","BEST_FPERIOD_OVERRIDE=FQ","FILING_STATUS=MR","SCALING_FORMAT=MLN","FA_ADJUSTED=GAAP","Sort=A","Dates=H","DateFormat=P","Fill=—","Direction=H","UseDPDF=Y")</f>
        <v>-15.247</v>
      </c>
      <c r="W35" s="19">
        <f>_xll.BDH("ITCI US Equity","NI_INCLUDING_MINORITY_INT_RATIO","FQ2 2024","FQ2 2024","Currency=USD","Period=FQ","BEST_FPERIOD_OVERRIDE=FQ","FILING_STATUS=MR","SCALING_FORMAT=MLN","FA_ADJUSTED=GAAP","Sort=A","Dates=H","DateFormat=P","Fill=—","Direction=H","UseDPDF=Y")</f>
        <v>-16.22</v>
      </c>
      <c r="X35" s="19">
        <f>_xll.BDH("ITCI US Equity","NI_INCLUDING_MINORITY_INT_RATIO","FQ3 2024","FQ3 2024","Currency=USD","Period=FQ","BEST_FPERIOD_OVERRIDE=FQ","FILING_STATUS=MR","SCALING_FORMAT=MLN","FA_ADJUSTED=GAAP","Sort=A","Dates=H","DateFormat=P","Fill=—","Direction=H","UseDPDF=Y")</f>
        <v>-26.324000000000002</v>
      </c>
      <c r="Y35" s="19">
        <f>_xll.BDH("ITCI US Equity","NI_INCLUDING_MINORITY_INT_RATIO","FQ4 2024","FQ4 2024","Currency=USD","Period=FQ","BEST_FPERIOD_OVERRIDE=FQ","FILING_STATUS=MR","SCALING_FORMAT=MLN","FA_ADJUSTED=GAAP","Sort=A","Dates=H","DateFormat=P","Fill=—","Direction=H","UseDPDF=Y")</f>
        <v>-16.885000000000002</v>
      </c>
      <c r="Z35" s="19"/>
      <c r="AA35" s="19"/>
    </row>
    <row r="36" spans="1:27" x14ac:dyDescent="0.25">
      <c r="A36" s="10" t="s">
        <v>333</v>
      </c>
      <c r="B36" s="10" t="s">
        <v>334</v>
      </c>
      <c r="C36" s="13">
        <f>_xll.BDH("ITCI US Equity","MIN_NONCONTROL_INTEREST_CREDITS","FQ2 2019","FQ2 2019","Currency=USD","Period=FQ","BEST_FPERIOD_OVERRIDE=FQ","FILING_STATUS=MR","SCALING_FORMAT=MLN","FA_ADJUSTED=GAAP","Sort=A","Dates=H","DateFormat=P","Fill=—","Direction=H","UseDPDF=Y")</f>
        <v>0</v>
      </c>
      <c r="D36" s="13">
        <f>_xll.BDH("ITCI US Equity","MIN_NONCONTROL_INTEREST_CREDITS","FQ3 2019","FQ3 2019","Currency=USD","Period=FQ","BEST_FPERIOD_OVERRIDE=FQ","FILING_STATUS=MR","SCALING_FORMAT=MLN","FA_ADJUSTED=GAAP","Sort=A","Dates=H","DateFormat=P","Fill=—","Direction=H","UseDPDF=Y")</f>
        <v>0</v>
      </c>
      <c r="E36" s="13">
        <f>_xll.BDH("ITCI US Equity","MIN_NONCONTROL_INTEREST_CREDITS","FQ4 2019","FQ4 2019","Currency=USD","Period=FQ","BEST_FPERIOD_OVERRIDE=FQ","FILING_STATUS=MR","SCALING_FORMAT=MLN","FA_ADJUSTED=GAAP","Sort=A","Dates=H","DateFormat=P","Fill=—","Direction=H","UseDPDF=Y")</f>
        <v>0</v>
      </c>
      <c r="F36" s="13">
        <f>_xll.BDH("ITCI US Equity","MIN_NONCONTROL_INTEREST_CREDITS","FQ1 2020","FQ1 2020","Currency=USD","Period=FQ","BEST_FPERIOD_OVERRIDE=FQ","FILING_STATUS=MR","SCALING_FORMAT=MLN","FA_ADJUSTED=GAAP","Sort=A","Dates=H","DateFormat=P","Fill=—","Direction=H","UseDPDF=Y")</f>
        <v>0</v>
      </c>
      <c r="G36" s="13">
        <f>_xll.BDH("ITCI US Equity","MIN_NONCONTROL_INTEREST_CREDITS","FQ2 2020","FQ2 2020","Currency=USD","Period=FQ","BEST_FPERIOD_OVERRIDE=FQ","FILING_STATUS=MR","SCALING_FORMAT=MLN","FA_ADJUSTED=GAAP","Sort=A","Dates=H","DateFormat=P","Fill=—","Direction=H","UseDPDF=Y")</f>
        <v>0</v>
      </c>
      <c r="H36" s="13">
        <f>_xll.BDH("ITCI US Equity","MIN_NONCONTROL_INTEREST_CREDITS","FQ3 2020","FQ3 2020","Currency=USD","Period=FQ","BEST_FPERIOD_OVERRIDE=FQ","FILING_STATUS=MR","SCALING_FORMAT=MLN","FA_ADJUSTED=GAAP","Sort=A","Dates=H","DateFormat=P","Fill=—","Direction=H","UseDPDF=Y")</f>
        <v>0</v>
      </c>
      <c r="I36" s="13">
        <f>_xll.BDH("ITCI US Equity","MIN_NONCONTROL_INTEREST_CREDITS","FQ4 2020","FQ4 2020","Currency=USD","Period=FQ","BEST_FPERIOD_OVERRIDE=FQ","FILING_STATUS=MR","SCALING_FORMAT=MLN","FA_ADJUSTED=GAAP","Sort=A","Dates=H","DateFormat=P","Fill=—","Direction=H","UseDPDF=Y")</f>
        <v>0</v>
      </c>
      <c r="J36" s="13">
        <f>_xll.BDH("ITCI US Equity","MIN_NONCONTROL_INTEREST_CREDITS","FQ1 2021","FQ1 2021","Currency=USD","Period=FQ","BEST_FPERIOD_OVERRIDE=FQ","FILING_STATUS=MR","SCALING_FORMAT=MLN","FA_ADJUSTED=GAAP","Sort=A","Dates=H","DateFormat=P","Fill=—","Direction=H","UseDPDF=Y")</f>
        <v>0</v>
      </c>
      <c r="K36" s="13">
        <f>_xll.BDH("ITCI US Equity","MIN_NONCONTROL_INTEREST_CREDITS","FQ2 2021","FQ2 2021","Currency=USD","Period=FQ","BEST_FPERIOD_OVERRIDE=FQ","FILING_STATUS=MR","SCALING_FORMAT=MLN","FA_ADJUSTED=GAAP","Sort=A","Dates=H","DateFormat=P","Fill=—","Direction=H","UseDPDF=Y")</f>
        <v>0</v>
      </c>
      <c r="L36" s="13">
        <f>_xll.BDH("ITCI US Equity","MIN_NONCONTROL_INTEREST_CREDITS","FQ3 2021","FQ3 2021","Currency=USD","Period=FQ","BEST_FPERIOD_OVERRIDE=FQ","FILING_STATUS=MR","SCALING_FORMAT=MLN","FA_ADJUSTED=GAAP","Sort=A","Dates=H","DateFormat=P","Fill=—","Direction=H","UseDPDF=Y")</f>
        <v>0</v>
      </c>
      <c r="M36" s="13">
        <f>_xll.BDH("ITCI US Equity","MIN_NONCONTROL_INTEREST_CREDITS","FQ4 2021","FQ4 2021","Currency=USD","Period=FQ","BEST_FPERIOD_OVERRIDE=FQ","FILING_STATUS=MR","SCALING_FORMAT=MLN","FA_ADJUSTED=GAAP","Sort=A","Dates=H","DateFormat=P","Fill=—","Direction=H","UseDPDF=Y")</f>
        <v>0</v>
      </c>
      <c r="N36" s="13">
        <f>_xll.BDH("ITCI US Equity","MIN_NONCONTROL_INTEREST_CREDITS","FQ1 2022","FQ1 2022","Currency=USD","Period=FQ","BEST_FPERIOD_OVERRIDE=FQ","FILING_STATUS=MR","SCALING_FORMAT=MLN","FA_ADJUSTED=GAAP","Sort=A","Dates=H","DateFormat=P","Fill=—","Direction=H","UseDPDF=Y")</f>
        <v>0</v>
      </c>
      <c r="O36" s="13">
        <f>_xll.BDH("ITCI US Equity","MIN_NONCONTROL_INTEREST_CREDITS","FQ2 2022","FQ2 2022","Currency=USD","Period=FQ","BEST_FPERIOD_OVERRIDE=FQ","FILING_STATUS=MR","SCALING_FORMAT=MLN","FA_ADJUSTED=GAAP","Sort=A","Dates=H","DateFormat=P","Fill=—","Direction=H","UseDPDF=Y")</f>
        <v>0</v>
      </c>
      <c r="P36" s="13">
        <f>_xll.BDH("ITCI US Equity","MIN_NONCONTROL_INTEREST_CREDITS","FQ3 2022","FQ3 2022","Currency=USD","Period=FQ","BEST_FPERIOD_OVERRIDE=FQ","FILING_STATUS=MR","SCALING_FORMAT=MLN","FA_ADJUSTED=GAAP","Sort=A","Dates=H","DateFormat=P","Fill=—","Direction=H","UseDPDF=Y")</f>
        <v>0</v>
      </c>
      <c r="Q36" s="13">
        <f>_xll.BDH("ITCI US Equity","MIN_NONCONTROL_INTEREST_CREDITS","FQ4 2022","FQ4 2022","Currency=USD","Period=FQ","BEST_FPERIOD_OVERRIDE=FQ","FILING_STATUS=MR","SCALING_FORMAT=MLN","FA_ADJUSTED=GAAP","Sort=A","Dates=H","DateFormat=P","Fill=—","Direction=H","UseDPDF=Y")</f>
        <v>0</v>
      </c>
      <c r="R36" s="13">
        <f>_xll.BDH("ITCI US Equity","MIN_NONCONTROL_INTEREST_CREDITS","FQ1 2023","FQ1 2023","Currency=USD","Period=FQ","BEST_FPERIOD_OVERRIDE=FQ","FILING_STATUS=MR","SCALING_FORMAT=MLN","FA_ADJUSTED=GAAP","Sort=A","Dates=H","DateFormat=P","Fill=—","Direction=H","UseDPDF=Y")</f>
        <v>0</v>
      </c>
      <c r="S36" s="13">
        <f>_xll.BDH("ITCI US Equity","MIN_NONCONTROL_INTEREST_CREDITS","FQ2 2023","FQ2 2023","Currency=USD","Period=FQ","BEST_FPERIOD_OVERRIDE=FQ","FILING_STATUS=MR","SCALING_FORMAT=MLN","FA_ADJUSTED=GAAP","Sort=A","Dates=H","DateFormat=P","Fill=—","Direction=H","UseDPDF=Y")</f>
        <v>0</v>
      </c>
      <c r="T36" s="13">
        <f>_xll.BDH("ITCI US Equity","MIN_NONCONTROL_INTEREST_CREDITS","FQ3 2023","FQ3 2023","Currency=USD","Period=FQ","BEST_FPERIOD_OVERRIDE=FQ","FILING_STATUS=MR","SCALING_FORMAT=MLN","FA_ADJUSTED=GAAP","Sort=A","Dates=H","DateFormat=P","Fill=—","Direction=H","UseDPDF=Y")</f>
        <v>0</v>
      </c>
      <c r="U36" s="13">
        <f>_xll.BDH("ITCI US Equity","MIN_NONCONTROL_INTEREST_CREDITS","FQ4 2023","FQ4 2023","Currency=USD","Period=FQ","BEST_FPERIOD_OVERRIDE=FQ","FILING_STATUS=MR","SCALING_FORMAT=MLN","FA_ADJUSTED=GAAP","Sort=A","Dates=H","DateFormat=P","Fill=—","Direction=H","UseDPDF=Y")</f>
        <v>0</v>
      </c>
      <c r="V36" s="13">
        <f>_xll.BDH("ITCI US Equity","MIN_NONCONTROL_INTEREST_CREDITS","FQ1 2024","FQ1 2024","Currency=USD","Period=FQ","BEST_FPERIOD_OVERRIDE=FQ","FILING_STATUS=MR","SCALING_FORMAT=MLN","FA_ADJUSTED=GAAP","Sort=A","Dates=H","DateFormat=P","Fill=—","Direction=H","UseDPDF=Y")</f>
        <v>0</v>
      </c>
      <c r="W36" s="13">
        <f>_xll.BDH("ITCI US Equity","MIN_NONCONTROL_INTEREST_CREDITS","FQ2 2024","FQ2 2024","Currency=USD","Period=FQ","BEST_FPERIOD_OVERRIDE=FQ","FILING_STATUS=MR","SCALING_FORMAT=MLN","FA_ADJUSTED=GAAP","Sort=A","Dates=H","DateFormat=P","Fill=—","Direction=H","UseDPDF=Y")</f>
        <v>0</v>
      </c>
      <c r="X36" s="13">
        <f>_xll.BDH("ITCI US Equity","MIN_NONCONTROL_INTEREST_CREDITS","FQ3 2024","FQ3 2024","Currency=USD","Period=FQ","BEST_FPERIOD_OVERRIDE=FQ","FILING_STATUS=MR","SCALING_FORMAT=MLN","FA_ADJUSTED=GAAP","Sort=A","Dates=H","DateFormat=P","Fill=—","Direction=H","UseDPDF=Y")</f>
        <v>0</v>
      </c>
      <c r="Y36" s="13">
        <f>_xll.BDH("ITCI US Equity","MIN_NONCONTROL_INTEREST_CREDITS","FQ4 2024","FQ4 2024","Currency=USD","Period=FQ","BEST_FPERIOD_OVERRIDE=FQ","FILING_STATUS=MR","SCALING_FORMAT=MLN","FA_ADJUSTED=GAAP","Sort=A","Dates=H","DateFormat=P","Fill=—","Direction=H","UseDPDF=Y")</f>
        <v>0</v>
      </c>
      <c r="Z36" s="13"/>
      <c r="AA36" s="13"/>
    </row>
    <row r="37" spans="1:27" x14ac:dyDescent="0.25">
      <c r="A37" s="6" t="s">
        <v>335</v>
      </c>
      <c r="B37" s="6" t="s">
        <v>336</v>
      </c>
      <c r="C37" s="19">
        <f>_xll.BDH("ITCI US Equity","NET_INCOME","FQ2 2019","FQ2 2019","Currency=USD","Period=FQ","BEST_FPERIOD_OVERRIDE=FQ","FILING_STATUS=MR","SCALING_FORMAT=MLN","FA_ADJUSTED=GAAP","Sort=A","Dates=H","DateFormat=P","Fill=—","Direction=H","UseDPDF=Y")</f>
        <v>-37.441200000000002</v>
      </c>
      <c r="D37" s="19">
        <f>_xll.BDH("ITCI US Equity","NET_INCOME","FQ3 2019","FQ3 2019","Currency=USD","Period=FQ","BEST_FPERIOD_OVERRIDE=FQ","FILING_STATUS=MR","SCALING_FORMAT=MLN","FA_ADJUSTED=GAAP","Sort=A","Dates=H","DateFormat=P","Fill=—","Direction=H","UseDPDF=Y")</f>
        <v>-34.862400000000001</v>
      </c>
      <c r="E37" s="19">
        <f>_xll.BDH("ITCI US Equity","NET_INCOME","FQ4 2019","FQ4 2019","Currency=USD","Period=FQ","BEST_FPERIOD_OVERRIDE=FQ","FILING_STATUS=MR","SCALING_FORMAT=MLN","FA_ADJUSTED=GAAP","Sort=A","Dates=H","DateFormat=P","Fill=—","Direction=H","UseDPDF=Y")</f>
        <v>-40.582900000000002</v>
      </c>
      <c r="F37" s="19">
        <f>_xll.BDH("ITCI US Equity","NET_INCOME","FQ1 2020","FQ1 2020","Currency=USD","Period=FQ","BEST_FPERIOD_OVERRIDE=FQ","FILING_STATUS=MR","SCALING_FORMAT=MLN","FA_ADJUSTED=GAAP","Sort=A","Dates=H","DateFormat=P","Fill=—","Direction=H","UseDPDF=Y")</f>
        <v>-47.410600000000002</v>
      </c>
      <c r="G37" s="19">
        <f>_xll.BDH("ITCI US Equity","NET_INCOME","FQ2 2020","FQ2 2020","Currency=USD","Period=FQ","BEST_FPERIOD_OVERRIDE=FQ","FILING_STATUS=MR","SCALING_FORMAT=MLN","FA_ADJUSTED=GAAP","Sort=A","Dates=H","DateFormat=P","Fill=—","Direction=H","UseDPDF=Y")</f>
        <v>-63.712299999999999</v>
      </c>
      <c r="H37" s="19">
        <f>_xll.BDH("ITCI US Equity","NET_INCOME","FQ3 2020","FQ3 2020","Currency=USD","Period=FQ","BEST_FPERIOD_OVERRIDE=FQ","FILING_STATUS=MR","SCALING_FORMAT=MLN","FA_ADJUSTED=GAAP","Sort=A","Dates=H","DateFormat=P","Fill=—","Direction=H","UseDPDF=Y")</f>
        <v>-55.183599999999998</v>
      </c>
      <c r="I37" s="19">
        <f>_xll.BDH("ITCI US Equity","NET_INCOME","FQ4 2020","FQ4 2020","Currency=USD","Period=FQ","BEST_FPERIOD_OVERRIDE=FQ","FILING_STATUS=MR","SCALING_FORMAT=MLN","FA_ADJUSTED=GAAP","Sort=A","Dates=H","DateFormat=P","Fill=—","Direction=H","UseDPDF=Y")</f>
        <v>-60.699199999999998</v>
      </c>
      <c r="J37" s="19">
        <f>_xll.BDH("ITCI US Equity","NET_INCOME","FQ1 2021","FQ1 2021","Currency=USD","Period=FQ","BEST_FPERIOD_OVERRIDE=FQ","FILING_STATUS=MR","SCALING_FORMAT=MLN","FA_ADJUSTED=GAAP","Sort=A","Dates=H","DateFormat=P","Fill=—","Direction=H","UseDPDF=Y")</f>
        <v>-52.739899999999999</v>
      </c>
      <c r="K37" s="19">
        <f>_xll.BDH("ITCI US Equity","NET_INCOME","FQ2 2021","FQ2 2021","Currency=USD","Period=FQ","BEST_FPERIOD_OVERRIDE=FQ","FILING_STATUS=MR","SCALING_FORMAT=MLN","FA_ADJUSTED=GAAP","Sort=A","Dates=H","DateFormat=P","Fill=—","Direction=H","UseDPDF=Y")</f>
        <v>-68.743799999999993</v>
      </c>
      <c r="L37" s="19">
        <f>_xll.BDH("ITCI US Equity","NET_INCOME","FQ3 2021","FQ3 2021","Currency=USD","Period=FQ","BEST_FPERIOD_OVERRIDE=FQ","FILING_STATUS=MR","SCALING_FORMAT=MLN","FA_ADJUSTED=GAAP","Sort=A","Dates=H","DateFormat=P","Fill=—","Direction=H","UseDPDF=Y")</f>
        <v>-76.908000000000001</v>
      </c>
      <c r="M37" s="19">
        <f>_xll.BDH("ITCI US Equity","NET_INCOME","FQ4 2021","FQ4 2021","Currency=USD","Period=FQ","BEST_FPERIOD_OVERRIDE=FQ","FILING_STATUS=MR","SCALING_FORMAT=MLN","FA_ADJUSTED=GAAP","Sort=A","Dates=H","DateFormat=P","Fill=—","Direction=H","UseDPDF=Y")</f>
        <v>-85.733900000000006</v>
      </c>
      <c r="N37" s="19">
        <f>_xll.BDH("ITCI US Equity","NET_INCOME","FQ1 2022","FQ1 2022","Currency=USD","Period=FQ","BEST_FPERIOD_OVERRIDE=FQ","FILING_STATUS=MR","SCALING_FORMAT=MLN","FA_ADJUSTED=GAAP","Sort=A","Dates=H","DateFormat=P","Fill=—","Direction=H","UseDPDF=Y")</f>
        <v>-72.119</v>
      </c>
      <c r="O37" s="19">
        <f>_xll.BDH("ITCI US Equity","NET_INCOME","FQ2 2022","FQ2 2022","Currency=USD","Period=FQ","BEST_FPERIOD_OVERRIDE=FQ","FILING_STATUS=MR","SCALING_FORMAT=MLN","FA_ADJUSTED=GAAP","Sort=A","Dates=H","DateFormat=P","Fill=—","Direction=H","UseDPDF=Y")</f>
        <v>-86.602999999999994</v>
      </c>
      <c r="P37" s="19">
        <f>_xll.BDH("ITCI US Equity","NET_INCOME","FQ3 2022","FQ3 2022","Currency=USD","Period=FQ","BEST_FPERIOD_OVERRIDE=FQ","FILING_STATUS=MR","SCALING_FORMAT=MLN","FA_ADJUSTED=GAAP","Sort=A","Dates=H","DateFormat=P","Fill=—","Direction=H","UseDPDF=Y")</f>
        <v>-53.508000000000003</v>
      </c>
      <c r="Q37" s="19">
        <f>_xll.BDH("ITCI US Equity","NET_INCOME","FQ4 2022","FQ4 2022","Currency=USD","Period=FQ","BEST_FPERIOD_OVERRIDE=FQ","FILING_STATUS=MR","SCALING_FORMAT=MLN","FA_ADJUSTED=GAAP","Sort=A","Dates=H","DateFormat=P","Fill=—","Direction=H","UseDPDF=Y")</f>
        <v>-44.026000000000003</v>
      </c>
      <c r="R37" s="19">
        <f>_xll.BDH("ITCI US Equity","NET_INCOME","FQ1 2023","FQ1 2023","Currency=USD","Period=FQ","BEST_FPERIOD_OVERRIDE=FQ","FILING_STATUS=MR","SCALING_FORMAT=MLN","FA_ADJUSTED=GAAP","Sort=A","Dates=H","DateFormat=P","Fill=—","Direction=H","UseDPDF=Y")</f>
        <v>-44.052999999999997</v>
      </c>
      <c r="S37" s="19">
        <f>_xll.BDH("ITCI US Equity","NET_INCOME","FQ2 2023","FQ2 2023","Currency=USD","Period=FQ","BEST_FPERIOD_OVERRIDE=FQ","FILING_STATUS=MR","SCALING_FORMAT=MLN","FA_ADJUSTED=GAAP","Sort=A","Dates=H","DateFormat=P","Fill=—","Direction=H","UseDPDF=Y")</f>
        <v>-42.783999999999999</v>
      </c>
      <c r="T37" s="19">
        <f>_xll.BDH("ITCI US Equity","NET_INCOME","FQ3 2023","FQ3 2023","Currency=USD","Period=FQ","BEST_FPERIOD_OVERRIDE=FQ","FILING_STATUS=MR","SCALING_FORMAT=MLN","FA_ADJUSTED=GAAP","Sort=A","Dates=H","DateFormat=P","Fill=—","Direction=H","UseDPDF=Y")</f>
        <v>-24.257999999999999</v>
      </c>
      <c r="U37" s="19">
        <f>_xll.BDH("ITCI US Equity","NET_INCOME","FQ4 2023","FQ4 2023","Currency=USD","Period=FQ","BEST_FPERIOD_OVERRIDE=FQ","FILING_STATUS=MR","SCALING_FORMAT=MLN","FA_ADJUSTED=GAAP","Sort=A","Dates=H","DateFormat=P","Fill=—","Direction=H","UseDPDF=Y")</f>
        <v>-28.579000000000001</v>
      </c>
      <c r="V37" s="19">
        <f>_xll.BDH("ITCI US Equity","NET_INCOME","FQ1 2024","FQ1 2024","Currency=USD","Period=FQ","BEST_FPERIOD_OVERRIDE=FQ","FILING_STATUS=MR","SCALING_FORMAT=MLN","FA_ADJUSTED=GAAP","Sort=A","Dates=H","DateFormat=P","Fill=—","Direction=H","UseDPDF=Y")</f>
        <v>-15.247</v>
      </c>
      <c r="W37" s="19">
        <f>_xll.BDH("ITCI US Equity","NET_INCOME","FQ2 2024","FQ2 2024","Currency=USD","Period=FQ","BEST_FPERIOD_OVERRIDE=FQ","FILING_STATUS=MR","SCALING_FORMAT=MLN","FA_ADJUSTED=GAAP","Sort=A","Dates=H","DateFormat=P","Fill=—","Direction=H","UseDPDF=Y")</f>
        <v>-16.22</v>
      </c>
      <c r="X37" s="19">
        <f>_xll.BDH("ITCI US Equity","NET_INCOME","FQ3 2024","FQ3 2024","Currency=USD","Period=FQ","BEST_FPERIOD_OVERRIDE=FQ","FILING_STATUS=MR","SCALING_FORMAT=MLN","FA_ADJUSTED=GAAP","Sort=A","Dates=H","DateFormat=P","Fill=—","Direction=H","UseDPDF=Y")</f>
        <v>-26.324000000000002</v>
      </c>
      <c r="Y37" s="19">
        <f>_xll.BDH("ITCI US Equity","NET_INCOME","FQ4 2024","FQ4 2024","Currency=USD","Period=FQ","BEST_FPERIOD_OVERRIDE=FQ","FILING_STATUS=MR","SCALING_FORMAT=MLN","FA_ADJUSTED=GAAP","Sort=A","Dates=H","DateFormat=P","Fill=—","Direction=H","UseDPDF=Y")</f>
        <v>-16.885000000000002</v>
      </c>
      <c r="Z37" s="19">
        <v>-11.425000000000001</v>
      </c>
      <c r="AA37" s="19">
        <v>-3.2170000000000001</v>
      </c>
    </row>
    <row r="38" spans="1:27" x14ac:dyDescent="0.25">
      <c r="A38" s="10" t="s">
        <v>337</v>
      </c>
      <c r="B38" s="10" t="s">
        <v>338</v>
      </c>
      <c r="C38" s="13">
        <f>_xll.BDH("ITCI US Equity","IS_TOT_CASH_PFD_DVD","FQ2 2019","FQ2 2019","Currency=USD","Period=FQ","BEST_FPERIOD_OVERRIDE=FQ","FILING_STATUS=MR","SCALING_FORMAT=MLN","Sort=A","Dates=H","DateFormat=P","Fill=—","Direction=H","UseDPDF=Y")</f>
        <v>0</v>
      </c>
      <c r="D38" s="13">
        <f>_xll.BDH("ITCI US Equity","IS_TOT_CASH_PFD_DVD","FQ3 2019","FQ3 2019","Currency=USD","Period=FQ","BEST_FPERIOD_OVERRIDE=FQ","FILING_STATUS=MR","SCALING_FORMAT=MLN","Sort=A","Dates=H","DateFormat=P","Fill=—","Direction=H","UseDPDF=Y")</f>
        <v>0</v>
      </c>
      <c r="E38" s="13">
        <f>_xll.BDH("ITCI US Equity","IS_TOT_CASH_PFD_DVD","FQ4 2019","FQ4 2019","Currency=USD","Period=FQ","BEST_FPERIOD_OVERRIDE=FQ","FILING_STATUS=MR","SCALING_FORMAT=MLN","Sort=A","Dates=H","DateFormat=P","Fill=—","Direction=H","UseDPDF=Y")</f>
        <v>0</v>
      </c>
      <c r="F38" s="13">
        <f>_xll.BDH("ITCI US Equity","IS_TOT_CASH_PFD_DVD","FQ1 2020","FQ1 2020","Currency=USD","Period=FQ","BEST_FPERIOD_OVERRIDE=FQ","FILING_STATUS=MR","SCALING_FORMAT=MLN","Sort=A","Dates=H","DateFormat=P","Fill=—","Direction=H","UseDPDF=Y")</f>
        <v>0</v>
      </c>
      <c r="G38" s="13">
        <f>_xll.BDH("ITCI US Equity","IS_TOT_CASH_PFD_DVD","FQ2 2020","FQ2 2020","Currency=USD","Period=FQ","BEST_FPERIOD_OVERRIDE=FQ","FILING_STATUS=MR","SCALING_FORMAT=MLN","Sort=A","Dates=H","DateFormat=P","Fill=—","Direction=H","UseDPDF=Y")</f>
        <v>0</v>
      </c>
      <c r="H38" s="13">
        <f>_xll.BDH("ITCI US Equity","IS_TOT_CASH_PFD_DVD","FQ3 2020","FQ3 2020","Currency=USD","Period=FQ","BEST_FPERIOD_OVERRIDE=FQ","FILING_STATUS=MR","SCALING_FORMAT=MLN","Sort=A","Dates=H","DateFormat=P","Fill=—","Direction=H","UseDPDF=Y")</f>
        <v>0</v>
      </c>
      <c r="I38" s="13">
        <f>_xll.BDH("ITCI US Equity","IS_TOT_CASH_PFD_DVD","FQ4 2020","FQ4 2020","Currency=USD","Period=FQ","BEST_FPERIOD_OVERRIDE=FQ","FILING_STATUS=MR","SCALING_FORMAT=MLN","Sort=A","Dates=H","DateFormat=P","Fill=—","Direction=H","UseDPDF=Y")</f>
        <v>0</v>
      </c>
      <c r="J38" s="13">
        <f>_xll.BDH("ITCI US Equity","IS_TOT_CASH_PFD_DVD","FQ1 2021","FQ1 2021","Currency=USD","Period=FQ","BEST_FPERIOD_OVERRIDE=FQ","FILING_STATUS=MR","SCALING_FORMAT=MLN","Sort=A","Dates=H","DateFormat=P","Fill=—","Direction=H","UseDPDF=Y")</f>
        <v>0</v>
      </c>
      <c r="K38" s="13">
        <f>_xll.BDH("ITCI US Equity","IS_TOT_CASH_PFD_DVD","FQ2 2021","FQ2 2021","Currency=USD","Period=FQ","BEST_FPERIOD_OVERRIDE=FQ","FILING_STATUS=MR","SCALING_FORMAT=MLN","Sort=A","Dates=H","DateFormat=P","Fill=—","Direction=H","UseDPDF=Y")</f>
        <v>0</v>
      </c>
      <c r="L38" s="13">
        <f>_xll.BDH("ITCI US Equity","IS_TOT_CASH_PFD_DVD","FQ3 2021","FQ3 2021","Currency=USD","Period=FQ","BEST_FPERIOD_OVERRIDE=FQ","FILING_STATUS=MR","SCALING_FORMAT=MLN","Sort=A","Dates=H","DateFormat=P","Fill=—","Direction=H","UseDPDF=Y")</f>
        <v>0</v>
      </c>
      <c r="M38" s="13">
        <f>_xll.BDH("ITCI US Equity","IS_TOT_CASH_PFD_DVD","FQ4 2021","FQ4 2021","Currency=USD","Period=FQ","BEST_FPERIOD_OVERRIDE=FQ","FILING_STATUS=MR","SCALING_FORMAT=MLN","Sort=A","Dates=H","DateFormat=P","Fill=—","Direction=H","UseDPDF=Y")</f>
        <v>0</v>
      </c>
      <c r="N38" s="13">
        <f>_xll.BDH("ITCI US Equity","IS_TOT_CASH_PFD_DVD","FQ1 2022","FQ1 2022","Currency=USD","Period=FQ","BEST_FPERIOD_OVERRIDE=FQ","FILING_STATUS=MR","SCALING_FORMAT=MLN","Sort=A","Dates=H","DateFormat=P","Fill=—","Direction=H","UseDPDF=Y")</f>
        <v>0</v>
      </c>
      <c r="O38" s="13">
        <f>_xll.BDH("ITCI US Equity","IS_TOT_CASH_PFD_DVD","FQ2 2022","FQ2 2022","Currency=USD","Period=FQ","BEST_FPERIOD_OVERRIDE=FQ","FILING_STATUS=MR","SCALING_FORMAT=MLN","Sort=A","Dates=H","DateFormat=P","Fill=—","Direction=H","UseDPDF=Y")</f>
        <v>0</v>
      </c>
      <c r="P38" s="13">
        <f>_xll.BDH("ITCI US Equity","IS_TOT_CASH_PFD_DVD","FQ3 2022","FQ3 2022","Currency=USD","Period=FQ","BEST_FPERIOD_OVERRIDE=FQ","FILING_STATUS=MR","SCALING_FORMAT=MLN","Sort=A","Dates=H","DateFormat=P","Fill=—","Direction=H","UseDPDF=Y")</f>
        <v>0</v>
      </c>
      <c r="Q38" s="13">
        <f>_xll.BDH("ITCI US Equity","IS_TOT_CASH_PFD_DVD","FQ4 2022","FQ4 2022","Currency=USD","Period=FQ","BEST_FPERIOD_OVERRIDE=FQ","FILING_STATUS=MR","SCALING_FORMAT=MLN","Sort=A","Dates=H","DateFormat=P","Fill=—","Direction=H","UseDPDF=Y")</f>
        <v>0</v>
      </c>
      <c r="R38" s="13">
        <f>_xll.BDH("ITCI US Equity","IS_TOT_CASH_PFD_DVD","FQ1 2023","FQ1 2023","Currency=USD","Period=FQ","BEST_FPERIOD_OVERRIDE=FQ","FILING_STATUS=MR","SCALING_FORMAT=MLN","Sort=A","Dates=H","DateFormat=P","Fill=—","Direction=H","UseDPDF=Y")</f>
        <v>0</v>
      </c>
      <c r="S38" s="13">
        <f>_xll.BDH("ITCI US Equity","IS_TOT_CASH_PFD_DVD","FQ2 2023","FQ2 2023","Currency=USD","Period=FQ","BEST_FPERIOD_OVERRIDE=FQ","FILING_STATUS=MR","SCALING_FORMAT=MLN","Sort=A","Dates=H","DateFormat=P","Fill=—","Direction=H","UseDPDF=Y")</f>
        <v>0</v>
      </c>
      <c r="T38" s="13">
        <f>_xll.BDH("ITCI US Equity","IS_TOT_CASH_PFD_DVD","FQ3 2023","FQ3 2023","Currency=USD","Period=FQ","BEST_FPERIOD_OVERRIDE=FQ","FILING_STATUS=MR","SCALING_FORMAT=MLN","Sort=A","Dates=H","DateFormat=P","Fill=—","Direction=H","UseDPDF=Y")</f>
        <v>0</v>
      </c>
      <c r="U38" s="13">
        <f>_xll.BDH("ITCI US Equity","IS_TOT_CASH_PFD_DVD","FQ4 2023","FQ4 2023","Currency=USD","Period=FQ","BEST_FPERIOD_OVERRIDE=FQ","FILING_STATUS=MR","SCALING_FORMAT=MLN","Sort=A","Dates=H","DateFormat=P","Fill=—","Direction=H","UseDPDF=Y")</f>
        <v>0</v>
      </c>
      <c r="V38" s="13">
        <f>_xll.BDH("ITCI US Equity","IS_TOT_CASH_PFD_DVD","FQ1 2024","FQ1 2024","Currency=USD","Period=FQ","BEST_FPERIOD_OVERRIDE=FQ","FILING_STATUS=MR","SCALING_FORMAT=MLN","Sort=A","Dates=H","DateFormat=P","Fill=—","Direction=H","UseDPDF=Y")</f>
        <v>0</v>
      </c>
      <c r="W38" s="13">
        <f>_xll.BDH("ITCI US Equity","IS_TOT_CASH_PFD_DVD","FQ2 2024","FQ2 2024","Currency=USD","Period=FQ","BEST_FPERIOD_OVERRIDE=FQ","FILING_STATUS=MR","SCALING_FORMAT=MLN","Sort=A","Dates=H","DateFormat=P","Fill=—","Direction=H","UseDPDF=Y")</f>
        <v>0</v>
      </c>
      <c r="X38" s="13">
        <f>_xll.BDH("ITCI US Equity","IS_TOT_CASH_PFD_DVD","FQ3 2024","FQ3 2024","Currency=USD","Period=FQ","BEST_FPERIOD_OVERRIDE=FQ","FILING_STATUS=MR","SCALING_FORMAT=MLN","Sort=A","Dates=H","DateFormat=P","Fill=—","Direction=H","UseDPDF=Y")</f>
        <v>0</v>
      </c>
      <c r="Y38" s="13">
        <f>_xll.BDH("ITCI US Equity","IS_TOT_CASH_PFD_DVD","FQ4 2024","FQ4 2024","Currency=USD","Period=FQ","BEST_FPERIOD_OVERRIDE=FQ","FILING_STATUS=MR","SCALING_FORMAT=MLN","Sort=A","Dates=H","DateFormat=P","Fill=—","Direction=H","UseDPDF=Y")</f>
        <v>0</v>
      </c>
      <c r="Z38" s="13"/>
      <c r="AA38" s="13"/>
    </row>
    <row r="39" spans="1:27" x14ac:dyDescent="0.25">
      <c r="A39" s="10" t="s">
        <v>339</v>
      </c>
      <c r="B39" s="10" t="s">
        <v>340</v>
      </c>
      <c r="C39" s="13">
        <f>_xll.BDH("ITCI US Equity","OTHER_ADJUSTMENTS","FQ2 2019","FQ2 2019","Currency=USD","Period=FQ","BEST_FPERIOD_OVERRIDE=FQ","FILING_STATUS=MR","SCALING_FORMAT=MLN","Sort=A","Dates=H","DateFormat=P","Fill=—","Direction=H","UseDPDF=Y")</f>
        <v>0</v>
      </c>
      <c r="D39" s="13">
        <f>_xll.BDH("ITCI US Equity","OTHER_ADJUSTMENTS","FQ3 2019","FQ3 2019","Currency=USD","Period=FQ","BEST_FPERIOD_OVERRIDE=FQ","FILING_STATUS=MR","SCALING_FORMAT=MLN","Sort=A","Dates=H","DateFormat=P","Fill=—","Direction=H","UseDPDF=Y")</f>
        <v>0</v>
      </c>
      <c r="E39" s="13">
        <f>_xll.BDH("ITCI US Equity","OTHER_ADJUSTMENTS","FQ4 2019","FQ4 2019","Currency=USD","Period=FQ","BEST_FPERIOD_OVERRIDE=FQ","FILING_STATUS=MR","SCALING_FORMAT=MLN","Sort=A","Dates=H","DateFormat=P","Fill=—","Direction=H","UseDPDF=Y")</f>
        <v>0</v>
      </c>
      <c r="F39" s="13">
        <f>_xll.BDH("ITCI US Equity","OTHER_ADJUSTMENTS","FQ1 2020","FQ1 2020","Currency=USD","Period=FQ","BEST_FPERIOD_OVERRIDE=FQ","FILING_STATUS=MR","SCALING_FORMAT=MLN","Sort=A","Dates=H","DateFormat=P","Fill=—","Direction=H","UseDPDF=Y")</f>
        <v>0</v>
      </c>
      <c r="G39" s="13">
        <f>_xll.BDH("ITCI US Equity","OTHER_ADJUSTMENTS","FQ2 2020","FQ2 2020","Currency=USD","Period=FQ","BEST_FPERIOD_OVERRIDE=FQ","FILING_STATUS=MR","SCALING_FORMAT=MLN","Sort=A","Dates=H","DateFormat=P","Fill=—","Direction=H","UseDPDF=Y")</f>
        <v>0</v>
      </c>
      <c r="H39" s="13">
        <f>_xll.BDH("ITCI US Equity","OTHER_ADJUSTMENTS","FQ3 2020","FQ3 2020","Currency=USD","Period=FQ","BEST_FPERIOD_OVERRIDE=FQ","FILING_STATUS=MR","SCALING_FORMAT=MLN","Sort=A","Dates=H","DateFormat=P","Fill=—","Direction=H","UseDPDF=Y")</f>
        <v>0</v>
      </c>
      <c r="I39" s="13">
        <f>_xll.BDH("ITCI US Equity","OTHER_ADJUSTMENTS","FQ4 2020","FQ4 2020","Currency=USD","Period=FQ","BEST_FPERIOD_OVERRIDE=FQ","FILING_STATUS=MR","SCALING_FORMAT=MLN","Sort=A","Dates=H","DateFormat=P","Fill=—","Direction=H","UseDPDF=Y")</f>
        <v>0</v>
      </c>
      <c r="J39" s="13">
        <f>_xll.BDH("ITCI US Equity","OTHER_ADJUSTMENTS","FQ1 2021","FQ1 2021","Currency=USD","Period=FQ","BEST_FPERIOD_OVERRIDE=FQ","FILING_STATUS=MR","SCALING_FORMAT=MLN","Sort=A","Dates=H","DateFormat=P","Fill=—","Direction=H","UseDPDF=Y")</f>
        <v>0</v>
      </c>
      <c r="K39" s="13">
        <f>_xll.BDH("ITCI US Equity","OTHER_ADJUSTMENTS","FQ2 2021","FQ2 2021","Currency=USD","Period=FQ","BEST_FPERIOD_OVERRIDE=FQ","FILING_STATUS=MR","SCALING_FORMAT=MLN","Sort=A","Dates=H","DateFormat=P","Fill=—","Direction=H","UseDPDF=Y")</f>
        <v>0</v>
      </c>
      <c r="L39" s="13">
        <f>_xll.BDH("ITCI US Equity","OTHER_ADJUSTMENTS","FQ3 2021","FQ3 2021","Currency=USD","Period=FQ","BEST_FPERIOD_OVERRIDE=FQ","FILING_STATUS=MR","SCALING_FORMAT=MLN","Sort=A","Dates=H","DateFormat=P","Fill=—","Direction=H","UseDPDF=Y")</f>
        <v>0</v>
      </c>
      <c r="M39" s="13">
        <f>_xll.BDH("ITCI US Equity","OTHER_ADJUSTMENTS","FQ4 2021","FQ4 2021","Currency=USD","Period=FQ","BEST_FPERIOD_OVERRIDE=FQ","FILING_STATUS=MR","SCALING_FORMAT=MLN","Sort=A","Dates=H","DateFormat=P","Fill=—","Direction=H","UseDPDF=Y")</f>
        <v>0</v>
      </c>
      <c r="N39" s="13">
        <f>_xll.BDH("ITCI US Equity","OTHER_ADJUSTMENTS","FQ1 2022","FQ1 2022","Currency=USD","Period=FQ","BEST_FPERIOD_OVERRIDE=FQ","FILING_STATUS=MR","SCALING_FORMAT=MLN","Sort=A","Dates=H","DateFormat=P","Fill=—","Direction=H","UseDPDF=Y")</f>
        <v>0</v>
      </c>
      <c r="O39" s="13">
        <f>_xll.BDH("ITCI US Equity","OTHER_ADJUSTMENTS","FQ2 2022","FQ2 2022","Currency=USD","Period=FQ","BEST_FPERIOD_OVERRIDE=FQ","FILING_STATUS=MR","SCALING_FORMAT=MLN","Sort=A","Dates=H","DateFormat=P","Fill=—","Direction=H","UseDPDF=Y")</f>
        <v>0</v>
      </c>
      <c r="P39" s="13">
        <f>_xll.BDH("ITCI US Equity","OTHER_ADJUSTMENTS","FQ3 2022","FQ3 2022","Currency=USD","Period=FQ","BEST_FPERIOD_OVERRIDE=FQ","FILING_STATUS=MR","SCALING_FORMAT=MLN","Sort=A","Dates=H","DateFormat=P","Fill=—","Direction=H","UseDPDF=Y")</f>
        <v>0</v>
      </c>
      <c r="Q39" s="13">
        <f>_xll.BDH("ITCI US Equity","OTHER_ADJUSTMENTS","FQ4 2022","FQ4 2022","Currency=USD","Period=FQ","BEST_FPERIOD_OVERRIDE=FQ","FILING_STATUS=MR","SCALING_FORMAT=MLN","Sort=A","Dates=H","DateFormat=P","Fill=—","Direction=H","UseDPDF=Y")</f>
        <v>0</v>
      </c>
      <c r="R39" s="13">
        <f>_xll.BDH("ITCI US Equity","OTHER_ADJUSTMENTS","FQ1 2023","FQ1 2023","Currency=USD","Period=FQ","BEST_FPERIOD_OVERRIDE=FQ","FILING_STATUS=MR","SCALING_FORMAT=MLN","Sort=A","Dates=H","DateFormat=P","Fill=—","Direction=H","UseDPDF=Y")</f>
        <v>0</v>
      </c>
      <c r="S39" s="13">
        <f>_xll.BDH("ITCI US Equity","OTHER_ADJUSTMENTS","FQ2 2023","FQ2 2023","Currency=USD","Period=FQ","BEST_FPERIOD_OVERRIDE=FQ","FILING_STATUS=MR","SCALING_FORMAT=MLN","Sort=A","Dates=H","DateFormat=P","Fill=—","Direction=H","UseDPDF=Y")</f>
        <v>0</v>
      </c>
      <c r="T39" s="13">
        <f>_xll.BDH("ITCI US Equity","OTHER_ADJUSTMENTS","FQ3 2023","FQ3 2023","Currency=USD","Period=FQ","BEST_FPERIOD_OVERRIDE=FQ","FILING_STATUS=MR","SCALING_FORMAT=MLN","Sort=A","Dates=H","DateFormat=P","Fill=—","Direction=H","UseDPDF=Y")</f>
        <v>0</v>
      </c>
      <c r="U39" s="13">
        <f>_xll.BDH("ITCI US Equity","OTHER_ADJUSTMENTS","FQ4 2023","FQ4 2023","Currency=USD","Period=FQ","BEST_FPERIOD_OVERRIDE=FQ","FILING_STATUS=MR","SCALING_FORMAT=MLN","Sort=A","Dates=H","DateFormat=P","Fill=—","Direction=H","UseDPDF=Y")</f>
        <v>0</v>
      </c>
      <c r="V39" s="13">
        <f>_xll.BDH("ITCI US Equity","OTHER_ADJUSTMENTS","FQ1 2024","FQ1 2024","Currency=USD","Period=FQ","BEST_FPERIOD_OVERRIDE=FQ","FILING_STATUS=MR","SCALING_FORMAT=MLN","Sort=A","Dates=H","DateFormat=P","Fill=—","Direction=H","UseDPDF=Y")</f>
        <v>0</v>
      </c>
      <c r="W39" s="13">
        <f>_xll.BDH("ITCI US Equity","OTHER_ADJUSTMENTS","FQ2 2024","FQ2 2024","Currency=USD","Period=FQ","BEST_FPERIOD_OVERRIDE=FQ","FILING_STATUS=MR","SCALING_FORMAT=MLN","Sort=A","Dates=H","DateFormat=P","Fill=—","Direction=H","UseDPDF=Y")</f>
        <v>0</v>
      </c>
      <c r="X39" s="13">
        <f>_xll.BDH("ITCI US Equity","OTHER_ADJUSTMENTS","FQ3 2024","FQ3 2024","Currency=USD","Period=FQ","BEST_FPERIOD_OVERRIDE=FQ","FILING_STATUS=MR","SCALING_FORMAT=MLN","Sort=A","Dates=H","DateFormat=P","Fill=—","Direction=H","UseDPDF=Y")</f>
        <v>0</v>
      </c>
      <c r="Y39" s="13">
        <f>_xll.BDH("ITCI US Equity","OTHER_ADJUSTMENTS","FQ4 2024","FQ4 2024","Currency=USD","Period=FQ","BEST_FPERIOD_OVERRIDE=FQ","FILING_STATUS=MR","SCALING_FORMAT=MLN","Sort=A","Dates=H","DateFormat=P","Fill=—","Direction=H","UseDPDF=Y")</f>
        <v>0</v>
      </c>
      <c r="Z39" s="13"/>
      <c r="AA39" s="13"/>
    </row>
    <row r="40" spans="1:27" x14ac:dyDescent="0.25">
      <c r="A40" s="6" t="s">
        <v>341</v>
      </c>
      <c r="B40" s="6" t="s">
        <v>80</v>
      </c>
      <c r="C40" s="19">
        <f>_xll.BDH("ITCI US Equity","EARN_FOR_COMMON","FQ2 2019","FQ2 2019","Currency=USD","Period=FQ","BEST_FPERIOD_OVERRIDE=FQ","FILING_STATUS=MR","SCALING_FORMAT=MLN","FA_ADJUSTED=GAAP","Sort=A","Dates=H","DateFormat=P","Fill=—","Direction=H","UseDPDF=Y")</f>
        <v>-37.441200000000002</v>
      </c>
      <c r="D40" s="19">
        <f>_xll.BDH("ITCI US Equity","EARN_FOR_COMMON","FQ3 2019","FQ3 2019","Currency=USD","Period=FQ","BEST_FPERIOD_OVERRIDE=FQ","FILING_STATUS=MR","SCALING_FORMAT=MLN","FA_ADJUSTED=GAAP","Sort=A","Dates=H","DateFormat=P","Fill=—","Direction=H","UseDPDF=Y")</f>
        <v>-34.862400000000001</v>
      </c>
      <c r="E40" s="19">
        <f>_xll.BDH("ITCI US Equity","EARN_FOR_COMMON","FQ4 2019","FQ4 2019","Currency=USD","Period=FQ","BEST_FPERIOD_OVERRIDE=FQ","FILING_STATUS=MR","SCALING_FORMAT=MLN","FA_ADJUSTED=GAAP","Sort=A","Dates=H","DateFormat=P","Fill=—","Direction=H","UseDPDF=Y")</f>
        <v>-40.582900000000002</v>
      </c>
      <c r="F40" s="19">
        <f>_xll.BDH("ITCI US Equity","EARN_FOR_COMMON","FQ1 2020","FQ1 2020","Currency=USD","Period=FQ","BEST_FPERIOD_OVERRIDE=FQ","FILING_STATUS=MR","SCALING_FORMAT=MLN","FA_ADJUSTED=GAAP","Sort=A","Dates=H","DateFormat=P","Fill=—","Direction=H","UseDPDF=Y")</f>
        <v>-47.410600000000002</v>
      </c>
      <c r="G40" s="19">
        <f>_xll.BDH("ITCI US Equity","EARN_FOR_COMMON","FQ2 2020","FQ2 2020","Currency=USD","Period=FQ","BEST_FPERIOD_OVERRIDE=FQ","FILING_STATUS=MR","SCALING_FORMAT=MLN","FA_ADJUSTED=GAAP","Sort=A","Dates=H","DateFormat=P","Fill=—","Direction=H","UseDPDF=Y")</f>
        <v>-63.712299999999999</v>
      </c>
      <c r="H40" s="19">
        <f>_xll.BDH("ITCI US Equity","EARN_FOR_COMMON","FQ3 2020","FQ3 2020","Currency=USD","Period=FQ","BEST_FPERIOD_OVERRIDE=FQ","FILING_STATUS=MR","SCALING_FORMAT=MLN","FA_ADJUSTED=GAAP","Sort=A","Dates=H","DateFormat=P","Fill=—","Direction=H","UseDPDF=Y")</f>
        <v>-55.183599999999998</v>
      </c>
      <c r="I40" s="19">
        <f>_xll.BDH("ITCI US Equity","EARN_FOR_COMMON","FQ4 2020","FQ4 2020","Currency=USD","Period=FQ","BEST_FPERIOD_OVERRIDE=FQ","FILING_STATUS=MR","SCALING_FORMAT=MLN","FA_ADJUSTED=GAAP","Sort=A","Dates=H","DateFormat=P","Fill=—","Direction=H","UseDPDF=Y")</f>
        <v>-60.699199999999998</v>
      </c>
      <c r="J40" s="19">
        <f>_xll.BDH("ITCI US Equity","EARN_FOR_COMMON","FQ1 2021","FQ1 2021","Currency=USD","Period=FQ","BEST_FPERIOD_OVERRIDE=FQ","FILING_STATUS=MR","SCALING_FORMAT=MLN","FA_ADJUSTED=GAAP","Sort=A","Dates=H","DateFormat=P","Fill=—","Direction=H","UseDPDF=Y")</f>
        <v>-52.739899999999999</v>
      </c>
      <c r="K40" s="19">
        <f>_xll.BDH("ITCI US Equity","EARN_FOR_COMMON","FQ2 2021","FQ2 2021","Currency=USD","Period=FQ","BEST_FPERIOD_OVERRIDE=FQ","FILING_STATUS=MR","SCALING_FORMAT=MLN","FA_ADJUSTED=GAAP","Sort=A","Dates=H","DateFormat=P","Fill=—","Direction=H","UseDPDF=Y")</f>
        <v>-68.743799999999993</v>
      </c>
      <c r="L40" s="19">
        <f>_xll.BDH("ITCI US Equity","EARN_FOR_COMMON","FQ3 2021","FQ3 2021","Currency=USD","Period=FQ","BEST_FPERIOD_OVERRIDE=FQ","FILING_STATUS=MR","SCALING_FORMAT=MLN","FA_ADJUSTED=GAAP","Sort=A","Dates=H","DateFormat=P","Fill=—","Direction=H","UseDPDF=Y")</f>
        <v>-76.908000000000001</v>
      </c>
      <c r="M40" s="19">
        <f>_xll.BDH("ITCI US Equity","EARN_FOR_COMMON","FQ4 2021","FQ4 2021","Currency=USD","Period=FQ","BEST_FPERIOD_OVERRIDE=FQ","FILING_STATUS=MR","SCALING_FORMAT=MLN","FA_ADJUSTED=GAAP","Sort=A","Dates=H","DateFormat=P","Fill=—","Direction=H","UseDPDF=Y")</f>
        <v>-85.733900000000006</v>
      </c>
      <c r="N40" s="19">
        <f>_xll.BDH("ITCI US Equity","EARN_FOR_COMMON","FQ1 2022","FQ1 2022","Currency=USD","Period=FQ","BEST_FPERIOD_OVERRIDE=FQ","FILING_STATUS=MR","SCALING_FORMAT=MLN","FA_ADJUSTED=GAAP","Sort=A","Dates=H","DateFormat=P","Fill=—","Direction=H","UseDPDF=Y")</f>
        <v>-72.119</v>
      </c>
      <c r="O40" s="19">
        <f>_xll.BDH("ITCI US Equity","EARN_FOR_COMMON","FQ2 2022","FQ2 2022","Currency=USD","Period=FQ","BEST_FPERIOD_OVERRIDE=FQ","FILING_STATUS=MR","SCALING_FORMAT=MLN","FA_ADJUSTED=GAAP","Sort=A","Dates=H","DateFormat=P","Fill=—","Direction=H","UseDPDF=Y")</f>
        <v>-86.602999999999994</v>
      </c>
      <c r="P40" s="19">
        <f>_xll.BDH("ITCI US Equity","EARN_FOR_COMMON","FQ3 2022","FQ3 2022","Currency=USD","Period=FQ","BEST_FPERIOD_OVERRIDE=FQ","FILING_STATUS=MR","SCALING_FORMAT=MLN","FA_ADJUSTED=GAAP","Sort=A","Dates=H","DateFormat=P","Fill=—","Direction=H","UseDPDF=Y")</f>
        <v>-53.508000000000003</v>
      </c>
      <c r="Q40" s="19">
        <f>_xll.BDH("ITCI US Equity","EARN_FOR_COMMON","FQ4 2022","FQ4 2022","Currency=USD","Period=FQ","BEST_FPERIOD_OVERRIDE=FQ","FILING_STATUS=MR","SCALING_FORMAT=MLN","FA_ADJUSTED=GAAP","Sort=A","Dates=H","DateFormat=P","Fill=—","Direction=H","UseDPDF=Y")</f>
        <v>-44.026000000000003</v>
      </c>
      <c r="R40" s="19">
        <f>_xll.BDH("ITCI US Equity","EARN_FOR_COMMON","FQ1 2023","FQ1 2023","Currency=USD","Period=FQ","BEST_FPERIOD_OVERRIDE=FQ","FILING_STATUS=MR","SCALING_FORMAT=MLN","FA_ADJUSTED=GAAP","Sort=A","Dates=H","DateFormat=P","Fill=—","Direction=H","UseDPDF=Y")</f>
        <v>-44.052999999999997</v>
      </c>
      <c r="S40" s="19">
        <f>_xll.BDH("ITCI US Equity","EARN_FOR_COMMON","FQ2 2023","FQ2 2023","Currency=USD","Period=FQ","BEST_FPERIOD_OVERRIDE=FQ","FILING_STATUS=MR","SCALING_FORMAT=MLN","FA_ADJUSTED=GAAP","Sort=A","Dates=H","DateFormat=P","Fill=—","Direction=H","UseDPDF=Y")</f>
        <v>-42.783999999999999</v>
      </c>
      <c r="T40" s="19">
        <f>_xll.BDH("ITCI US Equity","EARN_FOR_COMMON","FQ3 2023","FQ3 2023","Currency=USD","Period=FQ","BEST_FPERIOD_OVERRIDE=FQ","FILING_STATUS=MR","SCALING_FORMAT=MLN","FA_ADJUSTED=GAAP","Sort=A","Dates=H","DateFormat=P","Fill=—","Direction=H","UseDPDF=Y")</f>
        <v>-24.257999999999999</v>
      </c>
      <c r="U40" s="19">
        <f>_xll.BDH("ITCI US Equity","EARN_FOR_COMMON","FQ4 2023","FQ4 2023","Currency=USD","Period=FQ","BEST_FPERIOD_OVERRIDE=FQ","FILING_STATUS=MR","SCALING_FORMAT=MLN","FA_ADJUSTED=GAAP","Sort=A","Dates=H","DateFormat=P","Fill=—","Direction=H","UseDPDF=Y")</f>
        <v>-28.579000000000001</v>
      </c>
      <c r="V40" s="19">
        <f>_xll.BDH("ITCI US Equity","EARN_FOR_COMMON","FQ1 2024","FQ1 2024","Currency=USD","Period=FQ","BEST_FPERIOD_OVERRIDE=FQ","FILING_STATUS=MR","SCALING_FORMAT=MLN","FA_ADJUSTED=GAAP","Sort=A","Dates=H","DateFormat=P","Fill=—","Direction=H","UseDPDF=Y")</f>
        <v>-15.247</v>
      </c>
      <c r="W40" s="19">
        <f>_xll.BDH("ITCI US Equity","EARN_FOR_COMMON","FQ2 2024","FQ2 2024","Currency=USD","Period=FQ","BEST_FPERIOD_OVERRIDE=FQ","FILING_STATUS=MR","SCALING_FORMAT=MLN","FA_ADJUSTED=GAAP","Sort=A","Dates=H","DateFormat=P","Fill=—","Direction=H","UseDPDF=Y")</f>
        <v>-16.22</v>
      </c>
      <c r="X40" s="19">
        <f>_xll.BDH("ITCI US Equity","EARN_FOR_COMMON","FQ3 2024","FQ3 2024","Currency=USD","Period=FQ","BEST_FPERIOD_OVERRIDE=FQ","FILING_STATUS=MR","SCALING_FORMAT=MLN","FA_ADJUSTED=GAAP","Sort=A","Dates=H","DateFormat=P","Fill=—","Direction=H","UseDPDF=Y")</f>
        <v>-26.324000000000002</v>
      </c>
      <c r="Y40" s="19">
        <f>_xll.BDH("ITCI US Equity","EARN_FOR_COMMON","FQ4 2024","FQ4 2024","Currency=USD","Period=FQ","BEST_FPERIOD_OVERRIDE=FQ","FILING_STATUS=MR","SCALING_FORMAT=MLN","FA_ADJUSTED=GAAP","Sort=A","Dates=H","DateFormat=P","Fill=—","Direction=H","UseDPDF=Y")</f>
        <v>-16.885000000000002</v>
      </c>
      <c r="Z40" s="19">
        <v>-11.425000000000001</v>
      </c>
      <c r="AA40" s="19">
        <v>-3.2170000000000001</v>
      </c>
    </row>
    <row r="41" spans="1:27" x14ac:dyDescent="0.25">
      <c r="A41" s="6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x14ac:dyDescent="0.25">
      <c r="A42" s="6" t="s">
        <v>342</v>
      </c>
      <c r="B42" s="6" t="s">
        <v>80</v>
      </c>
      <c r="C42" s="19">
        <f>_xll.BDH("ITCI US Equity","EARN_FOR_COMMON","FQ2 2019","FQ2 2019","Currency=USD","Period=FQ","BEST_FPERIOD_OVERRIDE=FQ","FILING_STATUS=MR","SCALING_FORMAT=MLN","FA_ADJUSTED=Adjusted","Sort=A","Dates=H","DateFormat=P","Fill=—","Direction=H","UseDPDF=Y")</f>
        <v>-37.441200000000002</v>
      </c>
      <c r="D42" s="19">
        <f>_xll.BDH("ITCI US Equity","EARN_FOR_COMMON","FQ3 2019","FQ3 2019","Currency=USD","Period=FQ","BEST_FPERIOD_OVERRIDE=FQ","FILING_STATUS=MR","SCALING_FORMAT=MLN","FA_ADJUSTED=Adjusted","Sort=A","Dates=H","DateFormat=P","Fill=—","Direction=H","UseDPDF=Y")</f>
        <v>-34.862400000000001</v>
      </c>
      <c r="E42" s="19">
        <f>_xll.BDH("ITCI US Equity","EARN_FOR_COMMON","FQ4 2019","FQ4 2019","Currency=USD","Period=FQ","BEST_FPERIOD_OVERRIDE=FQ","FILING_STATUS=MR","SCALING_FORMAT=MLN","FA_ADJUSTED=Adjusted","Sort=A","Dates=H","DateFormat=P","Fill=—","Direction=H","UseDPDF=Y")</f>
        <v>-40.582900000000002</v>
      </c>
      <c r="F42" s="19">
        <f>_xll.BDH("ITCI US Equity","EARN_FOR_COMMON","FQ1 2020","FQ1 2020","Currency=USD","Period=FQ","BEST_FPERIOD_OVERRIDE=FQ","FILING_STATUS=MR","SCALING_FORMAT=MLN","FA_ADJUSTED=Adjusted","Sort=A","Dates=H","DateFormat=P","Fill=—","Direction=H","UseDPDF=Y")</f>
        <v>-47.410600000000002</v>
      </c>
      <c r="G42" s="19">
        <f>_xll.BDH("ITCI US Equity","EARN_FOR_COMMON","FQ2 2020","FQ2 2020","Currency=USD","Period=FQ","BEST_FPERIOD_OVERRIDE=FQ","FILING_STATUS=MR","SCALING_FORMAT=MLN","FA_ADJUSTED=Adjusted","Sort=A","Dates=H","DateFormat=P","Fill=—","Direction=H","UseDPDF=Y")</f>
        <v>-63.712299999999999</v>
      </c>
      <c r="H42" s="19">
        <f>_xll.BDH("ITCI US Equity","EARN_FOR_COMMON","FQ3 2020","FQ3 2020","Currency=USD","Period=FQ","BEST_FPERIOD_OVERRIDE=FQ","FILING_STATUS=MR","SCALING_FORMAT=MLN","FA_ADJUSTED=Adjusted","Sort=A","Dates=H","DateFormat=P","Fill=—","Direction=H","UseDPDF=Y")</f>
        <v>-55.183599999999998</v>
      </c>
      <c r="I42" s="19">
        <f>_xll.BDH("ITCI US Equity","EARN_FOR_COMMON","FQ4 2020","FQ4 2020","Currency=USD","Period=FQ","BEST_FPERIOD_OVERRIDE=FQ","FILING_STATUS=MR","SCALING_FORMAT=MLN","FA_ADJUSTED=Adjusted","Sort=A","Dates=H","DateFormat=P","Fill=—","Direction=H","UseDPDF=Y")</f>
        <v>-60.699199999999998</v>
      </c>
      <c r="J42" s="19">
        <f>_xll.BDH("ITCI US Equity","EARN_FOR_COMMON","FQ1 2021","FQ1 2021","Currency=USD","Period=FQ","BEST_FPERIOD_OVERRIDE=FQ","FILING_STATUS=MR","SCALING_FORMAT=MLN","FA_ADJUSTED=Adjusted","Sort=A","Dates=H","DateFormat=P","Fill=—","Direction=H","UseDPDF=Y")</f>
        <v>-52.739899999999999</v>
      </c>
      <c r="K42" s="19">
        <f>_xll.BDH("ITCI US Equity","EARN_FOR_COMMON","FQ2 2021","FQ2 2021","Currency=USD","Period=FQ","BEST_FPERIOD_OVERRIDE=FQ","FILING_STATUS=MR","SCALING_FORMAT=MLN","FA_ADJUSTED=Adjusted","Sort=A","Dates=H","DateFormat=P","Fill=—","Direction=H","UseDPDF=Y")</f>
        <v>-68.743799999999993</v>
      </c>
      <c r="L42" s="19">
        <f>_xll.BDH("ITCI US Equity","EARN_FOR_COMMON","FQ3 2021","FQ3 2021","Currency=USD","Period=FQ","BEST_FPERIOD_OVERRIDE=FQ","FILING_STATUS=MR","SCALING_FORMAT=MLN","FA_ADJUSTED=Adjusted","Sort=A","Dates=H","DateFormat=P","Fill=—","Direction=H","UseDPDF=Y")</f>
        <v>-76.908000000000001</v>
      </c>
      <c r="M42" s="19">
        <f>_xll.BDH("ITCI US Equity","EARN_FOR_COMMON","FQ4 2021","FQ4 2021","Currency=USD","Period=FQ","BEST_FPERIOD_OVERRIDE=FQ","FILING_STATUS=MR","SCALING_FORMAT=MLN","FA_ADJUSTED=Adjusted","Sort=A","Dates=H","DateFormat=P","Fill=—","Direction=H","UseDPDF=Y")</f>
        <v>-85.733900000000006</v>
      </c>
      <c r="N42" s="19">
        <f>_xll.BDH("ITCI US Equity","EARN_FOR_COMMON","FQ1 2022","FQ1 2022","Currency=USD","Period=FQ","BEST_FPERIOD_OVERRIDE=FQ","FILING_STATUS=MR","SCALING_FORMAT=MLN","FA_ADJUSTED=Adjusted","Sort=A","Dates=H","DateFormat=P","Fill=—","Direction=H","UseDPDF=Y")</f>
        <v>-72.119</v>
      </c>
      <c r="O42" s="19">
        <f>_xll.BDH("ITCI US Equity","EARN_FOR_COMMON","FQ2 2022","FQ2 2022","Currency=USD","Period=FQ","BEST_FPERIOD_OVERRIDE=FQ","FILING_STATUS=MR","SCALING_FORMAT=MLN","FA_ADJUSTED=Adjusted","Sort=A","Dates=H","DateFormat=P","Fill=—","Direction=H","UseDPDF=Y")</f>
        <v>-86.602999999999994</v>
      </c>
      <c r="P42" s="19">
        <f>_xll.BDH("ITCI US Equity","EARN_FOR_COMMON","FQ3 2022","FQ3 2022","Currency=USD","Period=FQ","BEST_FPERIOD_OVERRIDE=FQ","FILING_STATUS=MR","SCALING_FORMAT=MLN","FA_ADJUSTED=Adjusted","Sort=A","Dates=H","DateFormat=P","Fill=—","Direction=H","UseDPDF=Y")</f>
        <v>-53.508000000000003</v>
      </c>
      <c r="Q42" s="19">
        <f>_xll.BDH("ITCI US Equity","EARN_FOR_COMMON","FQ4 2022","FQ4 2022","Currency=USD","Period=FQ","BEST_FPERIOD_OVERRIDE=FQ","FILING_STATUS=MR","SCALING_FORMAT=MLN","FA_ADJUSTED=Adjusted","Sort=A","Dates=H","DateFormat=P","Fill=—","Direction=H","UseDPDF=Y")</f>
        <v>-44.026000000000003</v>
      </c>
      <c r="R42" s="19">
        <f>_xll.BDH("ITCI US Equity","EARN_FOR_COMMON","FQ1 2023","FQ1 2023","Currency=USD","Period=FQ","BEST_FPERIOD_OVERRIDE=FQ","FILING_STATUS=MR","SCALING_FORMAT=MLN","FA_ADJUSTED=Adjusted","Sort=A","Dates=H","DateFormat=P","Fill=—","Direction=H","UseDPDF=Y")</f>
        <v>-44.052999999999997</v>
      </c>
      <c r="S42" s="19">
        <f>_xll.BDH("ITCI US Equity","EARN_FOR_COMMON","FQ2 2023","FQ2 2023","Currency=USD","Period=FQ","BEST_FPERIOD_OVERRIDE=FQ","FILING_STATUS=MR","SCALING_FORMAT=MLN","FA_ADJUSTED=Adjusted","Sort=A","Dates=H","DateFormat=P","Fill=—","Direction=H","UseDPDF=Y")</f>
        <v>-42.783999999999999</v>
      </c>
      <c r="T42" s="19">
        <f>_xll.BDH("ITCI US Equity","EARN_FOR_COMMON","FQ3 2023","FQ3 2023","Currency=USD","Period=FQ","BEST_FPERIOD_OVERRIDE=FQ","FILING_STATUS=MR","SCALING_FORMAT=MLN","FA_ADJUSTED=Adjusted","Sort=A","Dates=H","DateFormat=P","Fill=—","Direction=H","UseDPDF=Y")</f>
        <v>-24.257999999999999</v>
      </c>
      <c r="U42" s="19">
        <f>_xll.BDH("ITCI US Equity","EARN_FOR_COMMON","FQ4 2023","FQ4 2023","Currency=USD","Period=FQ","BEST_FPERIOD_OVERRIDE=FQ","FILING_STATUS=MR","SCALING_FORMAT=MLN","FA_ADJUSTED=Adjusted","Sort=A","Dates=H","DateFormat=P","Fill=—","Direction=H","UseDPDF=Y")</f>
        <v>-28.579000000000001</v>
      </c>
      <c r="V42" s="19">
        <f>_xll.BDH("ITCI US Equity","EARN_FOR_COMMON","FQ1 2024","FQ1 2024","Currency=USD","Period=FQ","BEST_FPERIOD_OVERRIDE=FQ","FILING_STATUS=MR","SCALING_FORMAT=MLN","FA_ADJUSTED=Adjusted","Sort=A","Dates=H","DateFormat=P","Fill=—","Direction=H","UseDPDF=Y")</f>
        <v>-15.247</v>
      </c>
      <c r="W42" s="19">
        <f>_xll.BDH("ITCI US Equity","EARN_FOR_COMMON","FQ2 2024","FQ2 2024","Currency=USD","Period=FQ","BEST_FPERIOD_OVERRIDE=FQ","FILING_STATUS=MR","SCALING_FORMAT=MLN","FA_ADJUSTED=Adjusted","Sort=A","Dates=H","DateFormat=P","Fill=—","Direction=H","UseDPDF=Y")</f>
        <v>-16.22</v>
      </c>
      <c r="X42" s="19">
        <f>_xll.BDH("ITCI US Equity","EARN_FOR_COMMON","FQ3 2024","FQ3 2024","Currency=USD","Period=FQ","BEST_FPERIOD_OVERRIDE=FQ","FILING_STATUS=MR","SCALING_FORMAT=MLN","FA_ADJUSTED=Adjusted","Sort=A","Dates=H","DateFormat=P","Fill=—","Direction=H","UseDPDF=Y")</f>
        <v>-26.324000000000002</v>
      </c>
      <c r="Y42" s="19">
        <f>_xll.BDH("ITCI US Equity","EARN_FOR_COMMON","FQ4 2024","FQ4 2024","Currency=USD","Period=FQ","BEST_FPERIOD_OVERRIDE=FQ","FILING_STATUS=MR","SCALING_FORMAT=MLN","FA_ADJUSTED=Adjusted","Sort=A","Dates=H","DateFormat=P","Fill=—","Direction=H","UseDPDF=Y")</f>
        <v>-16.885000000000002</v>
      </c>
      <c r="Z42" s="19">
        <v>-11.425000000000001</v>
      </c>
      <c r="AA42" s="19">
        <v>-3.2170000000000001</v>
      </c>
    </row>
    <row r="43" spans="1:27" x14ac:dyDescent="0.25">
      <c r="A43" s="10" t="s">
        <v>343</v>
      </c>
      <c r="B43" s="10" t="s">
        <v>344</v>
      </c>
      <c r="C43" s="13">
        <f>_xll.BDH("ITCI US Equity","IS_NET_ABNORMAL_ITEMS","FQ2 2019","FQ2 2019","Currency=USD","Period=FQ","BEST_FPERIOD_OVERRIDE=FQ","FILING_STATUS=MR","SCALING_FORMAT=MLN","Sort=A","Dates=H","DateFormat=P","Fill=—","Direction=H","UseDPDF=Y")</f>
        <v>0</v>
      </c>
      <c r="D43" s="13">
        <f>_xll.BDH("ITCI US Equity","IS_NET_ABNORMAL_ITEMS","FQ3 2019","FQ3 2019","Currency=USD","Period=FQ","BEST_FPERIOD_OVERRIDE=FQ","FILING_STATUS=MR","SCALING_FORMAT=MLN","Sort=A","Dates=H","DateFormat=P","Fill=—","Direction=H","UseDPDF=Y")</f>
        <v>0</v>
      </c>
      <c r="E43" s="13">
        <f>_xll.BDH("ITCI US Equity","IS_NET_ABNORMAL_ITEMS","FQ4 2019","FQ4 2019","Currency=USD","Period=FQ","BEST_FPERIOD_OVERRIDE=FQ","FILING_STATUS=MR","SCALING_FORMAT=MLN","Sort=A","Dates=H","DateFormat=P","Fill=—","Direction=H","UseDPDF=Y")</f>
        <v>0</v>
      </c>
      <c r="F43" s="13">
        <f>_xll.BDH("ITCI US Equity","IS_NET_ABNORMAL_ITEMS","FQ1 2020","FQ1 2020","Currency=USD","Period=FQ","BEST_FPERIOD_OVERRIDE=FQ","FILING_STATUS=MR","SCALING_FORMAT=MLN","Sort=A","Dates=H","DateFormat=P","Fill=—","Direction=H","UseDPDF=Y")</f>
        <v>0</v>
      </c>
      <c r="G43" s="13">
        <f>_xll.BDH("ITCI US Equity","IS_NET_ABNORMAL_ITEMS","FQ2 2020","FQ2 2020","Currency=USD","Period=FQ","BEST_FPERIOD_OVERRIDE=FQ","FILING_STATUS=MR","SCALING_FORMAT=MLN","Sort=A","Dates=H","DateFormat=P","Fill=—","Direction=H","UseDPDF=Y")</f>
        <v>0</v>
      </c>
      <c r="H43" s="13">
        <f>_xll.BDH("ITCI US Equity","IS_NET_ABNORMAL_ITEMS","FQ3 2020","FQ3 2020","Currency=USD","Period=FQ","BEST_FPERIOD_OVERRIDE=FQ","FILING_STATUS=MR","SCALING_FORMAT=MLN","Sort=A","Dates=H","DateFormat=P","Fill=—","Direction=H","UseDPDF=Y")</f>
        <v>0</v>
      </c>
      <c r="I43" s="13">
        <f>_xll.BDH("ITCI US Equity","IS_NET_ABNORMAL_ITEMS","FQ4 2020","FQ4 2020","Currency=USD","Period=FQ","BEST_FPERIOD_OVERRIDE=FQ","FILING_STATUS=MR","SCALING_FORMAT=MLN","Sort=A","Dates=H","DateFormat=P","Fill=—","Direction=H","UseDPDF=Y")</f>
        <v>0</v>
      </c>
      <c r="J43" s="13">
        <f>_xll.BDH("ITCI US Equity","IS_NET_ABNORMAL_ITEMS","FQ1 2021","FQ1 2021","Currency=USD","Period=FQ","BEST_FPERIOD_OVERRIDE=FQ","FILING_STATUS=MR","SCALING_FORMAT=MLN","Sort=A","Dates=H","DateFormat=P","Fill=—","Direction=H","UseDPDF=Y")</f>
        <v>0</v>
      </c>
      <c r="K43" s="13">
        <f>_xll.BDH("ITCI US Equity","IS_NET_ABNORMAL_ITEMS","FQ2 2021","FQ2 2021","Currency=USD","Period=FQ","BEST_FPERIOD_OVERRIDE=FQ","FILING_STATUS=MR","SCALING_FORMAT=MLN","Sort=A","Dates=H","DateFormat=P","Fill=—","Direction=H","UseDPDF=Y")</f>
        <v>0</v>
      </c>
      <c r="L43" s="13">
        <f>_xll.BDH("ITCI US Equity","IS_NET_ABNORMAL_ITEMS","FQ3 2021","FQ3 2021","Currency=USD","Period=FQ","BEST_FPERIOD_OVERRIDE=FQ","FILING_STATUS=MR","SCALING_FORMAT=MLN","Sort=A","Dates=H","DateFormat=P","Fill=—","Direction=H","UseDPDF=Y")</f>
        <v>0</v>
      </c>
      <c r="M43" s="13">
        <f>_xll.BDH("ITCI US Equity","IS_NET_ABNORMAL_ITEMS","FQ4 2021","FQ4 2021","Currency=USD","Period=FQ","BEST_FPERIOD_OVERRIDE=FQ","FILING_STATUS=MR","SCALING_FORMAT=MLN","Sort=A","Dates=H","DateFormat=P","Fill=—","Direction=H","UseDPDF=Y")</f>
        <v>0</v>
      </c>
      <c r="N43" s="13">
        <f>_xll.BDH("ITCI US Equity","IS_NET_ABNORMAL_ITEMS","FQ1 2022","FQ1 2022","Currency=USD","Period=FQ","BEST_FPERIOD_OVERRIDE=FQ","FILING_STATUS=MR","SCALING_FORMAT=MLN","Sort=A","Dates=H","DateFormat=P","Fill=—","Direction=H","UseDPDF=Y")</f>
        <v>0</v>
      </c>
      <c r="O43" s="13">
        <f>_xll.BDH("ITCI US Equity","IS_NET_ABNORMAL_ITEMS","FQ2 2022","FQ2 2022","Currency=USD","Period=FQ","BEST_FPERIOD_OVERRIDE=FQ","FILING_STATUS=MR","SCALING_FORMAT=MLN","Sort=A","Dates=H","DateFormat=P","Fill=—","Direction=H","UseDPDF=Y")</f>
        <v>0</v>
      </c>
      <c r="P43" s="13">
        <f>_xll.BDH("ITCI US Equity","IS_NET_ABNORMAL_ITEMS","FQ3 2022","FQ3 2022","Currency=USD","Period=FQ","BEST_FPERIOD_OVERRIDE=FQ","FILING_STATUS=MR","SCALING_FORMAT=MLN","Sort=A","Dates=H","DateFormat=P","Fill=—","Direction=H","UseDPDF=Y")</f>
        <v>0</v>
      </c>
      <c r="Q43" s="13">
        <f>_xll.BDH("ITCI US Equity","IS_NET_ABNORMAL_ITEMS","FQ4 2022","FQ4 2022","Currency=USD","Period=FQ","BEST_FPERIOD_OVERRIDE=FQ","FILING_STATUS=MR","SCALING_FORMAT=MLN","Sort=A","Dates=H","DateFormat=P","Fill=—","Direction=H","UseDPDF=Y")</f>
        <v>0</v>
      </c>
      <c r="R43" s="13">
        <f>_xll.BDH("ITCI US Equity","IS_NET_ABNORMAL_ITEMS","FQ1 2023","FQ1 2023","Currency=USD","Period=FQ","BEST_FPERIOD_OVERRIDE=FQ","FILING_STATUS=MR","SCALING_FORMAT=MLN","Sort=A","Dates=H","DateFormat=P","Fill=—","Direction=H","UseDPDF=Y")</f>
        <v>0</v>
      </c>
      <c r="S43" s="13">
        <f>_xll.BDH("ITCI US Equity","IS_NET_ABNORMAL_ITEMS","FQ2 2023","FQ2 2023","Currency=USD","Period=FQ","BEST_FPERIOD_OVERRIDE=FQ","FILING_STATUS=MR","SCALING_FORMAT=MLN","Sort=A","Dates=H","DateFormat=P","Fill=—","Direction=H","UseDPDF=Y")</f>
        <v>0</v>
      </c>
      <c r="T43" s="13">
        <f>_xll.BDH("ITCI US Equity","IS_NET_ABNORMAL_ITEMS","FQ3 2023","FQ3 2023","Currency=USD","Period=FQ","BEST_FPERIOD_OVERRIDE=FQ","FILING_STATUS=MR","SCALING_FORMAT=MLN","Sort=A","Dates=H","DateFormat=P","Fill=—","Direction=H","UseDPDF=Y")</f>
        <v>0</v>
      </c>
      <c r="U43" s="13">
        <f>_xll.BDH("ITCI US Equity","IS_NET_ABNORMAL_ITEMS","FQ4 2023","FQ4 2023","Currency=USD","Period=FQ","BEST_FPERIOD_OVERRIDE=FQ","FILING_STATUS=MR","SCALING_FORMAT=MLN","Sort=A","Dates=H","DateFormat=P","Fill=—","Direction=H","UseDPDF=Y")</f>
        <v>0</v>
      </c>
      <c r="V43" s="13">
        <f>_xll.BDH("ITCI US Equity","IS_NET_ABNORMAL_ITEMS","FQ1 2024","FQ1 2024","Currency=USD","Period=FQ","BEST_FPERIOD_OVERRIDE=FQ","FILING_STATUS=MR","SCALING_FORMAT=MLN","Sort=A","Dates=H","DateFormat=P","Fill=—","Direction=H","UseDPDF=Y")</f>
        <v>0</v>
      </c>
      <c r="W43" s="13">
        <f>_xll.BDH("ITCI US Equity","IS_NET_ABNORMAL_ITEMS","FQ2 2024","FQ2 2024","Currency=USD","Period=FQ","BEST_FPERIOD_OVERRIDE=FQ","FILING_STATUS=MR","SCALING_FORMAT=MLN","Sort=A","Dates=H","DateFormat=P","Fill=—","Direction=H","UseDPDF=Y")</f>
        <v>0</v>
      </c>
      <c r="X43" s="13">
        <f>_xll.BDH("ITCI US Equity","IS_NET_ABNORMAL_ITEMS","FQ3 2024","FQ3 2024","Currency=USD","Period=FQ","BEST_FPERIOD_OVERRIDE=FQ","FILING_STATUS=MR","SCALING_FORMAT=MLN","Sort=A","Dates=H","DateFormat=P","Fill=—","Direction=H","UseDPDF=Y")</f>
        <v>0</v>
      </c>
      <c r="Y43" s="13">
        <f>_xll.BDH("ITCI US Equity","IS_NET_ABNORMAL_ITEMS","FQ4 2024","FQ4 2024","Currency=USD","Period=FQ","BEST_FPERIOD_OVERRIDE=FQ","FILING_STATUS=MR","SCALING_FORMAT=MLN","Sort=A","Dates=H","DateFormat=P","Fill=—","Direction=H","UseDPDF=Y")</f>
        <v>0</v>
      </c>
      <c r="Z43" s="13"/>
      <c r="AA43" s="13"/>
    </row>
    <row r="44" spans="1:27" x14ac:dyDescent="0.25">
      <c r="A44" s="10" t="s">
        <v>345</v>
      </c>
      <c r="B44" s="10" t="s">
        <v>326</v>
      </c>
      <c r="C44" s="13">
        <f>_xll.BDH("ITCI US Equity","XO_GL_NET_OF_TAX","FQ2 2019","FQ2 2019","Currency=USD","Period=FQ","BEST_FPERIOD_OVERRIDE=FQ","FILING_STATUS=MR","SCALING_FORMAT=MLN","Sort=A","Dates=H","DateFormat=P","Fill=—","Direction=H","UseDPDF=Y")</f>
        <v>0</v>
      </c>
      <c r="D44" s="13">
        <f>_xll.BDH("ITCI US Equity","XO_GL_NET_OF_TAX","FQ3 2019","FQ3 2019","Currency=USD","Period=FQ","BEST_FPERIOD_OVERRIDE=FQ","FILING_STATUS=MR","SCALING_FORMAT=MLN","Sort=A","Dates=H","DateFormat=P","Fill=—","Direction=H","UseDPDF=Y")</f>
        <v>0</v>
      </c>
      <c r="E44" s="13">
        <f>_xll.BDH("ITCI US Equity","XO_GL_NET_OF_TAX","FQ4 2019","FQ4 2019","Currency=USD","Period=FQ","BEST_FPERIOD_OVERRIDE=FQ","FILING_STATUS=MR","SCALING_FORMAT=MLN","Sort=A","Dates=H","DateFormat=P","Fill=—","Direction=H","UseDPDF=Y")</f>
        <v>0</v>
      </c>
      <c r="F44" s="13">
        <f>_xll.BDH("ITCI US Equity","XO_GL_NET_OF_TAX","FQ1 2020","FQ1 2020","Currency=USD","Period=FQ","BEST_FPERIOD_OVERRIDE=FQ","FILING_STATUS=MR","SCALING_FORMAT=MLN","Sort=A","Dates=H","DateFormat=P","Fill=—","Direction=H","UseDPDF=Y")</f>
        <v>0</v>
      </c>
      <c r="G44" s="13">
        <f>_xll.BDH("ITCI US Equity","XO_GL_NET_OF_TAX","FQ2 2020","FQ2 2020","Currency=USD","Period=FQ","BEST_FPERIOD_OVERRIDE=FQ","FILING_STATUS=MR","SCALING_FORMAT=MLN","Sort=A","Dates=H","DateFormat=P","Fill=—","Direction=H","UseDPDF=Y")</f>
        <v>0</v>
      </c>
      <c r="H44" s="13">
        <f>_xll.BDH("ITCI US Equity","XO_GL_NET_OF_TAX","FQ3 2020","FQ3 2020","Currency=USD","Period=FQ","BEST_FPERIOD_OVERRIDE=FQ","FILING_STATUS=MR","SCALING_FORMAT=MLN","Sort=A","Dates=H","DateFormat=P","Fill=—","Direction=H","UseDPDF=Y")</f>
        <v>0</v>
      </c>
      <c r="I44" s="13">
        <f>_xll.BDH("ITCI US Equity","XO_GL_NET_OF_TAX","FQ4 2020","FQ4 2020","Currency=USD","Period=FQ","BEST_FPERIOD_OVERRIDE=FQ","FILING_STATUS=MR","SCALING_FORMAT=MLN","Sort=A","Dates=H","DateFormat=P","Fill=—","Direction=H","UseDPDF=Y")</f>
        <v>0</v>
      </c>
      <c r="J44" s="13">
        <f>_xll.BDH("ITCI US Equity","XO_GL_NET_OF_TAX","FQ1 2021","FQ1 2021","Currency=USD","Period=FQ","BEST_FPERIOD_OVERRIDE=FQ","FILING_STATUS=MR","SCALING_FORMAT=MLN","Sort=A","Dates=H","DateFormat=P","Fill=—","Direction=H","UseDPDF=Y")</f>
        <v>0</v>
      </c>
      <c r="K44" s="13">
        <f>_xll.BDH("ITCI US Equity","XO_GL_NET_OF_TAX","FQ2 2021","FQ2 2021","Currency=USD","Period=FQ","BEST_FPERIOD_OVERRIDE=FQ","FILING_STATUS=MR","SCALING_FORMAT=MLN","Sort=A","Dates=H","DateFormat=P","Fill=—","Direction=H","UseDPDF=Y")</f>
        <v>0</v>
      </c>
      <c r="L44" s="13">
        <f>_xll.BDH("ITCI US Equity","XO_GL_NET_OF_TAX","FQ3 2021","FQ3 2021","Currency=USD","Period=FQ","BEST_FPERIOD_OVERRIDE=FQ","FILING_STATUS=MR","SCALING_FORMAT=MLN","Sort=A","Dates=H","DateFormat=P","Fill=—","Direction=H","UseDPDF=Y")</f>
        <v>0</v>
      </c>
      <c r="M44" s="13">
        <f>_xll.BDH("ITCI US Equity","XO_GL_NET_OF_TAX","FQ4 2021","FQ4 2021","Currency=USD","Period=FQ","BEST_FPERIOD_OVERRIDE=FQ","FILING_STATUS=MR","SCALING_FORMAT=MLN","Sort=A","Dates=H","DateFormat=P","Fill=—","Direction=H","UseDPDF=Y")</f>
        <v>0</v>
      </c>
      <c r="N44" s="13">
        <f>_xll.BDH("ITCI US Equity","XO_GL_NET_OF_TAX","FQ1 2022","FQ1 2022","Currency=USD","Period=FQ","BEST_FPERIOD_OVERRIDE=FQ","FILING_STATUS=MR","SCALING_FORMAT=MLN","Sort=A","Dates=H","DateFormat=P","Fill=—","Direction=H","UseDPDF=Y")</f>
        <v>0</v>
      </c>
      <c r="O44" s="13">
        <f>_xll.BDH("ITCI US Equity","XO_GL_NET_OF_TAX","FQ2 2022","FQ2 2022","Currency=USD","Period=FQ","BEST_FPERIOD_OVERRIDE=FQ","FILING_STATUS=MR","SCALING_FORMAT=MLN","Sort=A","Dates=H","DateFormat=P","Fill=—","Direction=H","UseDPDF=Y")</f>
        <v>0</v>
      </c>
      <c r="P44" s="13">
        <f>_xll.BDH("ITCI US Equity","XO_GL_NET_OF_TAX","FQ3 2022","FQ3 2022","Currency=USD","Period=FQ","BEST_FPERIOD_OVERRIDE=FQ","FILING_STATUS=MR","SCALING_FORMAT=MLN","Sort=A","Dates=H","DateFormat=P","Fill=—","Direction=H","UseDPDF=Y")</f>
        <v>0</v>
      </c>
      <c r="Q44" s="13">
        <f>_xll.BDH("ITCI US Equity","XO_GL_NET_OF_TAX","FQ4 2022","FQ4 2022","Currency=USD","Period=FQ","BEST_FPERIOD_OVERRIDE=FQ","FILING_STATUS=MR","SCALING_FORMAT=MLN","Sort=A","Dates=H","DateFormat=P","Fill=—","Direction=H","UseDPDF=Y")</f>
        <v>0</v>
      </c>
      <c r="R44" s="13">
        <f>_xll.BDH("ITCI US Equity","XO_GL_NET_OF_TAX","FQ1 2023","FQ1 2023","Currency=USD","Period=FQ","BEST_FPERIOD_OVERRIDE=FQ","FILING_STATUS=MR","SCALING_FORMAT=MLN","Sort=A","Dates=H","DateFormat=P","Fill=—","Direction=H","UseDPDF=Y")</f>
        <v>0</v>
      </c>
      <c r="S44" s="13">
        <f>_xll.BDH("ITCI US Equity","XO_GL_NET_OF_TAX","FQ2 2023","FQ2 2023","Currency=USD","Period=FQ","BEST_FPERIOD_OVERRIDE=FQ","FILING_STATUS=MR","SCALING_FORMAT=MLN","Sort=A","Dates=H","DateFormat=P","Fill=—","Direction=H","UseDPDF=Y")</f>
        <v>0</v>
      </c>
      <c r="T44" s="13">
        <f>_xll.BDH("ITCI US Equity","XO_GL_NET_OF_TAX","FQ3 2023","FQ3 2023","Currency=USD","Period=FQ","BEST_FPERIOD_OVERRIDE=FQ","FILING_STATUS=MR","SCALING_FORMAT=MLN","Sort=A","Dates=H","DateFormat=P","Fill=—","Direction=H","UseDPDF=Y")</f>
        <v>0</v>
      </c>
      <c r="U44" s="13">
        <f>_xll.BDH("ITCI US Equity","XO_GL_NET_OF_TAX","FQ4 2023","FQ4 2023","Currency=USD","Period=FQ","BEST_FPERIOD_OVERRIDE=FQ","FILING_STATUS=MR","SCALING_FORMAT=MLN","Sort=A","Dates=H","DateFormat=P","Fill=—","Direction=H","UseDPDF=Y")</f>
        <v>0</v>
      </c>
      <c r="V44" s="13">
        <f>_xll.BDH("ITCI US Equity","XO_GL_NET_OF_TAX","FQ1 2024","FQ1 2024","Currency=USD","Period=FQ","BEST_FPERIOD_OVERRIDE=FQ","FILING_STATUS=MR","SCALING_FORMAT=MLN","Sort=A","Dates=H","DateFormat=P","Fill=—","Direction=H","UseDPDF=Y")</f>
        <v>0</v>
      </c>
      <c r="W44" s="13">
        <f>_xll.BDH("ITCI US Equity","XO_GL_NET_OF_TAX","FQ2 2024","FQ2 2024","Currency=USD","Period=FQ","BEST_FPERIOD_OVERRIDE=FQ","FILING_STATUS=MR","SCALING_FORMAT=MLN","Sort=A","Dates=H","DateFormat=P","Fill=—","Direction=H","UseDPDF=Y")</f>
        <v>0</v>
      </c>
      <c r="X44" s="13">
        <f>_xll.BDH("ITCI US Equity","XO_GL_NET_OF_TAX","FQ3 2024","FQ3 2024","Currency=USD","Period=FQ","BEST_FPERIOD_OVERRIDE=FQ","FILING_STATUS=MR","SCALING_FORMAT=MLN","Sort=A","Dates=H","DateFormat=P","Fill=—","Direction=H","UseDPDF=Y")</f>
        <v>0</v>
      </c>
      <c r="Y44" s="13">
        <f>_xll.BDH("ITCI US Equity","XO_GL_NET_OF_TAX","FQ4 2024","FQ4 2024","Currency=USD","Period=FQ","BEST_FPERIOD_OVERRIDE=FQ","FILING_STATUS=MR","SCALING_FORMAT=MLN","Sort=A","Dates=H","DateFormat=P","Fill=—","Direction=H","UseDPDF=Y")</f>
        <v>0</v>
      </c>
      <c r="Z44" s="13"/>
      <c r="AA44" s="13"/>
    </row>
    <row r="45" spans="1:27" x14ac:dyDescent="0.25">
      <c r="A45" s="6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 x14ac:dyDescent="0.25">
      <c r="A46" s="10" t="s">
        <v>229</v>
      </c>
      <c r="B46" s="10" t="s">
        <v>106</v>
      </c>
      <c r="C46" s="13">
        <f>_xll.BDH("ITCI US Equity","IS_AVG_NUM_SH_FOR_EPS","FQ2 2019","FQ2 2019","Currency=USD","Period=FQ","BEST_FPERIOD_OVERRIDE=FQ","FILING_STATUS=MR","Sort=A","Dates=H","DateFormat=P","Fill=—","Direction=H","UseDPDF=Y")</f>
        <v>55.145899999999997</v>
      </c>
      <c r="D46" s="13">
        <f>_xll.BDH("ITCI US Equity","IS_AVG_NUM_SH_FOR_EPS","FQ3 2019","FQ3 2019","Currency=USD","Period=FQ","BEST_FPERIOD_OVERRIDE=FQ","FILING_STATUS=MR","Sort=A","Dates=H","DateFormat=P","Fill=—","Direction=H","UseDPDF=Y")</f>
        <v>55.2074</v>
      </c>
      <c r="E46" s="13">
        <f>_xll.BDH("ITCI US Equity","IS_AVG_NUM_SH_FOR_EPS","FQ4 2019","FQ4 2019","Currency=USD","Period=FQ","BEST_FPERIOD_OVERRIDE=FQ","FILING_STATUS=MR","Sort=A","Dates=H","DateFormat=P","Fill=—","Direction=H","UseDPDF=Y")</f>
        <v>55.276299999999999</v>
      </c>
      <c r="F46" s="13">
        <f>_xll.BDH("ITCI US Equity","IS_AVG_NUM_SH_FOR_EPS","FQ1 2020","FQ1 2020","Currency=USD","Period=FQ","BEST_FPERIOD_OVERRIDE=FQ","FILING_STATUS=MR","Sort=A","Dates=H","DateFormat=P","Fill=—","Direction=H","UseDPDF=Y")</f>
        <v>65.106099999999998</v>
      </c>
      <c r="G46" s="13">
        <f>_xll.BDH("ITCI US Equity","IS_AVG_NUM_SH_FOR_EPS","FQ2 2020","FQ2 2020","Currency=USD","Period=FQ","BEST_FPERIOD_OVERRIDE=FQ","FILING_STATUS=MR","Sort=A","Dates=H","DateFormat=P","Fill=—","Direction=H","UseDPDF=Y")</f>
        <v>66.429400000000001</v>
      </c>
      <c r="H46" s="13">
        <f>_xll.BDH("ITCI US Equity","IS_AVG_NUM_SH_FOR_EPS","FQ3 2020","FQ3 2020","Currency=USD","Period=FQ","BEST_FPERIOD_OVERRIDE=FQ","FILING_STATUS=MR","Sort=A","Dates=H","DateFormat=P","Fill=—","Direction=H","UseDPDF=Y")</f>
        <v>69.53</v>
      </c>
      <c r="I46" s="13">
        <f>_xll.BDH("ITCI US Equity","IS_AVG_NUM_SH_FOR_EPS","FQ4 2020","FQ4 2020","Currency=USD","Period=FQ","BEST_FPERIOD_OVERRIDE=FQ","FILING_STATUS=MR","Sort=A","Dates=H","DateFormat=P","Fill=—","Direction=H","UseDPDF=Y")</f>
        <v>80.293800000000005</v>
      </c>
      <c r="J46" s="13">
        <f>_xll.BDH("ITCI US Equity","IS_AVG_NUM_SH_FOR_EPS","FQ1 2021","FQ1 2021","Currency=USD","Period=FQ","BEST_FPERIOD_OVERRIDE=FQ","FILING_STATUS=MR","Sort=A","Dates=H","DateFormat=P","Fill=—","Direction=H","UseDPDF=Y")</f>
        <v>80.9465</v>
      </c>
      <c r="K46" s="13">
        <f>_xll.BDH("ITCI US Equity","IS_AVG_NUM_SH_FOR_EPS","FQ2 2021","FQ2 2021","Currency=USD","Period=FQ","BEST_FPERIOD_OVERRIDE=FQ","FILING_STATUS=MR","Sort=A","Dates=H","DateFormat=P","Fill=—","Direction=H","UseDPDF=Y")</f>
        <v>81.229799999999997</v>
      </c>
      <c r="L46" s="13">
        <f>_xll.BDH("ITCI US Equity","IS_AVG_NUM_SH_FOR_EPS","FQ3 2021","FQ3 2021","Currency=USD","Period=FQ","BEST_FPERIOD_OVERRIDE=FQ","FILING_STATUS=MR","Sort=A","Dates=H","DateFormat=P","Fill=—","Direction=H","UseDPDF=Y")</f>
        <v>81.354699999999994</v>
      </c>
      <c r="M46" s="13">
        <f>_xll.BDH("ITCI US Equity","IS_AVG_NUM_SH_FOR_EPS","FQ4 2021","FQ4 2021","Currency=USD","Period=FQ","BEST_FPERIOD_OVERRIDE=FQ","FILING_STATUS=MR","Sort=A","Dates=H","DateFormat=P","Fill=—","Direction=H","UseDPDF=Y")</f>
        <v>81.475700000000003</v>
      </c>
      <c r="N46" s="13">
        <f>_xll.BDH("ITCI US Equity","IS_AVG_NUM_SH_FOR_EPS","FQ1 2022","FQ1 2022","Currency=USD","Period=FQ","BEST_FPERIOD_OVERRIDE=FQ","FILING_STATUS=MR","Sort=A","Dates=H","DateFormat=P","Fill=—","Direction=H","UseDPDF=Y")</f>
        <v>92.604299999999995</v>
      </c>
      <c r="O46" s="13">
        <f>_xll.BDH("ITCI US Equity","IS_AVG_NUM_SH_FOR_EPS","FQ2 2022","FQ2 2022","Currency=USD","Period=FQ","BEST_FPERIOD_OVERRIDE=FQ","FILING_STATUS=MR","Sort=A","Dates=H","DateFormat=P","Fill=—","Direction=H","UseDPDF=Y")</f>
        <v>94.2851</v>
      </c>
      <c r="P46" s="13">
        <f>_xll.BDH("ITCI US Equity","IS_AVG_NUM_SH_FOR_EPS","FQ3 2022","FQ3 2022","Currency=USD","Period=FQ","BEST_FPERIOD_OVERRIDE=FQ","FILING_STATUS=MR","Sort=A","Dates=H","DateFormat=P","Fill=—","Direction=H","UseDPDF=Y")</f>
        <v>94.516800000000003</v>
      </c>
      <c r="Q46" s="13">
        <f>_xll.BDH("ITCI US Equity","IS_AVG_NUM_SH_FOR_EPS","FQ4 2022","FQ4 2022","Currency=USD","Period=FQ","BEST_FPERIOD_OVERRIDE=FQ","FILING_STATUS=MR","Sort=A","Dates=H","DateFormat=P","Fill=—","Direction=H","UseDPDF=Y")</f>
        <v>94.751599999999996</v>
      </c>
      <c r="R46" s="13">
        <f>_xll.BDH("ITCI US Equity","IS_AVG_NUM_SH_FOR_EPS","FQ1 2023","FQ1 2023","Currency=USD","Period=FQ","BEST_FPERIOD_OVERRIDE=FQ","FILING_STATUS=MR","Sort=A","Dates=H","DateFormat=P","Fill=—","Direction=H","UseDPDF=Y")</f>
        <v>95.134699999999995</v>
      </c>
      <c r="S46" s="13">
        <f>_xll.BDH("ITCI US Equity","IS_AVG_NUM_SH_FOR_EPS","FQ2 2023","FQ2 2023","Currency=USD","Period=FQ","BEST_FPERIOD_OVERRIDE=FQ","FILING_STATUS=MR","Sort=A","Dates=H","DateFormat=P","Fill=—","Direction=H","UseDPDF=Y")</f>
        <v>95.948099999999997</v>
      </c>
      <c r="T46" s="13">
        <f>_xll.BDH("ITCI US Equity","IS_AVG_NUM_SH_FOR_EPS","FQ3 2023","FQ3 2023","Currency=USD","Period=FQ","BEST_FPERIOD_OVERRIDE=FQ","FILING_STATUS=MR","Sort=A","Dates=H","DateFormat=P","Fill=—","Direction=H","UseDPDF=Y")</f>
        <v>96.143100000000004</v>
      </c>
      <c r="U46" s="13">
        <f>_xll.BDH("ITCI US Equity","IS_AVG_NUM_SH_FOR_EPS","FQ4 2023","FQ4 2023","Currency=USD","Period=FQ","BEST_FPERIOD_OVERRIDE=FQ","FILING_STATUS=MR","Sort=A","Dates=H","DateFormat=P","Fill=—","Direction=H","UseDPDF=Y")</f>
        <v>96.285600000000002</v>
      </c>
      <c r="V46" s="13">
        <f>_xll.BDH("ITCI US Equity","IS_AVG_NUM_SH_FOR_EPS","FQ1 2024","FQ1 2024","Currency=USD","Period=FQ","BEST_FPERIOD_OVERRIDE=FQ","FILING_STATUS=MR","Sort=A","Dates=H","DateFormat=P","Fill=—","Direction=H","UseDPDF=Y")</f>
        <v>96.875299999999996</v>
      </c>
      <c r="W46" s="13">
        <f>_xll.BDH("ITCI US Equity","IS_AVG_NUM_SH_FOR_EPS","FQ2 2024","FQ2 2024","Currency=USD","Period=FQ","BEST_FPERIOD_OVERRIDE=FQ","FILING_STATUS=MR","Sort=A","Dates=H","DateFormat=P","Fill=—","Direction=H","UseDPDF=Y")</f>
        <v>103.723</v>
      </c>
      <c r="X46" s="13">
        <f>_xll.BDH("ITCI US Equity","IS_AVG_NUM_SH_FOR_EPS","FQ3 2024","FQ3 2024","Currency=USD","Period=FQ","BEST_FPERIOD_OVERRIDE=FQ","FILING_STATUS=MR","Sort=A","Dates=H","DateFormat=P","Fill=—","Direction=H","UseDPDF=Y")</f>
        <v>105.7684</v>
      </c>
      <c r="Y46" s="13">
        <f>_xll.BDH("ITCI US Equity","IS_AVG_NUM_SH_FOR_EPS","FQ4 2024","FQ4 2024","Currency=USD","Period=FQ","BEST_FPERIOD_OVERRIDE=FQ","FILING_STATUS=MR","Sort=A","Dates=H","DateFormat=P","Fill=—","Direction=H","UseDPDF=Y")</f>
        <v>106.0958</v>
      </c>
      <c r="Z46" s="13"/>
      <c r="AA46" s="13"/>
    </row>
    <row r="47" spans="1:27" x14ac:dyDescent="0.25">
      <c r="A47" s="6" t="s">
        <v>101</v>
      </c>
      <c r="B47" s="6" t="s">
        <v>102</v>
      </c>
      <c r="C47" s="20">
        <f>_xll.BDH("ITCI US Equity","IS_EPS","FQ2 2019","FQ2 2019","Currency=USD","Period=FQ","BEST_FPERIOD_OVERRIDE=FQ","FILING_STATUS=MR","FA_ADJUSTED=GAAP","Sort=A","Dates=H","DateFormat=P","Fill=—","Direction=H","UseDPDF=Y")</f>
        <v>-0.68</v>
      </c>
      <c r="D47" s="20">
        <f>_xll.BDH("ITCI US Equity","IS_EPS","FQ3 2019","FQ3 2019","Currency=USD","Period=FQ","BEST_FPERIOD_OVERRIDE=FQ","FILING_STATUS=MR","FA_ADJUSTED=GAAP","Sort=A","Dates=H","DateFormat=P","Fill=—","Direction=H","UseDPDF=Y")</f>
        <v>-0.63</v>
      </c>
      <c r="E47" s="20">
        <f>_xll.BDH("ITCI US Equity","IS_EPS","FQ4 2019","FQ4 2019","Currency=USD","Period=FQ","BEST_FPERIOD_OVERRIDE=FQ","FILING_STATUS=MR","FA_ADJUSTED=GAAP","Sort=A","Dates=H","DateFormat=P","Fill=—","Direction=H","UseDPDF=Y")</f>
        <v>-0.74</v>
      </c>
      <c r="F47" s="20">
        <f>_xll.BDH("ITCI US Equity","IS_EPS","FQ1 2020","FQ1 2020","Currency=USD","Period=FQ","BEST_FPERIOD_OVERRIDE=FQ","FILING_STATUS=MR","FA_ADJUSTED=GAAP","Sort=A","Dates=H","DateFormat=P","Fill=—","Direction=H","UseDPDF=Y")</f>
        <v>-0.73</v>
      </c>
      <c r="G47" s="20">
        <f>_xll.BDH("ITCI US Equity","IS_EPS","FQ2 2020","FQ2 2020","Currency=USD","Period=FQ","BEST_FPERIOD_OVERRIDE=FQ","FILING_STATUS=MR","FA_ADJUSTED=GAAP","Sort=A","Dates=H","DateFormat=P","Fill=—","Direction=H","UseDPDF=Y")</f>
        <v>-0.96</v>
      </c>
      <c r="H47" s="20">
        <f>_xll.BDH("ITCI US Equity","IS_EPS","FQ3 2020","FQ3 2020","Currency=USD","Period=FQ","BEST_FPERIOD_OVERRIDE=FQ","FILING_STATUS=MR","FA_ADJUSTED=GAAP","Sort=A","Dates=H","DateFormat=P","Fill=—","Direction=H","UseDPDF=Y")</f>
        <v>-0.79</v>
      </c>
      <c r="I47" s="20">
        <f>_xll.BDH("ITCI US Equity","IS_EPS","FQ4 2020","FQ4 2020","Currency=USD","Period=FQ","BEST_FPERIOD_OVERRIDE=FQ","FILING_STATUS=MR","FA_ADJUSTED=GAAP","Sort=A","Dates=H","DateFormat=P","Fill=—","Direction=H","UseDPDF=Y")</f>
        <v>-0.76</v>
      </c>
      <c r="J47" s="20">
        <f>_xll.BDH("ITCI US Equity","IS_EPS","FQ1 2021","FQ1 2021","Currency=USD","Period=FQ","BEST_FPERIOD_OVERRIDE=FQ","FILING_STATUS=MR","FA_ADJUSTED=GAAP","Sort=A","Dates=H","DateFormat=P","Fill=—","Direction=H","UseDPDF=Y")</f>
        <v>-0.65</v>
      </c>
      <c r="K47" s="20">
        <f>_xll.BDH("ITCI US Equity","IS_EPS","FQ2 2021","FQ2 2021","Currency=USD","Period=FQ","BEST_FPERIOD_OVERRIDE=FQ","FILING_STATUS=MR","FA_ADJUSTED=GAAP","Sort=A","Dates=H","DateFormat=P","Fill=—","Direction=H","UseDPDF=Y")</f>
        <v>-0.85</v>
      </c>
      <c r="L47" s="20">
        <f>_xll.BDH("ITCI US Equity","IS_EPS","FQ3 2021","FQ3 2021","Currency=USD","Period=FQ","BEST_FPERIOD_OVERRIDE=FQ","FILING_STATUS=MR","FA_ADJUSTED=GAAP","Sort=A","Dates=H","DateFormat=P","Fill=—","Direction=H","UseDPDF=Y")</f>
        <v>-0.95</v>
      </c>
      <c r="M47" s="20">
        <f>_xll.BDH("ITCI US Equity","IS_EPS","FQ4 2021","FQ4 2021","Currency=USD","Period=FQ","BEST_FPERIOD_OVERRIDE=FQ","FILING_STATUS=MR","FA_ADJUSTED=GAAP","Sort=A","Dates=H","DateFormat=P","Fill=—","Direction=H","UseDPDF=Y")</f>
        <v>-1.05</v>
      </c>
      <c r="N47" s="20">
        <f>_xll.BDH("ITCI US Equity","IS_EPS","FQ1 2022","FQ1 2022","Currency=USD","Period=FQ","BEST_FPERIOD_OVERRIDE=FQ","FILING_STATUS=MR","FA_ADJUSTED=GAAP","Sort=A","Dates=H","DateFormat=P","Fill=—","Direction=H","UseDPDF=Y")</f>
        <v>-0.78</v>
      </c>
      <c r="O47" s="20">
        <f>_xll.BDH("ITCI US Equity","IS_EPS","FQ2 2022","FQ2 2022","Currency=USD","Period=FQ","BEST_FPERIOD_OVERRIDE=FQ","FILING_STATUS=MR","FA_ADJUSTED=GAAP","Sort=A","Dates=H","DateFormat=P","Fill=—","Direction=H","UseDPDF=Y")</f>
        <v>-0.92</v>
      </c>
      <c r="P47" s="20">
        <f>_xll.BDH("ITCI US Equity","IS_EPS","FQ3 2022","FQ3 2022","Currency=USD","Period=FQ","BEST_FPERIOD_OVERRIDE=FQ","FILING_STATUS=MR","FA_ADJUSTED=GAAP","Sort=A","Dates=H","DateFormat=P","Fill=—","Direction=H","UseDPDF=Y")</f>
        <v>-0.56999999999999995</v>
      </c>
      <c r="Q47" s="20">
        <f>_xll.BDH("ITCI US Equity","IS_EPS","FQ4 2022","FQ4 2022","Currency=USD","Period=FQ","BEST_FPERIOD_OVERRIDE=FQ","FILING_STATUS=MR","FA_ADJUSTED=GAAP","Sort=A","Dates=H","DateFormat=P","Fill=—","Direction=H","UseDPDF=Y")</f>
        <v>-0.45</v>
      </c>
      <c r="R47" s="20">
        <f>_xll.BDH("ITCI US Equity","IS_EPS","FQ1 2023","FQ1 2023","Currency=USD","Period=FQ","BEST_FPERIOD_OVERRIDE=FQ","FILING_STATUS=MR","FA_ADJUSTED=GAAP","Sort=A","Dates=H","DateFormat=P","Fill=—","Direction=H","UseDPDF=Y")</f>
        <v>-0.46</v>
      </c>
      <c r="S47" s="20">
        <f>_xll.BDH("ITCI US Equity","IS_EPS","FQ2 2023","FQ2 2023","Currency=USD","Period=FQ","BEST_FPERIOD_OVERRIDE=FQ","FILING_STATUS=MR","FA_ADJUSTED=GAAP","Sort=A","Dates=H","DateFormat=P","Fill=—","Direction=H","UseDPDF=Y")</f>
        <v>-0.45</v>
      </c>
      <c r="T47" s="20">
        <f>_xll.BDH("ITCI US Equity","IS_EPS","FQ3 2023","FQ3 2023","Currency=USD","Period=FQ","BEST_FPERIOD_OVERRIDE=FQ","FILING_STATUS=MR","FA_ADJUSTED=GAAP","Sort=A","Dates=H","DateFormat=P","Fill=—","Direction=H","UseDPDF=Y")</f>
        <v>-0.25</v>
      </c>
      <c r="U47" s="20">
        <f>_xll.BDH("ITCI US Equity","IS_EPS","FQ4 2023","FQ4 2023","Currency=USD","Period=FQ","BEST_FPERIOD_OVERRIDE=FQ","FILING_STATUS=MR","FA_ADJUSTED=GAAP","Sort=A","Dates=H","DateFormat=P","Fill=—","Direction=H","UseDPDF=Y")</f>
        <v>-0.3</v>
      </c>
      <c r="V47" s="20">
        <f>_xll.BDH("ITCI US Equity","IS_EPS","FQ1 2024","FQ1 2024","Currency=USD","Period=FQ","BEST_FPERIOD_OVERRIDE=FQ","FILING_STATUS=MR","FA_ADJUSTED=GAAP","Sort=A","Dates=H","DateFormat=P","Fill=—","Direction=H","UseDPDF=Y")</f>
        <v>-0.16</v>
      </c>
      <c r="W47" s="20">
        <f>_xll.BDH("ITCI US Equity","IS_EPS","FQ2 2024","FQ2 2024","Currency=USD","Period=FQ","BEST_FPERIOD_OVERRIDE=FQ","FILING_STATUS=MR","FA_ADJUSTED=GAAP","Sort=A","Dates=H","DateFormat=P","Fill=—","Direction=H","UseDPDF=Y")</f>
        <v>-0.16</v>
      </c>
      <c r="X47" s="20">
        <f>_xll.BDH("ITCI US Equity","IS_EPS","FQ3 2024","FQ3 2024","Currency=USD","Period=FQ","BEST_FPERIOD_OVERRIDE=FQ","FILING_STATUS=MR","FA_ADJUSTED=GAAP","Sort=A","Dates=H","DateFormat=P","Fill=—","Direction=H","UseDPDF=Y")</f>
        <v>-0.25</v>
      </c>
      <c r="Y47" s="20">
        <f>_xll.BDH("ITCI US Equity","IS_EPS","FQ4 2024","FQ4 2024","Currency=USD","Period=FQ","BEST_FPERIOD_OVERRIDE=FQ","FILING_STATUS=MR","FA_ADJUSTED=GAAP","Sort=A","Dates=H","DateFormat=P","Fill=—","Direction=H","UseDPDF=Y")</f>
        <v>-0.16</v>
      </c>
      <c r="Z47" s="20">
        <v>-0.10100000000000001</v>
      </c>
      <c r="AA47" s="20">
        <v>-0.02</v>
      </c>
    </row>
    <row r="48" spans="1:27" x14ac:dyDescent="0.25">
      <c r="A48" s="6" t="s">
        <v>346</v>
      </c>
      <c r="B48" s="6" t="s">
        <v>236</v>
      </c>
      <c r="C48" s="20">
        <f>_xll.BDH("ITCI US Equity","IS_EARN_BEF_XO_ITEMS_PER_SH","FQ2 2019","FQ2 2019","Currency=USD","Period=FQ","BEST_FPERIOD_OVERRIDE=FQ","FILING_STATUS=MR","Sort=A","Dates=H","DateFormat=P","Fill=—","Direction=H","UseDPDF=Y")</f>
        <v>-0.68</v>
      </c>
      <c r="D48" s="20">
        <f>_xll.BDH("ITCI US Equity","IS_EARN_BEF_XO_ITEMS_PER_SH","FQ3 2019","FQ3 2019","Currency=USD","Period=FQ","BEST_FPERIOD_OVERRIDE=FQ","FILING_STATUS=MR","Sort=A","Dates=H","DateFormat=P","Fill=—","Direction=H","UseDPDF=Y")</f>
        <v>-0.63</v>
      </c>
      <c r="E48" s="20">
        <f>_xll.BDH("ITCI US Equity","IS_EARN_BEF_XO_ITEMS_PER_SH","FQ4 2019","FQ4 2019","Currency=USD","Period=FQ","BEST_FPERIOD_OVERRIDE=FQ","FILING_STATUS=MR","Sort=A","Dates=H","DateFormat=P","Fill=—","Direction=H","UseDPDF=Y")</f>
        <v>-0.74</v>
      </c>
      <c r="F48" s="20">
        <f>_xll.BDH("ITCI US Equity","IS_EARN_BEF_XO_ITEMS_PER_SH","FQ1 2020","FQ1 2020","Currency=USD","Period=FQ","BEST_FPERIOD_OVERRIDE=FQ","FILING_STATUS=MR","Sort=A","Dates=H","DateFormat=P","Fill=—","Direction=H","UseDPDF=Y")</f>
        <v>-0.73</v>
      </c>
      <c r="G48" s="20">
        <f>_xll.BDH("ITCI US Equity","IS_EARN_BEF_XO_ITEMS_PER_SH","FQ2 2020","FQ2 2020","Currency=USD","Period=FQ","BEST_FPERIOD_OVERRIDE=FQ","FILING_STATUS=MR","Sort=A","Dates=H","DateFormat=P","Fill=—","Direction=H","UseDPDF=Y")</f>
        <v>-0.96</v>
      </c>
      <c r="H48" s="20">
        <f>_xll.BDH("ITCI US Equity","IS_EARN_BEF_XO_ITEMS_PER_SH","FQ3 2020","FQ3 2020","Currency=USD","Period=FQ","BEST_FPERIOD_OVERRIDE=FQ","FILING_STATUS=MR","Sort=A","Dates=H","DateFormat=P","Fill=—","Direction=H","UseDPDF=Y")</f>
        <v>-0.79</v>
      </c>
      <c r="I48" s="20">
        <f>_xll.BDH("ITCI US Equity","IS_EARN_BEF_XO_ITEMS_PER_SH","FQ4 2020","FQ4 2020","Currency=USD","Period=FQ","BEST_FPERIOD_OVERRIDE=FQ","FILING_STATUS=MR","Sort=A","Dates=H","DateFormat=P","Fill=—","Direction=H","UseDPDF=Y")</f>
        <v>-0.76</v>
      </c>
      <c r="J48" s="20">
        <f>_xll.BDH("ITCI US Equity","IS_EARN_BEF_XO_ITEMS_PER_SH","FQ1 2021","FQ1 2021","Currency=USD","Period=FQ","BEST_FPERIOD_OVERRIDE=FQ","FILING_STATUS=MR","Sort=A","Dates=H","DateFormat=P","Fill=—","Direction=H","UseDPDF=Y")</f>
        <v>-0.65</v>
      </c>
      <c r="K48" s="20">
        <f>_xll.BDH("ITCI US Equity","IS_EARN_BEF_XO_ITEMS_PER_SH","FQ2 2021","FQ2 2021","Currency=USD","Period=FQ","BEST_FPERIOD_OVERRIDE=FQ","FILING_STATUS=MR","Sort=A","Dates=H","DateFormat=P","Fill=—","Direction=H","UseDPDF=Y")</f>
        <v>-0.85</v>
      </c>
      <c r="L48" s="20">
        <f>_xll.BDH("ITCI US Equity","IS_EARN_BEF_XO_ITEMS_PER_SH","FQ3 2021","FQ3 2021","Currency=USD","Period=FQ","BEST_FPERIOD_OVERRIDE=FQ","FILING_STATUS=MR","Sort=A","Dates=H","DateFormat=P","Fill=—","Direction=H","UseDPDF=Y")</f>
        <v>-0.95</v>
      </c>
      <c r="M48" s="20">
        <f>_xll.BDH("ITCI US Equity","IS_EARN_BEF_XO_ITEMS_PER_SH","FQ4 2021","FQ4 2021","Currency=USD","Period=FQ","BEST_FPERIOD_OVERRIDE=FQ","FILING_STATUS=MR","Sort=A","Dates=H","DateFormat=P","Fill=—","Direction=H","UseDPDF=Y")</f>
        <v>-1.05</v>
      </c>
      <c r="N48" s="20">
        <f>_xll.BDH("ITCI US Equity","IS_EARN_BEF_XO_ITEMS_PER_SH","FQ1 2022","FQ1 2022","Currency=USD","Period=FQ","BEST_FPERIOD_OVERRIDE=FQ","FILING_STATUS=MR","Sort=A","Dates=H","DateFormat=P","Fill=—","Direction=H","UseDPDF=Y")</f>
        <v>-0.78</v>
      </c>
      <c r="O48" s="20">
        <f>_xll.BDH("ITCI US Equity","IS_EARN_BEF_XO_ITEMS_PER_SH","FQ2 2022","FQ2 2022","Currency=USD","Period=FQ","BEST_FPERIOD_OVERRIDE=FQ","FILING_STATUS=MR","Sort=A","Dates=H","DateFormat=P","Fill=—","Direction=H","UseDPDF=Y")</f>
        <v>-0.92</v>
      </c>
      <c r="P48" s="20">
        <f>_xll.BDH("ITCI US Equity","IS_EARN_BEF_XO_ITEMS_PER_SH","FQ3 2022","FQ3 2022","Currency=USD","Period=FQ","BEST_FPERIOD_OVERRIDE=FQ","FILING_STATUS=MR","Sort=A","Dates=H","DateFormat=P","Fill=—","Direction=H","UseDPDF=Y")</f>
        <v>-0.56999999999999995</v>
      </c>
      <c r="Q48" s="20">
        <f>_xll.BDH("ITCI US Equity","IS_EARN_BEF_XO_ITEMS_PER_SH","FQ4 2022","FQ4 2022","Currency=USD","Period=FQ","BEST_FPERIOD_OVERRIDE=FQ","FILING_STATUS=MR","Sort=A","Dates=H","DateFormat=P","Fill=—","Direction=H","UseDPDF=Y")</f>
        <v>-0.45</v>
      </c>
      <c r="R48" s="20">
        <f>_xll.BDH("ITCI US Equity","IS_EARN_BEF_XO_ITEMS_PER_SH","FQ1 2023","FQ1 2023","Currency=USD","Period=FQ","BEST_FPERIOD_OVERRIDE=FQ","FILING_STATUS=MR","Sort=A","Dates=H","DateFormat=P","Fill=—","Direction=H","UseDPDF=Y")</f>
        <v>-0.46</v>
      </c>
      <c r="S48" s="20">
        <f>_xll.BDH("ITCI US Equity","IS_EARN_BEF_XO_ITEMS_PER_SH","FQ2 2023","FQ2 2023","Currency=USD","Period=FQ","BEST_FPERIOD_OVERRIDE=FQ","FILING_STATUS=MR","Sort=A","Dates=H","DateFormat=P","Fill=—","Direction=H","UseDPDF=Y")</f>
        <v>-0.45</v>
      </c>
      <c r="T48" s="20">
        <f>_xll.BDH("ITCI US Equity","IS_EARN_BEF_XO_ITEMS_PER_SH","FQ3 2023","FQ3 2023","Currency=USD","Period=FQ","BEST_FPERIOD_OVERRIDE=FQ","FILING_STATUS=MR","Sort=A","Dates=H","DateFormat=P","Fill=—","Direction=H","UseDPDF=Y")</f>
        <v>-0.25</v>
      </c>
      <c r="U48" s="20">
        <f>_xll.BDH("ITCI US Equity","IS_EARN_BEF_XO_ITEMS_PER_SH","FQ4 2023","FQ4 2023","Currency=USD","Period=FQ","BEST_FPERIOD_OVERRIDE=FQ","FILING_STATUS=MR","Sort=A","Dates=H","DateFormat=P","Fill=—","Direction=H","UseDPDF=Y")</f>
        <v>-0.3</v>
      </c>
      <c r="V48" s="20">
        <f>_xll.BDH("ITCI US Equity","IS_EARN_BEF_XO_ITEMS_PER_SH","FQ1 2024","FQ1 2024","Currency=USD","Period=FQ","BEST_FPERIOD_OVERRIDE=FQ","FILING_STATUS=MR","Sort=A","Dates=H","DateFormat=P","Fill=—","Direction=H","UseDPDF=Y")</f>
        <v>-0.16</v>
      </c>
      <c r="W48" s="20">
        <f>_xll.BDH("ITCI US Equity","IS_EARN_BEF_XO_ITEMS_PER_SH","FQ2 2024","FQ2 2024","Currency=USD","Period=FQ","BEST_FPERIOD_OVERRIDE=FQ","FILING_STATUS=MR","Sort=A","Dates=H","DateFormat=P","Fill=—","Direction=H","UseDPDF=Y")</f>
        <v>-0.16</v>
      </c>
      <c r="X48" s="20">
        <f>_xll.BDH("ITCI US Equity","IS_EARN_BEF_XO_ITEMS_PER_SH","FQ3 2024","FQ3 2024","Currency=USD","Period=FQ","BEST_FPERIOD_OVERRIDE=FQ","FILING_STATUS=MR","Sort=A","Dates=H","DateFormat=P","Fill=—","Direction=H","UseDPDF=Y")</f>
        <v>-0.25</v>
      </c>
      <c r="Y48" s="20">
        <f>_xll.BDH("ITCI US Equity","IS_EARN_BEF_XO_ITEMS_PER_SH","FQ4 2024","FQ4 2024","Currency=USD","Period=FQ","BEST_FPERIOD_OVERRIDE=FQ","FILING_STATUS=MR","Sort=A","Dates=H","DateFormat=P","Fill=—","Direction=H","UseDPDF=Y")</f>
        <v>-0.16</v>
      </c>
      <c r="Z48" s="20">
        <v>-0.10100000000000001</v>
      </c>
      <c r="AA48" s="20">
        <v>-0.02</v>
      </c>
    </row>
    <row r="49" spans="1:27" x14ac:dyDescent="0.25">
      <c r="A49" s="6" t="s">
        <v>347</v>
      </c>
      <c r="B49" s="6" t="s">
        <v>238</v>
      </c>
      <c r="C49" s="20">
        <f>_xll.BDH("ITCI US Equity","IS_BASIC_EPS_CONT_OPS","FQ2 2019","FQ2 2019","Currency=USD","Period=FQ","BEST_FPERIOD_OVERRIDE=FQ","FILING_STATUS=MR","Sort=A","Dates=H","DateFormat=P","Fill=—","Direction=H","UseDPDF=Y")</f>
        <v>-0.68</v>
      </c>
      <c r="D49" s="20">
        <f>_xll.BDH("ITCI US Equity","IS_BASIC_EPS_CONT_OPS","FQ3 2019","FQ3 2019","Currency=USD","Period=FQ","BEST_FPERIOD_OVERRIDE=FQ","FILING_STATUS=MR","Sort=A","Dates=H","DateFormat=P","Fill=—","Direction=H","UseDPDF=Y")</f>
        <v>-0.63</v>
      </c>
      <c r="E49" s="20">
        <f>_xll.BDH("ITCI US Equity","IS_BASIC_EPS_CONT_OPS","FQ4 2019","FQ4 2019","Currency=USD","Period=FQ","BEST_FPERIOD_OVERRIDE=FQ","FILING_STATUS=MR","Sort=A","Dates=H","DateFormat=P","Fill=—","Direction=H","UseDPDF=Y")</f>
        <v>-0.74</v>
      </c>
      <c r="F49" s="20">
        <f>_xll.BDH("ITCI US Equity","IS_BASIC_EPS_CONT_OPS","FQ1 2020","FQ1 2020","Currency=USD","Period=FQ","BEST_FPERIOD_OVERRIDE=FQ","FILING_STATUS=MR","Sort=A","Dates=H","DateFormat=P","Fill=—","Direction=H","UseDPDF=Y")</f>
        <v>-0.73</v>
      </c>
      <c r="G49" s="20">
        <f>_xll.BDH("ITCI US Equity","IS_BASIC_EPS_CONT_OPS","FQ2 2020","FQ2 2020","Currency=USD","Period=FQ","BEST_FPERIOD_OVERRIDE=FQ","FILING_STATUS=MR","Sort=A","Dates=H","DateFormat=P","Fill=—","Direction=H","UseDPDF=Y")</f>
        <v>-0.96</v>
      </c>
      <c r="H49" s="20">
        <f>_xll.BDH("ITCI US Equity","IS_BASIC_EPS_CONT_OPS","FQ3 2020","FQ3 2020","Currency=USD","Period=FQ","BEST_FPERIOD_OVERRIDE=FQ","FILING_STATUS=MR","Sort=A","Dates=H","DateFormat=P","Fill=—","Direction=H","UseDPDF=Y")</f>
        <v>-0.79</v>
      </c>
      <c r="I49" s="20">
        <f>_xll.BDH("ITCI US Equity","IS_BASIC_EPS_CONT_OPS","FQ4 2020","FQ4 2020","Currency=USD","Period=FQ","BEST_FPERIOD_OVERRIDE=FQ","FILING_STATUS=MR","Sort=A","Dates=H","DateFormat=P","Fill=—","Direction=H","UseDPDF=Y")</f>
        <v>-0.76</v>
      </c>
      <c r="J49" s="20">
        <f>_xll.BDH("ITCI US Equity","IS_BASIC_EPS_CONT_OPS","FQ1 2021","FQ1 2021","Currency=USD","Period=FQ","BEST_FPERIOD_OVERRIDE=FQ","FILING_STATUS=MR","Sort=A","Dates=H","DateFormat=P","Fill=—","Direction=H","UseDPDF=Y")</f>
        <v>-0.65</v>
      </c>
      <c r="K49" s="20">
        <f>_xll.BDH("ITCI US Equity","IS_BASIC_EPS_CONT_OPS","FQ2 2021","FQ2 2021","Currency=USD","Period=FQ","BEST_FPERIOD_OVERRIDE=FQ","FILING_STATUS=MR","Sort=A","Dates=H","DateFormat=P","Fill=—","Direction=H","UseDPDF=Y")</f>
        <v>-0.85</v>
      </c>
      <c r="L49" s="20">
        <f>_xll.BDH("ITCI US Equity","IS_BASIC_EPS_CONT_OPS","FQ3 2021","FQ3 2021","Currency=USD","Period=FQ","BEST_FPERIOD_OVERRIDE=FQ","FILING_STATUS=MR","Sort=A","Dates=H","DateFormat=P","Fill=—","Direction=H","UseDPDF=Y")</f>
        <v>-0.95</v>
      </c>
      <c r="M49" s="20">
        <f>_xll.BDH("ITCI US Equity","IS_BASIC_EPS_CONT_OPS","FQ4 2021","FQ4 2021","Currency=USD","Period=FQ","BEST_FPERIOD_OVERRIDE=FQ","FILING_STATUS=MR","Sort=A","Dates=H","DateFormat=P","Fill=—","Direction=H","UseDPDF=Y")</f>
        <v>-1.05</v>
      </c>
      <c r="N49" s="20">
        <f>_xll.BDH("ITCI US Equity","IS_BASIC_EPS_CONT_OPS","FQ1 2022","FQ1 2022","Currency=USD","Period=FQ","BEST_FPERIOD_OVERRIDE=FQ","FILING_STATUS=MR","Sort=A","Dates=H","DateFormat=P","Fill=—","Direction=H","UseDPDF=Y")</f>
        <v>-0.78</v>
      </c>
      <c r="O49" s="20">
        <f>_xll.BDH("ITCI US Equity","IS_BASIC_EPS_CONT_OPS","FQ2 2022","FQ2 2022","Currency=USD","Period=FQ","BEST_FPERIOD_OVERRIDE=FQ","FILING_STATUS=MR","Sort=A","Dates=H","DateFormat=P","Fill=—","Direction=H","UseDPDF=Y")</f>
        <v>-0.92</v>
      </c>
      <c r="P49" s="20">
        <f>_xll.BDH("ITCI US Equity","IS_BASIC_EPS_CONT_OPS","FQ3 2022","FQ3 2022","Currency=USD","Period=FQ","BEST_FPERIOD_OVERRIDE=FQ","FILING_STATUS=MR","Sort=A","Dates=H","DateFormat=P","Fill=—","Direction=H","UseDPDF=Y")</f>
        <v>-0.56999999999999995</v>
      </c>
      <c r="Q49" s="20">
        <f>_xll.BDH("ITCI US Equity","IS_BASIC_EPS_CONT_OPS","FQ4 2022","FQ4 2022","Currency=USD","Period=FQ","BEST_FPERIOD_OVERRIDE=FQ","FILING_STATUS=MR","Sort=A","Dates=H","DateFormat=P","Fill=—","Direction=H","UseDPDF=Y")</f>
        <v>-0.45</v>
      </c>
      <c r="R49" s="20">
        <f>_xll.BDH("ITCI US Equity","IS_BASIC_EPS_CONT_OPS","FQ1 2023","FQ1 2023","Currency=USD","Period=FQ","BEST_FPERIOD_OVERRIDE=FQ","FILING_STATUS=MR","Sort=A","Dates=H","DateFormat=P","Fill=—","Direction=H","UseDPDF=Y")</f>
        <v>-0.46</v>
      </c>
      <c r="S49" s="20">
        <f>_xll.BDH("ITCI US Equity","IS_BASIC_EPS_CONT_OPS","FQ2 2023","FQ2 2023","Currency=USD","Period=FQ","BEST_FPERIOD_OVERRIDE=FQ","FILING_STATUS=MR","Sort=A","Dates=H","DateFormat=P","Fill=—","Direction=H","UseDPDF=Y")</f>
        <v>-0.45</v>
      </c>
      <c r="T49" s="20">
        <f>_xll.BDH("ITCI US Equity","IS_BASIC_EPS_CONT_OPS","FQ3 2023","FQ3 2023","Currency=USD","Period=FQ","BEST_FPERIOD_OVERRIDE=FQ","FILING_STATUS=MR","Sort=A","Dates=H","DateFormat=P","Fill=—","Direction=H","UseDPDF=Y")</f>
        <v>-0.25</v>
      </c>
      <c r="U49" s="20">
        <f>_xll.BDH("ITCI US Equity","IS_BASIC_EPS_CONT_OPS","FQ4 2023","FQ4 2023","Currency=USD","Period=FQ","BEST_FPERIOD_OVERRIDE=FQ","FILING_STATUS=MR","Sort=A","Dates=H","DateFormat=P","Fill=—","Direction=H","UseDPDF=Y")</f>
        <v>-0.3</v>
      </c>
      <c r="V49" s="20">
        <f>_xll.BDH("ITCI US Equity","IS_BASIC_EPS_CONT_OPS","FQ1 2024","FQ1 2024","Currency=USD","Period=FQ","BEST_FPERIOD_OVERRIDE=FQ","FILING_STATUS=MR","Sort=A","Dates=H","DateFormat=P","Fill=—","Direction=H","UseDPDF=Y")</f>
        <v>-0.16</v>
      </c>
      <c r="W49" s="20">
        <f>_xll.BDH("ITCI US Equity","IS_BASIC_EPS_CONT_OPS","FQ2 2024","FQ2 2024","Currency=USD","Period=FQ","BEST_FPERIOD_OVERRIDE=FQ","FILING_STATUS=MR","Sort=A","Dates=H","DateFormat=P","Fill=—","Direction=H","UseDPDF=Y")</f>
        <v>-0.16</v>
      </c>
      <c r="X49" s="20">
        <f>_xll.BDH("ITCI US Equity","IS_BASIC_EPS_CONT_OPS","FQ3 2024","FQ3 2024","Currency=USD","Period=FQ","BEST_FPERIOD_OVERRIDE=FQ","FILING_STATUS=MR","Sort=A","Dates=H","DateFormat=P","Fill=—","Direction=H","UseDPDF=Y")</f>
        <v>-0.25</v>
      </c>
      <c r="Y49" s="20">
        <f>_xll.BDH("ITCI US Equity","IS_BASIC_EPS_CONT_OPS","FQ4 2024","FQ4 2024","Currency=USD","Period=FQ","BEST_FPERIOD_OVERRIDE=FQ","FILING_STATUS=MR","Sort=A","Dates=H","DateFormat=P","Fill=—","Direction=H","UseDPDF=Y")</f>
        <v>-0.16</v>
      </c>
      <c r="Z49" s="20">
        <v>-0.10100000000000001</v>
      </c>
      <c r="AA49" s="20">
        <v>-0.02</v>
      </c>
    </row>
    <row r="50" spans="1:27" x14ac:dyDescent="0.25">
      <c r="A50" s="6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 x14ac:dyDescent="0.25">
      <c r="A51" s="10" t="s">
        <v>228</v>
      </c>
      <c r="B51" s="10" t="s">
        <v>108</v>
      </c>
      <c r="C51" s="13">
        <f>_xll.BDH("ITCI US Equity","IS_SH_FOR_DILUTED_EPS","FQ2 2019","FQ2 2019","Currency=USD","Period=FQ","BEST_FPERIOD_OVERRIDE=FQ","FILING_STATUS=MR","Sort=A","Dates=H","DateFormat=P","Fill=—","Direction=H","UseDPDF=Y")</f>
        <v>55.145899999999997</v>
      </c>
      <c r="D51" s="13">
        <f>_xll.BDH("ITCI US Equity","IS_SH_FOR_DILUTED_EPS","FQ3 2019","FQ3 2019","Currency=USD","Period=FQ","BEST_FPERIOD_OVERRIDE=FQ","FILING_STATUS=MR","Sort=A","Dates=H","DateFormat=P","Fill=—","Direction=H","UseDPDF=Y")</f>
        <v>55.2074</v>
      </c>
      <c r="E51" s="13">
        <f>_xll.BDH("ITCI US Equity","IS_SH_FOR_DILUTED_EPS","FQ4 2019","FQ4 2019","Currency=USD","Period=FQ","BEST_FPERIOD_OVERRIDE=FQ","FILING_STATUS=MR","Sort=A","Dates=H","DateFormat=P","Fill=—","Direction=H","UseDPDF=Y")</f>
        <v>55.276299999999999</v>
      </c>
      <c r="F51" s="13">
        <f>_xll.BDH("ITCI US Equity","IS_SH_FOR_DILUTED_EPS","FQ1 2020","FQ1 2020","Currency=USD","Period=FQ","BEST_FPERIOD_OVERRIDE=FQ","FILING_STATUS=MR","Sort=A","Dates=H","DateFormat=P","Fill=—","Direction=H","UseDPDF=Y")</f>
        <v>65.106099999999998</v>
      </c>
      <c r="G51" s="13">
        <f>_xll.BDH("ITCI US Equity","IS_SH_FOR_DILUTED_EPS","FQ2 2020","FQ2 2020","Currency=USD","Period=FQ","BEST_FPERIOD_OVERRIDE=FQ","FILING_STATUS=MR","Sort=A","Dates=H","DateFormat=P","Fill=—","Direction=H","UseDPDF=Y")</f>
        <v>66.429400000000001</v>
      </c>
      <c r="H51" s="13">
        <f>_xll.BDH("ITCI US Equity","IS_SH_FOR_DILUTED_EPS","FQ3 2020","FQ3 2020","Currency=USD","Period=FQ","BEST_FPERIOD_OVERRIDE=FQ","FILING_STATUS=MR","Sort=A","Dates=H","DateFormat=P","Fill=—","Direction=H","UseDPDF=Y")</f>
        <v>69.53</v>
      </c>
      <c r="I51" s="13">
        <f>_xll.BDH("ITCI US Equity","IS_SH_FOR_DILUTED_EPS","FQ4 2020","FQ4 2020","Currency=USD","Period=FQ","BEST_FPERIOD_OVERRIDE=FQ","FILING_STATUS=MR","Sort=A","Dates=H","DateFormat=P","Fill=—","Direction=H","UseDPDF=Y")</f>
        <v>80.293800000000005</v>
      </c>
      <c r="J51" s="13">
        <f>_xll.BDH("ITCI US Equity","IS_SH_FOR_DILUTED_EPS","FQ1 2021","FQ1 2021","Currency=USD","Period=FQ","BEST_FPERIOD_OVERRIDE=FQ","FILING_STATUS=MR","Sort=A","Dates=H","DateFormat=P","Fill=—","Direction=H","UseDPDF=Y")</f>
        <v>80.9465</v>
      </c>
      <c r="K51" s="13">
        <f>_xll.BDH("ITCI US Equity","IS_SH_FOR_DILUTED_EPS","FQ2 2021","FQ2 2021","Currency=USD","Period=FQ","BEST_FPERIOD_OVERRIDE=FQ","FILING_STATUS=MR","Sort=A","Dates=H","DateFormat=P","Fill=—","Direction=H","UseDPDF=Y")</f>
        <v>81.229799999999997</v>
      </c>
      <c r="L51" s="13">
        <f>_xll.BDH("ITCI US Equity","IS_SH_FOR_DILUTED_EPS","FQ3 2021","FQ3 2021","Currency=USD","Period=FQ","BEST_FPERIOD_OVERRIDE=FQ","FILING_STATUS=MR","Sort=A","Dates=H","DateFormat=P","Fill=—","Direction=H","UseDPDF=Y")</f>
        <v>81.354699999999994</v>
      </c>
      <c r="M51" s="13">
        <f>_xll.BDH("ITCI US Equity","IS_SH_FOR_DILUTED_EPS","FQ4 2021","FQ4 2021","Currency=USD","Period=FQ","BEST_FPERIOD_OVERRIDE=FQ","FILING_STATUS=MR","Sort=A","Dates=H","DateFormat=P","Fill=—","Direction=H","UseDPDF=Y")</f>
        <v>81.475700000000003</v>
      </c>
      <c r="N51" s="13">
        <f>_xll.BDH("ITCI US Equity","IS_SH_FOR_DILUTED_EPS","FQ1 2022","FQ1 2022","Currency=USD","Period=FQ","BEST_FPERIOD_OVERRIDE=FQ","FILING_STATUS=MR","Sort=A","Dates=H","DateFormat=P","Fill=—","Direction=H","UseDPDF=Y")</f>
        <v>92.604299999999995</v>
      </c>
      <c r="O51" s="13">
        <f>_xll.BDH("ITCI US Equity","IS_SH_FOR_DILUTED_EPS","FQ2 2022","FQ2 2022","Currency=USD","Period=FQ","BEST_FPERIOD_OVERRIDE=FQ","FILING_STATUS=MR","Sort=A","Dates=H","DateFormat=P","Fill=—","Direction=H","UseDPDF=Y")</f>
        <v>94.2851</v>
      </c>
      <c r="P51" s="13">
        <f>_xll.BDH("ITCI US Equity","IS_SH_FOR_DILUTED_EPS","FQ3 2022","FQ3 2022","Currency=USD","Period=FQ","BEST_FPERIOD_OVERRIDE=FQ","FILING_STATUS=MR","Sort=A","Dates=H","DateFormat=P","Fill=—","Direction=H","UseDPDF=Y")</f>
        <v>94.516800000000003</v>
      </c>
      <c r="Q51" s="13">
        <f>_xll.BDH("ITCI US Equity","IS_SH_FOR_DILUTED_EPS","FQ4 2022","FQ4 2022","Currency=USD","Period=FQ","BEST_FPERIOD_OVERRIDE=FQ","FILING_STATUS=MR","Sort=A","Dates=H","DateFormat=P","Fill=—","Direction=H","UseDPDF=Y")</f>
        <v>94.751599999999996</v>
      </c>
      <c r="R51" s="13">
        <f>_xll.BDH("ITCI US Equity","IS_SH_FOR_DILUTED_EPS","FQ1 2023","FQ1 2023","Currency=USD","Period=FQ","BEST_FPERIOD_OVERRIDE=FQ","FILING_STATUS=MR","Sort=A","Dates=H","DateFormat=P","Fill=—","Direction=H","UseDPDF=Y")</f>
        <v>95.134699999999995</v>
      </c>
      <c r="S51" s="13">
        <f>_xll.BDH("ITCI US Equity","IS_SH_FOR_DILUTED_EPS","FQ2 2023","FQ2 2023","Currency=USD","Period=FQ","BEST_FPERIOD_OVERRIDE=FQ","FILING_STATUS=MR","Sort=A","Dates=H","DateFormat=P","Fill=—","Direction=H","UseDPDF=Y")</f>
        <v>95.948099999999997</v>
      </c>
      <c r="T51" s="13">
        <f>_xll.BDH("ITCI US Equity","IS_SH_FOR_DILUTED_EPS","FQ3 2023","FQ3 2023","Currency=USD","Period=FQ","BEST_FPERIOD_OVERRIDE=FQ","FILING_STATUS=MR","Sort=A","Dates=H","DateFormat=P","Fill=—","Direction=H","UseDPDF=Y")</f>
        <v>96.143100000000004</v>
      </c>
      <c r="U51" s="13">
        <f>_xll.BDH("ITCI US Equity","IS_SH_FOR_DILUTED_EPS","FQ4 2023","FQ4 2023","Currency=USD","Period=FQ","BEST_FPERIOD_OVERRIDE=FQ","FILING_STATUS=MR","Sort=A","Dates=H","DateFormat=P","Fill=—","Direction=H","UseDPDF=Y")</f>
        <v>96.285600000000002</v>
      </c>
      <c r="V51" s="13">
        <f>_xll.BDH("ITCI US Equity","IS_SH_FOR_DILUTED_EPS","FQ1 2024","FQ1 2024","Currency=USD","Period=FQ","BEST_FPERIOD_OVERRIDE=FQ","FILING_STATUS=MR","Sort=A","Dates=H","DateFormat=P","Fill=—","Direction=H","UseDPDF=Y")</f>
        <v>96.875299999999996</v>
      </c>
      <c r="W51" s="13">
        <f>_xll.BDH("ITCI US Equity","IS_SH_FOR_DILUTED_EPS","FQ2 2024","FQ2 2024","Currency=USD","Period=FQ","BEST_FPERIOD_OVERRIDE=FQ","FILING_STATUS=MR","Sort=A","Dates=H","DateFormat=P","Fill=—","Direction=H","UseDPDF=Y")</f>
        <v>103.723</v>
      </c>
      <c r="X51" s="13">
        <f>_xll.BDH("ITCI US Equity","IS_SH_FOR_DILUTED_EPS","FQ3 2024","FQ3 2024","Currency=USD","Period=FQ","BEST_FPERIOD_OVERRIDE=FQ","FILING_STATUS=MR","Sort=A","Dates=H","DateFormat=P","Fill=—","Direction=H","UseDPDF=Y")</f>
        <v>105.7684</v>
      </c>
      <c r="Y51" s="13">
        <f>_xll.BDH("ITCI US Equity","IS_SH_FOR_DILUTED_EPS","FQ4 2024","FQ4 2024","Currency=USD","Period=FQ","BEST_FPERIOD_OVERRIDE=FQ","FILING_STATUS=MR","Sort=A","Dates=H","DateFormat=P","Fill=—","Direction=H","UseDPDF=Y")</f>
        <v>106.0958</v>
      </c>
      <c r="Z51" s="13"/>
      <c r="AA51" s="13"/>
    </row>
    <row r="52" spans="1:27" x14ac:dyDescent="0.25">
      <c r="A52" s="6" t="s">
        <v>103</v>
      </c>
      <c r="B52" s="6" t="s">
        <v>104</v>
      </c>
      <c r="C52" s="20">
        <f>_xll.BDH("ITCI US Equity","IS_DILUTED_EPS","FQ2 2019","FQ2 2019","Currency=USD","Period=FQ","BEST_FPERIOD_OVERRIDE=FQ","FILING_STATUS=MR","FA_ADJUSTED=GAAP","Sort=A","Dates=H","DateFormat=P","Fill=—","Direction=H","UseDPDF=Y")</f>
        <v>-0.68</v>
      </c>
      <c r="D52" s="20">
        <f>_xll.BDH("ITCI US Equity","IS_DILUTED_EPS","FQ3 2019","FQ3 2019","Currency=USD","Period=FQ","BEST_FPERIOD_OVERRIDE=FQ","FILING_STATUS=MR","FA_ADJUSTED=GAAP","Sort=A","Dates=H","DateFormat=P","Fill=—","Direction=H","UseDPDF=Y")</f>
        <v>-0.63</v>
      </c>
      <c r="E52" s="20">
        <f>_xll.BDH("ITCI US Equity","IS_DILUTED_EPS","FQ4 2019","FQ4 2019","Currency=USD","Period=FQ","BEST_FPERIOD_OVERRIDE=FQ","FILING_STATUS=MR","FA_ADJUSTED=GAAP","Sort=A","Dates=H","DateFormat=P","Fill=—","Direction=H","UseDPDF=Y")</f>
        <v>-0.74</v>
      </c>
      <c r="F52" s="20">
        <f>_xll.BDH("ITCI US Equity","IS_DILUTED_EPS","FQ1 2020","FQ1 2020","Currency=USD","Period=FQ","BEST_FPERIOD_OVERRIDE=FQ","FILING_STATUS=MR","FA_ADJUSTED=GAAP","Sort=A","Dates=H","DateFormat=P","Fill=—","Direction=H","UseDPDF=Y")</f>
        <v>-0.73</v>
      </c>
      <c r="G52" s="20">
        <f>_xll.BDH("ITCI US Equity","IS_DILUTED_EPS","FQ2 2020","FQ2 2020","Currency=USD","Period=FQ","BEST_FPERIOD_OVERRIDE=FQ","FILING_STATUS=MR","FA_ADJUSTED=GAAP","Sort=A","Dates=H","DateFormat=P","Fill=—","Direction=H","UseDPDF=Y")</f>
        <v>-0.96</v>
      </c>
      <c r="H52" s="20">
        <f>_xll.BDH("ITCI US Equity","IS_DILUTED_EPS","FQ3 2020","FQ3 2020","Currency=USD","Period=FQ","BEST_FPERIOD_OVERRIDE=FQ","FILING_STATUS=MR","FA_ADJUSTED=GAAP","Sort=A","Dates=H","DateFormat=P","Fill=—","Direction=H","UseDPDF=Y")</f>
        <v>-0.79</v>
      </c>
      <c r="I52" s="20">
        <f>_xll.BDH("ITCI US Equity","IS_DILUTED_EPS","FQ4 2020","FQ4 2020","Currency=USD","Period=FQ","BEST_FPERIOD_OVERRIDE=FQ","FILING_STATUS=MR","FA_ADJUSTED=GAAP","Sort=A","Dates=H","DateFormat=P","Fill=—","Direction=H","UseDPDF=Y")</f>
        <v>-0.76</v>
      </c>
      <c r="J52" s="20">
        <f>_xll.BDH("ITCI US Equity","IS_DILUTED_EPS","FQ1 2021","FQ1 2021","Currency=USD","Period=FQ","BEST_FPERIOD_OVERRIDE=FQ","FILING_STATUS=MR","FA_ADJUSTED=GAAP","Sort=A","Dates=H","DateFormat=P","Fill=—","Direction=H","UseDPDF=Y")</f>
        <v>-0.65</v>
      </c>
      <c r="K52" s="20">
        <f>_xll.BDH("ITCI US Equity","IS_DILUTED_EPS","FQ2 2021","FQ2 2021","Currency=USD","Period=FQ","BEST_FPERIOD_OVERRIDE=FQ","FILING_STATUS=MR","FA_ADJUSTED=GAAP","Sort=A","Dates=H","DateFormat=P","Fill=—","Direction=H","UseDPDF=Y")</f>
        <v>-0.85</v>
      </c>
      <c r="L52" s="20">
        <f>_xll.BDH("ITCI US Equity","IS_DILUTED_EPS","FQ3 2021","FQ3 2021","Currency=USD","Period=FQ","BEST_FPERIOD_OVERRIDE=FQ","FILING_STATUS=MR","FA_ADJUSTED=GAAP","Sort=A","Dates=H","DateFormat=P","Fill=—","Direction=H","UseDPDF=Y")</f>
        <v>-0.95</v>
      </c>
      <c r="M52" s="20">
        <f>_xll.BDH("ITCI US Equity","IS_DILUTED_EPS","FQ4 2021","FQ4 2021","Currency=USD","Period=FQ","BEST_FPERIOD_OVERRIDE=FQ","FILING_STATUS=MR","FA_ADJUSTED=GAAP","Sort=A","Dates=H","DateFormat=P","Fill=—","Direction=H","UseDPDF=Y")</f>
        <v>-1.05</v>
      </c>
      <c r="N52" s="20">
        <f>_xll.BDH("ITCI US Equity","IS_DILUTED_EPS","FQ1 2022","FQ1 2022","Currency=USD","Period=FQ","BEST_FPERIOD_OVERRIDE=FQ","FILING_STATUS=MR","FA_ADJUSTED=GAAP","Sort=A","Dates=H","DateFormat=P","Fill=—","Direction=H","UseDPDF=Y")</f>
        <v>-0.78</v>
      </c>
      <c r="O52" s="20">
        <f>_xll.BDH("ITCI US Equity","IS_DILUTED_EPS","FQ2 2022","FQ2 2022","Currency=USD","Period=FQ","BEST_FPERIOD_OVERRIDE=FQ","FILING_STATUS=MR","FA_ADJUSTED=GAAP","Sort=A","Dates=H","DateFormat=P","Fill=—","Direction=H","UseDPDF=Y")</f>
        <v>-0.92</v>
      </c>
      <c r="P52" s="20">
        <f>_xll.BDH("ITCI US Equity","IS_DILUTED_EPS","FQ3 2022","FQ3 2022","Currency=USD","Period=FQ","BEST_FPERIOD_OVERRIDE=FQ","FILING_STATUS=MR","FA_ADJUSTED=GAAP","Sort=A","Dates=H","DateFormat=P","Fill=—","Direction=H","UseDPDF=Y")</f>
        <v>-0.56999999999999995</v>
      </c>
      <c r="Q52" s="20">
        <f>_xll.BDH("ITCI US Equity","IS_DILUTED_EPS","FQ4 2022","FQ4 2022","Currency=USD","Period=FQ","BEST_FPERIOD_OVERRIDE=FQ","FILING_STATUS=MR","FA_ADJUSTED=GAAP","Sort=A","Dates=H","DateFormat=P","Fill=—","Direction=H","UseDPDF=Y")</f>
        <v>-0.45</v>
      </c>
      <c r="R52" s="20">
        <f>_xll.BDH("ITCI US Equity","IS_DILUTED_EPS","FQ1 2023","FQ1 2023","Currency=USD","Period=FQ","BEST_FPERIOD_OVERRIDE=FQ","FILING_STATUS=MR","FA_ADJUSTED=GAAP","Sort=A","Dates=H","DateFormat=P","Fill=—","Direction=H","UseDPDF=Y")</f>
        <v>-0.46</v>
      </c>
      <c r="S52" s="20">
        <f>_xll.BDH("ITCI US Equity","IS_DILUTED_EPS","FQ2 2023","FQ2 2023","Currency=USD","Period=FQ","BEST_FPERIOD_OVERRIDE=FQ","FILING_STATUS=MR","FA_ADJUSTED=GAAP","Sort=A","Dates=H","DateFormat=P","Fill=—","Direction=H","UseDPDF=Y")</f>
        <v>-0.45</v>
      </c>
      <c r="T52" s="20">
        <f>_xll.BDH("ITCI US Equity","IS_DILUTED_EPS","FQ3 2023","FQ3 2023","Currency=USD","Period=FQ","BEST_FPERIOD_OVERRIDE=FQ","FILING_STATUS=MR","FA_ADJUSTED=GAAP","Sort=A","Dates=H","DateFormat=P","Fill=—","Direction=H","UseDPDF=Y")</f>
        <v>-0.25</v>
      </c>
      <c r="U52" s="20">
        <f>_xll.BDH("ITCI US Equity","IS_DILUTED_EPS","FQ4 2023","FQ4 2023","Currency=USD","Period=FQ","BEST_FPERIOD_OVERRIDE=FQ","FILING_STATUS=MR","FA_ADJUSTED=GAAP","Sort=A","Dates=H","DateFormat=P","Fill=—","Direction=H","UseDPDF=Y")</f>
        <v>-0.3</v>
      </c>
      <c r="V52" s="20">
        <f>_xll.BDH("ITCI US Equity","IS_DILUTED_EPS","FQ1 2024","FQ1 2024","Currency=USD","Period=FQ","BEST_FPERIOD_OVERRIDE=FQ","FILING_STATUS=MR","FA_ADJUSTED=GAAP","Sort=A","Dates=H","DateFormat=P","Fill=—","Direction=H","UseDPDF=Y")</f>
        <v>-0.16</v>
      </c>
      <c r="W52" s="20">
        <f>_xll.BDH("ITCI US Equity","IS_DILUTED_EPS","FQ2 2024","FQ2 2024","Currency=USD","Period=FQ","BEST_FPERIOD_OVERRIDE=FQ","FILING_STATUS=MR","FA_ADJUSTED=GAAP","Sort=A","Dates=H","DateFormat=P","Fill=—","Direction=H","UseDPDF=Y")</f>
        <v>-0.16</v>
      </c>
      <c r="X52" s="20">
        <f>_xll.BDH("ITCI US Equity","IS_DILUTED_EPS","FQ3 2024","FQ3 2024","Currency=USD","Period=FQ","BEST_FPERIOD_OVERRIDE=FQ","FILING_STATUS=MR","FA_ADJUSTED=GAAP","Sort=A","Dates=H","DateFormat=P","Fill=—","Direction=H","UseDPDF=Y")</f>
        <v>-0.25</v>
      </c>
      <c r="Y52" s="20">
        <f>_xll.BDH("ITCI US Equity","IS_DILUTED_EPS","FQ4 2024","FQ4 2024","Currency=USD","Period=FQ","BEST_FPERIOD_OVERRIDE=FQ","FILING_STATUS=MR","FA_ADJUSTED=GAAP","Sort=A","Dates=H","DateFormat=P","Fill=—","Direction=H","UseDPDF=Y")</f>
        <v>-0.16</v>
      </c>
      <c r="Z52" s="20">
        <v>-0.10100000000000001</v>
      </c>
      <c r="AA52" s="20">
        <v>-0.02</v>
      </c>
    </row>
    <row r="53" spans="1:27" x14ac:dyDescent="0.25">
      <c r="A53" s="6" t="s">
        <v>348</v>
      </c>
      <c r="B53" s="6" t="s">
        <v>241</v>
      </c>
      <c r="C53" s="20">
        <f>_xll.BDH("ITCI US Equity","IS_DIL_EPS_BEF_XO","FQ2 2019","FQ2 2019","Currency=USD","Period=FQ","BEST_FPERIOD_OVERRIDE=FQ","FILING_STATUS=MR","Sort=A","Dates=H","DateFormat=P","Fill=—","Direction=H","UseDPDF=Y")</f>
        <v>-0.68</v>
      </c>
      <c r="D53" s="20">
        <f>_xll.BDH("ITCI US Equity","IS_DIL_EPS_BEF_XO","FQ3 2019","FQ3 2019","Currency=USD","Period=FQ","BEST_FPERIOD_OVERRIDE=FQ","FILING_STATUS=MR","Sort=A","Dates=H","DateFormat=P","Fill=—","Direction=H","UseDPDF=Y")</f>
        <v>-0.63</v>
      </c>
      <c r="E53" s="20">
        <f>_xll.BDH("ITCI US Equity","IS_DIL_EPS_BEF_XO","FQ4 2019","FQ4 2019","Currency=USD","Period=FQ","BEST_FPERIOD_OVERRIDE=FQ","FILING_STATUS=MR","Sort=A","Dates=H","DateFormat=P","Fill=—","Direction=H","UseDPDF=Y")</f>
        <v>-0.74</v>
      </c>
      <c r="F53" s="20">
        <f>_xll.BDH("ITCI US Equity","IS_DIL_EPS_BEF_XO","FQ1 2020","FQ1 2020","Currency=USD","Period=FQ","BEST_FPERIOD_OVERRIDE=FQ","FILING_STATUS=MR","Sort=A","Dates=H","DateFormat=P","Fill=—","Direction=H","UseDPDF=Y")</f>
        <v>-0.73</v>
      </c>
      <c r="G53" s="20">
        <f>_xll.BDH("ITCI US Equity","IS_DIL_EPS_BEF_XO","FQ2 2020","FQ2 2020","Currency=USD","Period=FQ","BEST_FPERIOD_OVERRIDE=FQ","FILING_STATUS=MR","Sort=A","Dates=H","DateFormat=P","Fill=—","Direction=H","UseDPDF=Y")</f>
        <v>-0.96</v>
      </c>
      <c r="H53" s="20">
        <f>_xll.BDH("ITCI US Equity","IS_DIL_EPS_BEF_XO","FQ3 2020","FQ3 2020","Currency=USD","Period=FQ","BEST_FPERIOD_OVERRIDE=FQ","FILING_STATUS=MR","Sort=A","Dates=H","DateFormat=P","Fill=—","Direction=H","UseDPDF=Y")</f>
        <v>-0.79</v>
      </c>
      <c r="I53" s="20">
        <f>_xll.BDH("ITCI US Equity","IS_DIL_EPS_BEF_XO","FQ4 2020","FQ4 2020","Currency=USD","Period=FQ","BEST_FPERIOD_OVERRIDE=FQ","FILING_STATUS=MR","Sort=A","Dates=H","DateFormat=P","Fill=—","Direction=H","UseDPDF=Y")</f>
        <v>-0.76</v>
      </c>
      <c r="J53" s="20">
        <f>_xll.BDH("ITCI US Equity","IS_DIL_EPS_BEF_XO","FQ1 2021","FQ1 2021","Currency=USD","Period=FQ","BEST_FPERIOD_OVERRIDE=FQ","FILING_STATUS=MR","Sort=A","Dates=H","DateFormat=P","Fill=—","Direction=H","UseDPDF=Y")</f>
        <v>-0.65</v>
      </c>
      <c r="K53" s="20">
        <f>_xll.BDH("ITCI US Equity","IS_DIL_EPS_BEF_XO","FQ2 2021","FQ2 2021","Currency=USD","Period=FQ","BEST_FPERIOD_OVERRIDE=FQ","FILING_STATUS=MR","Sort=A","Dates=H","DateFormat=P","Fill=—","Direction=H","UseDPDF=Y")</f>
        <v>-0.85</v>
      </c>
      <c r="L53" s="20">
        <f>_xll.BDH("ITCI US Equity","IS_DIL_EPS_BEF_XO","FQ3 2021","FQ3 2021","Currency=USD","Period=FQ","BEST_FPERIOD_OVERRIDE=FQ","FILING_STATUS=MR","Sort=A","Dates=H","DateFormat=P","Fill=—","Direction=H","UseDPDF=Y")</f>
        <v>-0.95</v>
      </c>
      <c r="M53" s="20">
        <f>_xll.BDH("ITCI US Equity","IS_DIL_EPS_BEF_XO","FQ4 2021","FQ4 2021","Currency=USD","Period=FQ","BEST_FPERIOD_OVERRIDE=FQ","FILING_STATUS=MR","Sort=A","Dates=H","DateFormat=P","Fill=—","Direction=H","UseDPDF=Y")</f>
        <v>-1.05</v>
      </c>
      <c r="N53" s="20">
        <f>_xll.BDH("ITCI US Equity","IS_DIL_EPS_BEF_XO","FQ1 2022","FQ1 2022","Currency=USD","Period=FQ","BEST_FPERIOD_OVERRIDE=FQ","FILING_STATUS=MR","Sort=A","Dates=H","DateFormat=P","Fill=—","Direction=H","UseDPDF=Y")</f>
        <v>-0.78</v>
      </c>
      <c r="O53" s="20">
        <f>_xll.BDH("ITCI US Equity","IS_DIL_EPS_BEF_XO","FQ2 2022","FQ2 2022","Currency=USD","Period=FQ","BEST_FPERIOD_OVERRIDE=FQ","FILING_STATUS=MR","Sort=A","Dates=H","DateFormat=P","Fill=—","Direction=H","UseDPDF=Y")</f>
        <v>-0.92</v>
      </c>
      <c r="P53" s="20">
        <f>_xll.BDH("ITCI US Equity","IS_DIL_EPS_BEF_XO","FQ3 2022","FQ3 2022","Currency=USD","Period=FQ","BEST_FPERIOD_OVERRIDE=FQ","FILING_STATUS=MR","Sort=A","Dates=H","DateFormat=P","Fill=—","Direction=H","UseDPDF=Y")</f>
        <v>-0.56999999999999995</v>
      </c>
      <c r="Q53" s="20">
        <f>_xll.BDH("ITCI US Equity","IS_DIL_EPS_BEF_XO","FQ4 2022","FQ4 2022","Currency=USD","Period=FQ","BEST_FPERIOD_OVERRIDE=FQ","FILING_STATUS=MR","Sort=A","Dates=H","DateFormat=P","Fill=—","Direction=H","UseDPDF=Y")</f>
        <v>-0.45</v>
      </c>
      <c r="R53" s="20">
        <f>_xll.BDH("ITCI US Equity","IS_DIL_EPS_BEF_XO","FQ1 2023","FQ1 2023","Currency=USD","Period=FQ","BEST_FPERIOD_OVERRIDE=FQ","FILING_STATUS=MR","Sort=A","Dates=H","DateFormat=P","Fill=—","Direction=H","UseDPDF=Y")</f>
        <v>-0.46</v>
      </c>
      <c r="S53" s="20">
        <f>_xll.BDH("ITCI US Equity","IS_DIL_EPS_BEF_XO","FQ2 2023","FQ2 2023","Currency=USD","Period=FQ","BEST_FPERIOD_OVERRIDE=FQ","FILING_STATUS=MR","Sort=A","Dates=H","DateFormat=P","Fill=—","Direction=H","UseDPDF=Y")</f>
        <v>-0.45</v>
      </c>
      <c r="T53" s="20">
        <f>_xll.BDH("ITCI US Equity","IS_DIL_EPS_BEF_XO","FQ3 2023","FQ3 2023","Currency=USD","Period=FQ","BEST_FPERIOD_OVERRIDE=FQ","FILING_STATUS=MR","Sort=A","Dates=H","DateFormat=P","Fill=—","Direction=H","UseDPDF=Y")</f>
        <v>-0.25</v>
      </c>
      <c r="U53" s="20">
        <f>_xll.BDH("ITCI US Equity","IS_DIL_EPS_BEF_XO","FQ4 2023","FQ4 2023","Currency=USD","Period=FQ","BEST_FPERIOD_OVERRIDE=FQ","FILING_STATUS=MR","Sort=A","Dates=H","DateFormat=P","Fill=—","Direction=H","UseDPDF=Y")</f>
        <v>-0.3</v>
      </c>
      <c r="V53" s="20">
        <f>_xll.BDH("ITCI US Equity","IS_DIL_EPS_BEF_XO","FQ1 2024","FQ1 2024","Currency=USD","Period=FQ","BEST_FPERIOD_OVERRIDE=FQ","FILING_STATUS=MR","Sort=A","Dates=H","DateFormat=P","Fill=—","Direction=H","UseDPDF=Y")</f>
        <v>-0.16</v>
      </c>
      <c r="W53" s="20">
        <f>_xll.BDH("ITCI US Equity","IS_DIL_EPS_BEF_XO","FQ2 2024","FQ2 2024","Currency=USD","Period=FQ","BEST_FPERIOD_OVERRIDE=FQ","FILING_STATUS=MR","Sort=A","Dates=H","DateFormat=P","Fill=—","Direction=H","UseDPDF=Y")</f>
        <v>-0.16</v>
      </c>
      <c r="X53" s="20">
        <f>_xll.BDH("ITCI US Equity","IS_DIL_EPS_BEF_XO","FQ3 2024","FQ3 2024","Currency=USD","Period=FQ","BEST_FPERIOD_OVERRIDE=FQ","FILING_STATUS=MR","Sort=A","Dates=H","DateFormat=P","Fill=—","Direction=H","UseDPDF=Y")</f>
        <v>-0.25</v>
      </c>
      <c r="Y53" s="20">
        <f>_xll.BDH("ITCI US Equity","IS_DIL_EPS_BEF_XO","FQ4 2024","FQ4 2024","Currency=USD","Period=FQ","BEST_FPERIOD_OVERRIDE=FQ","FILING_STATUS=MR","Sort=A","Dates=H","DateFormat=P","Fill=—","Direction=H","UseDPDF=Y")</f>
        <v>-0.16</v>
      </c>
      <c r="Z53" s="20">
        <v>-0.10100000000000001</v>
      </c>
      <c r="AA53" s="20">
        <v>-0.02</v>
      </c>
    </row>
    <row r="54" spans="1:27" x14ac:dyDescent="0.25">
      <c r="A54" s="6" t="s">
        <v>349</v>
      </c>
      <c r="B54" s="6" t="s">
        <v>82</v>
      </c>
      <c r="C54" s="20">
        <f>_xll.BDH("ITCI US Equity","IS_DIL_EPS_CONT_OPS","FQ2 2019","FQ2 2019","Currency=USD","Period=FQ","BEST_FPERIOD_OVERRIDE=FQ","FILING_STATUS=MR","Sort=A","Dates=H","DateFormat=P","Fill=—","Direction=H","UseDPDF=Y")</f>
        <v>-0.68</v>
      </c>
      <c r="D54" s="20">
        <f>_xll.BDH("ITCI US Equity","IS_DIL_EPS_CONT_OPS","FQ3 2019","FQ3 2019","Currency=USD","Period=FQ","BEST_FPERIOD_OVERRIDE=FQ","FILING_STATUS=MR","Sort=A","Dates=H","DateFormat=P","Fill=—","Direction=H","UseDPDF=Y")</f>
        <v>-0.63</v>
      </c>
      <c r="E54" s="20">
        <f>_xll.BDH("ITCI US Equity","IS_DIL_EPS_CONT_OPS","FQ4 2019","FQ4 2019","Currency=USD","Period=FQ","BEST_FPERIOD_OVERRIDE=FQ","FILING_STATUS=MR","Sort=A","Dates=H","DateFormat=P","Fill=—","Direction=H","UseDPDF=Y")</f>
        <v>-0.74</v>
      </c>
      <c r="F54" s="20">
        <f>_xll.BDH("ITCI US Equity","IS_DIL_EPS_CONT_OPS","FQ1 2020","FQ1 2020","Currency=USD","Period=FQ","BEST_FPERIOD_OVERRIDE=FQ","FILING_STATUS=MR","Sort=A","Dates=H","DateFormat=P","Fill=—","Direction=H","UseDPDF=Y")</f>
        <v>-0.73</v>
      </c>
      <c r="G54" s="20">
        <f>_xll.BDH("ITCI US Equity","IS_DIL_EPS_CONT_OPS","FQ2 2020","FQ2 2020","Currency=USD","Period=FQ","BEST_FPERIOD_OVERRIDE=FQ","FILING_STATUS=MR","Sort=A","Dates=H","DateFormat=P","Fill=—","Direction=H","UseDPDF=Y")</f>
        <v>-0.96</v>
      </c>
      <c r="H54" s="20">
        <f>_xll.BDH("ITCI US Equity","IS_DIL_EPS_CONT_OPS","FQ3 2020","FQ3 2020","Currency=USD","Period=FQ","BEST_FPERIOD_OVERRIDE=FQ","FILING_STATUS=MR","Sort=A","Dates=H","DateFormat=P","Fill=—","Direction=H","UseDPDF=Y")</f>
        <v>-0.79</v>
      </c>
      <c r="I54" s="20">
        <f>_xll.BDH("ITCI US Equity","IS_DIL_EPS_CONT_OPS","FQ4 2020","FQ4 2020","Currency=USD","Period=FQ","BEST_FPERIOD_OVERRIDE=FQ","FILING_STATUS=MR","Sort=A","Dates=H","DateFormat=P","Fill=—","Direction=H","UseDPDF=Y")</f>
        <v>-0.76</v>
      </c>
      <c r="J54" s="20">
        <f>_xll.BDH("ITCI US Equity","IS_DIL_EPS_CONT_OPS","FQ1 2021","FQ1 2021","Currency=USD","Period=FQ","BEST_FPERIOD_OVERRIDE=FQ","FILING_STATUS=MR","Sort=A","Dates=H","DateFormat=P","Fill=—","Direction=H","UseDPDF=Y")</f>
        <v>-0.65</v>
      </c>
      <c r="K54" s="20">
        <f>_xll.BDH("ITCI US Equity","IS_DIL_EPS_CONT_OPS","FQ2 2021","FQ2 2021","Currency=USD","Period=FQ","BEST_FPERIOD_OVERRIDE=FQ","FILING_STATUS=MR","Sort=A","Dates=H","DateFormat=P","Fill=—","Direction=H","UseDPDF=Y")</f>
        <v>-0.85</v>
      </c>
      <c r="L54" s="20">
        <f>_xll.BDH("ITCI US Equity","IS_DIL_EPS_CONT_OPS","FQ3 2021","FQ3 2021","Currency=USD","Period=FQ","BEST_FPERIOD_OVERRIDE=FQ","FILING_STATUS=MR","Sort=A","Dates=H","DateFormat=P","Fill=—","Direction=H","UseDPDF=Y")</f>
        <v>-0.95</v>
      </c>
      <c r="M54" s="20">
        <f>_xll.BDH("ITCI US Equity","IS_DIL_EPS_CONT_OPS","FQ4 2021","FQ4 2021","Currency=USD","Period=FQ","BEST_FPERIOD_OVERRIDE=FQ","FILING_STATUS=MR","Sort=A","Dates=H","DateFormat=P","Fill=—","Direction=H","UseDPDF=Y")</f>
        <v>-1.05</v>
      </c>
      <c r="N54" s="20">
        <f>_xll.BDH("ITCI US Equity","IS_DIL_EPS_CONT_OPS","FQ1 2022","FQ1 2022","Currency=USD","Period=FQ","BEST_FPERIOD_OVERRIDE=FQ","FILING_STATUS=MR","Sort=A","Dates=H","DateFormat=P","Fill=—","Direction=H","UseDPDF=Y")</f>
        <v>-0.78</v>
      </c>
      <c r="O54" s="20">
        <f>_xll.BDH("ITCI US Equity","IS_DIL_EPS_CONT_OPS","FQ2 2022","FQ2 2022","Currency=USD","Period=FQ","BEST_FPERIOD_OVERRIDE=FQ","FILING_STATUS=MR","Sort=A","Dates=H","DateFormat=P","Fill=—","Direction=H","UseDPDF=Y")</f>
        <v>-0.92</v>
      </c>
      <c r="P54" s="20">
        <f>_xll.BDH("ITCI US Equity","IS_DIL_EPS_CONT_OPS","FQ3 2022","FQ3 2022","Currency=USD","Period=FQ","BEST_FPERIOD_OVERRIDE=FQ","FILING_STATUS=MR","Sort=A","Dates=H","DateFormat=P","Fill=—","Direction=H","UseDPDF=Y")</f>
        <v>-0.56999999999999995</v>
      </c>
      <c r="Q54" s="20">
        <f>_xll.BDH("ITCI US Equity","IS_DIL_EPS_CONT_OPS","FQ4 2022","FQ4 2022","Currency=USD","Period=FQ","BEST_FPERIOD_OVERRIDE=FQ","FILING_STATUS=MR","Sort=A","Dates=H","DateFormat=P","Fill=—","Direction=H","UseDPDF=Y")</f>
        <v>-0.45</v>
      </c>
      <c r="R54" s="20">
        <f>_xll.BDH("ITCI US Equity","IS_DIL_EPS_CONT_OPS","FQ1 2023","FQ1 2023","Currency=USD","Period=FQ","BEST_FPERIOD_OVERRIDE=FQ","FILING_STATUS=MR","Sort=A","Dates=H","DateFormat=P","Fill=—","Direction=H","UseDPDF=Y")</f>
        <v>-0.46</v>
      </c>
      <c r="S54" s="20">
        <f>_xll.BDH("ITCI US Equity","IS_DIL_EPS_CONT_OPS","FQ2 2023","FQ2 2023","Currency=USD","Period=FQ","BEST_FPERIOD_OVERRIDE=FQ","FILING_STATUS=MR","Sort=A","Dates=H","DateFormat=P","Fill=—","Direction=H","UseDPDF=Y")</f>
        <v>-0.45</v>
      </c>
      <c r="T54" s="20">
        <f>_xll.BDH("ITCI US Equity","IS_DIL_EPS_CONT_OPS","FQ3 2023","FQ3 2023","Currency=USD","Period=FQ","BEST_FPERIOD_OVERRIDE=FQ","FILING_STATUS=MR","Sort=A","Dates=H","DateFormat=P","Fill=—","Direction=H","UseDPDF=Y")</f>
        <v>-0.25</v>
      </c>
      <c r="U54" s="20">
        <f>_xll.BDH("ITCI US Equity","IS_DIL_EPS_CONT_OPS","FQ4 2023","FQ4 2023","Currency=USD","Period=FQ","BEST_FPERIOD_OVERRIDE=FQ","FILING_STATUS=MR","Sort=A","Dates=H","DateFormat=P","Fill=—","Direction=H","UseDPDF=Y")</f>
        <v>-0.3</v>
      </c>
      <c r="V54" s="20">
        <f>_xll.BDH("ITCI US Equity","IS_DIL_EPS_CONT_OPS","FQ1 2024","FQ1 2024","Currency=USD","Period=FQ","BEST_FPERIOD_OVERRIDE=FQ","FILING_STATUS=MR","Sort=A","Dates=H","DateFormat=P","Fill=—","Direction=H","UseDPDF=Y")</f>
        <v>-0.16</v>
      </c>
      <c r="W54" s="20">
        <f>_xll.BDH("ITCI US Equity","IS_DIL_EPS_CONT_OPS","FQ2 2024","FQ2 2024","Currency=USD","Period=FQ","BEST_FPERIOD_OVERRIDE=FQ","FILING_STATUS=MR","Sort=A","Dates=H","DateFormat=P","Fill=—","Direction=H","UseDPDF=Y")</f>
        <v>-0.16</v>
      </c>
      <c r="X54" s="20">
        <f>_xll.BDH("ITCI US Equity","IS_DIL_EPS_CONT_OPS","FQ3 2024","FQ3 2024","Currency=USD","Period=FQ","BEST_FPERIOD_OVERRIDE=FQ","FILING_STATUS=MR","Sort=A","Dates=H","DateFormat=P","Fill=—","Direction=H","UseDPDF=Y")</f>
        <v>-0.25</v>
      </c>
      <c r="Y54" s="20">
        <f>_xll.BDH("ITCI US Equity","IS_DIL_EPS_CONT_OPS","FQ4 2024","FQ4 2024","Currency=USD","Period=FQ","BEST_FPERIOD_OVERRIDE=FQ","FILING_STATUS=MR","Sort=A","Dates=H","DateFormat=P","Fill=—","Direction=H","UseDPDF=Y")</f>
        <v>-0.16</v>
      </c>
      <c r="Z54" s="20">
        <v>-0.10100000000000001</v>
      </c>
      <c r="AA54" s="20">
        <v>-0.02</v>
      </c>
    </row>
    <row r="55" spans="1:27" x14ac:dyDescent="0.25">
      <c r="A55" s="6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 x14ac:dyDescent="0.25">
      <c r="A56" s="6" t="s">
        <v>4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x14ac:dyDescent="0.25">
      <c r="A57" s="10" t="s">
        <v>350</v>
      </c>
      <c r="B57" s="10" t="s">
        <v>351</v>
      </c>
      <c r="C57" s="12" t="s">
        <v>352</v>
      </c>
      <c r="D57" s="12" t="s">
        <v>352</v>
      </c>
      <c r="E57" s="12" t="s">
        <v>352</v>
      </c>
      <c r="F57" s="12" t="s">
        <v>352</v>
      </c>
      <c r="G57" s="12" t="s">
        <v>352</v>
      </c>
      <c r="H57" s="12" t="s">
        <v>352</v>
      </c>
      <c r="I57" s="12" t="s">
        <v>352</v>
      </c>
      <c r="J57" s="12" t="s">
        <v>352</v>
      </c>
      <c r="K57" s="12" t="s">
        <v>352</v>
      </c>
      <c r="L57" s="12" t="s">
        <v>352</v>
      </c>
      <c r="M57" s="12" t="s">
        <v>352</v>
      </c>
      <c r="N57" s="12" t="s">
        <v>352</v>
      </c>
      <c r="O57" s="12" t="s">
        <v>352</v>
      </c>
      <c r="P57" s="12" t="s">
        <v>352</v>
      </c>
      <c r="Q57" s="12" t="s">
        <v>352</v>
      </c>
      <c r="R57" s="12" t="s">
        <v>352</v>
      </c>
      <c r="S57" s="12" t="s">
        <v>352</v>
      </c>
      <c r="T57" s="12" t="s">
        <v>352</v>
      </c>
      <c r="U57" s="12" t="s">
        <v>352</v>
      </c>
      <c r="V57" s="12" t="s">
        <v>352</v>
      </c>
      <c r="W57" s="12" t="s">
        <v>352</v>
      </c>
      <c r="X57" s="12" t="s">
        <v>352</v>
      </c>
      <c r="Y57" s="12" t="s">
        <v>352</v>
      </c>
      <c r="Z57" s="12"/>
      <c r="AA57" s="12"/>
    </row>
    <row r="58" spans="1:27" x14ac:dyDescent="0.25">
      <c r="A58" s="10" t="s">
        <v>78</v>
      </c>
      <c r="B58" s="10" t="s">
        <v>78</v>
      </c>
      <c r="C58" s="13">
        <f>_xll.BDH("ITCI US Equity","EBITDA","FQ2 2019","FQ2 2019","Currency=USD","Period=FQ","BEST_FPERIOD_OVERRIDE=FQ","FILING_STATUS=MR","SCALING_FORMAT=MLN","FA_ADJUSTED=Adjusted","Sort=A","Dates=H","DateFormat=P","Fill=—","Direction=H","UseDPDF=Y")</f>
        <v>-38.110100000000003</v>
      </c>
      <c r="D58" s="13">
        <f>_xll.BDH("ITCI US Equity","EBITDA","FQ3 2019","FQ3 2019","Currency=USD","Period=FQ","BEST_FPERIOD_OVERRIDE=FQ","FILING_STATUS=MR","SCALING_FORMAT=MLN","FA_ADJUSTED=Adjusted","Sort=A","Dates=H","DateFormat=P","Fill=—","Direction=H","UseDPDF=Y")</f>
        <v>-35.429200000000002</v>
      </c>
      <c r="E58" s="13">
        <f>_xll.BDH("ITCI US Equity","EBITDA","FQ4 2019","FQ4 2019","Currency=USD","Period=FQ","BEST_FPERIOD_OVERRIDE=FQ","FILING_STATUS=MR","SCALING_FORMAT=MLN","FA_ADJUSTED=Adjusted","Sort=A","Dates=H","DateFormat=P","Fill=—","Direction=H","UseDPDF=Y")</f>
        <v>-40.826999999999998</v>
      </c>
      <c r="F58" s="13">
        <f>_xll.BDH("ITCI US Equity","EBITDA","FQ1 2020","FQ1 2020","Currency=USD","Period=FQ","BEST_FPERIOD_OVERRIDE=FQ","FILING_STATUS=MR","SCALING_FORMAT=MLN","FA_ADJUSTED=Adjusted","Sort=A","Dates=H","DateFormat=P","Fill=—","Direction=H","UseDPDF=Y")</f>
        <v>-48.118699999999997</v>
      </c>
      <c r="G58" s="13">
        <f>_xll.BDH("ITCI US Equity","EBITDA","FQ2 2020","FQ2 2020","Currency=USD","Period=FQ","BEST_FPERIOD_OVERRIDE=FQ","FILING_STATUS=MR","SCALING_FORMAT=MLN","FA_ADJUSTED=Adjusted","Sort=A","Dates=H","DateFormat=P","Fill=—","Direction=H","UseDPDF=Y")</f>
        <v>-63.94</v>
      </c>
      <c r="H58" s="13">
        <f>_xll.BDH("ITCI US Equity","EBITDA","FQ3 2020","FQ3 2020","Currency=USD","Period=FQ","BEST_FPERIOD_OVERRIDE=FQ","FILING_STATUS=MR","SCALING_FORMAT=MLN","FA_ADJUSTED=Adjusted","Sort=A","Dates=H","DateFormat=P","Fill=—","Direction=H","UseDPDF=Y")</f>
        <v>-55.0154</v>
      </c>
      <c r="I58" s="13">
        <f>_xll.BDH("ITCI US Equity","EBITDA","FQ4 2020","FQ4 2020","Currency=USD","Period=FQ","BEST_FPERIOD_OVERRIDE=FQ","FILING_STATUS=MR","SCALING_FORMAT=MLN","FA_ADJUSTED=Adjusted","Sort=A","Dates=H","DateFormat=P","Fill=—","Direction=H","UseDPDF=Y")</f>
        <v>-60.824300000000001</v>
      </c>
      <c r="J58" s="13">
        <f>_xll.BDH("ITCI US Equity","EBITDA","FQ1 2021","FQ1 2021","Currency=USD","Period=FQ","BEST_FPERIOD_OVERRIDE=FQ","FILING_STATUS=MR","SCALING_FORMAT=MLN","FA_ADJUSTED=Adjusted","Sort=A","Dates=H","DateFormat=P","Fill=—","Direction=H","UseDPDF=Y")</f>
        <v>-52.291699999999999</v>
      </c>
      <c r="K58" s="13">
        <f>_xll.BDH("ITCI US Equity","EBITDA","FQ2 2021","FQ2 2021","Currency=USD","Period=FQ","BEST_FPERIOD_OVERRIDE=FQ","FILING_STATUS=MR","SCALING_FORMAT=MLN","FA_ADJUSTED=Adjusted","Sort=A","Dates=H","DateFormat=P","Fill=—","Direction=H","UseDPDF=Y")</f>
        <v>-68.215500000000006</v>
      </c>
      <c r="L58" s="13">
        <f>_xll.BDH("ITCI US Equity","EBITDA","FQ3 2021","FQ3 2021","Currency=USD","Period=FQ","BEST_FPERIOD_OVERRIDE=FQ","FILING_STATUS=MR","SCALING_FORMAT=MLN","FA_ADJUSTED=Adjusted","Sort=A","Dates=H","DateFormat=P","Fill=—","Direction=H","UseDPDF=Y")</f>
        <v>-76.389899999999997</v>
      </c>
      <c r="M58" s="13">
        <f>_xll.BDH("ITCI US Equity","EBITDA","FQ4 2021","FQ4 2021","Currency=USD","Period=FQ","BEST_FPERIOD_OVERRIDE=FQ","FILING_STATUS=MR","SCALING_FORMAT=MLN","FA_ADJUSTED=Adjusted","Sort=A","Dates=H","DateFormat=P","Fill=—","Direction=H","UseDPDF=Y")</f>
        <v>-84.908799999999999</v>
      </c>
      <c r="N58" s="13">
        <f>_xll.BDH("ITCI US Equity","EBITDA","FQ1 2022","FQ1 2022","Currency=USD","Period=FQ","BEST_FPERIOD_OVERRIDE=FQ","FILING_STATUS=MR","SCALING_FORMAT=MLN","FA_ADJUSTED=Adjusted","Sort=A","Dates=H","DateFormat=P","Fill=—","Direction=H","UseDPDF=Y")</f>
        <v>-72.491</v>
      </c>
      <c r="O58" s="13">
        <f>_xll.BDH("ITCI US Equity","EBITDA","FQ2 2022","FQ2 2022","Currency=USD","Period=FQ","BEST_FPERIOD_OVERRIDE=FQ","FILING_STATUS=MR","SCALING_FORMAT=MLN","FA_ADJUSTED=Adjusted","Sort=A","Dates=H","DateFormat=P","Fill=—","Direction=H","UseDPDF=Y")</f>
        <v>-87.751000000000005</v>
      </c>
      <c r="P58" s="13">
        <f>_xll.BDH("ITCI US Equity","EBITDA","FQ3 2022","FQ3 2022","Currency=USD","Period=FQ","BEST_FPERIOD_OVERRIDE=FQ","FILING_STATUS=MR","SCALING_FORMAT=MLN","FA_ADJUSTED=Adjusted","Sort=A","Dates=H","DateFormat=P","Fill=—","Direction=H","UseDPDF=Y")</f>
        <v>-55.459000000000003</v>
      </c>
      <c r="Q58" s="13">
        <f>_xll.BDH("ITCI US Equity","EBITDA","FQ4 2022","FQ4 2022","Currency=USD","Period=FQ","BEST_FPERIOD_OVERRIDE=FQ","FILING_STATUS=MR","SCALING_FORMAT=MLN","FA_ADJUSTED=Adjusted","Sort=A","Dates=H","DateFormat=P","Fill=—","Direction=H","UseDPDF=Y")</f>
        <v>-40.064999999999998</v>
      </c>
      <c r="R58" s="13">
        <f>_xll.BDH("ITCI US Equity","EBITDA","FQ1 2023","FQ1 2023","Currency=USD","Period=FQ","BEST_FPERIOD_OVERRIDE=FQ","FILING_STATUS=MR","SCALING_FORMAT=MLN","FA_ADJUSTED=Adjusted","Sort=A","Dates=H","DateFormat=P","Fill=—","Direction=H","UseDPDF=Y")</f>
        <v>-47.173000000000002</v>
      </c>
      <c r="S58" s="13">
        <f>_xll.BDH("ITCI US Equity","EBITDA","FQ2 2023","FQ2 2023","Currency=USD","Period=FQ","BEST_FPERIOD_OVERRIDE=FQ","FILING_STATUS=MR","SCALING_FORMAT=MLN","FA_ADJUSTED=Adjusted","Sort=A","Dates=H","DateFormat=P","Fill=—","Direction=H","UseDPDF=Y")</f>
        <v>-47.055999999999997</v>
      </c>
      <c r="T58" s="13">
        <f>_xll.BDH("ITCI US Equity","EBITDA","FQ3 2023","FQ3 2023","Currency=USD","Period=FQ","BEST_FPERIOD_OVERRIDE=FQ","FILING_STATUS=MR","SCALING_FORMAT=MLN","FA_ADJUSTED=Adjusted","Sort=A","Dates=H","DateFormat=P","Fill=—","Direction=H","UseDPDF=Y")</f>
        <v>-28.66</v>
      </c>
      <c r="U58" s="13">
        <f>_xll.BDH("ITCI US Equity","EBITDA","FQ4 2023","FQ4 2023","Currency=USD","Period=FQ","BEST_FPERIOD_OVERRIDE=FQ","FILING_STATUS=MR","SCALING_FORMAT=MLN","FA_ADJUSTED=Adjusted","Sort=A","Dates=H","DateFormat=P","Fill=—","Direction=H","UseDPDF=Y")</f>
        <v>-26.276</v>
      </c>
      <c r="V58" s="13">
        <f>_xll.BDH("ITCI US Equity","EBITDA","FQ1 2024","FQ1 2024","Currency=USD","Period=FQ","BEST_FPERIOD_OVERRIDE=FQ","FILING_STATUS=MR","SCALING_FORMAT=MLN","FA_ADJUSTED=Adjusted","Sort=A","Dates=H","DateFormat=P","Fill=—","Direction=H","UseDPDF=Y")</f>
        <v>-19.879000000000001</v>
      </c>
      <c r="W58" s="13">
        <f>_xll.BDH("ITCI US Equity","EBITDA","FQ2 2024","FQ2 2024","Currency=USD","Period=FQ","BEST_FPERIOD_OVERRIDE=FQ","FILING_STATUS=MR","SCALING_FORMAT=MLN","FA_ADJUSTED=Adjusted","Sort=A","Dates=H","DateFormat=P","Fill=—","Direction=H","UseDPDF=Y")</f>
        <v>-26.561</v>
      </c>
      <c r="X58" s="13">
        <f>_xll.BDH("ITCI US Equity","EBITDA","FQ3 2024","FQ3 2024","Currency=USD","Period=FQ","BEST_FPERIOD_OVERRIDE=FQ","FILING_STATUS=MR","SCALING_FORMAT=MLN","FA_ADJUSTED=Adjusted","Sort=A","Dates=H","DateFormat=P","Fill=—","Direction=H","UseDPDF=Y")</f>
        <v>-37.658000000000001</v>
      </c>
      <c r="Y58" s="13">
        <f>_xll.BDH("ITCI US Equity","EBITDA","FQ4 2024","FQ4 2024","Currency=USD","Period=FQ","BEST_FPERIOD_OVERRIDE=FQ","FILING_STATUS=MR","SCALING_FORMAT=MLN","FA_ADJUSTED=Adjusted","Sort=A","Dates=H","DateFormat=P","Fill=—","Direction=H","UseDPDF=Y")</f>
        <v>-26.981999999999999</v>
      </c>
      <c r="Z58" s="13">
        <v>-12.73</v>
      </c>
      <c r="AA58" s="13">
        <v>-4.4800000000000004</v>
      </c>
    </row>
    <row r="59" spans="1:27" x14ac:dyDescent="0.25">
      <c r="A59" s="10" t="s">
        <v>353</v>
      </c>
      <c r="B59" s="10" t="s">
        <v>354</v>
      </c>
      <c r="C59" s="14" t="str">
        <f>_xll.BDH("ITCI US Equity","EBITDA_MARGIN","FQ2 2019","FQ2 2019","Currency=USD","Period=FQ","BEST_FPERIOD_OVERRIDE=FQ","FILING_STATUS=MR","FA_ADJUSTED=Adjusted","Sort=A","Dates=H","DateFormat=P","Fill=—","Direction=H","UseDPDF=Y")</f>
        <v>—</v>
      </c>
      <c r="D59" s="14" t="str">
        <f>_xll.BDH("ITCI US Equity","EBITDA_MARGIN","FQ3 2019","FQ3 2019","Currency=USD","Period=FQ","BEST_FPERIOD_OVERRIDE=FQ","FILING_STATUS=MR","FA_ADJUSTED=Adjusted","Sort=A","Dates=H","DateFormat=P","Fill=—","Direction=H","UseDPDF=Y")</f>
        <v>—</v>
      </c>
      <c r="E59" s="14">
        <f>_xll.BDH("ITCI US Equity","EBITDA_MARGIN","FQ4 2019","FQ4 2019","Currency=USD","Period=FQ","BEST_FPERIOD_OVERRIDE=FQ","FILING_STATUS=MR","FA_ADJUSTED=Adjusted","Sort=A","Dates=H","DateFormat=P","Fill=—","Direction=H","UseDPDF=Y")</f>
        <v>-247687.34099999999</v>
      </c>
      <c r="F59" s="14">
        <f>_xll.BDH("ITCI US Equity","EBITDA_MARGIN","FQ1 2020","FQ1 2020","Currency=USD","Period=FQ","BEST_FPERIOD_OVERRIDE=FQ","FILING_STATUS=MR","FA_ADJUSTED=Adjusted","Sort=A","Dates=H","DateFormat=P","Fill=—","Direction=H","UseDPDF=Y")</f>
        <v>-14202.088900000001</v>
      </c>
      <c r="G59" s="14">
        <f>_xll.BDH("ITCI US Equity","EBITDA_MARGIN","FQ2 2020","FQ2 2020","Currency=USD","Period=FQ","BEST_FPERIOD_OVERRIDE=FQ","FILING_STATUS=MR","FA_ADJUSTED=Adjusted","Sort=A","Dates=H","DateFormat=P","Fill=—","Direction=H","UseDPDF=Y")</f>
        <v>-6172.7864</v>
      </c>
      <c r="H59" s="14">
        <f>_xll.BDH("ITCI US Equity","EBITDA_MARGIN","FQ3 2020","FQ3 2020","Currency=USD","Period=FQ","BEST_FPERIOD_OVERRIDE=FQ","FILING_STATUS=MR","FA_ADJUSTED=Adjusted","Sort=A","Dates=H","DateFormat=P","Fill=—","Direction=H","UseDPDF=Y")</f>
        <v>-1995.3424</v>
      </c>
      <c r="I59" s="14">
        <f>_xll.BDH("ITCI US Equity","EBITDA_MARGIN","FQ4 2020","FQ4 2020","Currency=USD","Period=FQ","BEST_FPERIOD_OVERRIDE=FQ","FILING_STATUS=MR","FA_ADJUSTED=Adjusted","Sort=A","Dates=H","DateFormat=P","Fill=—","Direction=H","UseDPDF=Y")</f>
        <v>-998.98590000000002</v>
      </c>
      <c r="J59" s="14">
        <f>_xll.BDH("ITCI US Equity","EBITDA_MARGIN","FQ1 2021","FQ1 2021","Currency=USD","Period=FQ","BEST_FPERIOD_OVERRIDE=FQ","FILING_STATUS=MR","FA_ADJUSTED=Adjusted","Sort=A","Dates=H","DateFormat=P","Fill=—","Direction=H","UseDPDF=Y")</f>
        <v>-617.08270000000005</v>
      </c>
      <c r="K59" s="14">
        <f>_xll.BDH("ITCI US Equity","EBITDA_MARGIN","FQ2 2021","FQ2 2021","Currency=USD","Period=FQ","BEST_FPERIOD_OVERRIDE=FQ","FILING_STATUS=MR","FA_ADJUSTED=Adjusted","Sort=A","Dates=H","DateFormat=P","Fill=—","Direction=H","UseDPDF=Y")</f>
        <v>-423.95760000000001</v>
      </c>
      <c r="L59" s="14">
        <f>_xll.BDH("ITCI US Equity","EBITDA_MARGIN","FQ3 2021","FQ3 2021","Currency=USD","Period=FQ","BEST_FPERIOD_OVERRIDE=FQ","FILING_STATUS=MR","FA_ADJUSTED=Adjusted","Sort=A","Dates=H","DateFormat=P","Fill=—","Direction=H","UseDPDF=Y")</f>
        <v>-365.11489999999998</v>
      </c>
      <c r="M59" s="14">
        <f>_xll.BDH("ITCI US Equity","EBITDA_MARGIN","FQ4 2021","FQ4 2021","Currency=USD","Period=FQ","BEST_FPERIOD_OVERRIDE=FQ","FILING_STATUS=MR","FA_ADJUSTED=Adjusted","Sort=A","Dates=H","DateFormat=P","Fill=—","Direction=H","UseDPDF=Y")</f>
        <v>-336.27179999999998</v>
      </c>
      <c r="N59" s="14">
        <f>_xll.BDH("ITCI US Equity","EBITDA_MARGIN","FQ1 2022","FQ1 2022","Currency=USD","Period=FQ","BEST_FPERIOD_OVERRIDE=FQ","FILING_STATUS=MR","FA_ADJUSTED=Adjusted","Sort=A","Dates=H","DateFormat=P","Fill=—","Direction=H","UseDPDF=Y")</f>
        <v>-293.43490000000003</v>
      </c>
      <c r="O59" s="14">
        <f>_xll.BDH("ITCI US Equity","EBITDA_MARGIN","FQ2 2022","FQ2 2022","Currency=USD","Period=FQ","BEST_FPERIOD_OVERRIDE=FQ","FILING_STATUS=MR","FA_ADJUSTED=Adjusted","Sort=A","Dates=H","DateFormat=P","Fill=—","Direction=H","UseDPDF=Y")</f>
        <v>-232.238</v>
      </c>
      <c r="P59" s="14">
        <f>_xll.BDH("ITCI US Equity","EBITDA_MARGIN","FQ3 2022","FQ3 2022","Currency=USD","Period=FQ","BEST_FPERIOD_OVERRIDE=FQ","FILING_STATUS=MR","FA_ADJUSTED=Adjusted","Sort=A","Dates=H","DateFormat=P","Fill=—","Direction=H","UseDPDF=Y")</f>
        <v>-159.80029999999999</v>
      </c>
      <c r="Q59" s="14">
        <f>_xll.BDH("ITCI US Equity","EBITDA_MARGIN","FQ4 2022","FQ4 2022","Currency=USD","Period=FQ","BEST_FPERIOD_OVERRIDE=FQ","FILING_STATUS=MR","FA_ADJUSTED=Adjusted","Sort=A","Dates=H","DateFormat=P","Fill=—","Direction=H","UseDPDF=Y")</f>
        <v>-102.1781</v>
      </c>
      <c r="R59" s="14">
        <f>_xll.BDH("ITCI US Equity","EBITDA_MARGIN","FQ1 2023","FQ1 2023","Currency=USD","Period=FQ","BEST_FPERIOD_OVERRIDE=FQ","FILING_STATUS=MR","FA_ADJUSTED=Adjusted","Sort=A","Dates=H","DateFormat=P","Fill=—","Direction=H","UseDPDF=Y")</f>
        <v>-74.188699999999997</v>
      </c>
      <c r="S59" s="14">
        <f>_xll.BDH("ITCI US Equity","EBITDA_MARGIN","FQ2 2023","FQ2 2023","Currency=USD","Period=FQ","BEST_FPERIOD_OVERRIDE=FQ","FILING_STATUS=MR","FA_ADJUSTED=Adjusted","Sort=A","Dates=H","DateFormat=P","Fill=—","Direction=H","UseDPDF=Y")</f>
        <v>-51.868200000000002</v>
      </c>
      <c r="T59" s="14">
        <f>_xll.BDH("ITCI US Equity","EBITDA_MARGIN","FQ3 2023","FQ3 2023","Currency=USD","Period=FQ","BEST_FPERIOD_OVERRIDE=FQ","FILING_STATUS=MR","FA_ADJUSTED=Adjusted","Sort=A","Dates=H","DateFormat=P","Fill=—","Direction=H","UseDPDF=Y")</f>
        <v>-38.785600000000002</v>
      </c>
      <c r="U59" s="14">
        <f>_xll.BDH("ITCI US Equity","EBITDA_MARGIN","FQ4 2023","FQ4 2023","Currency=USD","Period=FQ","BEST_FPERIOD_OVERRIDE=FQ","FILING_STATUS=MR","FA_ADJUSTED=Adjusted","Sort=A","Dates=H","DateFormat=P","Fill=—","Direction=H","UseDPDF=Y")</f>
        <v>-32.122</v>
      </c>
      <c r="V59" s="14">
        <f>_xll.BDH("ITCI US Equity","EBITDA_MARGIN","FQ1 2024","FQ1 2024","Currency=USD","Period=FQ","BEST_FPERIOD_OVERRIDE=FQ","FILING_STATUS=MR","FA_ADJUSTED=Adjusted","Sort=A","Dates=H","DateFormat=P","Fill=—","Direction=H","UseDPDF=Y")</f>
        <v>-23.7135</v>
      </c>
      <c r="W59" s="14">
        <f>_xll.BDH("ITCI US Equity","EBITDA_MARGIN","FQ2 2024","FQ2 2024","Currency=USD","Period=FQ","BEST_FPERIOD_OVERRIDE=FQ","FILING_STATUS=MR","FA_ADJUSTED=Adjusted","Sort=A","Dates=H","DateFormat=P","Fill=—","Direction=H","UseDPDF=Y")</f>
        <v>-17.957699999999999</v>
      </c>
      <c r="X59" s="14">
        <f>_xll.BDH("ITCI US Equity","EBITDA_MARGIN","FQ3 2024","FQ3 2024","Currency=USD","Period=FQ","BEST_FPERIOD_OVERRIDE=FQ","FILING_STATUS=MR","FA_ADJUSTED=Adjusted","Sort=A","Dates=H","DateFormat=P","Fill=—","Direction=H","UseDPDF=Y")</f>
        <v>-17.984200000000001</v>
      </c>
      <c r="Y59" s="14">
        <f>_xll.BDH("ITCI US Equity","EBITDA_MARGIN","FQ4 2024","FQ4 2024","Currency=USD","Period=FQ","BEST_FPERIOD_OVERRIDE=FQ","FILING_STATUS=MR","FA_ADJUSTED=Adjusted","Sort=A","Dates=H","DateFormat=P","Fill=—","Direction=H","UseDPDF=Y")</f>
        <v>-16.314900000000002</v>
      </c>
      <c r="Z59" s="14">
        <v>-1.38240866035183</v>
      </c>
      <c r="AA59" s="14"/>
    </row>
    <row r="60" spans="1:27" x14ac:dyDescent="0.25">
      <c r="A60" s="10" t="s">
        <v>355</v>
      </c>
      <c r="B60" s="10" t="s">
        <v>355</v>
      </c>
      <c r="C60" s="13">
        <f>_xll.BDH("ITCI US Equity","EBITA","FQ2 2019","FQ2 2019","Currency=USD","Period=FQ","BEST_FPERIOD_OVERRIDE=FQ","FILING_STATUS=MR","SCALING_FORMAT=MLN","FA_ADJUSTED=Adjusted","Sort=A","Dates=H","DateFormat=P","Fill=—","Direction=H","UseDPDF=Y")</f>
        <v>-38.2151</v>
      </c>
      <c r="D60" s="13">
        <f>_xll.BDH("ITCI US Equity","EBITA","FQ3 2019","FQ3 2019","Currency=USD","Period=FQ","BEST_FPERIOD_OVERRIDE=FQ","FILING_STATUS=MR","SCALING_FORMAT=MLN","FA_ADJUSTED=Adjusted","Sort=A","Dates=H","DateFormat=P","Fill=—","Direction=H","UseDPDF=Y")</f>
        <v>-35.558199999999999</v>
      </c>
      <c r="E60" s="13">
        <f>_xll.BDH("ITCI US Equity","EBITA","FQ4 2019","FQ4 2019","Currency=USD","Period=FQ","BEST_FPERIOD_OVERRIDE=FQ","FILING_STATUS=MR","SCALING_FORMAT=MLN","FA_ADJUSTED=Adjusted","Sort=A","Dates=H","DateFormat=P","Fill=—","Direction=H","UseDPDF=Y")</f>
        <v>-40.968699999999998</v>
      </c>
      <c r="F60" s="13">
        <f>_xll.BDH("ITCI US Equity","EBITA","FQ1 2020","FQ1 2020","Currency=USD","Period=FQ","BEST_FPERIOD_OVERRIDE=FQ","FILING_STATUS=MR","SCALING_FORMAT=MLN","FA_ADJUSTED=Adjusted","Sort=A","Dates=H","DateFormat=P","Fill=—","Direction=H","UseDPDF=Y")</f>
        <v>-48.267499999999998</v>
      </c>
      <c r="G60" s="13">
        <f>_xll.BDH("ITCI US Equity","EBITA","FQ2 2020","FQ2 2020","Currency=USD","Period=FQ","BEST_FPERIOD_OVERRIDE=FQ","FILING_STATUS=MR","SCALING_FORMAT=MLN","FA_ADJUSTED=Adjusted","Sort=A","Dates=H","DateFormat=P","Fill=—","Direction=H","UseDPDF=Y")</f>
        <v>-64.072299999999998</v>
      </c>
      <c r="H60" s="13">
        <f>_xll.BDH("ITCI US Equity","EBITA","FQ3 2020","FQ3 2020","Currency=USD","Period=FQ","BEST_FPERIOD_OVERRIDE=FQ","FILING_STATUS=MR","SCALING_FORMAT=MLN","FA_ADJUSTED=Adjusted","Sort=A","Dates=H","DateFormat=P","Fill=—","Direction=H","UseDPDF=Y")</f>
        <v>-55.136499999999998</v>
      </c>
      <c r="I60" s="13">
        <f>_xll.BDH("ITCI US Equity","EBITA","FQ4 2020","FQ4 2020","Currency=USD","Period=FQ","BEST_FPERIOD_OVERRIDE=FQ","FILING_STATUS=MR","SCALING_FORMAT=MLN","FA_ADJUSTED=Adjusted","Sort=A","Dates=H","DateFormat=P","Fill=—","Direction=H","UseDPDF=Y")</f>
        <v>-60.950299999999999</v>
      </c>
      <c r="J60" s="13">
        <f>_xll.BDH("ITCI US Equity","EBITA","FQ1 2021","FQ1 2021","Currency=USD","Period=FQ","BEST_FPERIOD_OVERRIDE=FQ","FILING_STATUS=MR","SCALING_FORMAT=MLN","FA_ADJUSTED=Adjusted","Sort=A","Dates=H","DateFormat=P","Fill=—","Direction=H","UseDPDF=Y")</f>
        <v>-52.418700000000001</v>
      </c>
      <c r="K60" s="13">
        <f>_xll.BDH("ITCI US Equity","EBITA","FQ2 2021","FQ2 2021","Currency=USD","Period=FQ","BEST_FPERIOD_OVERRIDE=FQ","FILING_STATUS=MR","SCALING_FORMAT=MLN","FA_ADJUSTED=Adjusted","Sort=A","Dates=H","DateFormat=P","Fill=—","Direction=H","UseDPDF=Y")</f>
        <v>-68.341099999999997</v>
      </c>
      <c r="L60" s="13">
        <f>_xll.BDH("ITCI US Equity","EBITA","FQ3 2021","FQ3 2021","Currency=USD","Period=FQ","BEST_FPERIOD_OVERRIDE=FQ","FILING_STATUS=MR","SCALING_FORMAT=MLN","FA_ADJUSTED=Adjusted","Sort=A","Dates=H","DateFormat=P","Fill=—","Direction=H","UseDPDF=Y")</f>
        <v>-76.523799999999994</v>
      </c>
      <c r="M60" s="13">
        <f>_xll.BDH("ITCI US Equity","EBITA","FQ4 2021","FQ4 2021","Currency=USD","Period=FQ","BEST_FPERIOD_OVERRIDE=FQ","FILING_STATUS=MR","SCALING_FORMAT=MLN","FA_ADJUSTED=Adjusted","Sort=A","Dates=H","DateFormat=P","Fill=—","Direction=H","UseDPDF=Y")</f>
        <v>-85.055700000000002</v>
      </c>
      <c r="N60" s="13">
        <f>_xll.BDH("ITCI US Equity","EBITA","FQ1 2022","FQ1 2022","Currency=USD","Period=FQ","BEST_FPERIOD_OVERRIDE=FQ","FILING_STATUS=MR","SCALING_FORMAT=MLN","FA_ADJUSTED=Adjusted","Sort=A","Dates=H","DateFormat=P","Fill=—","Direction=H","UseDPDF=Y")</f>
        <v>-72.662000000000006</v>
      </c>
      <c r="O60" s="13">
        <f>_xll.BDH("ITCI US Equity","EBITA","FQ2 2022","FQ2 2022","Currency=USD","Period=FQ","BEST_FPERIOD_OVERRIDE=FQ","FILING_STATUS=MR","SCALING_FORMAT=MLN","FA_ADJUSTED=Adjusted","Sort=A","Dates=H","DateFormat=P","Fill=—","Direction=H","UseDPDF=Y")</f>
        <v>-87.923000000000002</v>
      </c>
      <c r="P60" s="13">
        <f>_xll.BDH("ITCI US Equity","EBITA","FQ3 2022","FQ3 2022","Currency=USD","Period=FQ","BEST_FPERIOD_OVERRIDE=FQ","FILING_STATUS=MR","SCALING_FORMAT=MLN","FA_ADJUSTED=Adjusted","Sort=A","Dates=H","DateFormat=P","Fill=—","Direction=H","UseDPDF=Y")</f>
        <v>-55.628999999999998</v>
      </c>
      <c r="Q60" s="13">
        <f>_xll.BDH("ITCI US Equity","EBITA","FQ4 2022","FQ4 2022","Currency=USD","Period=FQ","BEST_FPERIOD_OVERRIDE=FQ","FILING_STATUS=MR","SCALING_FORMAT=MLN","FA_ADJUSTED=Adjusted","Sort=A","Dates=H","DateFormat=P","Fill=—","Direction=H","UseDPDF=Y")</f>
        <v>-40.207999999999998</v>
      </c>
      <c r="R60" s="13">
        <f>_xll.BDH("ITCI US Equity","EBITA","FQ1 2023","FQ1 2023","Currency=USD","Period=FQ","BEST_FPERIOD_OVERRIDE=FQ","FILING_STATUS=MR","SCALING_FORMAT=MLN","FA_ADJUSTED=Adjusted","Sort=A","Dates=H","DateFormat=P","Fill=—","Direction=H","UseDPDF=Y")</f>
        <v>-47.307000000000002</v>
      </c>
      <c r="S60" s="13">
        <f>_xll.BDH("ITCI US Equity","EBITA","FQ2 2023","FQ2 2023","Currency=USD","Period=FQ","BEST_FPERIOD_OVERRIDE=FQ","FILING_STATUS=MR","SCALING_FORMAT=MLN","FA_ADJUSTED=Adjusted","Sort=A","Dates=H","DateFormat=P","Fill=—","Direction=H","UseDPDF=Y")</f>
        <v>-47.179000000000002</v>
      </c>
      <c r="T60" s="13">
        <f>_xll.BDH("ITCI US Equity","EBITA","FQ3 2023","FQ3 2023","Currency=USD","Period=FQ","BEST_FPERIOD_OVERRIDE=FQ","FILING_STATUS=MR","SCALING_FORMAT=MLN","FA_ADJUSTED=Adjusted","Sort=A","Dates=H","DateFormat=P","Fill=—","Direction=H","UseDPDF=Y")</f>
        <v>-28.795000000000002</v>
      </c>
      <c r="U60" s="13">
        <f>_xll.BDH("ITCI US Equity","EBITA","FQ4 2023","FQ4 2023","Currency=USD","Period=FQ","BEST_FPERIOD_OVERRIDE=FQ","FILING_STATUS=MR","SCALING_FORMAT=MLN","FA_ADJUSTED=Adjusted","Sort=A","Dates=H","DateFormat=P","Fill=—","Direction=H","UseDPDF=Y")</f>
        <v>-26.411999999999999</v>
      </c>
      <c r="V60" s="13">
        <f>_xll.BDH("ITCI US Equity","EBITA","FQ1 2024","FQ1 2024","Currency=USD","Period=FQ","BEST_FPERIOD_OVERRIDE=FQ","FILING_STATUS=MR","SCALING_FORMAT=MLN","FA_ADJUSTED=Adjusted","Sort=A","Dates=H","DateFormat=P","Fill=—","Direction=H","UseDPDF=Y")</f>
        <v>-20.010999999999999</v>
      </c>
      <c r="W60" s="13">
        <f>_xll.BDH("ITCI US Equity","EBITA","FQ2 2024","FQ2 2024","Currency=USD","Period=FQ","BEST_FPERIOD_OVERRIDE=FQ","FILING_STATUS=MR","SCALING_FORMAT=MLN","FA_ADJUSTED=Adjusted","Sort=A","Dates=H","DateFormat=P","Fill=—","Direction=H","UseDPDF=Y")</f>
        <v>-26.69</v>
      </c>
      <c r="X60" s="13">
        <f>_xll.BDH("ITCI US Equity","EBITA","FQ3 2024","FQ3 2024","Currency=USD","Period=FQ","BEST_FPERIOD_OVERRIDE=FQ","FILING_STATUS=MR","SCALING_FORMAT=MLN","FA_ADJUSTED=Adjusted","Sort=A","Dates=H","DateFormat=P","Fill=—","Direction=H","UseDPDF=Y")</f>
        <v>-37.795999999999999</v>
      </c>
      <c r="Y60" s="13">
        <f>_xll.BDH("ITCI US Equity","EBITA","FQ4 2024","FQ4 2024","Currency=USD","Period=FQ","BEST_FPERIOD_OVERRIDE=FQ","FILING_STATUS=MR","SCALING_FORMAT=MLN","FA_ADJUSTED=Adjusted","Sort=A","Dates=H","DateFormat=P","Fill=—","Direction=H","UseDPDF=Y")</f>
        <v>-27.091000000000001</v>
      </c>
      <c r="Z60" s="13"/>
      <c r="AA60" s="13"/>
    </row>
    <row r="61" spans="1:27" x14ac:dyDescent="0.25">
      <c r="A61" s="10" t="s">
        <v>141</v>
      </c>
      <c r="B61" s="10" t="s">
        <v>141</v>
      </c>
      <c r="C61" s="13">
        <f>_xll.BDH("ITCI US Equity","EBIT","FQ2 2019","FQ2 2019","Currency=USD","Period=FQ","BEST_FPERIOD_OVERRIDE=FQ","FILING_STATUS=MR","SCALING_FORMAT=MLN","FA_ADJUSTED=Adjusted","Sort=A","Dates=H","DateFormat=P","Fill=—","Direction=H","UseDPDF=Y")</f>
        <v>-39.171100000000003</v>
      </c>
      <c r="D61" s="13">
        <f>_xll.BDH("ITCI US Equity","EBIT","FQ3 2019","FQ3 2019","Currency=USD","Period=FQ","BEST_FPERIOD_OVERRIDE=FQ","FILING_STATUS=MR","SCALING_FORMAT=MLN","FA_ADJUSTED=Adjusted","Sort=A","Dates=H","DateFormat=P","Fill=—","Direction=H","UseDPDF=Y")</f>
        <v>-36.376199999999997</v>
      </c>
      <c r="E61" s="13">
        <f>_xll.BDH("ITCI US Equity","EBIT","FQ4 2019","FQ4 2019","Currency=USD","Period=FQ","BEST_FPERIOD_OVERRIDE=FQ","FILING_STATUS=MR","SCALING_FORMAT=MLN","FA_ADJUSTED=Adjusted","Sort=A","Dates=H","DateFormat=P","Fill=—","Direction=H","UseDPDF=Y")</f>
        <v>-41.768700000000003</v>
      </c>
      <c r="F61" s="13">
        <f>_xll.BDH("ITCI US Equity","EBIT","FQ1 2020","FQ1 2020","Currency=USD","Period=FQ","BEST_FPERIOD_OVERRIDE=FQ","FILING_STATUS=MR","SCALING_FORMAT=MLN","FA_ADJUSTED=Adjusted","Sort=A","Dates=H","DateFormat=P","Fill=—","Direction=H","UseDPDF=Y")</f>
        <v>-49.085500000000003</v>
      </c>
      <c r="G61" s="13">
        <f>_xll.BDH("ITCI US Equity","EBIT","FQ2 2020","FQ2 2020","Currency=USD","Period=FQ","BEST_FPERIOD_OVERRIDE=FQ","FILING_STATUS=MR","SCALING_FORMAT=MLN","FA_ADJUSTED=Adjusted","Sort=A","Dates=H","DateFormat=P","Fill=—","Direction=H","UseDPDF=Y")</f>
        <v>-64.872299999999996</v>
      </c>
      <c r="H61" s="13">
        <f>_xll.BDH("ITCI US Equity","EBIT","FQ3 2020","FQ3 2020","Currency=USD","Period=FQ","BEST_FPERIOD_OVERRIDE=FQ","FILING_STATUS=MR","SCALING_FORMAT=MLN","FA_ADJUSTED=Adjusted","Sort=A","Dates=H","DateFormat=P","Fill=—","Direction=H","UseDPDF=Y")</f>
        <v>-55.936500000000002</v>
      </c>
      <c r="I61" s="13">
        <f>_xll.BDH("ITCI US Equity","EBIT","FQ4 2020","FQ4 2020","Currency=USD","Period=FQ","BEST_FPERIOD_OVERRIDE=FQ","FILING_STATUS=MR","SCALING_FORMAT=MLN","FA_ADJUSTED=Adjusted","Sort=A","Dates=H","DateFormat=P","Fill=—","Direction=H","UseDPDF=Y")</f>
        <v>-61.333300000000001</v>
      </c>
      <c r="J61" s="13">
        <f>_xll.BDH("ITCI US Equity","EBIT","FQ1 2021","FQ1 2021","Currency=USD","Period=FQ","BEST_FPERIOD_OVERRIDE=FQ","FILING_STATUS=MR","SCALING_FORMAT=MLN","FA_ADJUSTED=Adjusted","Sort=A","Dates=H","DateFormat=P","Fill=—","Direction=H","UseDPDF=Y")</f>
        <v>-53.218699999999998</v>
      </c>
      <c r="K61" s="13">
        <f>_xll.BDH("ITCI US Equity","EBIT","FQ2 2021","FQ2 2021","Currency=USD","Period=FQ","BEST_FPERIOD_OVERRIDE=FQ","FILING_STATUS=MR","SCALING_FORMAT=MLN","FA_ADJUSTED=Adjusted","Sort=A","Dates=H","DateFormat=P","Fill=—","Direction=H","UseDPDF=Y")</f>
        <v>-69.141099999999994</v>
      </c>
      <c r="L61" s="13">
        <f>_xll.BDH("ITCI US Equity","EBIT","FQ3 2021","FQ3 2021","Currency=USD","Period=FQ","BEST_FPERIOD_OVERRIDE=FQ","FILING_STATUS=MR","SCALING_FORMAT=MLN","FA_ADJUSTED=Adjusted","Sort=A","Dates=H","DateFormat=P","Fill=—","Direction=H","UseDPDF=Y")</f>
        <v>-77.323800000000006</v>
      </c>
      <c r="M61" s="13">
        <f>_xll.BDH("ITCI US Equity","EBIT","FQ4 2021","FQ4 2021","Currency=USD","Period=FQ","BEST_FPERIOD_OVERRIDE=FQ","FILING_STATUS=MR","SCALING_FORMAT=MLN","FA_ADJUSTED=Adjusted","Sort=A","Dates=H","DateFormat=P","Fill=—","Direction=H","UseDPDF=Y")</f>
        <v>-86.004599999999996</v>
      </c>
      <c r="N61" s="13">
        <f>_xll.BDH("ITCI US Equity","EBIT","FQ1 2022","FQ1 2022","Currency=USD","Period=FQ","BEST_FPERIOD_OVERRIDE=FQ","FILING_STATUS=MR","SCALING_FORMAT=MLN","FA_ADJUSTED=Adjusted","Sort=A","Dates=H","DateFormat=P","Fill=—","Direction=H","UseDPDF=Y")</f>
        <v>-72.662000000000006</v>
      </c>
      <c r="O61" s="13">
        <f>_xll.BDH("ITCI US Equity","EBIT","FQ2 2022","FQ2 2022","Currency=USD","Period=FQ","BEST_FPERIOD_OVERRIDE=FQ","FILING_STATUS=MR","SCALING_FORMAT=MLN","FA_ADJUSTED=Adjusted","Sort=A","Dates=H","DateFormat=P","Fill=—","Direction=H","UseDPDF=Y")</f>
        <v>-87.923000000000002</v>
      </c>
      <c r="P61" s="13">
        <f>_xll.BDH("ITCI US Equity","EBIT","FQ3 2022","FQ3 2022","Currency=USD","Period=FQ","BEST_FPERIOD_OVERRIDE=FQ","FILING_STATUS=MR","SCALING_FORMAT=MLN","FA_ADJUSTED=Adjusted","Sort=A","Dates=H","DateFormat=P","Fill=—","Direction=H","UseDPDF=Y")</f>
        <v>-55.628999999999998</v>
      </c>
      <c r="Q61" s="13">
        <f>_xll.BDH("ITCI US Equity","EBIT","FQ4 2022","FQ4 2022","Currency=USD","Period=FQ","BEST_FPERIOD_OVERRIDE=FQ","FILING_STATUS=MR","SCALING_FORMAT=MLN","FA_ADJUSTED=Adjusted","Sort=A","Dates=H","DateFormat=P","Fill=—","Direction=H","UseDPDF=Y")</f>
        <v>-47.411999999999999</v>
      </c>
      <c r="R61" s="13">
        <f>_xll.BDH("ITCI US Equity","EBIT","FQ1 2023","FQ1 2023","Currency=USD","Period=FQ","BEST_FPERIOD_OVERRIDE=FQ","FILING_STATUS=MR","SCALING_FORMAT=MLN","FA_ADJUSTED=Adjusted","Sort=A","Dates=H","DateFormat=P","Fill=—","Direction=H","UseDPDF=Y")</f>
        <v>-48.392000000000003</v>
      </c>
      <c r="S61" s="13">
        <f>_xll.BDH("ITCI US Equity","EBIT","FQ2 2023","FQ2 2023","Currency=USD","Period=FQ","BEST_FPERIOD_OVERRIDE=FQ","FILING_STATUS=MR","SCALING_FORMAT=MLN","FA_ADJUSTED=Adjusted","Sort=A","Dates=H","DateFormat=P","Fill=—","Direction=H","UseDPDF=Y")</f>
        <v>-47.179000000000002</v>
      </c>
      <c r="T61" s="13">
        <f>_xll.BDH("ITCI US Equity","EBIT","FQ3 2023","FQ3 2023","Currency=USD","Period=FQ","BEST_FPERIOD_OVERRIDE=FQ","FILING_STATUS=MR","SCALING_FORMAT=MLN","FA_ADJUSTED=Adjusted","Sort=A","Dates=H","DateFormat=P","Fill=—","Direction=H","UseDPDF=Y")</f>
        <v>-29.713000000000001</v>
      </c>
      <c r="U61" s="13">
        <f>_xll.BDH("ITCI US Equity","EBIT","FQ4 2023","FQ4 2023","Currency=USD","Period=FQ","BEST_FPERIOD_OVERRIDE=FQ","FILING_STATUS=MR","SCALING_FORMAT=MLN","FA_ADJUSTED=Adjusted","Sort=A","Dates=H","DateFormat=P","Fill=—","Direction=H","UseDPDF=Y")</f>
        <v>-34.097000000000001</v>
      </c>
      <c r="V61" s="13">
        <f>_xll.BDH("ITCI US Equity","EBIT","FQ1 2024","FQ1 2024","Currency=USD","Period=FQ","BEST_FPERIOD_OVERRIDE=FQ","FILING_STATUS=MR","SCALING_FORMAT=MLN","FA_ADJUSTED=Adjusted","Sort=A","Dates=H","DateFormat=P","Fill=—","Direction=H","UseDPDF=Y")</f>
        <v>-20.952000000000002</v>
      </c>
      <c r="W61" s="13">
        <f>_xll.BDH("ITCI US Equity","EBIT","FQ2 2024","FQ2 2024","Currency=USD","Period=FQ","BEST_FPERIOD_OVERRIDE=FQ","FILING_STATUS=MR","SCALING_FORMAT=MLN","FA_ADJUSTED=Adjusted","Sort=A","Dates=H","DateFormat=P","Fill=—","Direction=H","UseDPDF=Y")</f>
        <v>-27.722999999999999</v>
      </c>
      <c r="X61" s="13">
        <f>_xll.BDH("ITCI US Equity","EBIT","FQ3 2024","FQ3 2024","Currency=USD","Period=FQ","BEST_FPERIOD_OVERRIDE=FQ","FILING_STATUS=MR","SCALING_FORMAT=MLN","FA_ADJUSTED=Adjusted","Sort=A","Dates=H","DateFormat=P","Fill=—","Direction=H","UseDPDF=Y")</f>
        <v>-38.848999999999997</v>
      </c>
      <c r="Y61" s="13">
        <f>_xll.BDH("ITCI US Equity","EBIT","FQ4 2024","FQ4 2024","Currency=USD","Period=FQ","BEST_FPERIOD_OVERRIDE=FQ","FILING_STATUS=MR","SCALING_FORMAT=MLN","FA_ADJUSTED=Adjusted","Sort=A","Dates=H","DateFormat=P","Fill=—","Direction=H","UseDPDF=Y")</f>
        <v>-29.196999999999999</v>
      </c>
      <c r="Z61" s="13">
        <v>-19.46</v>
      </c>
      <c r="AA61" s="13">
        <v>-14.603999999999999</v>
      </c>
    </row>
    <row r="62" spans="1:27" x14ac:dyDescent="0.25">
      <c r="A62" s="10" t="s">
        <v>356</v>
      </c>
      <c r="B62" s="10" t="s">
        <v>152</v>
      </c>
      <c r="C62" s="14" t="str">
        <f>_xll.BDH("ITCI US Equity","GROSS_MARGIN","FQ2 2019","FQ2 2019","Currency=USD","Period=FQ","BEST_FPERIOD_OVERRIDE=FQ","FILING_STATUS=MR","FA_ADJUSTED=Adjusted","Sort=A","Dates=H","DateFormat=P","Fill=—","Direction=H","UseDPDF=Y")</f>
        <v>—</v>
      </c>
      <c r="D62" s="14" t="str">
        <f>_xll.BDH("ITCI US Equity","GROSS_MARGIN","FQ3 2019","FQ3 2019","Currency=USD","Period=FQ","BEST_FPERIOD_OVERRIDE=FQ","FILING_STATUS=MR","FA_ADJUSTED=Adjusted","Sort=A","Dates=H","DateFormat=P","Fill=—","Direction=H","UseDPDF=Y")</f>
        <v>—</v>
      </c>
      <c r="E62" s="14" t="str">
        <f>_xll.BDH("ITCI US Equity","GROSS_MARGIN","FQ4 2019","FQ4 2019","Currency=USD","Period=FQ","BEST_FPERIOD_OVERRIDE=FQ","FILING_STATUS=MR","FA_ADJUSTED=Adjusted","Sort=A","Dates=H","DateFormat=P","Fill=—","Direction=H","UseDPDF=Y")</f>
        <v>—</v>
      </c>
      <c r="F62" s="14">
        <f>_xll.BDH("ITCI US Equity","GROSS_MARGIN","FQ1 2020","FQ1 2020","Currency=USD","Period=FQ","BEST_FPERIOD_OVERRIDE=FQ","FILING_STATUS=MR","FA_ADJUSTED=Adjusted","Sort=A","Dates=H","DateFormat=P","Fill=—","Direction=H","UseDPDF=Y")</f>
        <v>93.602900000000005</v>
      </c>
      <c r="G62" s="14">
        <f>_xll.BDH("ITCI US Equity","GROSS_MARGIN","FQ2 2020","FQ2 2020","Currency=USD","Period=FQ","BEST_FPERIOD_OVERRIDE=FQ","FILING_STATUS=MR","FA_ADJUSTED=Adjusted","Sort=A","Dates=H","DateFormat=P","Fill=—","Direction=H","UseDPDF=Y")</f>
        <v>93.258300000000006</v>
      </c>
      <c r="H62" s="14">
        <f>_xll.BDH("ITCI US Equity","GROSS_MARGIN","FQ3 2020","FQ3 2020","Currency=USD","Period=FQ","BEST_FPERIOD_OVERRIDE=FQ","FILING_STATUS=MR","FA_ADJUSTED=Adjusted","Sort=A","Dates=H","DateFormat=P","Fill=—","Direction=H","UseDPDF=Y")</f>
        <v>92.453000000000003</v>
      </c>
      <c r="I62" s="14">
        <f>_xll.BDH("ITCI US Equity","GROSS_MARGIN","FQ4 2020","FQ4 2020","Currency=USD","Period=FQ","BEST_FPERIOD_OVERRIDE=FQ","FILING_STATUS=MR","FA_ADJUSTED=Adjusted","Sort=A","Dates=H","DateFormat=P","Fill=—","Direction=H","UseDPDF=Y")</f>
        <v>90.837900000000005</v>
      </c>
      <c r="J62" s="14">
        <f>_xll.BDH("ITCI US Equity","GROSS_MARGIN","FQ1 2021","FQ1 2021","Currency=USD","Period=FQ","BEST_FPERIOD_OVERRIDE=FQ","FILING_STATUS=MR","FA_ADJUSTED=Adjusted","Sort=A","Dates=H","DateFormat=P","Fill=—","Direction=H","UseDPDF=Y")</f>
        <v>90.8352</v>
      </c>
      <c r="K62" s="14">
        <f>_xll.BDH("ITCI US Equity","GROSS_MARGIN","FQ2 2021","FQ2 2021","Currency=USD","Period=FQ","BEST_FPERIOD_OVERRIDE=FQ","FILING_STATUS=MR","FA_ADJUSTED=Adjusted","Sort=A","Dates=H","DateFormat=P","Fill=—","Direction=H","UseDPDF=Y")</f>
        <v>89.823499999999996</v>
      </c>
      <c r="L62" s="14">
        <f>_xll.BDH("ITCI US Equity","GROSS_MARGIN","FQ3 2021","FQ3 2021","Currency=USD","Period=FQ","BEST_FPERIOD_OVERRIDE=FQ","FILING_STATUS=MR","FA_ADJUSTED=Adjusted","Sort=A","Dates=H","DateFormat=P","Fill=—","Direction=H","UseDPDF=Y")</f>
        <v>90.988</v>
      </c>
      <c r="M62" s="14">
        <f>_xll.BDH("ITCI US Equity","GROSS_MARGIN","FQ4 2021","FQ4 2021","Currency=USD","Period=FQ","BEST_FPERIOD_OVERRIDE=FQ","FILING_STATUS=MR","FA_ADJUSTED=Adjusted","Sort=A","Dates=H","DateFormat=P","Fill=—","Direction=H","UseDPDF=Y")</f>
        <v>90.113200000000006</v>
      </c>
      <c r="N62" s="14">
        <f>_xll.BDH("ITCI US Equity","GROSS_MARGIN","FQ1 2022","FQ1 2022","Currency=USD","Period=FQ","BEST_FPERIOD_OVERRIDE=FQ","FILING_STATUS=MR","FA_ADJUSTED=Adjusted","Sort=A","Dates=H","DateFormat=P","Fill=—","Direction=H","UseDPDF=Y")</f>
        <v>90.984700000000004</v>
      </c>
      <c r="O62" s="14">
        <f>_xll.BDH("ITCI US Equity","GROSS_MARGIN","FQ2 2022","FQ2 2022","Currency=USD","Period=FQ","BEST_FPERIOD_OVERRIDE=FQ","FILING_STATUS=MR","FA_ADJUSTED=Adjusted","Sort=A","Dates=H","DateFormat=P","Fill=—","Direction=H","UseDPDF=Y")</f>
        <v>91.633499999999998</v>
      </c>
      <c r="P62" s="14">
        <f>_xll.BDH("ITCI US Equity","GROSS_MARGIN","FQ3 2022","FQ3 2022","Currency=USD","Period=FQ","BEST_FPERIOD_OVERRIDE=FQ","FILING_STATUS=MR","FA_ADJUSTED=Adjusted","Sort=A","Dates=H","DateFormat=P","Fill=—","Direction=H","UseDPDF=Y")</f>
        <v>91.860299999999995</v>
      </c>
      <c r="Q62" s="14">
        <f>_xll.BDH("ITCI US Equity","GROSS_MARGIN","FQ4 2022","FQ4 2022","Currency=USD","Period=FQ","BEST_FPERIOD_OVERRIDE=FQ","FILING_STATUS=MR","FA_ADJUSTED=Adjusted","Sort=A","Dates=H","DateFormat=P","Fill=—","Direction=H","UseDPDF=Y")</f>
        <v>92.274900000000002</v>
      </c>
      <c r="R62" s="14">
        <f>_xll.BDH("ITCI US Equity","GROSS_MARGIN","FQ1 2023","FQ1 2023","Currency=USD","Period=FQ","BEST_FPERIOD_OVERRIDE=FQ","FILING_STATUS=MR","FA_ADJUSTED=Adjusted","Sort=A","Dates=H","DateFormat=P","Fill=—","Direction=H","UseDPDF=Y")</f>
        <v>92.916499999999999</v>
      </c>
      <c r="S62" s="14">
        <f>_xll.BDH("ITCI US Equity","GROSS_MARGIN","FQ2 2023","FQ2 2023","Currency=USD","Period=FQ","BEST_FPERIOD_OVERRIDE=FQ","FILING_STATUS=MR","FA_ADJUSTED=Adjusted","Sort=A","Dates=H","DateFormat=P","Fill=—","Direction=H","UseDPDF=Y")</f>
        <v>93.534700000000001</v>
      </c>
      <c r="T62" s="14">
        <f>_xll.BDH("ITCI US Equity","GROSS_MARGIN","FQ3 2023","FQ3 2023","Currency=USD","Period=FQ","BEST_FPERIOD_OVERRIDE=FQ","FILING_STATUS=MR","FA_ADJUSTED=Adjusted","Sort=A","Dates=H","DateFormat=P","Fill=—","Direction=H","UseDPDF=Y")</f>
        <v>92.764700000000005</v>
      </c>
      <c r="U62" s="14">
        <f>_xll.BDH("ITCI US Equity","GROSS_MARGIN","FQ4 2023","FQ4 2023","Currency=USD","Period=FQ","BEST_FPERIOD_OVERRIDE=FQ","FILING_STATUS=MR","FA_ADJUSTED=Adjusted","Sort=A","Dates=H","DateFormat=P","Fill=—","Direction=H","UseDPDF=Y")</f>
        <v>91.898499999999999</v>
      </c>
      <c r="V62" s="14">
        <f>_xll.BDH("ITCI US Equity","GROSS_MARGIN","FQ1 2024","FQ1 2024","Currency=USD","Period=FQ","BEST_FPERIOD_OVERRIDE=FQ","FILING_STATUS=MR","FA_ADJUSTED=Adjusted","Sort=A","Dates=H","DateFormat=P","Fill=—","Direction=H","UseDPDF=Y")</f>
        <v>93.1661</v>
      </c>
      <c r="W62" s="14">
        <f>_xll.BDH("ITCI US Equity","GROSS_MARGIN","FQ2 2024","FQ2 2024","Currency=USD","Period=FQ","BEST_FPERIOD_OVERRIDE=FQ","FILING_STATUS=MR","FA_ADJUSTED=Adjusted","Sort=A","Dates=H","DateFormat=P","Fill=—","Direction=H","UseDPDF=Y")</f>
        <v>92.964799999999997</v>
      </c>
      <c r="X62" s="14">
        <f>_xll.BDH("ITCI US Equity","GROSS_MARGIN","FQ3 2024","FQ3 2024","Currency=USD","Period=FQ","BEST_FPERIOD_OVERRIDE=FQ","FILING_STATUS=MR","FA_ADJUSTED=Adjusted","Sort=A","Dates=H","DateFormat=P","Fill=—","Direction=H","UseDPDF=Y")</f>
        <v>91.273600000000002</v>
      </c>
      <c r="Y62" s="14">
        <f>_xll.BDH("ITCI US Equity","GROSS_MARGIN","FQ4 2024","FQ4 2024","Currency=USD","Period=FQ","BEST_FPERIOD_OVERRIDE=FQ","FILING_STATUS=MR","FA_ADJUSTED=Adjusted","Sort=A","Dates=H","DateFormat=P","Fill=—","Direction=H","UseDPDF=Y")</f>
        <v>89.7577</v>
      </c>
      <c r="Z62" s="14">
        <v>92.5</v>
      </c>
      <c r="AA62" s="14">
        <v>92.45</v>
      </c>
    </row>
    <row r="63" spans="1:27" x14ac:dyDescent="0.25">
      <c r="A63" s="10" t="s">
        <v>357</v>
      </c>
      <c r="B63" s="10" t="s">
        <v>358</v>
      </c>
      <c r="C63" s="14" t="str">
        <f>_xll.BDH("ITCI US Equity","OPER_MARGIN","FQ2 2019","FQ2 2019","Currency=USD","Period=FQ","BEST_FPERIOD_OVERRIDE=FQ","FILING_STATUS=MR","FA_ADJUSTED=Adjusted","Sort=A","Dates=H","DateFormat=P","Fill=—","Direction=H","UseDPDF=Y")</f>
        <v>—</v>
      </c>
      <c r="D63" s="14" t="str">
        <f>_xll.BDH("ITCI US Equity","OPER_MARGIN","FQ3 2019","FQ3 2019","Currency=USD","Period=FQ","BEST_FPERIOD_OVERRIDE=FQ","FILING_STATUS=MR","FA_ADJUSTED=Adjusted","Sort=A","Dates=H","DateFormat=P","Fill=—","Direction=H","UseDPDF=Y")</f>
        <v>—</v>
      </c>
      <c r="E63" s="14">
        <f>_xll.BDH("ITCI US Equity","OPER_MARGIN","FQ4 2019","FQ4 2019","Currency=USD","Period=FQ","BEST_FPERIOD_OVERRIDE=FQ","FILING_STATUS=MR","FA_ADJUSTED=Adjusted","Sort=A","Dates=H","DateFormat=P","Fill=—","Direction=H","UseDPDF=Y")</f>
        <v>-68910.397100000002</v>
      </c>
      <c r="F63" s="14">
        <f>_xll.BDH("ITCI US Equity","OPER_MARGIN","FQ1 2020","FQ1 2020","Currency=USD","Period=FQ","BEST_FPERIOD_OVERRIDE=FQ","FILING_STATUS=MR","FA_ADJUSTED=Adjusted","Sort=A","Dates=H","DateFormat=P","Fill=—","Direction=H","UseDPDF=Y")</f>
        <v>-4530.3622999999998</v>
      </c>
      <c r="G63" s="14">
        <f>_xll.BDH("ITCI US Equity","OPER_MARGIN","FQ2 2020","FQ2 2020","Currency=USD","Period=FQ","BEST_FPERIOD_OVERRIDE=FQ","FILING_STATUS=MR","FA_ADJUSTED=Adjusted","Sort=A","Dates=H","DateFormat=P","Fill=—","Direction=H","UseDPDF=Y")</f>
        <v>-3402.4490000000001</v>
      </c>
      <c r="H63" s="14">
        <f>_xll.BDH("ITCI US Equity","OPER_MARGIN","FQ3 2020","FQ3 2020","Currency=USD","Period=FQ","BEST_FPERIOD_OVERRIDE=FQ","FILING_STATUS=MR","FA_ADJUSTED=Adjusted","Sort=A","Dates=H","DateFormat=P","Fill=—","Direction=H","UseDPDF=Y")</f>
        <v>-759.11980000000005</v>
      </c>
      <c r="I63" s="14">
        <f>_xll.BDH("ITCI US Equity","OPER_MARGIN","FQ4 2020","FQ4 2020","Currency=USD","Period=FQ","BEST_FPERIOD_OVERRIDE=FQ","FILING_STATUS=MR","FA_ADJUSTED=Adjusted","Sort=A","Dates=H","DateFormat=P","Fill=—","Direction=H","UseDPDF=Y")</f>
        <v>-492.4683</v>
      </c>
      <c r="J63" s="14">
        <f>_xll.BDH("ITCI US Equity","OPER_MARGIN","FQ1 2021","FQ1 2021","Currency=USD","Period=FQ","BEST_FPERIOD_OVERRIDE=FQ","FILING_STATUS=MR","FA_ADJUSTED=Adjusted","Sort=A","Dates=H","DateFormat=P","Fill=—","Direction=H","UseDPDF=Y")</f>
        <v>-335.16559999999998</v>
      </c>
      <c r="K63" s="14">
        <f>_xll.BDH("ITCI US Equity","OPER_MARGIN","FQ2 2021","FQ2 2021","Currency=USD","Period=FQ","BEST_FPERIOD_OVERRIDE=FQ","FILING_STATUS=MR","FA_ADJUSTED=Adjusted","Sort=A","Dates=H","DateFormat=P","Fill=—","Direction=H","UseDPDF=Y")</f>
        <v>-344.90230000000003</v>
      </c>
      <c r="L63" s="14">
        <f>_xll.BDH("ITCI US Equity","OPER_MARGIN","FQ3 2021","FQ3 2021","Currency=USD","Period=FQ","BEST_FPERIOD_OVERRIDE=FQ","FILING_STATUS=MR","FA_ADJUSTED=Adjusted","Sort=A","Dates=H","DateFormat=P","Fill=—","Direction=H","UseDPDF=Y")</f>
        <v>-348.19260000000003</v>
      </c>
      <c r="M63" s="14">
        <f>_xll.BDH("ITCI US Equity","OPER_MARGIN","FQ4 2021","FQ4 2021","Currency=USD","Period=FQ","BEST_FPERIOD_OVERRIDE=FQ","FILING_STATUS=MR","FA_ADJUSTED=Adjusted","Sort=A","Dates=H","DateFormat=P","Fill=—","Direction=H","UseDPDF=Y")</f>
        <v>-335.02710000000002</v>
      </c>
      <c r="N63" s="14">
        <f>_xll.BDH("ITCI US Equity","OPER_MARGIN","FQ1 2022","FQ1 2022","Currency=USD","Period=FQ","BEST_FPERIOD_OVERRIDE=FQ","FILING_STATUS=MR","FA_ADJUSTED=Adjusted","Sort=A","Dates=H","DateFormat=P","Fill=—","Direction=H","UseDPDF=Y")</f>
        <v>-207.6294</v>
      </c>
      <c r="O63" s="14">
        <f>_xll.BDH("ITCI US Equity","OPER_MARGIN","FQ2 2022","FQ2 2022","Currency=USD","Period=FQ","BEST_FPERIOD_OVERRIDE=FQ","FILING_STATUS=MR","FA_ADJUSTED=Adjusted","Sort=A","Dates=H","DateFormat=P","Fill=—","Direction=H","UseDPDF=Y")</f>
        <v>-158.19460000000001</v>
      </c>
      <c r="P63" s="14">
        <f>_xll.BDH("ITCI US Equity","OPER_MARGIN","FQ3 2022","FQ3 2022","Currency=USD","Period=FQ","BEST_FPERIOD_OVERRIDE=FQ","FILING_STATUS=MR","FA_ADJUSTED=Adjusted","Sort=A","Dates=H","DateFormat=P","Fill=—","Direction=H","UseDPDF=Y")</f>
        <v>-77.402299999999997</v>
      </c>
      <c r="Q63" s="14">
        <f>_xll.BDH("ITCI US Equity","OPER_MARGIN","FQ4 2022","FQ4 2022","Currency=USD","Period=FQ","BEST_FPERIOD_OVERRIDE=FQ","FILING_STATUS=MR","FA_ADJUSTED=Adjusted","Sort=A","Dates=H","DateFormat=P","Fill=—","Direction=H","UseDPDF=Y")</f>
        <v>-53.957599999999999</v>
      </c>
      <c r="R63" s="14">
        <f>_xll.BDH("ITCI US Equity","OPER_MARGIN","FQ1 2023","FQ1 2023","Currency=USD","Period=FQ","BEST_FPERIOD_OVERRIDE=FQ","FILING_STATUS=MR","FA_ADJUSTED=Adjusted","Sort=A","Dates=H","DateFormat=P","Fill=—","Direction=H","UseDPDF=Y")</f>
        <v>-50.775399999999998</v>
      </c>
      <c r="S63" s="14">
        <f>_xll.BDH("ITCI US Equity","OPER_MARGIN","FQ2 2023","FQ2 2023","Currency=USD","Period=FQ","BEST_FPERIOD_OVERRIDE=FQ","FILING_STATUS=MR","FA_ADJUSTED=Adjusted","Sort=A","Dates=H","DateFormat=P","Fill=—","Direction=H","UseDPDF=Y")</f>
        <v>-42.583399999999997</v>
      </c>
      <c r="T63" s="14">
        <f>_xll.BDH("ITCI US Equity","OPER_MARGIN","FQ3 2023","FQ3 2023","Currency=USD","Period=FQ","BEST_FPERIOD_OVERRIDE=FQ","FILING_STATUS=MR","FA_ADJUSTED=Adjusted","Sort=A","Dates=H","DateFormat=P","Fill=—","Direction=H","UseDPDF=Y")</f>
        <v>-23.549399999999999</v>
      </c>
      <c r="U63" s="14">
        <f>_xll.BDH("ITCI US Equity","OPER_MARGIN","FQ4 2023","FQ4 2023","Currency=USD","Period=FQ","BEST_FPERIOD_OVERRIDE=FQ","FILING_STATUS=MR","FA_ADJUSTED=Adjusted","Sort=A","Dates=H","DateFormat=P","Fill=—","Direction=H","UseDPDF=Y")</f>
        <v>-25.811699999999998</v>
      </c>
      <c r="V63" s="14">
        <f>_xll.BDH("ITCI US Equity","OPER_MARGIN","FQ1 2024","FQ1 2024","Currency=USD","Period=FQ","BEST_FPERIOD_OVERRIDE=FQ","FILING_STATUS=MR","FA_ADJUSTED=Adjusted","Sort=A","Dates=H","DateFormat=P","Fill=—","Direction=H","UseDPDF=Y")</f>
        <v>-14.462999999999999</v>
      </c>
      <c r="W63" s="14">
        <f>_xll.BDH("ITCI US Equity","OPER_MARGIN","FQ2 2024","FQ2 2024","Currency=USD","Period=FQ","BEST_FPERIOD_OVERRIDE=FQ","FILING_STATUS=MR","FA_ADJUSTED=Adjusted","Sort=A","Dates=H","DateFormat=P","Fill=—","Direction=H","UseDPDF=Y")</f>
        <v>-17.177900000000001</v>
      </c>
      <c r="X63" s="14">
        <f>_xll.BDH("ITCI US Equity","OPER_MARGIN","FQ3 2024","FQ3 2024","Currency=USD","Period=FQ","BEST_FPERIOD_OVERRIDE=FQ","FILING_STATUS=MR","FA_ADJUSTED=Adjusted","Sort=A","Dates=H","DateFormat=P","Fill=—","Direction=H","UseDPDF=Y")</f>
        <v>-22.152000000000001</v>
      </c>
      <c r="Y63" s="14">
        <f>_xll.BDH("ITCI US Equity","OPER_MARGIN","FQ4 2024","FQ4 2024","Currency=USD","Period=FQ","BEST_FPERIOD_OVERRIDE=FQ","FILING_STATUS=MR","FA_ADJUSTED=Adjusted","Sort=A","Dates=H","DateFormat=P","Fill=—","Direction=H","UseDPDF=Y")</f>
        <v>-14.6554</v>
      </c>
      <c r="Z63" s="14">
        <v>-9.5450643776823991</v>
      </c>
      <c r="AA63" s="14">
        <v>-6.6684931506849301</v>
      </c>
    </row>
    <row r="64" spans="1:27" x14ac:dyDescent="0.25">
      <c r="A64" s="10" t="s">
        <v>359</v>
      </c>
      <c r="B64" s="10" t="s">
        <v>360</v>
      </c>
      <c r="C64" s="14" t="str">
        <f>_xll.BDH("ITCI US Equity","PROF_MARGIN","FQ2 2019","FQ2 2019","Currency=USD","Period=FQ","BEST_FPERIOD_OVERRIDE=FQ","FILING_STATUS=MR","FA_ADJUSTED=Adjusted","Sort=A","Dates=H","DateFormat=P","Fill=—","Direction=H","UseDPDF=Y")</f>
        <v>—</v>
      </c>
      <c r="D64" s="14" t="str">
        <f>_xll.BDH("ITCI US Equity","PROF_MARGIN","FQ3 2019","FQ3 2019","Currency=USD","Period=FQ","BEST_FPERIOD_OVERRIDE=FQ","FILING_STATUS=MR","FA_ADJUSTED=Adjusted","Sort=A","Dates=H","DateFormat=P","Fill=—","Direction=H","UseDPDF=Y")</f>
        <v>—</v>
      </c>
      <c r="E64" s="14">
        <f>_xll.BDH("ITCI US Equity","PROF_MARGIN","FQ4 2019","FQ4 2019","Currency=USD","Period=FQ","BEST_FPERIOD_OVERRIDE=FQ","FILING_STATUS=MR","FA_ADJUSTED=Adjusted","Sort=A","Dates=H","DateFormat=P","Fill=—","Direction=H","UseDPDF=Y")</f>
        <v>-66954.037899999996</v>
      </c>
      <c r="F64" s="14">
        <f>_xll.BDH("ITCI US Equity","PROF_MARGIN","FQ1 2020","FQ1 2020","Currency=USD","Period=FQ","BEST_FPERIOD_OVERRIDE=FQ","FILING_STATUS=MR","FA_ADJUSTED=Adjusted","Sort=A","Dates=H","DateFormat=P","Fill=—","Direction=H","UseDPDF=Y")</f>
        <v>-4375.7749000000003</v>
      </c>
      <c r="G64" s="14">
        <f>_xll.BDH("ITCI US Equity","PROF_MARGIN","FQ2 2020","FQ2 2020","Currency=USD","Period=FQ","BEST_FPERIOD_OVERRIDE=FQ","FILING_STATUS=MR","FA_ADJUSTED=Adjusted","Sort=A","Dates=H","DateFormat=P","Fill=—","Direction=H","UseDPDF=Y")</f>
        <v>-3341.6057000000001</v>
      </c>
      <c r="H64" s="14">
        <f>_xll.BDH("ITCI US Equity","PROF_MARGIN","FQ3 2020","FQ3 2020","Currency=USD","Period=FQ","BEST_FPERIOD_OVERRIDE=FQ","FILING_STATUS=MR","FA_ADJUSTED=Adjusted","Sort=A","Dates=H","DateFormat=P","Fill=—","Direction=H","UseDPDF=Y")</f>
        <v>-748.90300000000002</v>
      </c>
      <c r="I64" s="14">
        <f>_xll.BDH("ITCI US Equity","PROF_MARGIN","FQ4 2020","FQ4 2020","Currency=USD","Period=FQ","BEST_FPERIOD_OVERRIDE=FQ","FILING_STATUS=MR","FA_ADJUSTED=Adjusted","Sort=A","Dates=H","DateFormat=P","Fill=—","Direction=H","UseDPDF=Y")</f>
        <v>-487.37639999999999</v>
      </c>
      <c r="J64" s="14">
        <f>_xll.BDH("ITCI US Equity","PROF_MARGIN","FQ1 2021","FQ1 2021","Currency=USD","Period=FQ","BEST_FPERIOD_OVERRIDE=FQ","FILING_STATUS=MR","FA_ADJUSTED=Adjusted","Sort=A","Dates=H","DateFormat=P","Fill=—","Direction=H","UseDPDF=Y")</f>
        <v>-332.15050000000002</v>
      </c>
      <c r="K64" s="14">
        <f>_xll.BDH("ITCI US Equity","PROF_MARGIN","FQ2 2021","FQ2 2021","Currency=USD","Period=FQ","BEST_FPERIOD_OVERRIDE=FQ","FILING_STATUS=MR","FA_ADJUSTED=Adjusted","Sort=A","Dates=H","DateFormat=P","Fill=—","Direction=H","UseDPDF=Y")</f>
        <v>-342.92059999999998</v>
      </c>
      <c r="L64" s="14">
        <f>_xll.BDH("ITCI US Equity","PROF_MARGIN","FQ3 2021","FQ3 2021","Currency=USD","Period=FQ","BEST_FPERIOD_OVERRIDE=FQ","FILING_STATUS=MR","FA_ADJUSTED=Adjusted","Sort=A","Dates=H","DateFormat=P","Fill=—","Direction=H","UseDPDF=Y")</f>
        <v>-346.32010000000002</v>
      </c>
      <c r="M64" s="14">
        <f>_xll.BDH("ITCI US Equity","PROF_MARGIN","FQ4 2021","FQ4 2021","Currency=USD","Period=FQ","BEST_FPERIOD_OVERRIDE=FQ","FILING_STATUS=MR","FA_ADJUSTED=Adjusted","Sort=A","Dates=H","DateFormat=P","Fill=—","Direction=H","UseDPDF=Y")</f>
        <v>-333.97289999999998</v>
      </c>
      <c r="N64" s="14">
        <f>_xll.BDH("ITCI US Equity","PROF_MARGIN","FQ1 2022","FQ1 2022","Currency=USD","Period=FQ","BEST_FPERIOD_OVERRIDE=FQ","FILING_STATUS=MR","FA_ADJUSTED=Adjusted","Sort=A","Dates=H","DateFormat=P","Fill=—","Direction=H","UseDPDF=Y")</f>
        <v>-206.0778</v>
      </c>
      <c r="O64" s="14">
        <f>_xll.BDH("ITCI US Equity","PROF_MARGIN","FQ2 2022","FQ2 2022","Currency=USD","Period=FQ","BEST_FPERIOD_OVERRIDE=FQ","FILING_STATUS=MR","FA_ADJUSTED=Adjusted","Sort=A","Dates=H","DateFormat=P","Fill=—","Direction=H","UseDPDF=Y")</f>
        <v>-155.81960000000001</v>
      </c>
      <c r="P64" s="14">
        <f>_xll.BDH("ITCI US Equity","PROF_MARGIN","FQ3 2022","FQ3 2022","Currency=USD","Period=FQ","BEST_FPERIOD_OVERRIDE=FQ","FILING_STATUS=MR","FA_ADJUSTED=Adjusted","Sort=A","Dates=H","DateFormat=P","Fill=—","Direction=H","UseDPDF=Y")</f>
        <v>-74.451099999999997</v>
      </c>
      <c r="Q64" s="14">
        <f>_xll.BDH("ITCI US Equity","PROF_MARGIN","FQ4 2022","FQ4 2022","Currency=USD","Period=FQ","BEST_FPERIOD_OVERRIDE=FQ","FILING_STATUS=MR","FA_ADJUSTED=Adjusted","Sort=A","Dates=H","DateFormat=P","Fill=—","Direction=H","UseDPDF=Y")</f>
        <v>-50.104100000000003</v>
      </c>
      <c r="R64" s="14">
        <f>_xll.BDH("ITCI US Equity","PROF_MARGIN","FQ1 2023","FQ1 2023","Currency=USD","Period=FQ","BEST_FPERIOD_OVERRIDE=FQ","FILING_STATUS=MR","FA_ADJUSTED=Adjusted","Sort=A","Dates=H","DateFormat=P","Fill=—","Direction=H","UseDPDF=Y")</f>
        <v>-46.222700000000003</v>
      </c>
      <c r="S64" s="14">
        <f>_xll.BDH("ITCI US Equity","PROF_MARGIN","FQ2 2023","FQ2 2023","Currency=USD","Period=FQ","BEST_FPERIOD_OVERRIDE=FQ","FILING_STATUS=MR","FA_ADJUSTED=Adjusted","Sort=A","Dates=H","DateFormat=P","Fill=—","Direction=H","UseDPDF=Y")</f>
        <v>-38.616500000000002</v>
      </c>
      <c r="T64" s="14">
        <f>_xll.BDH("ITCI US Equity","PROF_MARGIN","FQ3 2023","FQ3 2023","Currency=USD","Period=FQ","BEST_FPERIOD_OVERRIDE=FQ","FILING_STATUS=MR","FA_ADJUSTED=Adjusted","Sort=A","Dates=H","DateFormat=P","Fill=—","Direction=H","UseDPDF=Y")</f>
        <v>-19.225999999999999</v>
      </c>
      <c r="U64" s="14">
        <f>_xll.BDH("ITCI US Equity","PROF_MARGIN","FQ4 2023","FQ4 2023","Currency=USD","Period=FQ","BEST_FPERIOD_OVERRIDE=FQ","FILING_STATUS=MR","FA_ADJUSTED=Adjusted","Sort=A","Dates=H","DateFormat=P","Fill=—","Direction=H","UseDPDF=Y")</f>
        <v>-21.634499999999999</v>
      </c>
      <c r="V64" s="14">
        <f>_xll.BDH("ITCI US Equity","PROF_MARGIN","FQ1 2024","FQ1 2024","Currency=USD","Period=FQ","BEST_FPERIOD_OVERRIDE=FQ","FILING_STATUS=MR","FA_ADJUSTED=Adjusted","Sort=A","Dates=H","DateFormat=P","Fill=—","Direction=H","UseDPDF=Y")</f>
        <v>-10.524900000000001</v>
      </c>
      <c r="W64" s="14">
        <f>_xll.BDH("ITCI US Equity","PROF_MARGIN","FQ2 2024","FQ2 2024","Currency=USD","Period=FQ","BEST_FPERIOD_OVERRIDE=FQ","FILING_STATUS=MR","FA_ADJUSTED=Adjusted","Sort=A","Dates=H","DateFormat=P","Fill=—","Direction=H","UseDPDF=Y")</f>
        <v>-10.0503</v>
      </c>
      <c r="X64" s="14">
        <f>_xll.BDH("ITCI US Equity","PROF_MARGIN","FQ3 2024","FQ3 2024","Currency=USD","Period=FQ","BEST_FPERIOD_OVERRIDE=FQ","FILING_STATUS=MR","FA_ADJUSTED=Adjusted","Sort=A","Dates=H","DateFormat=P","Fill=—","Direction=H","UseDPDF=Y")</f>
        <v>-15.0101</v>
      </c>
      <c r="Y64" s="14">
        <f>_xll.BDH("ITCI US Equity","PROF_MARGIN","FQ4 2024","FQ4 2024","Currency=USD","Period=FQ","BEST_FPERIOD_OVERRIDE=FQ","FILING_STATUS=MR","FA_ADJUSTED=Adjusted","Sort=A","Dates=H","DateFormat=P","Fill=—","Direction=H","UseDPDF=Y")</f>
        <v>-8.4754000000000005</v>
      </c>
      <c r="Z64" s="14">
        <v>-5.60392397302269</v>
      </c>
      <c r="AA64" s="14">
        <v>-1.4689497716894999</v>
      </c>
    </row>
    <row r="65" spans="1:27" x14ac:dyDescent="0.25">
      <c r="A65" s="10" t="s">
        <v>361</v>
      </c>
      <c r="B65" s="10" t="s">
        <v>362</v>
      </c>
      <c r="C65" s="14" t="str">
        <f>_xll.BDH("ITCI US Equity","ACTUAL_SALES_PER_EMPL","FQ2 2019","FQ2 2019","Currency=USD","Period=FQ","BEST_FPERIOD_OVERRIDE=FQ","FILING_STATUS=MR","FA_ADJUSTED=Adjusted","Sort=A","Dates=H","DateFormat=P","Fill=—","Direction=H","UseDPDF=Y")</f>
        <v>—</v>
      </c>
      <c r="D65" s="14" t="str">
        <f>_xll.BDH("ITCI US Equity","ACTUAL_SALES_PER_EMPL","FQ3 2019","FQ3 2019","Currency=USD","Period=FQ","BEST_FPERIOD_OVERRIDE=FQ","FILING_STATUS=MR","FA_ADJUSTED=Adjusted","Sort=A","Dates=H","DateFormat=P","Fill=—","Direction=H","UseDPDF=Y")</f>
        <v>—</v>
      </c>
      <c r="E65" s="14">
        <f>_xll.BDH("ITCI US Equity","ACTUAL_SALES_PER_EMPL","FQ4 2019","FQ4 2019","Currency=USD","Period=FQ","BEST_FPERIOD_OVERRIDE=FQ","FILING_STATUS=MR","FA_ADJUSTED=Adjusted","Sort=A","Dates=H","DateFormat=P","Fill=—","Direction=H","UseDPDF=Y")</f>
        <v>202.04329999999999</v>
      </c>
      <c r="F65" s="14" t="str">
        <f>_xll.BDH("ITCI US Equity","ACTUAL_SALES_PER_EMPL","FQ1 2020","FQ1 2020","Currency=USD","Period=FQ","BEST_FPERIOD_OVERRIDE=FQ","FILING_STATUS=MR","FA_ADJUSTED=Adjusted","Sort=A","Dates=H","DateFormat=P","Fill=—","Direction=H","UseDPDF=Y")</f>
        <v>—</v>
      </c>
      <c r="G65" s="14" t="str">
        <f>_xll.BDH("ITCI US Equity","ACTUAL_SALES_PER_EMPL","FQ2 2020","FQ2 2020","Currency=USD","Period=FQ","BEST_FPERIOD_OVERRIDE=FQ","FILING_STATUS=MR","FA_ADJUSTED=Adjusted","Sort=A","Dates=H","DateFormat=P","Fill=—","Direction=H","UseDPDF=Y")</f>
        <v>—</v>
      </c>
      <c r="H65" s="14" t="str">
        <f>_xll.BDH("ITCI US Equity","ACTUAL_SALES_PER_EMPL","FQ3 2020","FQ3 2020","Currency=USD","Period=FQ","BEST_FPERIOD_OVERRIDE=FQ","FILING_STATUS=MR","FA_ADJUSTED=Adjusted","Sort=A","Dates=H","DateFormat=P","Fill=—","Direction=H","UseDPDF=Y")</f>
        <v>—</v>
      </c>
      <c r="I65" s="14">
        <f>_xll.BDH("ITCI US Equity","ACTUAL_SALES_PER_EMPL","FQ4 2020","FQ4 2020","Currency=USD","Period=FQ","BEST_FPERIOD_OVERRIDE=FQ","FILING_STATUS=MR","FA_ADJUSTED=Adjusted","Sort=A","Dates=H","DateFormat=P","Fill=—","Direction=H","UseDPDF=Y")</f>
        <v>32517.676200000002</v>
      </c>
      <c r="J65" s="14" t="str">
        <f>_xll.BDH("ITCI US Equity","ACTUAL_SALES_PER_EMPL","FQ1 2021","FQ1 2021","Currency=USD","Period=FQ","BEST_FPERIOD_OVERRIDE=FQ","FILING_STATUS=MR","FA_ADJUSTED=Adjusted","Sort=A","Dates=H","DateFormat=P","Fill=—","Direction=H","UseDPDF=Y")</f>
        <v>—</v>
      </c>
      <c r="K65" s="14" t="str">
        <f>_xll.BDH("ITCI US Equity","ACTUAL_SALES_PER_EMPL","FQ2 2021","FQ2 2021","Currency=USD","Period=FQ","BEST_FPERIOD_OVERRIDE=FQ","FILING_STATUS=MR","FA_ADJUSTED=Adjusted","Sort=A","Dates=H","DateFormat=P","Fill=—","Direction=H","UseDPDF=Y")</f>
        <v>—</v>
      </c>
      <c r="L65" s="14" t="str">
        <f>_xll.BDH("ITCI US Equity","ACTUAL_SALES_PER_EMPL","FQ3 2021","FQ3 2021","Currency=USD","Period=FQ","BEST_FPERIOD_OVERRIDE=FQ","FILING_STATUS=MR","FA_ADJUSTED=Adjusted","Sort=A","Dates=H","DateFormat=P","Fill=—","Direction=H","UseDPDF=Y")</f>
        <v>—</v>
      </c>
      <c r="M65" s="14">
        <f>_xll.BDH("ITCI US Equity","ACTUAL_SALES_PER_EMPL","FQ4 2021","FQ4 2021","Currency=USD","Period=FQ","BEST_FPERIOD_OVERRIDE=FQ","FILING_STATUS=MR","FA_ADJUSTED=Adjusted","Sort=A","Dates=H","DateFormat=P","Fill=—","Direction=H","UseDPDF=Y")</f>
        <v>50138.527300000002</v>
      </c>
      <c r="N65" s="14" t="str">
        <f>_xll.BDH("ITCI US Equity","ACTUAL_SALES_PER_EMPL","FQ1 2022","FQ1 2022","Currency=USD","Period=FQ","BEST_FPERIOD_OVERRIDE=FQ","FILING_STATUS=MR","FA_ADJUSTED=Adjusted","Sort=A","Dates=H","DateFormat=P","Fill=—","Direction=H","UseDPDF=Y")</f>
        <v>—</v>
      </c>
      <c r="O65" s="14" t="str">
        <f>_xll.BDH("ITCI US Equity","ACTUAL_SALES_PER_EMPL","FQ2 2022","FQ2 2022","Currency=USD","Period=FQ","BEST_FPERIOD_OVERRIDE=FQ","FILING_STATUS=MR","FA_ADJUSTED=Adjusted","Sort=A","Dates=H","DateFormat=P","Fill=—","Direction=H","UseDPDF=Y")</f>
        <v>—</v>
      </c>
      <c r="P65" s="14" t="str">
        <f>_xll.BDH("ITCI US Equity","ACTUAL_SALES_PER_EMPL","FQ3 2022","FQ3 2022","Currency=USD","Period=FQ","BEST_FPERIOD_OVERRIDE=FQ","FILING_STATUS=MR","FA_ADJUSTED=Adjusted","Sort=A","Dates=H","DateFormat=P","Fill=—","Direction=H","UseDPDF=Y")</f>
        <v>—</v>
      </c>
      <c r="Q65" s="14">
        <f>_xll.BDH("ITCI US Equity","ACTUAL_SALES_PER_EMPL","FQ4 2022","FQ4 2022","Currency=USD","Period=FQ","BEST_FPERIOD_OVERRIDE=FQ","FILING_STATUS=MR","FA_ADJUSTED=Adjusted","Sort=A","Dates=H","DateFormat=P","Fill=—","Direction=H","UseDPDF=Y")</f>
        <v>156629.2335</v>
      </c>
      <c r="R65" s="14" t="str">
        <f>_xll.BDH("ITCI US Equity","ACTUAL_SALES_PER_EMPL","FQ1 2023","FQ1 2023","Currency=USD","Period=FQ","BEST_FPERIOD_OVERRIDE=FQ","FILING_STATUS=MR","FA_ADJUSTED=Adjusted","Sort=A","Dates=H","DateFormat=P","Fill=—","Direction=H","UseDPDF=Y")</f>
        <v>—</v>
      </c>
      <c r="S65" s="14" t="str">
        <f>_xll.BDH("ITCI US Equity","ACTUAL_SALES_PER_EMPL","FQ2 2023","FQ2 2023","Currency=USD","Period=FQ","BEST_FPERIOD_OVERRIDE=FQ","FILING_STATUS=MR","FA_ADJUSTED=Adjusted","Sort=A","Dates=H","DateFormat=P","Fill=—","Direction=H","UseDPDF=Y")</f>
        <v>—</v>
      </c>
      <c r="T65" s="14" t="str">
        <f>_xll.BDH("ITCI US Equity","ACTUAL_SALES_PER_EMPL","FQ3 2023","FQ3 2023","Currency=USD","Period=FQ","BEST_FPERIOD_OVERRIDE=FQ","FILING_STATUS=MR","FA_ADJUSTED=Adjusted","Sort=A","Dates=H","DateFormat=P","Fill=—","Direction=H","UseDPDF=Y")</f>
        <v>—</v>
      </c>
      <c r="U65" s="14" t="str">
        <f>_xll.BDH("ITCI US Equity","ACTUAL_SALES_PER_EMPL","FQ4 2023","FQ4 2023","Currency=USD","Period=FQ","BEST_FPERIOD_OVERRIDE=FQ","FILING_STATUS=MR","FA_ADJUSTED=Adjusted","Sort=A","Dates=H","DateFormat=P","Fill=—","Direction=H","UseDPDF=Y")</f>
        <v>—</v>
      </c>
      <c r="V65" s="14" t="str">
        <f>_xll.BDH("ITCI US Equity","ACTUAL_SALES_PER_EMPL","FQ1 2024","FQ1 2024","Currency=USD","Period=FQ","BEST_FPERIOD_OVERRIDE=FQ","FILING_STATUS=MR","FA_ADJUSTED=Adjusted","Sort=A","Dates=H","DateFormat=P","Fill=—","Direction=H","UseDPDF=Y")</f>
        <v>—</v>
      </c>
      <c r="W65" s="14" t="str">
        <f>_xll.BDH("ITCI US Equity","ACTUAL_SALES_PER_EMPL","FQ2 2024","FQ2 2024","Currency=USD","Period=FQ","BEST_FPERIOD_OVERRIDE=FQ","FILING_STATUS=MR","FA_ADJUSTED=Adjusted","Sort=A","Dates=H","DateFormat=P","Fill=—","Direction=H","UseDPDF=Y")</f>
        <v>—</v>
      </c>
      <c r="X65" s="14" t="str">
        <f>_xll.BDH("ITCI US Equity","ACTUAL_SALES_PER_EMPL","FQ3 2024","FQ3 2024","Currency=USD","Period=FQ","BEST_FPERIOD_OVERRIDE=FQ","FILING_STATUS=MR","FA_ADJUSTED=Adjusted","Sort=A","Dates=H","DateFormat=P","Fill=—","Direction=H","UseDPDF=Y")</f>
        <v>—</v>
      </c>
      <c r="Y65" s="14">
        <f>_xll.BDH("ITCI US Equity","ACTUAL_SALES_PER_EMPL","FQ4 2024","FQ4 2024","Currency=USD","Period=FQ","BEST_FPERIOD_OVERRIDE=FQ","FILING_STATUS=MR","FA_ADJUSTED=Adjusted","Sort=A","Dates=H","DateFormat=P","Fill=—","Direction=H","UseDPDF=Y")</f>
        <v>231654.65119999999</v>
      </c>
      <c r="Z65" s="14"/>
      <c r="AA65" s="14"/>
    </row>
    <row r="66" spans="1:27" x14ac:dyDescent="0.25">
      <c r="A66" s="10" t="s">
        <v>363</v>
      </c>
      <c r="B66" s="10" t="s">
        <v>244</v>
      </c>
      <c r="C66" s="14">
        <f>_xll.BDH("ITCI US Equity","EQY_DPS","FQ2 2019","FQ2 2019","Currency=USD","Period=FQ","BEST_FPERIOD_OVERRIDE=FQ","FILING_STATUS=MR","Sort=A","Dates=H","DateFormat=P","Fill=—","Direction=H","UseDPDF=Y")</f>
        <v>0</v>
      </c>
      <c r="D66" s="14">
        <f>_xll.BDH("ITCI US Equity","EQY_DPS","FQ3 2019","FQ3 2019","Currency=USD","Period=FQ","BEST_FPERIOD_OVERRIDE=FQ","FILING_STATUS=MR","Sort=A","Dates=H","DateFormat=P","Fill=—","Direction=H","UseDPDF=Y")</f>
        <v>0</v>
      </c>
      <c r="E66" s="14">
        <f>_xll.BDH("ITCI US Equity","EQY_DPS","FQ4 2019","FQ4 2019","Currency=USD","Period=FQ","BEST_FPERIOD_OVERRIDE=FQ","FILING_STATUS=MR","Sort=A","Dates=H","DateFormat=P","Fill=—","Direction=H","UseDPDF=Y")</f>
        <v>0</v>
      </c>
      <c r="F66" s="14">
        <f>_xll.BDH("ITCI US Equity","EQY_DPS","FQ1 2020","FQ1 2020","Currency=USD","Period=FQ","BEST_FPERIOD_OVERRIDE=FQ","FILING_STATUS=MR","Sort=A","Dates=H","DateFormat=P","Fill=—","Direction=H","UseDPDF=Y")</f>
        <v>0</v>
      </c>
      <c r="G66" s="14">
        <f>_xll.BDH("ITCI US Equity","EQY_DPS","FQ2 2020","FQ2 2020","Currency=USD","Period=FQ","BEST_FPERIOD_OVERRIDE=FQ","FILING_STATUS=MR","Sort=A","Dates=H","DateFormat=P","Fill=—","Direction=H","UseDPDF=Y")</f>
        <v>0</v>
      </c>
      <c r="H66" s="14">
        <f>_xll.BDH("ITCI US Equity","EQY_DPS","FQ3 2020","FQ3 2020","Currency=USD","Period=FQ","BEST_FPERIOD_OVERRIDE=FQ","FILING_STATUS=MR","Sort=A","Dates=H","DateFormat=P","Fill=—","Direction=H","UseDPDF=Y")</f>
        <v>0</v>
      </c>
      <c r="I66" s="14">
        <f>_xll.BDH("ITCI US Equity","EQY_DPS","FQ4 2020","FQ4 2020","Currency=USD","Period=FQ","BEST_FPERIOD_OVERRIDE=FQ","FILING_STATUS=MR","Sort=A","Dates=H","DateFormat=P","Fill=—","Direction=H","UseDPDF=Y")</f>
        <v>0</v>
      </c>
      <c r="J66" s="14">
        <f>_xll.BDH("ITCI US Equity","EQY_DPS","FQ1 2021","FQ1 2021","Currency=USD","Period=FQ","BEST_FPERIOD_OVERRIDE=FQ","FILING_STATUS=MR","Sort=A","Dates=H","DateFormat=P","Fill=—","Direction=H","UseDPDF=Y")</f>
        <v>0</v>
      </c>
      <c r="K66" s="14">
        <f>_xll.BDH("ITCI US Equity","EQY_DPS","FQ2 2021","FQ2 2021","Currency=USD","Period=FQ","BEST_FPERIOD_OVERRIDE=FQ","FILING_STATUS=MR","Sort=A","Dates=H","DateFormat=P","Fill=—","Direction=H","UseDPDF=Y")</f>
        <v>0</v>
      </c>
      <c r="L66" s="14">
        <f>_xll.BDH("ITCI US Equity","EQY_DPS","FQ3 2021","FQ3 2021","Currency=USD","Period=FQ","BEST_FPERIOD_OVERRIDE=FQ","FILING_STATUS=MR","Sort=A","Dates=H","DateFormat=P","Fill=—","Direction=H","UseDPDF=Y")</f>
        <v>0</v>
      </c>
      <c r="M66" s="14">
        <f>_xll.BDH("ITCI US Equity","EQY_DPS","FQ4 2021","FQ4 2021","Currency=USD","Period=FQ","BEST_FPERIOD_OVERRIDE=FQ","FILING_STATUS=MR","Sort=A","Dates=H","DateFormat=P","Fill=—","Direction=H","UseDPDF=Y")</f>
        <v>0</v>
      </c>
      <c r="N66" s="14">
        <f>_xll.BDH("ITCI US Equity","EQY_DPS","FQ1 2022","FQ1 2022","Currency=USD","Period=FQ","BEST_FPERIOD_OVERRIDE=FQ","FILING_STATUS=MR","Sort=A","Dates=H","DateFormat=P","Fill=—","Direction=H","UseDPDF=Y")</f>
        <v>0</v>
      </c>
      <c r="O66" s="14">
        <f>_xll.BDH("ITCI US Equity","EQY_DPS","FQ2 2022","FQ2 2022","Currency=USD","Period=FQ","BEST_FPERIOD_OVERRIDE=FQ","FILING_STATUS=MR","Sort=A","Dates=H","DateFormat=P","Fill=—","Direction=H","UseDPDF=Y")</f>
        <v>0</v>
      </c>
      <c r="P66" s="14">
        <f>_xll.BDH("ITCI US Equity","EQY_DPS","FQ3 2022","FQ3 2022","Currency=USD","Period=FQ","BEST_FPERIOD_OVERRIDE=FQ","FILING_STATUS=MR","Sort=A","Dates=H","DateFormat=P","Fill=—","Direction=H","UseDPDF=Y")</f>
        <v>0</v>
      </c>
      <c r="Q66" s="14">
        <f>_xll.BDH("ITCI US Equity","EQY_DPS","FQ4 2022","FQ4 2022","Currency=USD","Period=FQ","BEST_FPERIOD_OVERRIDE=FQ","FILING_STATUS=MR","Sort=A","Dates=H","DateFormat=P","Fill=—","Direction=H","UseDPDF=Y")</f>
        <v>0</v>
      </c>
      <c r="R66" s="14">
        <f>_xll.BDH("ITCI US Equity","EQY_DPS","FQ1 2023","FQ1 2023","Currency=USD","Period=FQ","BEST_FPERIOD_OVERRIDE=FQ","FILING_STATUS=MR","Sort=A","Dates=H","DateFormat=P","Fill=—","Direction=H","UseDPDF=Y")</f>
        <v>0</v>
      </c>
      <c r="S66" s="14">
        <f>_xll.BDH("ITCI US Equity","EQY_DPS","FQ2 2023","FQ2 2023","Currency=USD","Period=FQ","BEST_FPERIOD_OVERRIDE=FQ","FILING_STATUS=MR","Sort=A","Dates=H","DateFormat=P","Fill=—","Direction=H","UseDPDF=Y")</f>
        <v>0</v>
      </c>
      <c r="T66" s="14">
        <f>_xll.BDH("ITCI US Equity","EQY_DPS","FQ3 2023","FQ3 2023","Currency=USD","Period=FQ","BEST_FPERIOD_OVERRIDE=FQ","FILING_STATUS=MR","Sort=A","Dates=H","DateFormat=P","Fill=—","Direction=H","UseDPDF=Y")</f>
        <v>0</v>
      </c>
      <c r="U66" s="14">
        <f>_xll.BDH("ITCI US Equity","EQY_DPS","FQ4 2023","FQ4 2023","Currency=USD","Period=FQ","BEST_FPERIOD_OVERRIDE=FQ","FILING_STATUS=MR","Sort=A","Dates=H","DateFormat=P","Fill=—","Direction=H","UseDPDF=Y")</f>
        <v>0</v>
      </c>
      <c r="V66" s="14">
        <f>_xll.BDH("ITCI US Equity","EQY_DPS","FQ1 2024","FQ1 2024","Currency=USD","Period=FQ","BEST_FPERIOD_OVERRIDE=FQ","FILING_STATUS=MR","Sort=A","Dates=H","DateFormat=P","Fill=—","Direction=H","UseDPDF=Y")</f>
        <v>0</v>
      </c>
      <c r="W66" s="14">
        <f>_xll.BDH("ITCI US Equity","EQY_DPS","FQ2 2024","FQ2 2024","Currency=USD","Period=FQ","BEST_FPERIOD_OVERRIDE=FQ","FILING_STATUS=MR","Sort=A","Dates=H","DateFormat=P","Fill=—","Direction=H","UseDPDF=Y")</f>
        <v>0</v>
      </c>
      <c r="X66" s="14">
        <f>_xll.BDH("ITCI US Equity","EQY_DPS","FQ3 2024","FQ3 2024","Currency=USD","Period=FQ","BEST_FPERIOD_OVERRIDE=FQ","FILING_STATUS=MR","Sort=A","Dates=H","DateFormat=P","Fill=—","Direction=H","UseDPDF=Y")</f>
        <v>0</v>
      </c>
      <c r="Y66" s="14">
        <f>_xll.BDH("ITCI US Equity","EQY_DPS","FQ4 2024","FQ4 2024","Currency=USD","Period=FQ","BEST_FPERIOD_OVERRIDE=FQ","FILING_STATUS=MR","Sort=A","Dates=H","DateFormat=P","Fill=—","Direction=H","UseDPDF=Y")</f>
        <v>0</v>
      </c>
      <c r="Z66" s="14"/>
      <c r="AA66" s="14"/>
    </row>
    <row r="67" spans="1:27" x14ac:dyDescent="0.25">
      <c r="A67" s="10" t="s">
        <v>364</v>
      </c>
      <c r="B67" s="10" t="s">
        <v>365</v>
      </c>
      <c r="C67" s="13">
        <f>_xll.BDH("ITCI US Equity","IS_TOT_CASH_COM_DVD","FQ2 2019","FQ2 2019","Currency=USD","Period=FQ","BEST_FPERIOD_OVERRIDE=FQ","FILING_STATUS=MR","SCALING_FORMAT=MLN","Sort=A","Dates=H","DateFormat=P","Fill=—","Direction=H","UseDPDF=Y")</f>
        <v>0</v>
      </c>
      <c r="D67" s="13">
        <f>_xll.BDH("ITCI US Equity","IS_TOT_CASH_COM_DVD","FQ3 2019","FQ3 2019","Currency=USD","Period=FQ","BEST_FPERIOD_OVERRIDE=FQ","FILING_STATUS=MR","SCALING_FORMAT=MLN","Sort=A","Dates=H","DateFormat=P","Fill=—","Direction=H","UseDPDF=Y")</f>
        <v>0</v>
      </c>
      <c r="E67" s="13">
        <f>_xll.BDH("ITCI US Equity","IS_TOT_CASH_COM_DVD","FQ4 2019","FQ4 2019","Currency=USD","Period=FQ","BEST_FPERIOD_OVERRIDE=FQ","FILING_STATUS=MR","SCALING_FORMAT=MLN","Sort=A","Dates=H","DateFormat=P","Fill=—","Direction=H","UseDPDF=Y")</f>
        <v>0</v>
      </c>
      <c r="F67" s="13">
        <f>_xll.BDH("ITCI US Equity","IS_TOT_CASH_COM_DVD","FQ1 2020","FQ1 2020","Currency=USD","Period=FQ","BEST_FPERIOD_OVERRIDE=FQ","FILING_STATUS=MR","SCALING_FORMAT=MLN","Sort=A","Dates=H","DateFormat=P","Fill=—","Direction=H","UseDPDF=Y")</f>
        <v>0</v>
      </c>
      <c r="G67" s="13">
        <f>_xll.BDH("ITCI US Equity","IS_TOT_CASH_COM_DVD","FQ2 2020","FQ2 2020","Currency=USD","Period=FQ","BEST_FPERIOD_OVERRIDE=FQ","FILING_STATUS=MR","SCALING_FORMAT=MLN","Sort=A","Dates=H","DateFormat=P","Fill=—","Direction=H","UseDPDF=Y")</f>
        <v>0</v>
      </c>
      <c r="H67" s="13">
        <f>_xll.BDH("ITCI US Equity","IS_TOT_CASH_COM_DVD","FQ3 2020","FQ3 2020","Currency=USD","Period=FQ","BEST_FPERIOD_OVERRIDE=FQ","FILING_STATUS=MR","SCALING_FORMAT=MLN","Sort=A","Dates=H","DateFormat=P","Fill=—","Direction=H","UseDPDF=Y")</f>
        <v>0</v>
      </c>
      <c r="I67" s="13">
        <f>_xll.BDH("ITCI US Equity","IS_TOT_CASH_COM_DVD","FQ4 2020","FQ4 2020","Currency=USD","Period=FQ","BEST_FPERIOD_OVERRIDE=FQ","FILING_STATUS=MR","SCALING_FORMAT=MLN","Sort=A","Dates=H","DateFormat=P","Fill=—","Direction=H","UseDPDF=Y")</f>
        <v>0</v>
      </c>
      <c r="J67" s="13">
        <f>_xll.BDH("ITCI US Equity","IS_TOT_CASH_COM_DVD","FQ1 2021","FQ1 2021","Currency=USD","Period=FQ","BEST_FPERIOD_OVERRIDE=FQ","FILING_STATUS=MR","SCALING_FORMAT=MLN","Sort=A","Dates=H","DateFormat=P","Fill=—","Direction=H","UseDPDF=Y")</f>
        <v>0</v>
      </c>
      <c r="K67" s="13">
        <f>_xll.BDH("ITCI US Equity","IS_TOT_CASH_COM_DVD","FQ2 2021","FQ2 2021","Currency=USD","Period=FQ","BEST_FPERIOD_OVERRIDE=FQ","FILING_STATUS=MR","SCALING_FORMAT=MLN","Sort=A","Dates=H","DateFormat=P","Fill=—","Direction=H","UseDPDF=Y")</f>
        <v>0</v>
      </c>
      <c r="L67" s="13">
        <f>_xll.BDH("ITCI US Equity","IS_TOT_CASH_COM_DVD","FQ3 2021","FQ3 2021","Currency=USD","Period=FQ","BEST_FPERIOD_OVERRIDE=FQ","FILING_STATUS=MR","SCALING_FORMAT=MLN","Sort=A","Dates=H","DateFormat=P","Fill=—","Direction=H","UseDPDF=Y")</f>
        <v>0</v>
      </c>
      <c r="M67" s="13">
        <f>_xll.BDH("ITCI US Equity","IS_TOT_CASH_COM_DVD","FQ4 2021","FQ4 2021","Currency=USD","Period=FQ","BEST_FPERIOD_OVERRIDE=FQ","FILING_STATUS=MR","SCALING_FORMAT=MLN","Sort=A","Dates=H","DateFormat=P","Fill=—","Direction=H","UseDPDF=Y")</f>
        <v>0</v>
      </c>
      <c r="N67" s="13">
        <f>_xll.BDH("ITCI US Equity","IS_TOT_CASH_COM_DVD","FQ1 2022","FQ1 2022","Currency=USD","Period=FQ","BEST_FPERIOD_OVERRIDE=FQ","FILING_STATUS=MR","SCALING_FORMAT=MLN","Sort=A","Dates=H","DateFormat=P","Fill=—","Direction=H","UseDPDF=Y")</f>
        <v>0</v>
      </c>
      <c r="O67" s="13">
        <f>_xll.BDH("ITCI US Equity","IS_TOT_CASH_COM_DVD","FQ2 2022","FQ2 2022","Currency=USD","Period=FQ","BEST_FPERIOD_OVERRIDE=FQ","FILING_STATUS=MR","SCALING_FORMAT=MLN","Sort=A","Dates=H","DateFormat=P","Fill=—","Direction=H","UseDPDF=Y")</f>
        <v>0</v>
      </c>
      <c r="P67" s="13">
        <f>_xll.BDH("ITCI US Equity","IS_TOT_CASH_COM_DVD","FQ3 2022","FQ3 2022","Currency=USD","Period=FQ","BEST_FPERIOD_OVERRIDE=FQ","FILING_STATUS=MR","SCALING_FORMAT=MLN","Sort=A","Dates=H","DateFormat=P","Fill=—","Direction=H","UseDPDF=Y")</f>
        <v>0</v>
      </c>
      <c r="Q67" s="13">
        <f>_xll.BDH("ITCI US Equity","IS_TOT_CASH_COM_DVD","FQ4 2022","FQ4 2022","Currency=USD","Period=FQ","BEST_FPERIOD_OVERRIDE=FQ","FILING_STATUS=MR","SCALING_FORMAT=MLN","Sort=A","Dates=H","DateFormat=P","Fill=—","Direction=H","UseDPDF=Y")</f>
        <v>0</v>
      </c>
      <c r="R67" s="13">
        <f>_xll.BDH("ITCI US Equity","IS_TOT_CASH_COM_DVD","FQ1 2023","FQ1 2023","Currency=USD","Period=FQ","BEST_FPERIOD_OVERRIDE=FQ","FILING_STATUS=MR","SCALING_FORMAT=MLN","Sort=A","Dates=H","DateFormat=P","Fill=—","Direction=H","UseDPDF=Y")</f>
        <v>0</v>
      </c>
      <c r="S67" s="13">
        <f>_xll.BDH("ITCI US Equity","IS_TOT_CASH_COM_DVD","FQ2 2023","FQ2 2023","Currency=USD","Period=FQ","BEST_FPERIOD_OVERRIDE=FQ","FILING_STATUS=MR","SCALING_FORMAT=MLN","Sort=A","Dates=H","DateFormat=P","Fill=—","Direction=H","UseDPDF=Y")</f>
        <v>0</v>
      </c>
      <c r="T67" s="13">
        <f>_xll.BDH("ITCI US Equity","IS_TOT_CASH_COM_DVD","FQ3 2023","FQ3 2023","Currency=USD","Period=FQ","BEST_FPERIOD_OVERRIDE=FQ","FILING_STATUS=MR","SCALING_FORMAT=MLN","Sort=A","Dates=H","DateFormat=P","Fill=—","Direction=H","UseDPDF=Y")</f>
        <v>0</v>
      </c>
      <c r="U67" s="13">
        <f>_xll.BDH("ITCI US Equity","IS_TOT_CASH_COM_DVD","FQ4 2023","FQ4 2023","Currency=USD","Period=FQ","BEST_FPERIOD_OVERRIDE=FQ","FILING_STATUS=MR","SCALING_FORMAT=MLN","Sort=A","Dates=H","DateFormat=P","Fill=—","Direction=H","UseDPDF=Y")</f>
        <v>0</v>
      </c>
      <c r="V67" s="13">
        <f>_xll.BDH("ITCI US Equity","IS_TOT_CASH_COM_DVD","FQ1 2024","FQ1 2024","Currency=USD","Period=FQ","BEST_FPERIOD_OVERRIDE=FQ","FILING_STATUS=MR","SCALING_FORMAT=MLN","Sort=A","Dates=H","DateFormat=P","Fill=—","Direction=H","UseDPDF=Y")</f>
        <v>0</v>
      </c>
      <c r="W67" s="13">
        <f>_xll.BDH("ITCI US Equity","IS_TOT_CASH_COM_DVD","FQ2 2024","FQ2 2024","Currency=USD","Period=FQ","BEST_FPERIOD_OVERRIDE=FQ","FILING_STATUS=MR","SCALING_FORMAT=MLN","Sort=A","Dates=H","DateFormat=P","Fill=—","Direction=H","UseDPDF=Y")</f>
        <v>0</v>
      </c>
      <c r="X67" s="13">
        <f>_xll.BDH("ITCI US Equity","IS_TOT_CASH_COM_DVD","FQ3 2024","FQ3 2024","Currency=USD","Period=FQ","BEST_FPERIOD_OVERRIDE=FQ","FILING_STATUS=MR","SCALING_FORMAT=MLN","Sort=A","Dates=H","DateFormat=P","Fill=—","Direction=H","UseDPDF=Y")</f>
        <v>0</v>
      </c>
      <c r="Y67" s="13">
        <f>_xll.BDH("ITCI US Equity","IS_TOT_CASH_COM_DVD","FQ4 2024","FQ4 2024","Currency=USD","Period=FQ","BEST_FPERIOD_OVERRIDE=FQ","FILING_STATUS=MR","SCALING_FORMAT=MLN","Sort=A","Dates=H","DateFormat=P","Fill=—","Direction=H","UseDPDF=Y")</f>
        <v>0</v>
      </c>
      <c r="Z67" s="13"/>
      <c r="AA67" s="13"/>
    </row>
    <row r="68" spans="1:27" x14ac:dyDescent="0.25">
      <c r="A68" s="10" t="s">
        <v>366</v>
      </c>
      <c r="B68" s="10" t="s">
        <v>367</v>
      </c>
      <c r="C68" s="13" t="str">
        <f>_xll.BDH("ITCI US Equity","IS_CAP_INT_EXP","FQ2 2019","FQ2 2019","Currency=USD","Period=FQ","BEST_FPERIOD_OVERRIDE=FQ","FILING_STATUS=MR","SCALING_FORMAT=MLN","Sort=A","Dates=H","DateFormat=P","Fill=—","Direction=H","UseDPDF=Y")</f>
        <v>—</v>
      </c>
      <c r="D68" s="13">
        <f>_xll.BDH("ITCI US Equity","IS_CAP_INT_EXP","FQ3 2019","FQ3 2019","Currency=USD","Period=FQ","BEST_FPERIOD_OVERRIDE=FQ","FILING_STATUS=MR","SCALING_FORMAT=MLN","Sort=A","Dates=H","DateFormat=P","Fill=—","Direction=H","UseDPDF=Y")</f>
        <v>0</v>
      </c>
      <c r="E68" s="13" t="str">
        <f>_xll.BDH("ITCI US Equity","IS_CAP_INT_EXP","FQ4 2019","FQ4 2019","Currency=USD","Period=FQ","BEST_FPERIOD_OVERRIDE=FQ","FILING_STATUS=MR","SCALING_FORMAT=MLN","Sort=A","Dates=H","DateFormat=P","Fill=—","Direction=H","UseDPDF=Y")</f>
        <v>—</v>
      </c>
      <c r="F68" s="13" t="str">
        <f>_xll.BDH("ITCI US Equity","IS_CAP_INT_EXP","FQ1 2020","FQ1 2020","Currency=USD","Period=FQ","BEST_FPERIOD_OVERRIDE=FQ","FILING_STATUS=MR","SCALING_FORMAT=MLN","Sort=A","Dates=H","DateFormat=P","Fill=—","Direction=H","UseDPDF=Y")</f>
        <v>—</v>
      </c>
      <c r="G68" s="13" t="str">
        <f>_xll.BDH("ITCI US Equity","IS_CAP_INT_EXP","FQ2 2020","FQ2 2020","Currency=USD","Period=FQ","BEST_FPERIOD_OVERRIDE=FQ","FILING_STATUS=MR","SCALING_FORMAT=MLN","Sort=A","Dates=H","DateFormat=P","Fill=—","Direction=H","UseDPDF=Y")</f>
        <v>—</v>
      </c>
      <c r="H68" s="13">
        <f>_xll.BDH("ITCI US Equity","IS_CAP_INT_EXP","FQ3 2020","FQ3 2020","Currency=USD","Period=FQ","BEST_FPERIOD_OVERRIDE=FQ","FILING_STATUS=MR","SCALING_FORMAT=MLN","Sort=A","Dates=H","DateFormat=P","Fill=—","Direction=H","UseDPDF=Y")</f>
        <v>0</v>
      </c>
      <c r="I68" s="13">
        <f>_xll.BDH("ITCI US Equity","IS_CAP_INT_EXP","FQ4 2020","FQ4 2020","Currency=USD","Period=FQ","BEST_FPERIOD_OVERRIDE=FQ","FILING_STATUS=MR","SCALING_FORMAT=MLN","Sort=A","Dates=H","DateFormat=P","Fill=—","Direction=H","UseDPDF=Y")</f>
        <v>0</v>
      </c>
      <c r="J68" s="13" t="str">
        <f>_xll.BDH("ITCI US Equity","IS_CAP_INT_EXP","FQ1 2021","FQ1 2021","Currency=USD","Period=FQ","BEST_FPERIOD_OVERRIDE=FQ","FILING_STATUS=MR","SCALING_FORMAT=MLN","Sort=A","Dates=H","DateFormat=P","Fill=—","Direction=H","UseDPDF=Y")</f>
        <v>—</v>
      </c>
      <c r="K68" s="13" t="str">
        <f>_xll.BDH("ITCI US Equity","IS_CAP_INT_EXP","FQ2 2021","FQ2 2021","Currency=USD","Period=FQ","BEST_FPERIOD_OVERRIDE=FQ","FILING_STATUS=MR","SCALING_FORMAT=MLN","Sort=A","Dates=H","DateFormat=P","Fill=—","Direction=H","UseDPDF=Y")</f>
        <v>—</v>
      </c>
      <c r="L68" s="13" t="str">
        <f>_xll.BDH("ITCI US Equity","IS_CAP_INT_EXP","FQ3 2021","FQ3 2021","Currency=USD","Period=FQ","BEST_FPERIOD_OVERRIDE=FQ","FILING_STATUS=MR","SCALING_FORMAT=MLN","Sort=A","Dates=H","DateFormat=P","Fill=—","Direction=H","UseDPDF=Y")</f>
        <v>—</v>
      </c>
      <c r="M68" s="13">
        <f>_xll.BDH("ITCI US Equity","IS_CAP_INT_EXP","FQ4 2021","FQ4 2021","Currency=USD","Period=FQ","BEST_FPERIOD_OVERRIDE=FQ","FILING_STATUS=MR","SCALING_FORMAT=MLN","Sort=A","Dates=H","DateFormat=P","Fill=—","Direction=H","UseDPDF=Y")</f>
        <v>0</v>
      </c>
      <c r="N68" s="13" t="str">
        <f>_xll.BDH("ITCI US Equity","IS_CAP_INT_EXP","FQ1 2022","FQ1 2022","Currency=USD","Period=FQ","BEST_FPERIOD_OVERRIDE=FQ","FILING_STATUS=MR","SCALING_FORMAT=MLN","Sort=A","Dates=H","DateFormat=P","Fill=—","Direction=H","UseDPDF=Y")</f>
        <v>—</v>
      </c>
      <c r="O68" s="13" t="str">
        <f>_xll.BDH("ITCI US Equity","IS_CAP_INT_EXP","FQ2 2022","FQ2 2022","Currency=USD","Period=FQ","BEST_FPERIOD_OVERRIDE=FQ","FILING_STATUS=MR","SCALING_FORMAT=MLN","Sort=A","Dates=H","DateFormat=P","Fill=—","Direction=H","UseDPDF=Y")</f>
        <v>—</v>
      </c>
      <c r="P68" s="13" t="str">
        <f>_xll.BDH("ITCI US Equity","IS_CAP_INT_EXP","FQ3 2022","FQ3 2022","Currency=USD","Period=FQ","BEST_FPERIOD_OVERRIDE=FQ","FILING_STATUS=MR","SCALING_FORMAT=MLN","Sort=A","Dates=H","DateFormat=P","Fill=—","Direction=H","UseDPDF=Y")</f>
        <v>—</v>
      </c>
      <c r="Q68" s="13">
        <f>_xll.BDH("ITCI US Equity","IS_CAP_INT_EXP","FQ4 2022","FQ4 2022","Currency=USD","Period=FQ","BEST_FPERIOD_OVERRIDE=FQ","FILING_STATUS=MR","SCALING_FORMAT=MLN","Sort=A","Dates=H","DateFormat=P","Fill=—","Direction=H","UseDPDF=Y")</f>
        <v>0</v>
      </c>
      <c r="R68" s="13" t="str">
        <f>_xll.BDH("ITCI US Equity","IS_CAP_INT_EXP","FQ1 2023","FQ1 2023","Currency=USD","Period=FQ","BEST_FPERIOD_OVERRIDE=FQ","FILING_STATUS=MR","SCALING_FORMAT=MLN","Sort=A","Dates=H","DateFormat=P","Fill=—","Direction=H","UseDPDF=Y")</f>
        <v>—</v>
      </c>
      <c r="S68" s="13" t="str">
        <f>_xll.BDH("ITCI US Equity","IS_CAP_INT_EXP","FQ2 2023","FQ2 2023","Currency=USD","Period=FQ","BEST_FPERIOD_OVERRIDE=FQ","FILING_STATUS=MR","SCALING_FORMAT=MLN","Sort=A","Dates=H","DateFormat=P","Fill=—","Direction=H","UseDPDF=Y")</f>
        <v>—</v>
      </c>
      <c r="T68" s="13" t="str">
        <f>_xll.BDH("ITCI US Equity","IS_CAP_INT_EXP","FQ3 2023","FQ3 2023","Currency=USD","Period=FQ","BEST_FPERIOD_OVERRIDE=FQ","FILING_STATUS=MR","SCALING_FORMAT=MLN","Sort=A","Dates=H","DateFormat=P","Fill=—","Direction=H","UseDPDF=Y")</f>
        <v>—</v>
      </c>
      <c r="U68" s="13">
        <f>_xll.BDH("ITCI US Equity","IS_CAP_INT_EXP","FQ4 2023","FQ4 2023","Currency=USD","Period=FQ","BEST_FPERIOD_OVERRIDE=FQ","FILING_STATUS=MR","SCALING_FORMAT=MLN","Sort=A","Dates=H","DateFormat=P","Fill=—","Direction=H","UseDPDF=Y")</f>
        <v>0</v>
      </c>
      <c r="V68" s="13" t="str">
        <f>_xll.BDH("ITCI US Equity","IS_CAP_INT_EXP","FQ1 2024","FQ1 2024","Currency=USD","Period=FQ","BEST_FPERIOD_OVERRIDE=FQ","FILING_STATUS=MR","SCALING_FORMAT=MLN","Sort=A","Dates=H","DateFormat=P","Fill=—","Direction=H","UseDPDF=Y")</f>
        <v>—</v>
      </c>
      <c r="W68" s="13" t="str">
        <f>_xll.BDH("ITCI US Equity","IS_CAP_INT_EXP","FQ2 2024","FQ2 2024","Currency=USD","Period=FQ","BEST_FPERIOD_OVERRIDE=FQ","FILING_STATUS=MR","SCALING_FORMAT=MLN","Sort=A","Dates=H","DateFormat=P","Fill=—","Direction=H","UseDPDF=Y")</f>
        <v>—</v>
      </c>
      <c r="X68" s="13" t="str">
        <f>_xll.BDH("ITCI US Equity","IS_CAP_INT_EXP","FQ3 2024","FQ3 2024","Currency=USD","Period=FQ","BEST_FPERIOD_OVERRIDE=FQ","FILING_STATUS=MR","SCALING_FORMAT=MLN","Sort=A","Dates=H","DateFormat=P","Fill=—","Direction=H","UseDPDF=Y")</f>
        <v>—</v>
      </c>
      <c r="Y68" s="13">
        <f>_xll.BDH("ITCI US Equity","IS_CAP_INT_EXP","FQ4 2024","FQ4 2024","Currency=USD","Period=FQ","BEST_FPERIOD_OVERRIDE=FQ","FILING_STATUS=MR","SCALING_FORMAT=MLN","Sort=A","Dates=H","DateFormat=P","Fill=—","Direction=H","UseDPDF=Y")</f>
        <v>0</v>
      </c>
      <c r="Z68" s="13"/>
      <c r="AA68" s="13"/>
    </row>
    <row r="69" spans="1:27" x14ac:dyDescent="0.25">
      <c r="A69" s="10" t="s">
        <v>368</v>
      </c>
      <c r="B69" s="10" t="s">
        <v>369</v>
      </c>
      <c r="C69" s="13">
        <f>_xll.BDH("ITCI US Equity","IS_DEPR_EXP","FQ2 2019","FQ2 2019","Currency=USD","Period=FQ","BEST_FPERIOD_OVERRIDE=FQ","FILING_STATUS=MR","SCALING_FORMAT=MLN","Sort=A","Dates=H","DateFormat=P","Fill=—","Direction=H","UseDPDF=Y")</f>
        <v>0.1051</v>
      </c>
      <c r="D69" s="13">
        <f>_xll.BDH("ITCI US Equity","IS_DEPR_EXP","FQ3 2019","FQ3 2019","Currency=USD","Period=FQ","BEST_FPERIOD_OVERRIDE=FQ","FILING_STATUS=MR","SCALING_FORMAT=MLN","Sort=A","Dates=H","DateFormat=P","Fill=—","Direction=H","UseDPDF=Y")</f>
        <v>0.12909999999999999</v>
      </c>
      <c r="E69" s="13">
        <f>_xll.BDH("ITCI US Equity","IS_DEPR_EXP","FQ4 2019","FQ4 2019","Currency=USD","Period=FQ","BEST_FPERIOD_OVERRIDE=FQ","FILING_STATUS=MR","SCALING_FORMAT=MLN","Sort=A","Dates=H","DateFormat=P","Fill=—","Direction=H","UseDPDF=Y")</f>
        <v>0.14169999999999999</v>
      </c>
      <c r="F69" s="13">
        <f>_xll.BDH("ITCI US Equity","IS_DEPR_EXP","FQ1 2020","FQ1 2020","Currency=USD","Period=FQ","BEST_FPERIOD_OVERRIDE=FQ","FILING_STATUS=MR","SCALING_FORMAT=MLN","Sort=A","Dates=H","DateFormat=P","Fill=—","Direction=H","UseDPDF=Y")</f>
        <v>0.14879999999999999</v>
      </c>
      <c r="G69" s="13">
        <f>_xll.BDH("ITCI US Equity","IS_DEPR_EXP","FQ2 2020","FQ2 2020","Currency=USD","Period=FQ","BEST_FPERIOD_OVERRIDE=FQ","FILING_STATUS=MR","SCALING_FORMAT=MLN","Sort=A","Dates=H","DateFormat=P","Fill=—","Direction=H","UseDPDF=Y")</f>
        <v>0.1323</v>
      </c>
      <c r="H69" s="13">
        <f>_xll.BDH("ITCI US Equity","IS_DEPR_EXP","FQ3 2020","FQ3 2020","Currency=USD","Period=FQ","BEST_FPERIOD_OVERRIDE=FQ","FILING_STATUS=MR","SCALING_FORMAT=MLN","Sort=A","Dates=H","DateFormat=P","Fill=—","Direction=H","UseDPDF=Y")</f>
        <v>0.121</v>
      </c>
      <c r="I69" s="13">
        <f>_xll.BDH("ITCI US Equity","IS_DEPR_EXP","FQ4 2020","FQ4 2020","Currency=USD","Period=FQ","BEST_FPERIOD_OVERRIDE=FQ","FILING_STATUS=MR","SCALING_FORMAT=MLN","Sort=A","Dates=H","DateFormat=P","Fill=—","Direction=H","UseDPDF=Y")</f>
        <v>0.126</v>
      </c>
      <c r="J69" s="13">
        <f>_xll.BDH("ITCI US Equity","IS_DEPR_EXP","FQ1 2021","FQ1 2021","Currency=USD","Period=FQ","BEST_FPERIOD_OVERRIDE=FQ","FILING_STATUS=MR","SCALING_FORMAT=MLN","Sort=A","Dates=H","DateFormat=P","Fill=—","Direction=H","UseDPDF=Y")</f>
        <v>0.127</v>
      </c>
      <c r="K69" s="13">
        <f>_xll.BDH("ITCI US Equity","IS_DEPR_EXP","FQ2 2021","FQ2 2021","Currency=USD","Period=FQ","BEST_FPERIOD_OVERRIDE=FQ","FILING_STATUS=MR","SCALING_FORMAT=MLN","Sort=A","Dates=H","DateFormat=P","Fill=—","Direction=H","UseDPDF=Y")</f>
        <v>0.12559999999999999</v>
      </c>
      <c r="L69" s="13">
        <f>_xll.BDH("ITCI US Equity","IS_DEPR_EXP","FQ3 2021","FQ3 2021","Currency=USD","Period=FQ","BEST_FPERIOD_OVERRIDE=FQ","FILING_STATUS=MR","SCALING_FORMAT=MLN","Sort=A","Dates=H","DateFormat=P","Fill=—","Direction=H","UseDPDF=Y")</f>
        <v>0.13389999999999999</v>
      </c>
      <c r="M69" s="13">
        <f>_xll.BDH("ITCI US Equity","IS_DEPR_EXP","FQ4 2021","FQ4 2021","Currency=USD","Period=FQ","BEST_FPERIOD_OVERRIDE=FQ","FILING_STATUS=MR","SCALING_FORMAT=MLN","Sort=A","Dates=H","DateFormat=P","Fill=—","Direction=H","UseDPDF=Y")</f>
        <v>0.14680000000000001</v>
      </c>
      <c r="N69" s="13">
        <f>_xll.BDH("ITCI US Equity","IS_DEPR_EXP","FQ1 2022","FQ1 2022","Currency=USD","Period=FQ","BEST_FPERIOD_OVERRIDE=FQ","FILING_STATUS=MR","SCALING_FORMAT=MLN","Sort=A","Dates=H","DateFormat=P","Fill=—","Direction=H","UseDPDF=Y")</f>
        <v>0.17100000000000001</v>
      </c>
      <c r="O69" s="13">
        <f>_xll.BDH("ITCI US Equity","IS_DEPR_EXP","FQ2 2022","FQ2 2022","Currency=USD","Period=FQ","BEST_FPERIOD_OVERRIDE=FQ","FILING_STATUS=MR","SCALING_FORMAT=MLN","Sort=A","Dates=H","DateFormat=P","Fill=—","Direction=H","UseDPDF=Y")</f>
        <v>0.17199999999999999</v>
      </c>
      <c r="P69" s="13">
        <f>_xll.BDH("ITCI US Equity","IS_DEPR_EXP","FQ3 2022","FQ3 2022","Currency=USD","Period=FQ","BEST_FPERIOD_OVERRIDE=FQ","FILING_STATUS=MR","SCALING_FORMAT=MLN","Sort=A","Dates=H","DateFormat=P","Fill=—","Direction=H","UseDPDF=Y")</f>
        <v>0.17</v>
      </c>
      <c r="Q69" s="13">
        <f>_xll.BDH("ITCI US Equity","IS_DEPR_EXP","FQ4 2022","FQ4 2022","Currency=USD","Period=FQ","BEST_FPERIOD_OVERRIDE=FQ","FILING_STATUS=MR","SCALING_FORMAT=MLN","Sort=A","Dates=H","DateFormat=P","Fill=—","Direction=H","UseDPDF=Y")</f>
        <v>0.14299999999999999</v>
      </c>
      <c r="R69" s="13">
        <f>_xll.BDH("ITCI US Equity","IS_DEPR_EXP","FQ1 2023","FQ1 2023","Currency=USD","Period=FQ","BEST_FPERIOD_OVERRIDE=FQ","FILING_STATUS=MR","SCALING_FORMAT=MLN","Sort=A","Dates=H","DateFormat=P","Fill=—","Direction=H","UseDPDF=Y")</f>
        <v>0.13400000000000001</v>
      </c>
      <c r="S69" s="13">
        <f>_xll.BDH("ITCI US Equity","IS_DEPR_EXP","FQ2 2023","FQ2 2023","Currency=USD","Period=FQ","BEST_FPERIOD_OVERRIDE=FQ","FILING_STATUS=MR","SCALING_FORMAT=MLN","Sort=A","Dates=H","DateFormat=P","Fill=—","Direction=H","UseDPDF=Y")</f>
        <v>0.123</v>
      </c>
      <c r="T69" s="13">
        <f>_xll.BDH("ITCI US Equity","IS_DEPR_EXP","FQ3 2023","FQ3 2023","Currency=USD","Period=FQ","BEST_FPERIOD_OVERRIDE=FQ","FILING_STATUS=MR","SCALING_FORMAT=MLN","Sort=A","Dates=H","DateFormat=P","Fill=—","Direction=H","UseDPDF=Y")</f>
        <v>0.13500000000000001</v>
      </c>
      <c r="U69" s="13">
        <f>_xll.BDH("ITCI US Equity","IS_DEPR_EXP","FQ4 2023","FQ4 2023","Currency=USD","Period=FQ","BEST_FPERIOD_OVERRIDE=FQ","FILING_STATUS=MR","SCALING_FORMAT=MLN","Sort=A","Dates=H","DateFormat=P","Fill=—","Direction=H","UseDPDF=Y")</f>
        <v>0.13600000000000001</v>
      </c>
      <c r="V69" s="13">
        <f>_xll.BDH("ITCI US Equity","IS_DEPR_EXP","FQ1 2024","FQ1 2024","Currency=USD","Period=FQ","BEST_FPERIOD_OVERRIDE=FQ","FILING_STATUS=MR","SCALING_FORMAT=MLN","Sort=A","Dates=H","DateFormat=P","Fill=—","Direction=H","UseDPDF=Y")</f>
        <v>0.13200000000000001</v>
      </c>
      <c r="W69" s="13">
        <f>_xll.BDH("ITCI US Equity","IS_DEPR_EXP","FQ2 2024","FQ2 2024","Currency=USD","Period=FQ","BEST_FPERIOD_OVERRIDE=FQ","FILING_STATUS=MR","SCALING_FORMAT=MLN","Sort=A","Dates=H","DateFormat=P","Fill=—","Direction=H","UseDPDF=Y")</f>
        <v>0.129</v>
      </c>
      <c r="X69" s="13">
        <f>_xll.BDH("ITCI US Equity","IS_DEPR_EXP","FQ3 2024","FQ3 2024","Currency=USD","Period=FQ","BEST_FPERIOD_OVERRIDE=FQ","FILING_STATUS=MR","SCALING_FORMAT=MLN","Sort=A","Dates=H","DateFormat=P","Fill=—","Direction=H","UseDPDF=Y")</f>
        <v>0.13800000000000001</v>
      </c>
      <c r="Y69" s="13">
        <f>_xll.BDH("ITCI US Equity","IS_DEPR_EXP","FQ4 2024","FQ4 2024","Currency=USD","Period=FQ","BEST_FPERIOD_OVERRIDE=FQ","FILING_STATUS=MR","SCALING_FORMAT=MLN","Sort=A","Dates=H","DateFormat=P","Fill=—","Direction=H","UseDPDF=Y")</f>
        <v>0.109</v>
      </c>
      <c r="Z69" s="13"/>
      <c r="AA69" s="13"/>
    </row>
    <row r="70" spans="1:27" x14ac:dyDescent="0.25">
      <c r="A70" s="10" t="s">
        <v>370</v>
      </c>
      <c r="B70" s="10" t="s">
        <v>371</v>
      </c>
      <c r="C70" s="13">
        <f>_xll.BDH("ITCI US Equity","BS_CURR_RENTAL_EXPENSE","FQ2 2019","FQ2 2019","Currency=USD","Period=FQ","BEST_FPERIOD_OVERRIDE=FQ","FILING_STATUS=MR","SCALING_FORMAT=MLN","Sort=A","Dates=H","DateFormat=P","Fill=—","Direction=H","UseDPDF=Y")</f>
        <v>0.95599999999999996</v>
      </c>
      <c r="D70" s="13">
        <f>_xll.BDH("ITCI US Equity","BS_CURR_RENTAL_EXPENSE","FQ3 2019","FQ3 2019","Currency=USD","Period=FQ","BEST_FPERIOD_OVERRIDE=FQ","FILING_STATUS=MR","SCALING_FORMAT=MLN","Sort=A","Dates=H","DateFormat=P","Fill=—","Direction=H","UseDPDF=Y")</f>
        <v>0.81799999999999995</v>
      </c>
      <c r="E70" s="13">
        <f>_xll.BDH("ITCI US Equity","BS_CURR_RENTAL_EXPENSE","FQ4 2019","FQ4 2019","Currency=USD","Period=FQ","BEST_FPERIOD_OVERRIDE=FQ","FILING_STATUS=MR","SCALING_FORMAT=MLN","Sort=A","Dates=H","DateFormat=P","Fill=—","Direction=H","UseDPDF=Y")</f>
        <v>0.8</v>
      </c>
      <c r="F70" s="13">
        <f>_xll.BDH("ITCI US Equity","BS_CURR_RENTAL_EXPENSE","FQ1 2020","FQ1 2020","Currency=USD","Period=FQ","BEST_FPERIOD_OVERRIDE=FQ","FILING_STATUS=MR","SCALING_FORMAT=MLN","Sort=A","Dates=H","DateFormat=P","Fill=—","Direction=H","UseDPDF=Y")</f>
        <v>0.81799999999999995</v>
      </c>
      <c r="G70" s="13">
        <f>_xll.BDH("ITCI US Equity","BS_CURR_RENTAL_EXPENSE","FQ2 2020","FQ2 2020","Currency=USD","Period=FQ","BEST_FPERIOD_OVERRIDE=FQ","FILING_STATUS=MR","SCALING_FORMAT=MLN","Sort=A","Dates=H","DateFormat=P","Fill=—","Direction=H","UseDPDF=Y")</f>
        <v>0.8</v>
      </c>
      <c r="H70" s="13">
        <f>_xll.BDH("ITCI US Equity","BS_CURR_RENTAL_EXPENSE","FQ3 2020","FQ3 2020","Currency=USD","Period=FQ","BEST_FPERIOD_OVERRIDE=FQ","FILING_STATUS=MR","SCALING_FORMAT=MLN","Sort=A","Dates=H","DateFormat=P","Fill=—","Direction=H","UseDPDF=Y")</f>
        <v>0.8</v>
      </c>
      <c r="I70" s="13">
        <f>_xll.BDH("ITCI US Equity","BS_CURR_RENTAL_EXPENSE","FQ4 2020","FQ4 2020","Currency=USD","Period=FQ","BEST_FPERIOD_OVERRIDE=FQ","FILING_STATUS=MR","SCALING_FORMAT=MLN","Sort=A","Dates=H","DateFormat=P","Fill=—","Direction=H","UseDPDF=Y")</f>
        <v>0.3831</v>
      </c>
      <c r="J70" s="13">
        <f>_xll.BDH("ITCI US Equity","BS_CURR_RENTAL_EXPENSE","FQ1 2021","FQ1 2021","Currency=USD","Period=FQ","BEST_FPERIOD_OVERRIDE=FQ","FILING_STATUS=MR","SCALING_FORMAT=MLN","Sort=A","Dates=H","DateFormat=P","Fill=—","Direction=H","UseDPDF=Y")</f>
        <v>0.8</v>
      </c>
      <c r="K70" s="13">
        <f>_xll.BDH("ITCI US Equity","BS_CURR_RENTAL_EXPENSE","FQ2 2021","FQ2 2021","Currency=USD","Period=FQ","BEST_FPERIOD_OVERRIDE=FQ","FILING_STATUS=MR","SCALING_FORMAT=MLN","Sort=A","Dates=H","DateFormat=P","Fill=—","Direction=H","UseDPDF=Y")</f>
        <v>0.8</v>
      </c>
      <c r="L70" s="13">
        <f>_xll.BDH("ITCI US Equity","BS_CURR_RENTAL_EXPENSE","FQ3 2021","FQ3 2021","Currency=USD","Period=FQ","BEST_FPERIOD_OVERRIDE=FQ","FILING_STATUS=MR","SCALING_FORMAT=MLN","Sort=A","Dates=H","DateFormat=P","Fill=—","Direction=H","UseDPDF=Y")</f>
        <v>0.8</v>
      </c>
      <c r="M70" s="13">
        <f>_xll.BDH("ITCI US Equity","BS_CURR_RENTAL_EXPENSE","FQ4 2021","FQ4 2021","Currency=USD","Period=FQ","BEST_FPERIOD_OVERRIDE=FQ","FILING_STATUS=MR","SCALING_FORMAT=MLN","Sort=A","Dates=H","DateFormat=P","Fill=—","Direction=H","UseDPDF=Y")</f>
        <v>0.94889999999999997</v>
      </c>
      <c r="N70" s="13" t="str">
        <f>_xll.BDH("ITCI US Equity","BS_CURR_RENTAL_EXPENSE","FQ1 2022","FQ1 2022","Currency=USD","Period=FQ","BEST_FPERIOD_OVERRIDE=FQ","FILING_STATUS=MR","SCALING_FORMAT=MLN","Sort=A","Dates=H","DateFormat=P","Fill=—","Direction=H","UseDPDF=Y")</f>
        <v>—</v>
      </c>
      <c r="O70" s="13" t="str">
        <f>_xll.BDH("ITCI US Equity","BS_CURR_RENTAL_EXPENSE","FQ2 2022","FQ2 2022","Currency=USD","Period=FQ","BEST_FPERIOD_OVERRIDE=FQ","FILING_STATUS=MR","SCALING_FORMAT=MLN","Sort=A","Dates=H","DateFormat=P","Fill=—","Direction=H","UseDPDF=Y")</f>
        <v>—</v>
      </c>
      <c r="P70" s="13" t="str">
        <f>_xll.BDH("ITCI US Equity","BS_CURR_RENTAL_EXPENSE","FQ3 2022","FQ3 2022","Currency=USD","Period=FQ","BEST_FPERIOD_OVERRIDE=FQ","FILING_STATUS=MR","SCALING_FORMAT=MLN","Sort=A","Dates=H","DateFormat=P","Fill=—","Direction=H","UseDPDF=Y")</f>
        <v>—</v>
      </c>
      <c r="Q70" s="13">
        <f>_xll.BDH("ITCI US Equity","BS_CURR_RENTAL_EXPENSE","FQ4 2022","FQ4 2022","Currency=USD","Period=FQ","BEST_FPERIOD_OVERRIDE=FQ","FILING_STATUS=MR","SCALING_FORMAT=MLN","Sort=A","Dates=H","DateFormat=P","Fill=—","Direction=H","UseDPDF=Y")</f>
        <v>7.2039999999999997</v>
      </c>
      <c r="R70" s="13">
        <f>_xll.BDH("ITCI US Equity","BS_CURR_RENTAL_EXPENSE","FQ1 2023","FQ1 2023","Currency=USD","Period=FQ","BEST_FPERIOD_OVERRIDE=FQ","FILING_STATUS=MR","SCALING_FORMAT=MLN","Sort=A","Dates=H","DateFormat=P","Fill=—","Direction=H","UseDPDF=Y")</f>
        <v>2.161</v>
      </c>
      <c r="S70" s="13" t="str">
        <f>_xll.BDH("ITCI US Equity","BS_CURR_RENTAL_EXPENSE","FQ2 2023","FQ2 2023","Currency=USD","Period=FQ","BEST_FPERIOD_OVERRIDE=FQ","FILING_STATUS=MR","SCALING_FORMAT=MLN","Sort=A","Dates=H","DateFormat=P","Fill=—","Direction=H","UseDPDF=Y")</f>
        <v>—</v>
      </c>
      <c r="T70" s="13">
        <f>_xll.BDH("ITCI US Equity","BS_CURR_RENTAL_EXPENSE","FQ3 2023","FQ3 2023","Currency=USD","Period=FQ","BEST_FPERIOD_OVERRIDE=FQ","FILING_STATUS=MR","SCALING_FORMAT=MLN","Sort=A","Dates=H","DateFormat=P","Fill=—","Direction=H","UseDPDF=Y")</f>
        <v>2.4820000000000002</v>
      </c>
      <c r="U70" s="13">
        <f>_xll.BDH("ITCI US Equity","BS_CURR_RENTAL_EXPENSE","FQ4 2023","FQ4 2023","Currency=USD","Period=FQ","BEST_FPERIOD_OVERRIDE=FQ","FILING_STATUS=MR","SCALING_FORMAT=MLN","Sort=A","Dates=H","DateFormat=P","Fill=—","Direction=H","UseDPDF=Y")</f>
        <v>7.6849999999999996</v>
      </c>
      <c r="V70" s="13">
        <f>_xll.BDH("ITCI US Equity","BS_CURR_RENTAL_EXPENSE","FQ1 2024","FQ1 2024","Currency=USD","Period=FQ","BEST_FPERIOD_OVERRIDE=FQ","FILING_STATUS=MR","SCALING_FORMAT=MLN","Sort=A","Dates=H","DateFormat=P","Fill=—","Direction=H","UseDPDF=Y")</f>
        <v>1.8879999999999999</v>
      </c>
      <c r="W70" s="13">
        <f>_xll.BDH("ITCI US Equity","BS_CURR_RENTAL_EXPENSE","FQ2 2024","FQ2 2024","Currency=USD","Period=FQ","BEST_FPERIOD_OVERRIDE=FQ","FILING_STATUS=MR","SCALING_FORMAT=MLN","Sort=A","Dates=H","DateFormat=P","Fill=—","Direction=H","UseDPDF=Y")</f>
        <v>2.1459999999999999</v>
      </c>
      <c r="X70" s="13">
        <f>_xll.BDH("ITCI US Equity","BS_CURR_RENTAL_EXPENSE","FQ3 2024","FQ3 2024","Currency=USD","Period=FQ","BEST_FPERIOD_OVERRIDE=FQ","FILING_STATUS=MR","SCALING_FORMAT=MLN","Sort=A","Dates=H","DateFormat=P","Fill=—","Direction=H","UseDPDF=Y")</f>
        <v>2.101</v>
      </c>
      <c r="Y70" s="13">
        <f>_xll.BDH("ITCI US Equity","BS_CURR_RENTAL_EXPENSE","FQ4 2024","FQ4 2024","Currency=USD","Period=FQ","BEST_FPERIOD_OVERRIDE=FQ","FILING_STATUS=MR","SCALING_FORMAT=MLN","Sort=A","Dates=H","DateFormat=P","Fill=—","Direction=H","UseDPDF=Y")</f>
        <v>2.1059999999999999</v>
      </c>
      <c r="Z70" s="13"/>
      <c r="AA70" s="13"/>
    </row>
    <row r="71" spans="1:27" x14ac:dyDescent="0.25">
      <c r="A71" s="7" t="s">
        <v>90</v>
      </c>
      <c r="B71" s="7"/>
      <c r="C71" s="7" t="s">
        <v>5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Adj Highlights</vt:lpstr>
      <vt:lpstr>GAAP Highlights</vt:lpstr>
      <vt:lpstr>Earnings</vt:lpstr>
      <vt:lpstr>Enterprise Value</vt:lpstr>
      <vt:lpstr>Multiples</vt:lpstr>
      <vt:lpstr>Per Share</vt:lpstr>
      <vt:lpstr>Stock Value</vt:lpstr>
      <vt:lpstr>EV Ex Operating Leases</vt:lpstr>
      <vt:lpstr>Income - Adjusted</vt:lpstr>
      <vt:lpstr>Income - GAAP</vt:lpstr>
      <vt:lpstr>Income - As Reported</vt:lpstr>
      <vt:lpstr>Reconciliation</vt:lpstr>
      <vt:lpstr>SBC &amp; Amort</vt:lpstr>
      <vt:lpstr>Adj %</vt:lpstr>
      <vt:lpstr>GAAP %</vt:lpstr>
      <vt:lpstr>Bal Sheet - Standardized</vt:lpstr>
      <vt:lpstr>Bal Sheet - As Reported</vt:lpstr>
      <vt:lpstr>Bal Sheet - Common Size</vt:lpstr>
      <vt:lpstr>Fair Value Analysis</vt:lpstr>
      <vt:lpstr>Cash Flow - Standardized</vt:lpstr>
      <vt:lpstr>Cash Flow - As Reported</vt:lpstr>
      <vt:lpstr>Profitability</vt:lpstr>
      <vt:lpstr>Growth</vt:lpstr>
      <vt:lpstr>Credit</vt:lpstr>
      <vt:lpstr>Credit Ex Operating Leases</vt:lpstr>
      <vt:lpstr>Liquidity</vt:lpstr>
      <vt:lpstr>Working Capital</vt:lpstr>
      <vt:lpstr>Yield Analysis</vt:lpstr>
      <vt:lpstr>DuPont Analysis</vt:lpstr>
      <vt:lpstr>By Measure</vt:lpstr>
      <vt:lpstr>By Geography</vt:lpstr>
      <vt:lpstr>By Segment</vt:lpstr>
      <vt:lpstr>ESG 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Student1</cp:lastModifiedBy>
  <dcterms:created xsi:type="dcterms:W3CDTF">2013-04-03T15:49:21Z</dcterms:created>
  <dcterms:modified xsi:type="dcterms:W3CDTF">2025-03-28T18:18:18Z</dcterms:modified>
</cp:coreProperties>
</file>