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courtney/Downloads/"/>
    </mc:Choice>
  </mc:AlternateContent>
  <xr:revisionPtr revIDLastSave="0" documentId="13_ncr:1_{3943233F-F430-9A46-B3E2-674A5646A843}" xr6:coauthVersionLast="45" xr6:coauthVersionMax="45" xr10:uidLastSave="{00000000-0000-0000-0000-000000000000}"/>
  <bookViews>
    <workbookView xWindow="500" yWindow="460" windowWidth="31760" windowHeight="19160" tabRatio="500" xr2:uid="{00000000-000D-0000-FFFF-FFFF00000000}"/>
  </bookViews>
  <sheets>
    <sheet name="StartHere" sheetId="1" r:id="rId1"/>
    <sheet name="Cisco Switch Config" sheetId="13" r:id="rId2"/>
    <sheet name="Advanced Cisco Switch Configs" sheetId="15" r:id="rId3"/>
    <sheet name="Juniper EX Config" sheetId="2" r:id="rId4"/>
    <sheet name="HPE Provision Config" sheetId="17" r:id="rId5"/>
    <sheet name="Aruba CX Config" sheetId="20" r:id="rId6"/>
    <sheet name="Aruba S-Series Config" sheetId="16" r:id="rId7"/>
    <sheet name="Extreme EXOS 15- Config" sheetId="19" r:id="rId8"/>
    <sheet name="Extreme EXOS 16+ Config" sheetId="18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0" l="1"/>
  <c r="A7" i="20"/>
  <c r="A23" i="20"/>
  <c r="A22" i="20"/>
  <c r="A42" i="20"/>
  <c r="A18" i="20"/>
  <c r="A19" i="20"/>
  <c r="A15" i="20"/>
  <c r="A16" i="20"/>
  <c r="A11" i="20"/>
  <c r="A12" i="20"/>
  <c r="A8" i="20"/>
  <c r="A9" i="20"/>
  <c r="A7" i="17"/>
  <c r="A5" i="17"/>
  <c r="B51" i="17" l="1"/>
  <c r="A26" i="17"/>
  <c r="A25" i="17"/>
  <c r="A27" i="17"/>
  <c r="A28" i="17"/>
  <c r="A20" i="19"/>
  <c r="A18" i="19"/>
  <c r="A16" i="19"/>
  <c r="A14" i="19"/>
  <c r="A19" i="19"/>
  <c r="A17" i="19"/>
  <c r="A15" i="19"/>
  <c r="A13" i="19"/>
  <c r="A12" i="19"/>
  <c r="A11" i="19"/>
  <c r="A10" i="19"/>
  <c r="A9" i="19"/>
  <c r="A7" i="19"/>
  <c r="A5" i="19"/>
  <c r="A8" i="19"/>
  <c r="A6" i="19"/>
  <c r="A42" i="19"/>
  <c r="A41" i="19"/>
  <c r="A40" i="19"/>
  <c r="A39" i="19"/>
  <c r="A38" i="19"/>
  <c r="A29" i="19"/>
  <c r="A28" i="19"/>
  <c r="A27" i="19"/>
  <c r="A26" i="19"/>
  <c r="A25" i="19"/>
  <c r="A24" i="19"/>
  <c r="A23" i="19"/>
  <c r="A22" i="19"/>
  <c r="A23" i="18"/>
  <c r="A22" i="18"/>
  <c r="A21" i="18"/>
  <c r="A20" i="18"/>
  <c r="A19" i="18"/>
  <c r="A18" i="18"/>
  <c r="A17" i="18"/>
  <c r="A16" i="18"/>
  <c r="A14" i="18"/>
  <c r="A12" i="18"/>
  <c r="A10" i="18"/>
  <c r="A8" i="18"/>
  <c r="A6" i="18"/>
  <c r="A34" i="18"/>
  <c r="A35" i="18"/>
  <c r="A39" i="18"/>
  <c r="A38" i="18"/>
  <c r="A37" i="18"/>
  <c r="A36" i="18"/>
  <c r="A30" i="18"/>
  <c r="A13" i="18"/>
  <c r="A11" i="18"/>
  <c r="A9" i="18"/>
  <c r="A7" i="18"/>
  <c r="A5" i="18"/>
  <c r="A24" i="17"/>
  <c r="A15" i="17"/>
  <c r="A16" i="17"/>
  <c r="A10" i="17"/>
  <c r="A9" i="17"/>
  <c r="A6" i="17"/>
  <c r="A29" i="17"/>
  <c r="A12" i="17"/>
  <c r="A13" i="17"/>
  <c r="A19" i="17"/>
  <c r="A20" i="17"/>
  <c r="A8" i="17"/>
  <c r="A15" i="15"/>
  <c r="A14" i="15"/>
  <c r="A33" i="16"/>
  <c r="A29" i="16"/>
  <c r="A34" i="16"/>
  <c r="A30" i="16"/>
  <c r="A40" i="16"/>
  <c r="A25" i="16"/>
  <c r="A46" i="13"/>
  <c r="A46" i="2"/>
  <c r="A69" i="16"/>
  <c r="A12" i="13"/>
  <c r="A16" i="13"/>
  <c r="A65" i="16"/>
  <c r="A64" i="16"/>
  <c r="A26" i="16"/>
  <c r="A18" i="16"/>
  <c r="A15" i="16"/>
  <c r="A19" i="16"/>
  <c r="A9" i="16"/>
  <c r="A16" i="16"/>
  <c r="A13" i="16"/>
  <c r="A12" i="16"/>
  <c r="A8" i="16"/>
  <c r="A17" i="13"/>
  <c r="A37" i="2"/>
  <c r="A34" i="2"/>
  <c r="A36" i="2"/>
  <c r="A35" i="2"/>
  <c r="A33" i="2"/>
  <c r="A32" i="2"/>
  <c r="A29" i="2"/>
  <c r="A28" i="2"/>
  <c r="A27" i="2"/>
  <c r="A26" i="2"/>
  <c r="A21" i="2"/>
  <c r="A20" i="2"/>
  <c r="A19" i="2"/>
  <c r="A18" i="2"/>
  <c r="A17" i="2"/>
  <c r="A16" i="2"/>
  <c r="A5" i="2"/>
  <c r="A6" i="2"/>
  <c r="A7" i="2"/>
  <c r="A8" i="2"/>
  <c r="A9" i="2"/>
  <c r="A14" i="2"/>
  <c r="A12" i="2"/>
  <c r="A10" i="2"/>
  <c r="A11" i="2"/>
  <c r="A15" i="13"/>
  <c r="A14" i="13"/>
  <c r="A11" i="13"/>
  <c r="A7" i="13"/>
  <c r="A8" i="13"/>
  <c r="A35" i="13"/>
  <c r="A34" i="13"/>
  <c r="A50" i="2"/>
  <c r="A48" i="2"/>
  <c r="A49" i="2"/>
  <c r="A51" i="2"/>
</calcChain>
</file>

<file path=xl/sharedStrings.xml><?xml version="1.0" encoding="utf-8"?>
<sst xmlns="http://schemas.openxmlformats.org/spreadsheetml/2006/main" count="414" uniqueCount="324">
  <si>
    <t>&lt;-- Fill in this field</t>
  </si>
  <si>
    <t>Copy and paste the following commands into the JUNOS CLI</t>
  </si>
  <si>
    <t>set system login class read-only-local permissions view</t>
  </si>
  <si>
    <t>set system login class super-user-local idle-timeout 20</t>
  </si>
  <si>
    <t>set system login class super-user-local permissions all</t>
  </si>
  <si>
    <t>set system login user su-local full-name "AD super user for ClearPass"</t>
  </si>
  <si>
    <t>set system login user su-local uid 2020</t>
  </si>
  <si>
    <t>set system login user su-local class super-user-local</t>
  </si>
  <si>
    <t>Switch Loopback Address / RADIUS and TACACS+ Source Address</t>
  </si>
  <si>
    <t>Copy and paste the following commands into the CISCO IOS CLI</t>
  </si>
  <si>
    <t>aaa authentication login default group tacacs+ line none</t>
  </si>
  <si>
    <t>aaa authentication dot1x default group radius</t>
  </si>
  <si>
    <t>aaa authorization exec default group tacacs+ none</t>
  </si>
  <si>
    <t>aaa authorization network default group radius group tacacs+ if-authenticated</t>
  </si>
  <si>
    <t>aaa accounting update periodic 1</t>
  </si>
  <si>
    <t>aaa accounting dot1x default start-stop group radius</t>
  </si>
  <si>
    <t>aaa accounting exec default start-stop group tacacs+ group radius</t>
  </si>
  <si>
    <t>aaa accounting commands 15 default start-stop group tacacs+</t>
  </si>
  <si>
    <t>aaa accounting network default start-stop group tacacs+ group radius</t>
  </si>
  <si>
    <t>aaa accounting system default start-stop group tacacs+ group radius</t>
  </si>
  <si>
    <t>aaa new-model</t>
  </si>
  <si>
    <t>!</t>
  </si>
  <si>
    <t>aaa server radius dynamic-author</t>
  </si>
  <si>
    <t xml:space="preserve"> port 3799</t>
  </si>
  <si>
    <t xml:space="preserve"> auth-type all</t>
  </si>
  <si>
    <t>ip dhcp snooping</t>
  </si>
  <si>
    <t>ip device tracking</t>
  </si>
  <si>
    <t>dot1x system-auth-control</t>
  </si>
  <si>
    <t xml:space="preserve"> authentication host-mode multi-auth</t>
  </si>
  <si>
    <t xml:space="preserve"> authentication priority dot1x mab</t>
  </si>
  <si>
    <t xml:space="preserve"> authentication port-control auto</t>
  </si>
  <si>
    <t xml:space="preserve"> authentication periodic</t>
  </si>
  <si>
    <t xml:space="preserve"> authentication timer reauthenticate server</t>
  </si>
  <si>
    <t xml:space="preserve"> mab</t>
  </si>
  <si>
    <t xml:space="preserve"> dot1x pae authenticator</t>
  </si>
  <si>
    <t xml:space="preserve"> dot1x timeout server-timeout 20</t>
  </si>
  <si>
    <t xml:space="preserve"> dot1x timeout tx-period 5</t>
  </si>
  <si>
    <t xml:space="preserve"> dot1x timeout supp-timeout 20</t>
  </si>
  <si>
    <t xml:space="preserve"> dot1x max-req 3</t>
  </si>
  <si>
    <t xml:space="preserve"> dot1x max-reauth-req 5</t>
  </si>
  <si>
    <t xml:space="preserve"> spanning-tree portfast</t>
  </si>
  <si>
    <t>Cisco Specific</t>
  </si>
  <si>
    <t>tacacs-server timeout 10</t>
  </si>
  <si>
    <t>tacacs-server directed-request</t>
  </si>
  <si>
    <t>radius-server vsa send accounting</t>
  </si>
  <si>
    <t>radius-server vsa send authentication</t>
  </si>
  <si>
    <t>CUSTOMER Network information</t>
  </si>
  <si>
    <t>set system authentication-order radius</t>
  </si>
  <si>
    <t>set system authentication-order password</t>
  </si>
  <si>
    <t>set system radius-options password-protocol mschap-v2</t>
  </si>
  <si>
    <t>Juniper Specific</t>
  </si>
  <si>
    <t>set protocols dot1x authenticator interface All-Untrusted-Ports supplicant multiple</t>
  </si>
  <si>
    <t>set protocols dot1x authenticator interface All-Untrusted-Ports transmit-period 5</t>
  </si>
  <si>
    <t>set protocols dot1x authenticator interface All-Untrusted-Ports mac-radius</t>
  </si>
  <si>
    <t>set protocols dot1x authenticator interface All-Untrusted-Ports reauthentication 600</t>
  </si>
  <si>
    <t>set protocols dot1x authenticator interface All-Untrusted-Ports server-timeout 3</t>
  </si>
  <si>
    <t>set protocols dot1x authenticator interface All-Untrusted-Ports maximum-requests 3</t>
  </si>
  <si>
    <t>set protocols dot1x authenticator interface All-Untrusted-Ports server-fail use-cache</t>
  </si>
  <si>
    <t>set system tacplus-options timestamp-and-timezone</t>
  </si>
  <si>
    <t>Interface Type</t>
  </si>
  <si>
    <t xml:space="preserve">&lt;-- Fill in this field </t>
  </si>
  <si>
    <t>&lt;-- Select Dropdown option</t>
  </si>
  <si>
    <t>"---SELECT---"</t>
  </si>
  <si>
    <t>set system accounting events login</t>
  </si>
  <si>
    <t>set system accounting events change-log</t>
  </si>
  <si>
    <t xml:space="preserve"> authentication order dot1x mab</t>
  </si>
  <si>
    <t>authentication mac-move permit</t>
  </si>
  <si>
    <t>Cisco Web Redirect Configuration</t>
  </si>
  <si>
    <t>ip http server</t>
  </si>
  <si>
    <t>ip http secure-server</t>
  </si>
  <si>
    <t>ip http session-module-list disable_webmgmt NONE</t>
  </si>
  <si>
    <t>ip http active-session-modules disable_webmgmt</t>
  </si>
  <si>
    <t>ip http secure-active-session-modules disable_webmgmt</t>
  </si>
  <si>
    <t>** Make sure that the Guest VLAN has an IP address / SVI defined **</t>
  </si>
  <si>
    <t>device-sensor filter-list dhcp list dhcp-list</t>
  </si>
  <si>
    <t xml:space="preserve"> option name host-name</t>
  </si>
  <si>
    <t xml:space="preserve"> option name parameter-request-list</t>
  </si>
  <si>
    <t xml:space="preserve"> option name class-identifier</t>
  </si>
  <si>
    <t>device-sensor filter-list lldp list lldp-list</t>
  </si>
  <si>
    <t xml:space="preserve"> tlv name system-description</t>
  </si>
  <si>
    <t>device-sensor filter-list cdp list cdp-list</t>
  </si>
  <si>
    <t xml:space="preserve"> tlv name version-type</t>
  </si>
  <si>
    <t xml:space="preserve"> tlv name platform-type</t>
  </si>
  <si>
    <t>device-sensor filter-spec dhcp include list dhcp-list</t>
  </si>
  <si>
    <t>device-sensor filter-spec lldp include list lldp-list</t>
  </si>
  <si>
    <t>device-sensor filter-spec cdp include list cdp-list</t>
  </si>
  <si>
    <t>device-sensor accounting</t>
  </si>
  <si>
    <t>device-sensor notify all-changes</t>
  </si>
  <si>
    <t xml:space="preserve"> permit tcp any any eq 443</t>
  </si>
  <si>
    <t xml:space="preserve"> permit tcp any any eq www</t>
  </si>
  <si>
    <t>ip access-list extended ClearPass-Web-Redirect</t>
  </si>
  <si>
    <t>Advanced Cisco Device Sensor Configuration - IOS version 15.x+</t>
  </si>
  <si>
    <t>Copy and paste the following commands into the ArubaOS CLI</t>
  </si>
  <si>
    <t>aaa authentication mgmt</t>
  </si>
  <si>
    <t xml:space="preserve">   default-role "no-access"</t>
  </si>
  <si>
    <t xml:space="preserve">   enable</t>
  </si>
  <si>
    <t xml:space="preserve">   mschapv2</t>
  </si>
  <si>
    <t xml:space="preserve">   no trusted port</t>
  </si>
  <si>
    <t>interface-group gigabitethernet "AAA-Enabled-Ports"</t>
  </si>
  <si>
    <t xml:space="preserve">   mac-default-role "authenticated"</t>
  </si>
  <si>
    <t xml:space="preserve">   dot1x-default-role "authenticated"</t>
  </si>
  <si>
    <t xml:space="preserve">   radius-interim-accounting</t>
  </si>
  <si>
    <t xml:space="preserve">   enforce-dhcp</t>
  </si>
  <si>
    <t>aaa authentication mac "ClearPass-MAC-Auth"</t>
  </si>
  <si>
    <t xml:space="preserve">   delimiter colon</t>
  </si>
  <si>
    <t xml:space="preserve">   authentication-mac "ClearPass-MAC-Auth"</t>
  </si>
  <si>
    <t>aaa profile "dot1X-with-MAC-Auth"</t>
  </si>
  <si>
    <t xml:space="preserve">   machine-authentication machine-default-role "denyall"</t>
  </si>
  <si>
    <t xml:space="preserve">   machine-authentication user-default-role "denyall"</t>
  </si>
  <si>
    <t xml:space="preserve">   timer idrequest_period 10</t>
  </si>
  <si>
    <t xml:space="preserve">   timer quiet-period 3</t>
  </si>
  <si>
    <t xml:space="preserve">   timer reauth-period server</t>
  </si>
  <si>
    <t xml:space="preserve">   reauthentication</t>
  </si>
  <si>
    <t>aaa authentication dot1x "AAA-dot1X-Profile"</t>
  </si>
  <si>
    <t xml:space="preserve">   authentication-dot1x "AAA-dot1X-Profile"</t>
  </si>
  <si>
    <t xml:space="preserve">   aaa-profile "dot1X-with-MAC-Auth"</t>
  </si>
  <si>
    <t>lldp run</t>
  </si>
  <si>
    <t>TACACS+ / RADIUS Source Interface VLAN</t>
  </si>
  <si>
    <t>Designed by:</t>
  </si>
  <si>
    <t>Ending Interface Range (Ex: 0/0/23, 1/0/23, 23)</t>
  </si>
  <si>
    <t>Beginning Interface Range (Ex: 0/0/0, 1/0/0, 0/0)</t>
  </si>
  <si>
    <t xml:space="preserve"> auth-server ClearPass2-TACACS</t>
  </si>
  <si>
    <t xml:space="preserve"> auth-server ClearPass1-TACACS</t>
  </si>
  <si>
    <t>aaa authentication-server radius "ClearPass1-TACACS"</t>
  </si>
  <si>
    <t>aaa authentication-server radius "ClearPass2-TACACS"</t>
  </si>
  <si>
    <t>aaa authentication-server radius "ClearPass1-RADIUS"</t>
  </si>
  <si>
    <t>aaa authentication-server radius "ClearPass2-RADIUS"</t>
  </si>
  <si>
    <t>aaa server-group "ClearPass-TACACS-Group"</t>
  </si>
  <si>
    <t>aaa server-group "ClearPass-RADIUS-Group"</t>
  </si>
  <si>
    <t xml:space="preserve"> auth-server ClearPass1-RADIUS</t>
  </si>
  <si>
    <t xml:space="preserve"> auth-server ClearPass2-RADIUS</t>
  </si>
  <si>
    <t xml:space="preserve">   mac-server-group "ClearPass-RADIUS-Group"</t>
  </si>
  <si>
    <t xml:space="preserve">   dot1x-server-group "ClearPass-RADIUS-Group"</t>
  </si>
  <si>
    <t xml:space="preserve">   radius-accounting "ClearPass-RADIUS-Group"</t>
  </si>
  <si>
    <t xml:space="preserve">   server-group "ClearPass-RADIUS-Group"</t>
  </si>
  <si>
    <t xml:space="preserve">   reauth-max 3</t>
  </si>
  <si>
    <t>ClearPass Server #1 - IP Address without mask</t>
  </si>
  <si>
    <t>ClearPass Server #2 - IP Address without mask</t>
  </si>
  <si>
    <t>ClearPass RADIUS + TACACS+ Shared Secret / Key</t>
  </si>
  <si>
    <t>aaa authentication login privilege-mode</t>
  </si>
  <si>
    <t>aaa port-access authenticator active</t>
  </si>
  <si>
    <t>aaa authentication port-access eap-radius server-group "CP-RAD-Grp"</t>
  </si>
  <si>
    <t>aaa authentication mac-based chap-radius server-group "CP-RAD-Grp"</t>
  </si>
  <si>
    <t>aaa accounting network start-stop radius server-group "CP-RAD-Grp"</t>
  </si>
  <si>
    <t>aaa accounting commands interim-update radius</t>
  </si>
  <si>
    <t>aaa accounting exec start-stop radius</t>
  </si>
  <si>
    <t>aaa accounting system start-stop radius</t>
  </si>
  <si>
    <t>Copy and paste the following commands into the HPE Aruba-SwitchOS CLI (version 16.0.0+)</t>
  </si>
  <si>
    <t>set access profile ClearPass authentication-order radius</t>
  </si>
  <si>
    <t>set access profile ClearPass accounting order radius</t>
  </si>
  <si>
    <t>set access profile ClearPass accounting accounting-stop-on-failure</t>
  </si>
  <si>
    <t>set access profile ClearPass accounting accounting-stop-on-access-deny</t>
  </si>
  <si>
    <t>set access profile ClearPass accounting immediate-update</t>
  </si>
  <si>
    <t>set access profile ClearPass accounting update-interval 10</t>
  </si>
  <si>
    <t>set access profile ClearPass accounting statistics time</t>
  </si>
  <si>
    <t>set access profile ClearPass accounting coa-immediate-update</t>
  </si>
  <si>
    <t>set protocols dot1x authenticator authentication-profile-name ClearPass</t>
  </si>
  <si>
    <t>Copy and paste the following commands into the ExtremeOS CLI</t>
  </si>
  <si>
    <t>Troubleshooting commands from the CLI</t>
  </si>
  <si>
    <t>show ip access-lists</t>
  </si>
  <si>
    <t>show dot1x statistics</t>
  </si>
  <si>
    <t>show dot1x authentication-failed-users</t>
  </si>
  <si>
    <t>show dot1x authentication-bypassed-users</t>
  </si>
  <si>
    <t>show dot1x interface &lt;interface&gt; detail</t>
  </si>
  <si>
    <t>show dot1x interface &lt;interface&gt; brief</t>
  </si>
  <si>
    <t>show dot1x interface brief</t>
  </si>
  <si>
    <t>show user-table</t>
  </si>
  <si>
    <t>show netlogin port &lt;interface&gt;</t>
  </si>
  <si>
    <t>show port-access &lt;interface&gt;</t>
  </si>
  <si>
    <t>show access-list &lt;interface&gt;</t>
  </si>
  <si>
    <t>show running-config interface &lt;interface&gt;</t>
  </si>
  <si>
    <t>show ip access-lists interface &lt;interface&gt;</t>
  </si>
  <si>
    <t xml:space="preserve">show mac address-table | inc &lt;interface&gt;     </t>
  </si>
  <si>
    <t>show port-access authenticator &lt;interface&gt;</t>
  </si>
  <si>
    <t>show port-access summary</t>
  </si>
  <si>
    <t>show port-access mac-based &lt;interface&gt;</t>
  </si>
  <si>
    <t>Switch Configuration</t>
  </si>
  <si>
    <t>Also check out the Aruba ASE entry: https://ase.arubanetworks.com/solutions/id/29</t>
  </si>
  <si>
    <t>configure radius netlogin timeout 10</t>
  </si>
  <si>
    <t>configure netlogin vlan ClearPassAAA</t>
  </si>
  <si>
    <t>configure netlogin authentication protocol-order dot1x mac web-based</t>
  </si>
  <si>
    <t>configure netlogin mac authentication database-order radius</t>
  </si>
  <si>
    <t>configure netlogin dot1x timers server-timeout 5</t>
  </si>
  <si>
    <t>configure netlogin dot1x timers supp-resp-timeout 5</t>
  </si>
  <si>
    <t>configure netlogin dot1x radius-accounting on</t>
  </si>
  <si>
    <t>enable radius netlogin</t>
  </si>
  <si>
    <t>enable radius mgmt-access</t>
  </si>
  <si>
    <t>create vlan ClearPassAAA</t>
  </si>
  <si>
    <t>show user mac &lt;MAC address&gt;</t>
  </si>
  <si>
    <t>show aaa state user &lt;IP Address&gt;</t>
  </si>
  <si>
    <t>show log all | include &lt;MAC address&gt;</t>
  </si>
  <si>
    <t xml:space="preserve">   initial-role "authenticated"</t>
  </si>
  <si>
    <t>Switch Troubleshooting</t>
  </si>
  <si>
    <t>enable netlogin mac dot1x</t>
  </si>
  <si>
    <t>configure netlogin add mac-list ff:ff:ff:ff:ff:ff 48</t>
  </si>
  <si>
    <t>show netlogin</t>
  </si>
  <si>
    <t>show radius</t>
  </si>
  <si>
    <t>show radius netlogin</t>
  </si>
  <si>
    <t>show radius-accounting</t>
  </si>
  <si>
    <t>show tacacs (if enabled)</t>
  </si>
  <si>
    <t>Aggressive Timers / Testing 802.1X + MAC Auth</t>
  </si>
  <si>
    <t>configure netlogin dot1x ports 1-47 timers server-timeout 1 quiet-period 1 reauth-period 30 supp-resp-timeout 5</t>
  </si>
  <si>
    <t>enable radius-accounting netlogin</t>
  </si>
  <si>
    <t>enable radius-accounting mgmt-access</t>
  </si>
  <si>
    <t>set system accounting events interactive-commands</t>
  </si>
  <si>
    <t>enable netlogin dot1x</t>
  </si>
  <si>
    <t>enable netlogin mac</t>
  </si>
  <si>
    <t>Guest VLAN configuration</t>
  </si>
  <si>
    <t>Server Failure VLAN configuration</t>
  </si>
  <si>
    <t>set protocols dot1x authenticator interface All-Untrusted-Ports guest-vlan &lt;VLAN ID&gt;</t>
  </si>
  <si>
    <t>set protocols dot1x authenticator interface All-Untrusted-Ports server-reject-vlan &lt;VLAN ID&gt;</t>
  </si>
  <si>
    <t>authentication event fail action authorize vlan &lt;VLAN ID&gt;</t>
  </si>
  <si>
    <t>authentication event no-response action authorize vlan &lt;VLAN ID&gt;</t>
  </si>
  <si>
    <t>configure netlogin dot1x guest-vlan &lt;VLAN ID / NAME&gt; &lt;PORTS&gt;</t>
  </si>
  <si>
    <t>configure netlogin authentication failure vlan &lt;VLAN ID / NAME&gt; &lt;PORTS&gt;</t>
  </si>
  <si>
    <t xml:space="preserve">aaa port-access authenticator &lt;port ID list&gt; unauth-vid &lt;VLAN ID&gt; </t>
  </si>
  <si>
    <t>ip device tracking probe delay 10</t>
  </si>
  <si>
    <t>Aggressive Timers</t>
  </si>
  <si>
    <t>dot1x timeout server-timeout 5</t>
  </si>
  <si>
    <t>dot1x timeout tx-period 2</t>
  </si>
  <si>
    <t>dot1x timeout supp-timeout 10</t>
  </si>
  <si>
    <t>dot1x max-req 3</t>
  </si>
  <si>
    <t>dot1x max-reauth-req 3</t>
  </si>
  <si>
    <t>show authentication session interface &lt;interface&gt; &lt;details&gt;</t>
  </si>
  <si>
    <t>Enable per-command authorization</t>
  </si>
  <si>
    <t>aaa authorization commands 15 default start-stop group tacacs+</t>
  </si>
  <si>
    <t>aaa accounting commands stop-only radius</t>
  </si>
  <si>
    <t>aaa authentication ssh login peap-mschapv2 local</t>
  </si>
  <si>
    <t>aaa authentication ssh enable peap-mschapv2 local</t>
  </si>
  <si>
    <t>https://ase.arubanetworks.com/solutions/id/126</t>
  </si>
  <si>
    <t>RADIUS and TACACS+ Configuration</t>
  </si>
  <si>
    <t>aaa authentication console login peap-mschapv2 local</t>
  </si>
  <si>
    <t>aaa authentication console enable peap-mschapv2 local</t>
  </si>
  <si>
    <t>aaa authentication telnet login peap-mschapv2 local</t>
  </si>
  <si>
    <t>aaa authentication telnet enable peap-mschapv2 local</t>
  </si>
  <si>
    <t>aaa authentication web login peap-mschapv2 local</t>
  </si>
  <si>
    <t>aaa authentication web enable peap-mschapv2 local</t>
  </si>
  <si>
    <t>http://community.arubanetworks.com/t5/Wired-Networks/HPE-Switch-Management-Authentication-with-ClearPass/ta-p/255635</t>
  </si>
  <si>
    <t>aaa authentication console enable radius local</t>
  </si>
  <si>
    <t>aaa authorization commands radius</t>
  </si>
  <si>
    <t>aaa authorization commands tacacs</t>
  </si>
  <si>
    <t>RADIUS and TACACS+ Command Authorization</t>
  </si>
  <si>
    <t>Guest VLAN Configuration</t>
  </si>
  <si>
    <t>aaa authorization auth-proxy default group radius</t>
  </si>
  <si>
    <t>Dynamic Segmentation Per User Tunnel</t>
  </si>
  <si>
    <t>aaa authorization user-role name &lt;name of role&gt; vlan-id &lt;vlan ID&gt;</t>
  </si>
  <si>
    <t>aaa authorization user-role name &lt;name of role on switch&gt; tunneled-node-server-redirect secondary-role &lt;name of role on controller&gt;</t>
  </si>
  <si>
    <t>tunneled-node-server controllier-ip &lt;controller IP&gt;</t>
  </si>
  <si>
    <t>ip client-tracker trusted</t>
  </si>
  <si>
    <t>aaa authentication captive-portal enable</t>
  </si>
  <si>
    <t>aaa authorization user-role enable download</t>
  </si>
  <si>
    <t>aaa accounting update periodic 5</t>
  </si>
  <si>
    <t>Commands Used For Per User Tunnel</t>
  </si>
  <si>
    <t>Commands Used For Per Port Tunnel</t>
  </si>
  <si>
    <t>class ipv4 &lt;name of acl&gt;</t>
  </si>
  <si>
    <t>match &lt;protocol&gt; &lt;src&gt; &lt;destination&gt; eq &lt;port #&gt;</t>
  </si>
  <si>
    <t>policy user &lt;name of policy&gt;</t>
  </si>
  <si>
    <t>class ipv4 &lt;name of acl&gt; action &lt;permit/deny&gt;</t>
  </si>
  <si>
    <t>aaa authorization user-role name &lt;name of user role&gt;</t>
  </si>
  <si>
    <t>policy &lt;name of policy&gt;</t>
  </si>
  <si>
    <t>reauth-period &lt;time in seconds&gt;</t>
  </si>
  <si>
    <t>vlan-name (or) vlan-id &lt;vlan name or id&gt;</t>
  </si>
  <si>
    <t>captive-portal-profile use-radius-vsa</t>
  </si>
  <si>
    <t>&lt;--- If you are using a captive portal</t>
  </si>
  <si>
    <t>Download Root Cert From ClearPass</t>
  </si>
  <si>
    <t>crypto ca-download usage clearpass retry 3</t>
  </si>
  <si>
    <t>tunneled-node-server mode role-based reserved-vlan &lt;vlan-id&gt;</t>
  </si>
  <si>
    <t>Copy and paste the following commands into the HPE Aruba-OS-CX CLI (version 16.4.+)</t>
  </si>
  <si>
    <t>radius dyn-authorization enable</t>
  </si>
  <si>
    <t>aaa group server radius CP-RAD-Grp</t>
  </si>
  <si>
    <t>aaa group server tacacs CP-TAC-Grp</t>
  </si>
  <si>
    <t>aaa authentication port-access dot1x authenticator enable</t>
  </si>
  <si>
    <t>aaa authentication port-access dot1x authenticator auth-method eap-radius</t>
  </si>
  <si>
    <t>aaa authentication port-access dot1x authenticator radius server-group CP-RAD-Grp</t>
  </si>
  <si>
    <t>aaa authentication port-access mac-auth enable</t>
  </si>
  <si>
    <t>aaa authentication port-access mac-auth auth-method chap</t>
  </si>
  <si>
    <t>aaa authentication port-access mac-auth radius server-group CP-RAD-Grp</t>
  </si>
  <si>
    <t>aaa authentication login console group radius local</t>
  </si>
  <si>
    <t>aaa authentication login ssh group radius local</t>
  </si>
  <si>
    <t>aaa authentication login https-server group radius local</t>
  </si>
  <si>
    <t>aaa accounting port-access start-stop interim 1 group radius</t>
  </si>
  <si>
    <t>aaa accounting all-mgmt console start-stop group radius</t>
  </si>
  <si>
    <t>aaa accounting all-mgmt https-server start-stop group radius</t>
  </si>
  <si>
    <t>aaa accounting all-mgmt ssh start-stop group radius</t>
  </si>
  <si>
    <t>aaa accounting all-mgmt default start-stop group radius</t>
  </si>
  <si>
    <t>no routing</t>
  </si>
  <si>
    <t>aaa authentication port-access dot1x authenticator eapol-timeout 10</t>
  </si>
  <si>
    <t>aaa authentication port-access client-limit 10</t>
  </si>
  <si>
    <t>aaa authentication port-access auth-precedence mac-auth dot1x</t>
  </si>
  <si>
    <t>no shutdown</t>
  </si>
  <si>
    <t>exit</t>
  </si>
  <si>
    <t>Updated: 02/10/2020</t>
  </si>
  <si>
    <t>aaa authorization commands console group tacacs local</t>
  </si>
  <si>
    <t>TACACS+ Command Authorization</t>
  </si>
  <si>
    <t>Commands Used For Per User-Role Based Enforcement</t>
  </si>
  <si>
    <t>port-access role &lt;role_name&gt;</t>
  </si>
  <si>
    <t>auth-mode client-mode</t>
  </si>
  <si>
    <t>vlan access &lt;vlan-id&gt;</t>
  </si>
  <si>
    <t>show aaa authentication port-access interface all clients-status</t>
  </si>
  <si>
    <t>show port-access role radius</t>
  </si>
  <si>
    <t>show port-access role name &lt;role_name&gt;</t>
  </si>
  <si>
    <t>ubt-client-vlan 1000</t>
  </si>
  <si>
    <t>ubt zone user vrf default</t>
  </si>
  <si>
    <t>primary-controller ip &lt;mobility_controller_ip&gt;</t>
  </si>
  <si>
    <t>sac-heartbeat-interval 1</t>
  </si>
  <si>
    <t>uac-keepalive-interval 60</t>
  </si>
  <si>
    <t>enable</t>
  </si>
  <si>
    <t>gateway-zone zone user gateway-role &lt;role_name_on_controller&gt;</t>
  </si>
  <si>
    <t>port-access role &lt;role_name_on_switch&gt;</t>
  </si>
  <si>
    <t>show ubt brief</t>
  </si>
  <si>
    <t>show ubt users all</t>
  </si>
  <si>
    <t>show ubt state</t>
  </si>
  <si>
    <t>Commands Used for User Based Tunneling</t>
  </si>
  <si>
    <t>ip dns server-address &lt;dns_ipaddress&gt;</t>
  </si>
  <si>
    <t>ntp server &lt;ntp_server&gt;</t>
  </si>
  <si>
    <t>ntp enable</t>
  </si>
  <si>
    <t>crypto pki ta-profile &lt;profile_name&gt;</t>
  </si>
  <si>
    <t>ta-certificate &lt;copy_paste_the_root_certificate&gt;</t>
  </si>
  <si>
    <t>Commands Needed For Downloadable User-Roles to Work</t>
  </si>
  <si>
    <t>radius-server host &lt;dns_name_of_ClearPass_server&gt; key plaintext &lt;radius-key&gt; clearpass-username &lt;user-name&gt; clearpass-password plaintext &lt;password&gt;</t>
  </si>
  <si>
    <t>NorthStar Networks</t>
  </si>
  <si>
    <t>Mike Courtney - mike@northstarnetworks.com</t>
  </si>
  <si>
    <t>Aruba Networks</t>
  </si>
  <si>
    <t>Aaron X. Smith - aaron.x.smith@hpe.com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</si>
</sst>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 (Body)"/>
    </font>
    <font>
      <sz val="12"/>
      <name val="Calibri (Body)"/>
    </font>
    <font>
      <sz val="14"/>
      <color theme="1"/>
      <name val="Calibri"/>
      <family val="2"/>
      <scheme val="minor"/>
    </font>
    <font>
      <b/>
      <sz val="10"/>
      <color theme="1"/>
      <name val="Arial Unicode MS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1" fillId="0" borderId="0" xfId="0" applyFont="1" applyProtection="1"/>
    <xf numFmtId="49" fontId="0" fillId="0" borderId="0" xfId="0" applyNumberFormat="1" applyFont="1" applyAlignment="1" applyProtection="1">
      <alignment horizontal="left"/>
      <protection locked="0"/>
    </xf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Protection="1"/>
    <xf numFmtId="0" fontId="1" fillId="0" borderId="0" xfId="0" applyFont="1" applyProtection="1">
      <protection locked="0"/>
    </xf>
    <xf numFmtId="0" fontId="12" fillId="0" borderId="0" xfId="0" applyFont="1"/>
    <xf numFmtId="0" fontId="0" fillId="0" borderId="0" xfId="0" applyFont="1" applyProtection="1"/>
    <xf numFmtId="49" fontId="0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0" fontId="0" fillId="0" borderId="0" xfId="0" quotePrefix="1" applyFont="1" applyAlignment="1" applyProtection="1">
      <alignment horizontal="left"/>
      <protection locked="0"/>
    </xf>
    <xf numFmtId="0" fontId="13" fillId="0" borderId="0" xfId="0" applyFont="1"/>
    <xf numFmtId="49" fontId="0" fillId="0" borderId="0" xfId="0" applyNumberFormat="1" applyFont="1" applyProtection="1">
      <protection locked="0"/>
    </xf>
    <xf numFmtId="0" fontId="14" fillId="0" borderId="0" xfId="0" applyFont="1"/>
    <xf numFmtId="0" fontId="15" fillId="0" borderId="0" xfId="0" applyFont="1" applyAlignment="1">
      <alignment vertical="center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108"/>
  <sheetViews>
    <sheetView tabSelected="1" workbookViewId="0">
      <selection activeCell="MC108" sqref="MC108"/>
    </sheetView>
  </sheetViews>
  <sheetFormatPr baseColWidth="10" defaultRowHeight="16"/>
  <cols>
    <col min="1" max="1" width="75.5" style="1" customWidth="1"/>
    <col min="2" max="2" width="33" customWidth="1"/>
    <col min="3" max="3" width="21.5" customWidth="1"/>
    <col min="4" max="4" width="21.83203125" customWidth="1"/>
  </cols>
  <sheetData>
    <row r="1" spans="1:2" ht="26">
      <c r="A1" s="2" t="s">
        <v>46</v>
      </c>
    </row>
    <row r="3" spans="1:2">
      <c r="A3" s="10" t="s">
        <v>136</v>
      </c>
    </row>
    <row r="4" spans="1:2">
      <c r="A4" s="8"/>
      <c r="B4" t="s">
        <v>0</v>
      </c>
    </row>
    <row r="6" spans="1:2">
      <c r="A6" s="10" t="s">
        <v>137</v>
      </c>
    </row>
    <row r="7" spans="1:2">
      <c r="A7" s="8"/>
      <c r="B7" t="s">
        <v>0</v>
      </c>
    </row>
    <row r="9" spans="1:2">
      <c r="A9" s="10" t="s">
        <v>138</v>
      </c>
    </row>
    <row r="10" spans="1:2">
      <c r="A10" s="8"/>
      <c r="B10" t="s">
        <v>0</v>
      </c>
    </row>
    <row r="12" spans="1:2">
      <c r="A12" s="10" t="s">
        <v>8</v>
      </c>
    </row>
    <row r="13" spans="1:2">
      <c r="A13" s="8"/>
      <c r="B13" t="s">
        <v>0</v>
      </c>
    </row>
    <row r="14" spans="1:2">
      <c r="A14" s="8"/>
    </row>
    <row r="15" spans="1:2">
      <c r="A15" s="16" t="s">
        <v>117</v>
      </c>
    </row>
    <row r="16" spans="1:2">
      <c r="A16" s="23"/>
      <c r="B16" t="s">
        <v>0</v>
      </c>
    </row>
    <row r="18" spans="1:2">
      <c r="A18" s="20" t="s">
        <v>120</v>
      </c>
    </row>
    <row r="19" spans="1:2">
      <c r="A19" s="19"/>
      <c r="B19" t="s">
        <v>60</v>
      </c>
    </row>
    <row r="21" spans="1:2">
      <c r="A21" s="16" t="s">
        <v>119</v>
      </c>
    </row>
    <row r="22" spans="1:2">
      <c r="A22" s="19"/>
      <c r="B22" t="s">
        <v>60</v>
      </c>
    </row>
    <row r="23" spans="1:2">
      <c r="A23" s="3"/>
    </row>
    <row r="24" spans="1:2" ht="24">
      <c r="A24" s="15" t="s">
        <v>41</v>
      </c>
    </row>
    <row r="25" spans="1:2">
      <c r="A25" s="9"/>
    </row>
    <row r="26" spans="1:2">
      <c r="A26" s="20" t="s">
        <v>59</v>
      </c>
    </row>
    <row r="27" spans="1:2">
      <c r="A27" s="21" t="s">
        <v>62</v>
      </c>
      <c r="B27" t="s">
        <v>61</v>
      </c>
    </row>
    <row r="28" spans="1:2">
      <c r="A28" s="9"/>
    </row>
    <row r="29" spans="1:2" ht="24">
      <c r="A29" s="15" t="s">
        <v>50</v>
      </c>
    </row>
    <row r="30" spans="1:2">
      <c r="A30" s="10"/>
    </row>
    <row r="31" spans="1:2">
      <c r="A31" s="20" t="s">
        <v>59</v>
      </c>
    </row>
    <row r="32" spans="1:2">
      <c r="A32" s="18" t="s">
        <v>62</v>
      </c>
      <c r="B32" t="s">
        <v>61</v>
      </c>
    </row>
    <row r="33" spans="1:2">
      <c r="A33" s="10"/>
    </row>
    <row r="36" spans="1:2">
      <c r="A36" s="8"/>
      <c r="B36" s="4"/>
    </row>
    <row r="39" spans="1:2">
      <c r="A39" s="8" t="s">
        <v>291</v>
      </c>
      <c r="B39" s="4"/>
    </row>
    <row r="42" spans="1:2">
      <c r="A42" s="8"/>
      <c r="B42" s="4"/>
    </row>
    <row r="44" spans="1:2" ht="26">
      <c r="A44" s="2"/>
    </row>
    <row r="47" spans="1:2">
      <c r="A47" s="8"/>
      <c r="B47" s="4"/>
    </row>
    <row r="50" spans="1:2">
      <c r="A50" s="9"/>
      <c r="B50" s="4"/>
    </row>
    <row r="53" spans="1:2">
      <c r="A53" s="8"/>
      <c r="B53" s="4"/>
    </row>
    <row r="56" spans="1:2">
      <c r="A56" s="8"/>
      <c r="B56" s="4"/>
    </row>
    <row r="59" spans="1:2">
      <c r="A59" s="11"/>
      <c r="B59" s="4"/>
    </row>
    <row r="62" spans="1:2">
      <c r="A62" s="11"/>
      <c r="B62" s="4"/>
    </row>
    <row r="103" spans="341:341">
      <c r="MC103" s="1" t="s">
        <v>118</v>
      </c>
    </row>
    <row r="104" spans="341:341">
      <c r="MC104" s="1" t="s">
        <v>321</v>
      </c>
    </row>
    <row r="105" spans="341:341">
      <c r="MC105" s="1" t="s">
        <v>320</v>
      </c>
    </row>
    <row r="107" spans="341:341">
      <c r="MC107" s="1" t="s">
        <v>323</v>
      </c>
    </row>
    <row r="108" spans="341:341">
      <c r="MC108" s="1" t="s">
        <v>322</v>
      </c>
    </row>
  </sheetData>
  <dataValidations disablePrompts="1" count="2">
    <dataValidation type="list" showInputMessage="1" showErrorMessage="1" sqref="A27" xr:uid="{00000000-0002-0000-0000-000000000000}">
      <formula1>"""---SELECT---"",GigabitEthernet,FastEthernet"</formula1>
    </dataValidation>
    <dataValidation type="list" allowBlank="1" showInputMessage="1" showErrorMessage="1" sqref="A32" xr:uid="{00000000-0002-0000-0000-000001000000}">
      <formula1>"""---SELECT---"",ge-,fe-"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topLeftCell="A10" workbookViewId="0">
      <selection activeCell="A46" sqref="A46"/>
    </sheetView>
  </sheetViews>
  <sheetFormatPr baseColWidth="10" defaultRowHeight="16"/>
  <cols>
    <col min="1" max="1" width="96.83203125" customWidth="1"/>
    <col min="2" max="2" width="65.1640625" customWidth="1"/>
  </cols>
  <sheetData>
    <row r="1" spans="1:2" ht="19">
      <c r="A1" s="14" t="s">
        <v>176</v>
      </c>
      <c r="B1" s="14" t="s">
        <v>192</v>
      </c>
    </row>
    <row r="3" spans="1:2" ht="19">
      <c r="A3" s="6" t="s">
        <v>9</v>
      </c>
      <c r="B3" s="5" t="s">
        <v>158</v>
      </c>
    </row>
    <row r="4" spans="1:2" ht="19">
      <c r="A4" s="6"/>
    </row>
    <row r="5" spans="1:2">
      <c r="A5" t="s">
        <v>20</v>
      </c>
      <c r="B5" t="s">
        <v>172</v>
      </c>
    </row>
    <row r="6" spans="1:2" ht="19">
      <c r="A6" s="6" t="s">
        <v>21</v>
      </c>
      <c r="B6" t="s">
        <v>223</v>
      </c>
    </row>
    <row r="7" spans="1:2">
      <c r="A7" s="17" t="str">
        <f>CONCATENATE("tacacs-server host ",StartHere!A4)</f>
        <v xml:space="preserve">tacacs-server host </v>
      </c>
      <c r="B7" t="s">
        <v>171</v>
      </c>
    </row>
    <row r="8" spans="1:2">
      <c r="A8" s="17" t="str">
        <f>CONCATENATE("tacacs-server host ",StartHere!A7)</f>
        <v xml:space="preserve">tacacs-server host </v>
      </c>
      <c r="B8" t="s">
        <v>170</v>
      </c>
    </row>
    <row r="9" spans="1:2">
      <c r="A9" s="17" t="s">
        <v>42</v>
      </c>
      <c r="B9" t="s">
        <v>169</v>
      </c>
    </row>
    <row r="10" spans="1:2">
      <c r="A10" s="17" t="s">
        <v>43</v>
      </c>
      <c r="B10" t="s">
        <v>159</v>
      </c>
    </row>
    <row r="11" spans="1:2">
      <c r="A11" s="17" t="str">
        <f>CONCATENATE("tacacs-server key ",StartHere!A10)</f>
        <v xml:space="preserve">tacacs-server key </v>
      </c>
    </row>
    <row r="12" spans="1:2">
      <c r="A12" s="17" t="str">
        <f>CONCATENATE("ip source tacacs source-interface Vlan ",StartHere!A16)</f>
        <v xml:space="preserve">ip source tacacs source-interface Vlan </v>
      </c>
    </row>
    <row r="13" spans="1:2">
      <c r="A13" s="17" t="s">
        <v>21</v>
      </c>
      <c r="B13" s="1" t="s">
        <v>207</v>
      </c>
    </row>
    <row r="14" spans="1:2">
      <c r="A14" s="17" t="str">
        <f>CONCATENATE("radius-server host ",StartHere!A4," auth-port 1812 acct-port 1813 key ",StartHere!A10)</f>
        <v xml:space="preserve">radius-server host  auth-port 1812 acct-port 1813 key </v>
      </c>
    </row>
    <row r="15" spans="1:2">
      <c r="A15" s="17" t="str">
        <f>CONCATENATE("radius-server host ",StartHere!A7," auth-port 1812 acct-port 1813 key ",StartHere!A10)</f>
        <v xml:space="preserve">radius-server host  auth-port 1812 acct-port 1813 key </v>
      </c>
      <c r="B15" s="25" t="s">
        <v>212</v>
      </c>
    </row>
    <row r="16" spans="1:2">
      <c r="A16" s="17" t="str">
        <f>CONCATENATE("ip source radius source-interface Vlan ",StartHere!A16)</f>
        <v xml:space="preserve">ip source radius source-interface Vlan </v>
      </c>
    </row>
    <row r="17" spans="1:2">
      <c r="A17" s="17" t="str">
        <f>CONCATENATE("radius-server attribute 4 ",StartHere!A13)</f>
        <v xml:space="preserve">radius-server attribute 4 </v>
      </c>
      <c r="B17" s="1" t="s">
        <v>208</v>
      </c>
    </row>
    <row r="18" spans="1:2">
      <c r="A18" s="17" t="s">
        <v>44</v>
      </c>
    </row>
    <row r="19" spans="1:2">
      <c r="A19" s="17" t="s">
        <v>45</v>
      </c>
      <c r="B19" s="25" t="s">
        <v>211</v>
      </c>
    </row>
    <row r="20" spans="1:2">
      <c r="A20" s="17" t="s">
        <v>21</v>
      </c>
    </row>
    <row r="21" spans="1:2">
      <c r="A21" t="s">
        <v>10</v>
      </c>
      <c r="B21" s="1" t="s">
        <v>217</v>
      </c>
    </row>
    <row r="22" spans="1:2">
      <c r="A22" t="s">
        <v>11</v>
      </c>
      <c r="B22" s="25"/>
    </row>
    <row r="23" spans="1:2">
      <c r="A23" t="s">
        <v>12</v>
      </c>
      <c r="B23" t="s">
        <v>218</v>
      </c>
    </row>
    <row r="24" spans="1:2">
      <c r="A24" t="s">
        <v>13</v>
      </c>
      <c r="B24" t="s">
        <v>219</v>
      </c>
    </row>
    <row r="25" spans="1:2">
      <c r="A25" t="s">
        <v>243</v>
      </c>
      <c r="B25" t="s">
        <v>220</v>
      </c>
    </row>
    <row r="26" spans="1:2">
      <c r="A26" t="s">
        <v>14</v>
      </c>
      <c r="B26" t="s">
        <v>221</v>
      </c>
    </row>
    <row r="27" spans="1:2">
      <c r="A27" t="s">
        <v>15</v>
      </c>
      <c r="B27" t="s">
        <v>222</v>
      </c>
    </row>
    <row r="28" spans="1:2">
      <c r="A28" t="s">
        <v>16</v>
      </c>
    </row>
    <row r="29" spans="1:2">
      <c r="A29" t="s">
        <v>17</v>
      </c>
      <c r="B29" s="1" t="s">
        <v>224</v>
      </c>
    </row>
    <row r="30" spans="1:2">
      <c r="A30" s="7" t="s">
        <v>18</v>
      </c>
    </row>
    <row r="31" spans="1:2">
      <c r="A31" s="7" t="s">
        <v>19</v>
      </c>
      <c r="B31" t="s">
        <v>225</v>
      </c>
    </row>
    <row r="32" spans="1:2">
      <c r="A32" s="7" t="s">
        <v>21</v>
      </c>
    </row>
    <row r="33" spans="1:1">
      <c r="A33" s="7" t="s">
        <v>22</v>
      </c>
    </row>
    <row r="34" spans="1:1">
      <c r="A34" s="7" t="str">
        <f>CONCATENATE(" client ",StartHere!A4," server-key ",StartHere!A10)</f>
        <v xml:space="preserve"> client  server-key </v>
      </c>
    </row>
    <row r="35" spans="1:1">
      <c r="A35" s="7" t="str">
        <f>CONCATENATE(" client ",StartHere!A7," server-key ",StartHere!A10)</f>
        <v xml:space="preserve"> client  server-key </v>
      </c>
    </row>
    <row r="36" spans="1:1">
      <c r="A36" s="7" t="s">
        <v>23</v>
      </c>
    </row>
    <row r="37" spans="1:1">
      <c r="A37" s="7" t="s">
        <v>24</v>
      </c>
    </row>
    <row r="38" spans="1:1">
      <c r="A38" s="7" t="s">
        <v>21</v>
      </c>
    </row>
    <row r="39" spans="1:1">
      <c r="A39" s="7" t="s">
        <v>25</v>
      </c>
    </row>
    <row r="40" spans="1:1">
      <c r="A40" s="7" t="s">
        <v>26</v>
      </c>
    </row>
    <row r="41" spans="1:1">
      <c r="A41" s="7" t="s">
        <v>216</v>
      </c>
    </row>
    <row r="42" spans="1:1">
      <c r="A42" s="7" t="s">
        <v>21</v>
      </c>
    </row>
    <row r="43" spans="1:1">
      <c r="A43" s="7" t="s">
        <v>27</v>
      </c>
    </row>
    <row r="44" spans="1:1">
      <c r="A44" s="7" t="s">
        <v>66</v>
      </c>
    </row>
    <row r="45" spans="1:1">
      <c r="A45" s="7" t="s">
        <v>21</v>
      </c>
    </row>
    <row r="46" spans="1:1">
      <c r="A46" s="7" t="str">
        <f>CONCATENATE("interface range ",StartHere!A27,StartHere!A19,"-",StartHere!A22)</f>
        <v>interface range "---SELECT---"-</v>
      </c>
    </row>
    <row r="47" spans="1:1">
      <c r="A47" s="7" t="s">
        <v>28</v>
      </c>
    </row>
    <row r="48" spans="1:1">
      <c r="A48" s="7" t="s">
        <v>65</v>
      </c>
    </row>
    <row r="49" spans="1:1">
      <c r="A49" s="7" t="s">
        <v>29</v>
      </c>
    </row>
    <row r="50" spans="1:1">
      <c r="A50" s="7" t="s">
        <v>30</v>
      </c>
    </row>
    <row r="51" spans="1:1">
      <c r="A51" s="7" t="s">
        <v>31</v>
      </c>
    </row>
    <row r="52" spans="1:1">
      <c r="A52" t="s">
        <v>32</v>
      </c>
    </row>
    <row r="53" spans="1:1">
      <c r="A53" t="s">
        <v>33</v>
      </c>
    </row>
    <row r="54" spans="1:1">
      <c r="A54" t="s">
        <v>34</v>
      </c>
    </row>
    <row r="55" spans="1:1">
      <c r="A55" t="s">
        <v>35</v>
      </c>
    </row>
    <row r="56" spans="1:1">
      <c r="A56" t="s">
        <v>36</v>
      </c>
    </row>
    <row r="57" spans="1:1">
      <c r="A57" t="s">
        <v>37</v>
      </c>
    </row>
    <row r="58" spans="1:1">
      <c r="A58" t="s">
        <v>38</v>
      </c>
    </row>
    <row r="59" spans="1:1">
      <c r="A59" t="s">
        <v>39</v>
      </c>
    </row>
    <row r="60" spans="1:1">
      <c r="A60" t="s">
        <v>40</v>
      </c>
    </row>
    <row r="61" spans="1:1">
      <c r="A61" t="s">
        <v>21</v>
      </c>
    </row>
    <row r="69" spans="1:1" ht="19">
      <c r="A69" s="12"/>
    </row>
    <row r="70" spans="1:1" ht="19">
      <c r="A70" s="12"/>
    </row>
    <row r="71" spans="1:1">
      <c r="A71" s="4"/>
    </row>
    <row r="72" spans="1:1">
      <c r="A72" s="4"/>
    </row>
    <row r="73" spans="1:1" ht="19">
      <c r="A73" s="12"/>
    </row>
    <row r="74" spans="1:1">
      <c r="A74" s="13"/>
    </row>
    <row r="75" spans="1:1">
      <c r="A75" s="4"/>
    </row>
    <row r="77" spans="1:1" ht="19">
      <c r="A77" s="14"/>
    </row>
    <row r="79" spans="1:1" ht="19">
      <c r="A79" s="5"/>
    </row>
    <row r="80" spans="1:1">
      <c r="A80" s="1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 ht="19">
      <c r="A86" s="5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3" spans="1:1">
      <c r="A9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6"/>
  <sheetViews>
    <sheetView workbookViewId="0">
      <selection activeCell="A16" sqref="A16"/>
    </sheetView>
  </sheetViews>
  <sheetFormatPr baseColWidth="10" defaultRowHeight="16"/>
  <cols>
    <col min="1" max="1" width="96.83203125" customWidth="1"/>
  </cols>
  <sheetData>
    <row r="1" spans="1:1" ht="19">
      <c r="A1" s="14" t="s">
        <v>67</v>
      </c>
    </row>
    <row r="3" spans="1:1" s="22" customFormat="1" ht="19">
      <c r="A3" s="5" t="s">
        <v>73</v>
      </c>
    </row>
    <row r="5" spans="1:1" ht="19">
      <c r="A5" s="6" t="s">
        <v>9</v>
      </c>
    </row>
    <row r="6" spans="1:1" ht="19">
      <c r="A6" s="6"/>
    </row>
    <row r="7" spans="1:1">
      <c r="A7" s="7" t="s">
        <v>68</v>
      </c>
    </row>
    <row r="8" spans="1:1">
      <c r="A8" t="s">
        <v>69</v>
      </c>
    </row>
    <row r="9" spans="1:1">
      <c r="A9" s="7" t="s">
        <v>70</v>
      </c>
    </row>
    <row r="10" spans="1:1">
      <c r="A10" s="17" t="s">
        <v>71</v>
      </c>
    </row>
    <row r="11" spans="1:1">
      <c r="A11" s="17" t="s">
        <v>72</v>
      </c>
    </row>
    <row r="12" spans="1:1">
      <c r="A12" s="17" t="s">
        <v>21</v>
      </c>
    </row>
    <row r="13" spans="1:1">
      <c r="A13" s="17" t="s">
        <v>90</v>
      </c>
    </row>
    <row r="14" spans="1:1">
      <c r="A14" s="17" t="str">
        <f>CONCATENATE(" deny ip any host ",StartHere!A4)</f>
        <v xml:space="preserve"> deny ip any host </v>
      </c>
    </row>
    <row r="15" spans="1:1">
      <c r="A15" s="17" t="str">
        <f>CONCATENATE(" deny ip any host ",StartHere!A7)</f>
        <v xml:space="preserve"> deny ip any host </v>
      </c>
    </row>
    <row r="16" spans="1:1">
      <c r="A16" s="17" t="s">
        <v>88</v>
      </c>
    </row>
    <row r="17" spans="1:1">
      <c r="A17" s="17" t="s">
        <v>89</v>
      </c>
    </row>
    <row r="18" spans="1:1">
      <c r="A18" s="17" t="s">
        <v>21</v>
      </c>
    </row>
    <row r="19" spans="1:1">
      <c r="A19" s="17"/>
    </row>
    <row r="20" spans="1:1" ht="19">
      <c r="A20" s="14" t="s">
        <v>91</v>
      </c>
    </row>
    <row r="22" spans="1:1" ht="19">
      <c r="A22" s="6" t="s">
        <v>9</v>
      </c>
    </row>
    <row r="23" spans="1:1" ht="19">
      <c r="A23" s="6"/>
    </row>
    <row r="24" spans="1:1">
      <c r="A24" s="7" t="s">
        <v>116</v>
      </c>
    </row>
    <row r="25" spans="1:1">
      <c r="A25" s="7" t="s">
        <v>21</v>
      </c>
    </row>
    <row r="26" spans="1:1">
      <c r="A26" s="7" t="s">
        <v>74</v>
      </c>
    </row>
    <row r="27" spans="1:1">
      <c r="A27" t="s">
        <v>75</v>
      </c>
    </row>
    <row r="28" spans="1:1">
      <c r="A28" s="7" t="s">
        <v>76</v>
      </c>
    </row>
    <row r="29" spans="1:1">
      <c r="A29" s="17" t="s">
        <v>77</v>
      </c>
    </row>
    <row r="30" spans="1:1">
      <c r="A30" s="17" t="s">
        <v>21</v>
      </c>
    </row>
    <row r="31" spans="1:1">
      <c r="A31" s="17" t="s">
        <v>78</v>
      </c>
    </row>
    <row r="32" spans="1:1">
      <c r="A32" s="17" t="s">
        <v>79</v>
      </c>
    </row>
    <row r="33" spans="1:1">
      <c r="A33" s="17" t="s">
        <v>21</v>
      </c>
    </row>
    <row r="34" spans="1:1">
      <c r="A34" s="17" t="s">
        <v>80</v>
      </c>
    </row>
    <row r="35" spans="1:1">
      <c r="A35" s="17" t="s">
        <v>81</v>
      </c>
    </row>
    <row r="36" spans="1:1">
      <c r="A36" s="17" t="s">
        <v>82</v>
      </c>
    </row>
    <row r="37" spans="1:1">
      <c r="A37" s="17" t="s">
        <v>83</v>
      </c>
    </row>
    <row r="38" spans="1:1">
      <c r="A38" s="17" t="s">
        <v>84</v>
      </c>
    </row>
    <row r="39" spans="1:1">
      <c r="A39" s="17" t="s">
        <v>85</v>
      </c>
    </row>
    <row r="40" spans="1:1">
      <c r="A40" s="17" t="s">
        <v>86</v>
      </c>
    </row>
    <row r="41" spans="1:1">
      <c r="A41" t="s">
        <v>87</v>
      </c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72" spans="1:1" ht="19">
      <c r="A72" s="12"/>
    </row>
    <row r="73" spans="1:1" ht="19">
      <c r="A73" s="12"/>
    </row>
    <row r="74" spans="1:1">
      <c r="A74" s="4"/>
    </row>
    <row r="75" spans="1:1">
      <c r="A75" s="4"/>
    </row>
    <row r="76" spans="1:1" ht="19">
      <c r="A76" s="12"/>
    </row>
    <row r="77" spans="1:1">
      <c r="A77" s="13"/>
    </row>
    <row r="78" spans="1:1">
      <c r="A78" s="4"/>
    </row>
    <row r="80" spans="1:1" ht="19">
      <c r="A80" s="14"/>
    </row>
    <row r="82" spans="1:1" ht="19">
      <c r="A82" s="5"/>
    </row>
    <row r="83" spans="1:1">
      <c r="A83" s="1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 ht="19">
      <c r="A89" s="5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6" spans="1:1">
      <c r="A9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4"/>
  <sheetViews>
    <sheetView topLeftCell="A45" workbookViewId="0">
      <selection activeCell="A71" sqref="A71:A72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176</v>
      </c>
      <c r="B1" s="14" t="s">
        <v>192</v>
      </c>
    </row>
    <row r="3" spans="1:2" ht="19">
      <c r="A3" s="6" t="s">
        <v>1</v>
      </c>
      <c r="B3" s="5" t="s">
        <v>158</v>
      </c>
    </row>
    <row r="5" spans="1:2">
      <c r="A5" t="str">
        <f>CONCATENATE("set system radius-server ",StartHere!A4," port 1812")</f>
        <v>set system radius-server  port 1812</v>
      </c>
      <c r="B5" t="s">
        <v>165</v>
      </c>
    </row>
    <row r="6" spans="1:2">
      <c r="A6" t="str">
        <f>CONCATENATE("set system radius-server ",StartHere!A4," accounting-port 1813")</f>
        <v>set system radius-server  accounting-port 1813</v>
      </c>
      <c r="B6" t="s">
        <v>164</v>
      </c>
    </row>
    <row r="7" spans="1:2">
      <c r="A7" t="str">
        <f>CONCATENATE("set system radius-server ",StartHere!A4," secret ",StartHere!A10)</f>
        <v xml:space="preserve">set system radius-server  secret </v>
      </c>
      <c r="B7" t="s">
        <v>163</v>
      </c>
    </row>
    <row r="8" spans="1:2">
      <c r="A8" t="str">
        <f>CONCATENATE("set system radius-server ",StartHere!A4," source-address ",StartHere!A13)</f>
        <v xml:space="preserve">set system radius-server  source-address </v>
      </c>
      <c r="B8" t="s">
        <v>160</v>
      </c>
    </row>
    <row r="9" spans="1:2">
      <c r="A9" t="str">
        <f>CONCATENATE("set system radius-server ",StartHere!A7," port 1812")</f>
        <v>set system radius-server  port 1812</v>
      </c>
      <c r="B9" t="s">
        <v>161</v>
      </c>
    </row>
    <row r="10" spans="1:2">
      <c r="A10" t="str">
        <f>CONCATENATE("set system radius-server ",StartHere!A7," accounting-port 1813")</f>
        <v>set system radius-server  accounting-port 1813</v>
      </c>
      <c r="B10" t="s">
        <v>162</v>
      </c>
    </row>
    <row r="11" spans="1:2">
      <c r="A11" t="str">
        <f>CONCATENATE("set system radius-server ",StartHere!A7," secret ",StartHere!A10)</f>
        <v xml:space="preserve">set system radius-server  secret </v>
      </c>
    </row>
    <row r="12" spans="1:2">
      <c r="A12" t="str">
        <f>CONCATENATE("set system radius-server ",StartHere!A7," source-address ",StartHere!A13)</f>
        <v xml:space="preserve">set system radius-server  source-address </v>
      </c>
    </row>
    <row r="13" spans="1:2">
      <c r="A13" t="s">
        <v>49</v>
      </c>
    </row>
    <row r="14" spans="1:2">
      <c r="A14" t="str">
        <f>CONCATENATE("set system radius-options attributes nas-ip-address ",StartHere!A13)</f>
        <v xml:space="preserve">set system radius-options attributes nas-ip-address </v>
      </c>
    </row>
    <row r="15" spans="1:2">
      <c r="B15" s="1" t="s">
        <v>207</v>
      </c>
    </row>
    <row r="16" spans="1:2">
      <c r="A16" t="str">
        <f>CONCATENATE("set system accounting destination radius server ",StartHere!A4," accounting-port 1813")</f>
        <v>set system accounting destination radius server  accounting-port 1813</v>
      </c>
    </row>
    <row r="17" spans="1:2">
      <c r="A17" t="str">
        <f>CONCATENATE("set system accounting destination radius server ",StartHere!A4," secret ",StartHere!A10)</f>
        <v xml:space="preserve">set system accounting destination radius server  secret </v>
      </c>
      <c r="B17" s="7" t="s">
        <v>209</v>
      </c>
    </row>
    <row r="18" spans="1:2">
      <c r="A18" t="str">
        <f>CONCATENATE("set system accounting destination radius server ",StartHere!A4," source-address ",StartHere!A13)</f>
        <v xml:space="preserve">set system accounting destination radius server  source-address </v>
      </c>
    </row>
    <row r="19" spans="1:2">
      <c r="A19" t="str">
        <f>CONCATENATE("set system accounting destination radius server ",StartHere!A7," accounting-port 1813")</f>
        <v>set system accounting destination radius server  accounting-port 1813</v>
      </c>
      <c r="B19" s="1" t="s">
        <v>208</v>
      </c>
    </row>
    <row r="20" spans="1:2">
      <c r="A20" t="str">
        <f>CONCATENATE("set system accounting destination radius server ",StartHere!A7," secret ",StartHere!A10)</f>
        <v xml:space="preserve">set system accounting destination radius server  secret </v>
      </c>
    </row>
    <row r="21" spans="1:2">
      <c r="A21" t="str">
        <f>CONCATENATE("set system accounting destination radius server ",StartHere!A7," source-address ",StartHere!A13)</f>
        <v xml:space="preserve">set system accounting destination radius server  source-address </v>
      </c>
      <c r="B21" s="7" t="s">
        <v>210</v>
      </c>
    </row>
    <row r="22" spans="1:2" ht="17">
      <c r="A22" t="s">
        <v>63</v>
      </c>
      <c r="B22" s="24"/>
    </row>
    <row r="23" spans="1:2">
      <c r="A23" t="s">
        <v>64</v>
      </c>
    </row>
    <row r="24" spans="1:2">
      <c r="A24" t="s">
        <v>204</v>
      </c>
    </row>
    <row r="26" spans="1:2">
      <c r="A26" t="str">
        <f>CONCATENATE("set system tacplus-server ",StartHere!A4," secret ",StartHere!A10)</f>
        <v xml:space="preserve">set system tacplus-server  secret </v>
      </c>
    </row>
    <row r="27" spans="1:2">
      <c r="A27" t="str">
        <f>CONCATENATE("set system tacplus-server ",StartHere!A4," source-address ",StartHere!A13)</f>
        <v xml:space="preserve">set system tacplus-server  source-address </v>
      </c>
    </row>
    <row r="28" spans="1:2">
      <c r="A28" t="str">
        <f>CONCATENATE("set system tacplus-server ",StartHere!A7," secret ",StartHere!A10)</f>
        <v xml:space="preserve">set system tacplus-server  secret </v>
      </c>
    </row>
    <row r="29" spans="1:2">
      <c r="A29" t="str">
        <f>CONCATENATE("set system tacplus-server ",StartHere!A7," source-address ",StartHere!A13)</f>
        <v xml:space="preserve">set system tacplus-server  source-address </v>
      </c>
    </row>
    <row r="30" spans="1:2">
      <c r="A30" t="s">
        <v>58</v>
      </c>
    </row>
    <row r="32" spans="1:2">
      <c r="A32" t="str">
        <f>CONCATENATE("set system accounting destination tacplus server ",StartHere!A4," secret ",StartHere!A10)</f>
        <v xml:space="preserve">set system accounting destination tacplus server  secret </v>
      </c>
    </row>
    <row r="33" spans="1:1">
      <c r="A33" t="str">
        <f>CONCATENATE("set system accounting destination tacplus server ",StartHere!A4," source-address ",StartHere!A13)</f>
        <v xml:space="preserve">set system accounting destination tacplus server  source-address </v>
      </c>
    </row>
    <row r="34" spans="1:1">
      <c r="A34" t="str">
        <f>CONCATENATE("set system accounting destination tacplus server ",StartHere!A4," single-connection")</f>
        <v>set system accounting destination tacplus server  single-connection</v>
      </c>
    </row>
    <row r="35" spans="1:1">
      <c r="A35" t="str">
        <f>CONCATENATE("set system accounting destination tacplus server ",StartHere!A7," secret ",StartHere!A10)</f>
        <v xml:space="preserve">set system accounting destination tacplus server  secret </v>
      </c>
    </row>
    <row r="36" spans="1:1">
      <c r="A36" t="str">
        <f>CONCATENATE("set system accounting destination tacplus server ",StartHere!A7," source-address ",StartHere!A13)</f>
        <v xml:space="preserve">set system accounting destination tacplus server  source-address </v>
      </c>
    </row>
    <row r="37" spans="1:1">
      <c r="A37" t="str">
        <f>CONCATENATE("set system accounting destination tacplus server ",StartHere!A7," single-connection")</f>
        <v>set system accounting destination tacplus server  single-connection</v>
      </c>
    </row>
    <row r="39" spans="1:1">
      <c r="A39" t="s">
        <v>2</v>
      </c>
    </row>
    <row r="40" spans="1:1">
      <c r="A40" t="s">
        <v>3</v>
      </c>
    </row>
    <row r="41" spans="1:1">
      <c r="A41" t="s">
        <v>4</v>
      </c>
    </row>
    <row r="42" spans="1:1">
      <c r="A42" t="s">
        <v>5</v>
      </c>
    </row>
    <row r="43" spans="1:1">
      <c r="A43" t="s">
        <v>6</v>
      </c>
    </row>
    <row r="44" spans="1:1">
      <c r="A44" s="7" t="s">
        <v>7</v>
      </c>
    </row>
    <row r="45" spans="1:1">
      <c r="A45" s="7"/>
    </row>
    <row r="46" spans="1:1">
      <c r="A46" s="7" t="str">
        <f>CONCATENATE("set interfaces interface-range All-Untrusted-Ports member-range ",StartHere!A32,StartHere!A19," to ",StartHere!A32,StartHere!A22)</f>
        <v>set interfaces interface-range All-Untrusted-Ports member-range "---SELECT---" to "---SELECT---"</v>
      </c>
    </row>
    <row r="47" spans="1:1">
      <c r="A47" s="7"/>
    </row>
    <row r="48" spans="1:1">
      <c r="A48" s="7" t="str">
        <f>CONCATENATE("set access radius-server ",StartHere!A4," secret ",StartHere!A10)</f>
        <v xml:space="preserve">set access radius-server  secret </v>
      </c>
    </row>
    <row r="49" spans="1:1">
      <c r="A49" s="7" t="str">
        <f>CONCATENATE("set access radius-server ",StartHere!A4," source-address ",StartHere!A13)</f>
        <v xml:space="preserve">set access radius-server  source-address </v>
      </c>
    </row>
    <row r="50" spans="1:1">
      <c r="A50" s="7" t="str">
        <f>CONCATENATE("set access radius-server ",StartHere!A7," secret ",StartHere!A10)</f>
        <v xml:space="preserve">set access radius-server  secret </v>
      </c>
    </row>
    <row r="51" spans="1:1">
      <c r="A51" s="7" t="str">
        <f>CONCATENATE("set access radius-server ",StartHere!A7," source-address ",StartHere!A13)</f>
        <v xml:space="preserve">set access radius-server  source-address </v>
      </c>
    </row>
    <row r="52" spans="1:1">
      <c r="A52" s="7"/>
    </row>
    <row r="53" spans="1:1">
      <c r="A53" s="7" t="s">
        <v>148</v>
      </c>
    </row>
    <row r="54" spans="1:1">
      <c r="A54" s="7" t="s">
        <v>149</v>
      </c>
    </row>
    <row r="55" spans="1:1">
      <c r="A55" s="7" t="s">
        <v>150</v>
      </c>
    </row>
    <row r="56" spans="1:1">
      <c r="A56" s="7" t="s">
        <v>151</v>
      </c>
    </row>
    <row r="57" spans="1:1">
      <c r="A57" s="7" t="s">
        <v>152</v>
      </c>
    </row>
    <row r="58" spans="1:1">
      <c r="A58" s="7" t="s">
        <v>153</v>
      </c>
    </row>
    <row r="59" spans="1:1">
      <c r="A59" s="7" t="s">
        <v>154</v>
      </c>
    </row>
    <row r="60" spans="1:1">
      <c r="A60" s="7" t="s">
        <v>155</v>
      </c>
    </row>
    <row r="61" spans="1:1">
      <c r="A61" s="7"/>
    </row>
    <row r="62" spans="1:1">
      <c r="A62" s="7" t="s">
        <v>156</v>
      </c>
    </row>
    <row r="63" spans="1:1">
      <c r="A63" s="7" t="s">
        <v>51</v>
      </c>
    </row>
    <row r="64" spans="1:1">
      <c r="A64" t="s">
        <v>52</v>
      </c>
    </row>
    <row r="65" spans="1:1">
      <c r="A65" t="s">
        <v>53</v>
      </c>
    </row>
    <row r="66" spans="1:1">
      <c r="A66" s="7" t="s">
        <v>54</v>
      </c>
    </row>
    <row r="67" spans="1:1">
      <c r="A67" s="7" t="s">
        <v>55</v>
      </c>
    </row>
    <row r="68" spans="1:1">
      <c r="A68" s="7" t="s">
        <v>56</v>
      </c>
    </row>
    <row r="69" spans="1:1">
      <c r="A69" s="7" t="s">
        <v>57</v>
      </c>
    </row>
    <row r="71" spans="1:1">
      <c r="A71" t="s">
        <v>47</v>
      </c>
    </row>
    <row r="72" spans="1:1">
      <c r="A72" t="s">
        <v>48</v>
      </c>
    </row>
    <row r="80" spans="1:1" ht="19">
      <c r="A80" s="12"/>
    </row>
    <row r="81" spans="1:1" ht="19">
      <c r="A81" s="12"/>
    </row>
    <row r="82" spans="1:1">
      <c r="A82" s="4"/>
    </row>
    <row r="83" spans="1:1">
      <c r="A83" s="4"/>
    </row>
    <row r="84" spans="1:1" ht="19">
      <c r="A84" s="12"/>
    </row>
    <row r="85" spans="1:1">
      <c r="A85" s="13"/>
    </row>
    <row r="86" spans="1:1">
      <c r="A86" s="4"/>
    </row>
    <row r="88" spans="1:1" ht="19">
      <c r="A88" s="14"/>
    </row>
    <row r="90" spans="1:1" ht="19">
      <c r="A90" s="5"/>
    </row>
    <row r="91" spans="1:1">
      <c r="A91" s="1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 ht="19">
      <c r="A97" s="5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4" spans="1:1">
      <c r="A104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7"/>
  <sheetViews>
    <sheetView workbookViewId="0">
      <selection activeCell="B50" sqref="B50"/>
    </sheetView>
  </sheetViews>
  <sheetFormatPr baseColWidth="10" defaultRowHeight="16"/>
  <cols>
    <col min="1" max="1" width="129.83203125" customWidth="1"/>
    <col min="2" max="2" width="55.83203125" customWidth="1"/>
    <col min="3" max="3" width="29.83203125" bestFit="1" customWidth="1"/>
  </cols>
  <sheetData>
    <row r="1" spans="1:2" ht="19">
      <c r="A1" s="14" t="s">
        <v>176</v>
      </c>
      <c r="B1" s="14" t="s">
        <v>192</v>
      </c>
    </row>
    <row r="3" spans="1:2" ht="19">
      <c r="A3" s="6" t="s">
        <v>147</v>
      </c>
      <c r="B3" s="5" t="s">
        <v>158</v>
      </c>
    </row>
    <row r="5" spans="1:2">
      <c r="A5" t="str">
        <f>CONCATENATE("radius-server host ",StartHere!A4," key ",StartHere!A10)</f>
        <v xml:space="preserve">radius-server host  key </v>
      </c>
      <c r="B5" t="s">
        <v>168</v>
      </c>
    </row>
    <row r="6" spans="1:2">
      <c r="A6" t="str">
        <f>CONCATENATE("radius-server host ",StartHere!A4," dyn-authorization")</f>
        <v>radius-server host  dyn-authorization</v>
      </c>
      <c r="B6" t="s">
        <v>173</v>
      </c>
    </row>
    <row r="7" spans="1:2">
      <c r="A7" t="str">
        <f>CONCATENATE("radius-server host ",StartHere!A4," time-window 0")</f>
        <v>radius-server host  time-window 0</v>
      </c>
      <c r="B7" t="s">
        <v>174</v>
      </c>
    </row>
    <row r="8" spans="1:2">
      <c r="A8" t="str">
        <f>CONCATENATE("radius-server host ",StartHere!A7," key ",StartHere!A10)</f>
        <v xml:space="preserve">radius-server host  key </v>
      </c>
      <c r="B8" t="s">
        <v>175</v>
      </c>
    </row>
    <row r="9" spans="1:2">
      <c r="A9" t="str">
        <f>CONCATENATE("radius-server host ",StartHere!A7," dyn-authorization")</f>
        <v>radius-server host  dyn-authorization</v>
      </c>
    </row>
    <row r="10" spans="1:2">
      <c r="A10" t="str">
        <f>CONCATENATE("radius-server host ",StartHere!A7," time-window 0")</f>
        <v>radius-server host  time-window 0</v>
      </c>
    </row>
    <row r="12" spans="1:2">
      <c r="A12" t="str">
        <f>CONCATENATE("tacacs-server host ",StartHere!A4," key ",StartHere!A10)</f>
        <v xml:space="preserve">tacacs-server host  key </v>
      </c>
    </row>
    <row r="13" spans="1:2">
      <c r="A13" t="str">
        <f>CONCATENATE("tacacs-server host ",StartHere!A7," key ",StartHere!A10)</f>
        <v xml:space="preserve">tacacs-server host  key </v>
      </c>
      <c r="B13" s="1" t="s">
        <v>242</v>
      </c>
    </row>
    <row r="15" spans="1:2">
      <c r="A15" t="str">
        <f>CONCATENATE("aaa server-group radius ""CP-RAD-Grp"" host ",StartHere!A4)</f>
        <v xml:space="preserve">aaa server-group radius "CP-RAD-Grp" host </v>
      </c>
      <c r="B15" s="3" t="s">
        <v>215</v>
      </c>
    </row>
    <row r="16" spans="1:2">
      <c r="A16" t="str">
        <f>CONCATENATE("aaa server-group radius ""CP-RAD-Grp"" host ",StartHere!A7)</f>
        <v xml:space="preserve">aaa server-group radius "CP-RAD-Grp" host </v>
      </c>
    </row>
    <row r="17" spans="1:2">
      <c r="B17" s="1" t="s">
        <v>230</v>
      </c>
    </row>
    <row r="18" spans="1:2">
      <c r="A18" t="s">
        <v>248</v>
      </c>
      <c r="B18" s="1"/>
    </row>
    <row r="19" spans="1:2">
      <c r="A19" t="str">
        <f>CONCATENATE("ip source-interface radius vlan ",StartHere!A16)</f>
        <v xml:space="preserve">ip source-interface radius vlan </v>
      </c>
      <c r="B19" t="s">
        <v>229</v>
      </c>
    </row>
    <row r="20" spans="1:2">
      <c r="A20" t="str">
        <f>CONCATENATE("ip source-interface tacacs vlan ",StartHere!A16)</f>
        <v xml:space="preserve">ip source-interface tacacs vlan </v>
      </c>
      <c r="B20" t="s">
        <v>237</v>
      </c>
    </row>
    <row r="22" spans="1:2">
      <c r="A22" t="s">
        <v>141</v>
      </c>
      <c r="B22" s="1" t="s">
        <v>241</v>
      </c>
    </row>
    <row r="23" spans="1:2">
      <c r="A23" t="s">
        <v>142</v>
      </c>
    </row>
    <row r="24" spans="1:2">
      <c r="A24" t="str">
        <f>CONCATENATE("aaa port-access authenticator ",StartHere!A19,"-",StartHere!A22)</f>
        <v>aaa port-access authenticator -</v>
      </c>
      <c r="B24" t="s">
        <v>239</v>
      </c>
    </row>
    <row r="25" spans="1:2">
      <c r="A25" t="str">
        <f>CONCATENATE("aaa port-access authenticator ",StartHere!A19,"-",StartHere!A22, " supplicant-timeout 10")</f>
        <v>aaa port-access authenticator - supplicant-timeout 10</v>
      </c>
      <c r="B25" t="s">
        <v>240</v>
      </c>
    </row>
    <row r="26" spans="1:2">
      <c r="A26" t="str">
        <f>CONCATENATE("aaa port-access authenticator ",StartHere!A19,"-",StartHere!A22, " tx-period 10")</f>
        <v>aaa port-access authenticator - tx-period 10</v>
      </c>
    </row>
    <row r="27" spans="1:2">
      <c r="A27" t="str">
        <f>CONCATENATE("aaa port-access authenticator ",StartHere!A19,"-",StartHere!A22, " logoff-period 862400")</f>
        <v>aaa port-access authenticator - logoff-period 862400</v>
      </c>
      <c r="B27" s="1" t="s">
        <v>244</v>
      </c>
    </row>
    <row r="28" spans="1:2">
      <c r="A28" t="str">
        <f>CONCATENATE("aaa port-access authenticator ",StartHere!A19,"-",StartHere!A22, " client-limit 10")</f>
        <v>aaa port-access authenticator - client-limit 10</v>
      </c>
    </row>
    <row r="29" spans="1:2">
      <c r="A29" t="str">
        <f>CONCATENATE("aaa port-access mac-based ",StartHere!A19,"-",StartHere!A22)</f>
        <v>aaa port-access mac-based -</v>
      </c>
      <c r="B29" t="s">
        <v>247</v>
      </c>
    </row>
    <row r="30" spans="1:2">
      <c r="A30" t="s">
        <v>140</v>
      </c>
      <c r="B30" t="s">
        <v>266</v>
      </c>
    </row>
    <row r="32" spans="1:2">
      <c r="A32" t="s">
        <v>143</v>
      </c>
      <c r="B32" s="1" t="s">
        <v>252</v>
      </c>
    </row>
    <row r="33" spans="1:3">
      <c r="A33" t="s">
        <v>251</v>
      </c>
    </row>
    <row r="34" spans="1:3">
      <c r="A34" t="s">
        <v>144</v>
      </c>
      <c r="B34" t="s">
        <v>250</v>
      </c>
    </row>
    <row r="35" spans="1:3">
      <c r="A35" t="s">
        <v>145</v>
      </c>
      <c r="B35" t="s">
        <v>245</v>
      </c>
    </row>
    <row r="36" spans="1:3">
      <c r="A36" t="s">
        <v>146</v>
      </c>
      <c r="B36" t="s">
        <v>246</v>
      </c>
    </row>
    <row r="37" spans="1:3">
      <c r="A37" t="s">
        <v>226</v>
      </c>
    </row>
    <row r="38" spans="1:3">
      <c r="A38" t="s">
        <v>145</v>
      </c>
      <c r="B38" s="1" t="s">
        <v>253</v>
      </c>
    </row>
    <row r="39" spans="1:3">
      <c r="A39" t="s">
        <v>146</v>
      </c>
    </row>
    <row r="40" spans="1:3">
      <c r="B40" t="s">
        <v>254</v>
      </c>
    </row>
    <row r="41" spans="1:3">
      <c r="A41" t="s">
        <v>139</v>
      </c>
      <c r="B41" t="s">
        <v>255</v>
      </c>
    </row>
    <row r="42" spans="1:3">
      <c r="A42" t="s">
        <v>227</v>
      </c>
      <c r="B42" t="s">
        <v>256</v>
      </c>
    </row>
    <row r="43" spans="1:3">
      <c r="A43" t="s">
        <v>228</v>
      </c>
      <c r="B43" t="s">
        <v>257</v>
      </c>
    </row>
    <row r="44" spans="1:3">
      <c r="A44" t="s">
        <v>231</v>
      </c>
      <c r="B44" t="s">
        <v>258</v>
      </c>
    </row>
    <row r="45" spans="1:3">
      <c r="A45" t="s">
        <v>238</v>
      </c>
      <c r="B45" t="s">
        <v>262</v>
      </c>
      <c r="C45" t="s">
        <v>263</v>
      </c>
    </row>
    <row r="46" spans="1:3">
      <c r="A46" t="s">
        <v>232</v>
      </c>
      <c r="B46" t="s">
        <v>259</v>
      </c>
    </row>
    <row r="47" spans="1:3">
      <c r="A47" t="s">
        <v>233</v>
      </c>
      <c r="B47" t="s">
        <v>260</v>
      </c>
    </row>
    <row r="48" spans="1:3">
      <c r="A48" t="s">
        <v>234</v>
      </c>
      <c r="B48" t="s">
        <v>261</v>
      </c>
    </row>
    <row r="49" spans="1:2">
      <c r="A49" t="s">
        <v>235</v>
      </c>
    </row>
    <row r="50" spans="1:2">
      <c r="A50" t="s">
        <v>236</v>
      </c>
      <c r="B50" s="1" t="s">
        <v>264</v>
      </c>
    </row>
    <row r="51" spans="1:2">
      <c r="A51" t="s">
        <v>249</v>
      </c>
      <c r="B51" t="str">
        <f>CONCATENATE("radius-server host ",StartHere!A4," clearpass")</f>
        <v>radius-server host  clearpass</v>
      </c>
    </row>
    <row r="52" spans="1:2">
      <c r="B52" t="s">
        <v>265</v>
      </c>
    </row>
    <row r="57" spans="1:2">
      <c r="A57" s="7"/>
    </row>
    <row r="58" spans="1:2">
      <c r="A58" s="7"/>
    </row>
    <row r="59" spans="1:2">
      <c r="A59" s="7"/>
    </row>
    <row r="60" spans="1:2">
      <c r="A60" s="7"/>
    </row>
    <row r="61" spans="1:2">
      <c r="A61" s="7"/>
    </row>
    <row r="62" spans="1:2">
      <c r="A62" s="7"/>
    </row>
    <row r="63" spans="1:2">
      <c r="A63" s="7"/>
    </row>
    <row r="64" spans="1:2">
      <c r="A64" s="7"/>
    </row>
    <row r="65" spans="1:1">
      <c r="A65" s="7"/>
    </row>
    <row r="66" spans="1:1">
      <c r="A66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83" spans="1:1" ht="19">
      <c r="A83" s="12"/>
    </row>
    <row r="84" spans="1:1" ht="19">
      <c r="A84" s="12"/>
    </row>
    <row r="85" spans="1:1">
      <c r="A85" s="4"/>
    </row>
    <row r="86" spans="1:1">
      <c r="A86" s="4"/>
    </row>
    <row r="87" spans="1:1" ht="19">
      <c r="A87" s="12"/>
    </row>
    <row r="88" spans="1:1">
      <c r="A88" s="13"/>
    </row>
    <row r="89" spans="1:1">
      <c r="A89" s="4"/>
    </row>
    <row r="91" spans="1:1" ht="19">
      <c r="A91" s="14"/>
    </row>
    <row r="93" spans="1:1" ht="19">
      <c r="A93" s="5"/>
    </row>
    <row r="94" spans="1:1">
      <c r="A94" s="1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 ht="19">
      <c r="A100" s="5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7" spans="1:1">
      <c r="A107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9DD6-84D9-4742-ACC1-BA0B3E1A9368}">
  <dimension ref="A1:B50"/>
  <sheetViews>
    <sheetView workbookViewId="0">
      <selection activeCell="B23" sqref="B23"/>
    </sheetView>
  </sheetViews>
  <sheetFormatPr baseColWidth="10" defaultRowHeight="16"/>
  <cols>
    <col min="1" max="1" width="128.6640625" customWidth="1"/>
    <col min="2" max="2" width="134" bestFit="1" customWidth="1"/>
  </cols>
  <sheetData>
    <row r="1" spans="1:2" ht="19">
      <c r="A1" s="14" t="s">
        <v>176</v>
      </c>
    </row>
    <row r="3" spans="1:2" ht="19">
      <c r="A3" s="6" t="s">
        <v>267</v>
      </c>
      <c r="B3" s="1" t="s">
        <v>293</v>
      </c>
    </row>
    <row r="5" spans="1:2">
      <c r="A5" t="s">
        <v>268</v>
      </c>
      <c r="B5" t="s">
        <v>292</v>
      </c>
    </row>
    <row r="6" spans="1:2">
      <c r="A6" t="str">
        <f>CONCATENATE("radius dyn-authorization client ",StartHere!A4," secret-key plaintext ",StartHere!A10," time-window 1")</f>
        <v>radius dyn-authorization client  secret-key plaintext  time-window 1</v>
      </c>
    </row>
    <row r="7" spans="1:2">
      <c r="A7" t="str">
        <f>CONCATENATE("radius dyn-authorization client ",StartHere!A7," secret-key plaintext ",StartHere!A10," time-window 1")</f>
        <v>radius dyn-authorization client  secret-key plaintext  time-window 1</v>
      </c>
      <c r="B7" s="1" t="s">
        <v>294</v>
      </c>
    </row>
    <row r="8" spans="1:2">
      <c r="A8" t="str">
        <f>CONCATENATE("radius-server host ",StartHere!A4," key plaintext ",StartHere!A10,"")</f>
        <v xml:space="preserve">radius-server host  key plaintext </v>
      </c>
    </row>
    <row r="9" spans="1:2">
      <c r="A9" t="str">
        <f>CONCATENATE("radius-server host ",StartHere!A7," key plaintext ",StartHere!A10,"")</f>
        <v xml:space="preserve">radius-server host  key plaintext </v>
      </c>
      <c r="B9" t="s">
        <v>295</v>
      </c>
    </row>
    <row r="10" spans="1:2">
      <c r="B10" t="s">
        <v>296</v>
      </c>
    </row>
    <row r="11" spans="1:2">
      <c r="A11" t="str">
        <f>CONCATENATE("tacacs-server host ",StartHere!A4," key plaintext ",StartHere!A10,"")</f>
        <v xml:space="preserve">tacacs-server host  key plaintext </v>
      </c>
      <c r="B11" t="s">
        <v>297</v>
      </c>
    </row>
    <row r="12" spans="1:2">
      <c r="A12" t="str">
        <f>CONCATENATE("tacacs-server host ",StartHere!A7," key plaintext ",StartHere!A10,"")</f>
        <v xml:space="preserve">tacacs-server host  key plaintext </v>
      </c>
    </row>
    <row r="13" spans="1:2">
      <c r="B13" s="1" t="s">
        <v>312</v>
      </c>
    </row>
    <row r="14" spans="1:2">
      <c r="A14" t="s">
        <v>269</v>
      </c>
    </row>
    <row r="15" spans="1:2">
      <c r="A15" t="str">
        <f>CONCATENATE("server ",StartHere!A4,"")</f>
        <v xml:space="preserve">server </v>
      </c>
      <c r="B15" t="s">
        <v>301</v>
      </c>
    </row>
    <row r="16" spans="1:2">
      <c r="A16" t="str">
        <f>CONCATENATE("server ",StartHere!A7,"")</f>
        <v xml:space="preserve">server </v>
      </c>
      <c r="B16" t="s">
        <v>302</v>
      </c>
    </row>
    <row r="17" spans="1:2">
      <c r="A17" t="s">
        <v>270</v>
      </c>
      <c r="B17" t="s">
        <v>306</v>
      </c>
    </row>
    <row r="18" spans="1:2">
      <c r="A18" t="str">
        <f>CONCATENATE("server ",StartHere!A4,"")</f>
        <v xml:space="preserve">server </v>
      </c>
      <c r="B18" t="s">
        <v>303</v>
      </c>
    </row>
    <row r="19" spans="1:2">
      <c r="A19" t="str">
        <f>CONCATENATE("server ",StartHere!A7,"")</f>
        <v xml:space="preserve">server </v>
      </c>
      <c r="B19" t="s">
        <v>304</v>
      </c>
    </row>
    <row r="20" spans="1:2">
      <c r="A20" t="s">
        <v>290</v>
      </c>
      <c r="B20" t="s">
        <v>305</v>
      </c>
    </row>
    <row r="21" spans="1:2">
      <c r="B21" t="s">
        <v>290</v>
      </c>
    </row>
    <row r="22" spans="1:2">
      <c r="A22" t="str">
        <f>CONCATENATE("ip source-interface radius ",StartHere!A13,"")</f>
        <v xml:space="preserve">ip source-interface radius </v>
      </c>
      <c r="B22" t="s">
        <v>308</v>
      </c>
    </row>
    <row r="23" spans="1:2">
      <c r="A23" t="str">
        <f>CONCATENATE("ip source-interface tacacs ",StartHere!A13,"")</f>
        <v xml:space="preserve">ip source-interface tacacs </v>
      </c>
      <c r="B23" t="s">
        <v>296</v>
      </c>
    </row>
    <row r="24" spans="1:2">
      <c r="B24" t="s">
        <v>307</v>
      </c>
    </row>
    <row r="25" spans="1:2">
      <c r="A25" t="s">
        <v>271</v>
      </c>
    </row>
    <row r="26" spans="1:2">
      <c r="A26" t="s">
        <v>272</v>
      </c>
      <c r="B26" s="1" t="s">
        <v>318</v>
      </c>
    </row>
    <row r="27" spans="1:2">
      <c r="A27" t="s">
        <v>273</v>
      </c>
    </row>
    <row r="28" spans="1:2">
      <c r="A28" t="s">
        <v>274</v>
      </c>
      <c r="B28" t="s">
        <v>313</v>
      </c>
    </row>
    <row r="29" spans="1:2">
      <c r="A29" t="s">
        <v>275</v>
      </c>
      <c r="B29" t="s">
        <v>315</v>
      </c>
    </row>
    <row r="30" spans="1:2">
      <c r="A30" t="s">
        <v>276</v>
      </c>
      <c r="B30" t="s">
        <v>314</v>
      </c>
    </row>
    <row r="32" spans="1:2">
      <c r="A32" t="s">
        <v>277</v>
      </c>
      <c r="B32" s="1" t="s">
        <v>264</v>
      </c>
    </row>
    <row r="33" spans="1:2">
      <c r="A33" t="s">
        <v>278</v>
      </c>
      <c r="B33" t="s">
        <v>319</v>
      </c>
    </row>
    <row r="34" spans="1:2">
      <c r="A34" t="s">
        <v>279</v>
      </c>
      <c r="B34" t="s">
        <v>316</v>
      </c>
    </row>
    <row r="35" spans="1:2">
      <c r="B35" t="s">
        <v>317</v>
      </c>
    </row>
    <row r="36" spans="1:2">
      <c r="A36" t="s">
        <v>280</v>
      </c>
    </row>
    <row r="37" spans="1:2" ht="19">
      <c r="A37" t="s">
        <v>281</v>
      </c>
      <c r="B37" s="5" t="s">
        <v>158</v>
      </c>
    </row>
    <row r="38" spans="1:2">
      <c r="A38" t="s">
        <v>282</v>
      </c>
    </row>
    <row r="39" spans="1:2">
      <c r="A39" t="s">
        <v>283</v>
      </c>
      <c r="B39" t="s">
        <v>298</v>
      </c>
    </row>
    <row r="40" spans="1:2">
      <c r="A40" t="s">
        <v>284</v>
      </c>
      <c r="B40" t="s">
        <v>299</v>
      </c>
    </row>
    <row r="41" spans="1:2">
      <c r="B41" t="s">
        <v>300</v>
      </c>
    </row>
    <row r="42" spans="1:2">
      <c r="A42" t="str">
        <f>CONCATENATE("interface ",StartHere!A19,"-",StartHere!A22,"")</f>
        <v>interface -</v>
      </c>
    </row>
    <row r="43" spans="1:2">
      <c r="A43" t="s">
        <v>289</v>
      </c>
      <c r="B43" t="s">
        <v>309</v>
      </c>
    </row>
    <row r="44" spans="1:2">
      <c r="A44" t="s">
        <v>285</v>
      </c>
      <c r="B44" t="s">
        <v>310</v>
      </c>
    </row>
    <row r="45" spans="1:2">
      <c r="A45" t="s">
        <v>271</v>
      </c>
      <c r="B45" t="s">
        <v>311</v>
      </c>
    </row>
    <row r="46" spans="1:2">
      <c r="A46" t="s">
        <v>286</v>
      </c>
    </row>
    <row r="47" spans="1:2">
      <c r="A47" t="s">
        <v>274</v>
      </c>
    </row>
    <row r="48" spans="1:2">
      <c r="A48" t="s">
        <v>287</v>
      </c>
    </row>
    <row r="49" spans="1:1">
      <c r="A49" t="s">
        <v>288</v>
      </c>
    </row>
    <row r="50" spans="1:1">
      <c r="A50" t="s">
        <v>290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6"/>
  <sheetViews>
    <sheetView topLeftCell="A43" workbookViewId="0">
      <selection activeCell="B75" sqref="B75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176</v>
      </c>
      <c r="B1" s="14" t="s">
        <v>192</v>
      </c>
    </row>
    <row r="2" spans="1:2" ht="19">
      <c r="A2" s="14"/>
      <c r="B2" s="14"/>
    </row>
    <row r="3" spans="1:2" ht="19">
      <c r="A3" s="14" t="s">
        <v>177</v>
      </c>
      <c r="B3" s="5" t="s">
        <v>158</v>
      </c>
    </row>
    <row r="5" spans="1:2" ht="19">
      <c r="A5" s="6" t="s">
        <v>92</v>
      </c>
      <c r="B5" t="s">
        <v>166</v>
      </c>
    </row>
    <row r="6" spans="1:2">
      <c r="B6" t="s">
        <v>188</v>
      </c>
    </row>
    <row r="7" spans="1:2">
      <c r="A7" t="s">
        <v>125</v>
      </c>
      <c r="B7" t="s">
        <v>189</v>
      </c>
    </row>
    <row r="8" spans="1:2">
      <c r="A8" t="str">
        <f>CONCATENATE("   host ",StartHere!A4,"")</f>
        <v xml:space="preserve">   host </v>
      </c>
      <c r="B8" t="s">
        <v>190</v>
      </c>
    </row>
    <row r="9" spans="1:2">
      <c r="A9" t="str">
        <f>CONCATENATE("   key ",StartHere!A10)</f>
        <v xml:space="preserve">   key </v>
      </c>
    </row>
    <row r="10" spans="1:2">
      <c r="A10" t="s">
        <v>21</v>
      </c>
    </row>
    <row r="11" spans="1:2">
      <c r="A11" t="s">
        <v>126</v>
      </c>
    </row>
    <row r="12" spans="1:2">
      <c r="A12" t="str">
        <f>CONCATENATE("   host ",StartHere!A7,"")</f>
        <v xml:space="preserve">   host </v>
      </c>
    </row>
    <row r="13" spans="1:2">
      <c r="A13" t="str">
        <f>CONCATENATE("   key ",StartHere!A10)</f>
        <v xml:space="preserve">   key </v>
      </c>
    </row>
    <row r="14" spans="1:2">
      <c r="A14" t="s">
        <v>21</v>
      </c>
    </row>
    <row r="15" spans="1:2">
      <c r="A15" t="str">
        <f>CONCATENATE("aaa rfc-3576-server ",StartHere!A4)</f>
        <v xml:space="preserve">aaa rfc-3576-server </v>
      </c>
    </row>
    <row r="16" spans="1:2">
      <c r="A16" t="str">
        <f>CONCATENATE("   key ",StartHere!A10)</f>
        <v xml:space="preserve">   key </v>
      </c>
    </row>
    <row r="17" spans="1:1">
      <c r="A17" t="s">
        <v>21</v>
      </c>
    </row>
    <row r="18" spans="1:1">
      <c r="A18" t="str">
        <f>CONCATENATE("aaa rfc-3576-server ",StartHere!A7)</f>
        <v xml:space="preserve">aaa rfc-3576-server </v>
      </c>
    </row>
    <row r="19" spans="1:1">
      <c r="A19" t="str">
        <f>CONCATENATE("   key ",StartHere!A10)</f>
        <v xml:space="preserve">   key </v>
      </c>
    </row>
    <row r="20" spans="1:1">
      <c r="A20" t="s">
        <v>21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130</v>
      </c>
    </row>
    <row r="24" spans="1:1">
      <c r="A24" t="s">
        <v>21</v>
      </c>
    </row>
    <row r="25" spans="1:1">
      <c r="A25" t="str">
        <f>CONCATENATE("ip radius source-interface vlan ",StartHere!A16)</f>
        <v xml:space="preserve">ip radius source-interface vlan </v>
      </c>
    </row>
    <row r="26" spans="1:1">
      <c r="A26" t="str">
        <f>CONCATENATE("ip radius nas-ip ",StartHere!A13)</f>
        <v xml:space="preserve">ip radius nas-ip </v>
      </c>
    </row>
    <row r="27" spans="1:1">
      <c r="A27" t="s">
        <v>21</v>
      </c>
    </row>
    <row r="28" spans="1:1">
      <c r="A28" t="s">
        <v>123</v>
      </c>
    </row>
    <row r="29" spans="1:1">
      <c r="A29" t="str">
        <f>CONCATENATE("   host ",StartHere!A4,"")</f>
        <v xml:space="preserve">   host </v>
      </c>
    </row>
    <row r="30" spans="1:1">
      <c r="A30" t="str">
        <f>CONCATENATE("   key ",StartHere!A10)</f>
        <v xml:space="preserve">   key </v>
      </c>
    </row>
    <row r="31" spans="1:1">
      <c r="A31" t="s">
        <v>21</v>
      </c>
    </row>
    <row r="32" spans="1:1">
      <c r="A32" t="s">
        <v>124</v>
      </c>
    </row>
    <row r="33" spans="1:1">
      <c r="A33" t="str">
        <f>CONCATENATE("   host ",StartHere!A7,"")</f>
        <v xml:space="preserve">   host </v>
      </c>
    </row>
    <row r="34" spans="1:1">
      <c r="A34" t="str">
        <f>CONCATENATE("   key ",StartHere!A10)</f>
        <v xml:space="preserve">   key </v>
      </c>
    </row>
    <row r="35" spans="1:1">
      <c r="A35" t="s">
        <v>21</v>
      </c>
    </row>
    <row r="36" spans="1:1">
      <c r="A36" t="s">
        <v>127</v>
      </c>
    </row>
    <row r="37" spans="1:1">
      <c r="A37" t="s">
        <v>122</v>
      </c>
    </row>
    <row r="38" spans="1:1">
      <c r="A38" t="s">
        <v>121</v>
      </c>
    </row>
    <row r="39" spans="1:1">
      <c r="A39" t="s">
        <v>21</v>
      </c>
    </row>
    <row r="40" spans="1:1">
      <c r="A40" t="str">
        <f>CONCATENATE("ip tacacs source-interface vlan ",StartHere!A16)</f>
        <v xml:space="preserve">ip tacacs source-interface vlan </v>
      </c>
    </row>
    <row r="41" spans="1:1">
      <c r="A41" t="s">
        <v>21</v>
      </c>
    </row>
    <row r="42" spans="1:1">
      <c r="A42" t="s">
        <v>103</v>
      </c>
    </row>
    <row r="43" spans="1:1">
      <c r="A43" t="s">
        <v>104</v>
      </c>
    </row>
    <row r="44" spans="1:1">
      <c r="A44" t="s">
        <v>21</v>
      </c>
    </row>
    <row r="45" spans="1:1">
      <c r="A45" t="s">
        <v>113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135</v>
      </c>
    </row>
    <row r="52" spans="1:1">
      <c r="A52" t="s">
        <v>112</v>
      </c>
    </row>
    <row r="53" spans="1:1">
      <c r="A53" t="s">
        <v>21</v>
      </c>
    </row>
    <row r="54" spans="1:1">
      <c r="A54" t="s">
        <v>106</v>
      </c>
    </row>
    <row r="55" spans="1:1">
      <c r="A55" t="s">
        <v>191</v>
      </c>
    </row>
    <row r="56" spans="1:1">
      <c r="A56" t="s">
        <v>105</v>
      </c>
    </row>
    <row r="57" spans="1:1">
      <c r="A57" t="s">
        <v>99</v>
      </c>
    </row>
    <row r="58" spans="1:1">
      <c r="A58" t="s">
        <v>131</v>
      </c>
    </row>
    <row r="59" spans="1:1">
      <c r="A59" t="s">
        <v>114</v>
      </c>
    </row>
    <row r="60" spans="1:1">
      <c r="A60" t="s">
        <v>100</v>
      </c>
    </row>
    <row r="61" spans="1:1">
      <c r="A61" t="s">
        <v>132</v>
      </c>
    </row>
    <row r="62" spans="1:1">
      <c r="A62" t="s">
        <v>133</v>
      </c>
    </row>
    <row r="63" spans="1:1">
      <c r="A63" t="s">
        <v>101</v>
      </c>
    </row>
    <row r="64" spans="1:1">
      <c r="A64" t="str">
        <f>CONCATENATE("   rfc-3576-server ",StartHere!A4)</f>
        <v xml:space="preserve">   rfc-3576-server </v>
      </c>
    </row>
    <row r="65" spans="1:1">
      <c r="A65" t="str">
        <f>CONCATENATE("   rfc-3576-server ",StartHere!A7)</f>
        <v xml:space="preserve">   rfc-3576-server </v>
      </c>
    </row>
    <row r="66" spans="1:1">
      <c r="A66" t="s">
        <v>102</v>
      </c>
    </row>
    <row r="67" spans="1:1">
      <c r="A67" t="s">
        <v>21</v>
      </c>
    </row>
    <row r="68" spans="1:1">
      <c r="A68" t="s">
        <v>98</v>
      </c>
    </row>
    <row r="69" spans="1:1">
      <c r="A69" t="str">
        <f>CONCATENATE("   apply-to ",StartHere!A19,"-",StartHere!A22)</f>
        <v xml:space="preserve">   apply-to -</v>
      </c>
    </row>
    <row r="70" spans="1:1">
      <c r="A70" t="s">
        <v>115</v>
      </c>
    </row>
    <row r="71" spans="1:1">
      <c r="A71" t="s">
        <v>97</v>
      </c>
    </row>
    <row r="72" spans="1:1">
      <c r="A72" t="s">
        <v>21</v>
      </c>
    </row>
    <row r="73" spans="1:1">
      <c r="A73" t="s">
        <v>93</v>
      </c>
    </row>
    <row r="74" spans="1:1">
      <c r="A74" t="s">
        <v>94</v>
      </c>
    </row>
    <row r="75" spans="1:1">
      <c r="A75" t="s">
        <v>134</v>
      </c>
    </row>
    <row r="76" spans="1:1">
      <c r="A76" t="s">
        <v>95</v>
      </c>
    </row>
    <row r="77" spans="1:1">
      <c r="A77" t="s">
        <v>96</v>
      </c>
    </row>
    <row r="78" spans="1:1">
      <c r="A78" t="s">
        <v>21</v>
      </c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12" spans="1:1" ht="19">
      <c r="A112" s="12"/>
    </row>
    <row r="113" spans="1:1" ht="19">
      <c r="A113" s="12"/>
    </row>
    <row r="114" spans="1:1">
      <c r="A114" s="4"/>
    </row>
    <row r="115" spans="1:1">
      <c r="A115" s="4"/>
    </row>
    <row r="116" spans="1:1" ht="19">
      <c r="A116" s="12"/>
    </row>
    <row r="117" spans="1:1">
      <c r="A117" s="13"/>
    </row>
    <row r="118" spans="1:1">
      <c r="A118" s="4"/>
    </row>
    <row r="120" spans="1:1" ht="19">
      <c r="A120" s="14"/>
    </row>
    <row r="122" spans="1:1" ht="19">
      <c r="A122" s="5"/>
    </row>
    <row r="123" spans="1:1">
      <c r="A123" s="1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 ht="19">
      <c r="A129" s="5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6" spans="1:1">
      <c r="A13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3"/>
  <sheetViews>
    <sheetView workbookViewId="0">
      <selection activeCell="B18" sqref="B18:B24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176</v>
      </c>
      <c r="B1" s="14" t="s">
        <v>192</v>
      </c>
    </row>
    <row r="3" spans="1:2" ht="19">
      <c r="A3" s="6" t="s">
        <v>157</v>
      </c>
      <c r="B3" s="5" t="s">
        <v>158</v>
      </c>
    </row>
    <row r="4" spans="1:2" ht="19">
      <c r="A4" s="6"/>
    </row>
    <row r="5" spans="1:2">
      <c r="A5" s="7" t="str">
        <f>CONCATENATE("configure radius mgmt-access primary server ",StartHere!A4," client-ip ",StartHere!A13," vr VR-Default")</f>
        <v>configure radius mgmt-access primary server  client-ip  vr VR-Default</v>
      </c>
      <c r="B5" t="s">
        <v>167</v>
      </c>
    </row>
    <row r="6" spans="1:2">
      <c r="A6" s="7" t="str">
        <f>CONCATENATE("configure radius mgmt-access primary shared-secret ",StartHere!A10)</f>
        <v xml:space="preserve">configure radius mgmt-access primary shared-secret </v>
      </c>
      <c r="B6" t="s">
        <v>195</v>
      </c>
    </row>
    <row r="7" spans="1:2">
      <c r="A7" s="7" t="str">
        <f>CONCATENATE("configure radius mgmt-access secondary server ",StartHere!A7," client-ip ",StartHere!A13, " vr VR-Default")</f>
        <v>configure radius mgmt-access secondary server  client-ip  vr VR-Default</v>
      </c>
      <c r="B7" t="s">
        <v>196</v>
      </c>
    </row>
    <row r="8" spans="1:2">
      <c r="A8" s="7" t="str">
        <f>CONCATENATE("configure radius mgmt-access secondary shared-secret ",StartHere!A10)</f>
        <v xml:space="preserve">configure radius mgmt-access secondary shared-secret </v>
      </c>
      <c r="B8" t="s">
        <v>197</v>
      </c>
    </row>
    <row r="9" spans="1:2">
      <c r="A9" s="7" t="str">
        <f>CONCATENATE("configure radius netlogin primary server ",StartHere!A4," client-ip ",StartHere!A13, " vr VR-Default")</f>
        <v>configure radius netlogin primary server  client-ip  vr VR-Default</v>
      </c>
      <c r="B9" t="s">
        <v>198</v>
      </c>
    </row>
    <row r="10" spans="1:2">
      <c r="A10" s="7" t="str">
        <f>CONCATENATE("configure radius netlogin primary shared-secret ",StartHere!A10)</f>
        <v xml:space="preserve">configure radius netlogin primary shared-secret </v>
      </c>
      <c r="B10" t="s">
        <v>199</v>
      </c>
    </row>
    <row r="11" spans="1:2">
      <c r="A11" s="7" t="str">
        <f>CONCATENATE("configure radius netlogin secondary server ",StartHere!A7," client-ip ",StartHere!A13, " vr VR-Default")</f>
        <v>configure radius netlogin secondary server  client-ip  vr VR-Default</v>
      </c>
    </row>
    <row r="12" spans="1:2">
      <c r="A12" s="7" t="str">
        <f>CONCATENATE("configure radius netlogin secondary shared-secret ",StartHere!A10)</f>
        <v xml:space="preserve">configure radius netlogin secondary shared-secret </v>
      </c>
    </row>
    <row r="13" spans="1:2">
      <c r="A13" t="str">
        <f>CONCATENATE("configure radius-accounting mgmt-access primary server ",StartHere!A4," client-ip ",StartHere!A13, " vr VR-Default")</f>
        <v>configure radius-accounting mgmt-access primary server  client-ip  vr VR-Default</v>
      </c>
      <c r="B13" s="1" t="s">
        <v>200</v>
      </c>
    </row>
    <row r="14" spans="1:2">
      <c r="A14" t="str">
        <f>CONCATENATE("configure radius-accounting mgmt-access primary shared-secret ",StartHere!A10)</f>
        <v xml:space="preserve">configure radius-accounting mgmt-access primary shared-secret </v>
      </c>
    </row>
    <row r="15" spans="1:2">
      <c r="A15" t="str">
        <f>CONCATENATE("configure radius-accounting mgmt-access secondary server ",StartHere!A7," client-ip ",StartHere!A13, " vr VR-Default")</f>
        <v>configure radius-accounting mgmt-access secondary server  client-ip  vr VR-Default</v>
      </c>
      <c r="B15" t="s">
        <v>201</v>
      </c>
    </row>
    <row r="16" spans="1:2">
      <c r="A16" t="str">
        <f>CONCATENATE("configure radius-accounting mgmt-access secondary shared-secret ",StartHere!A10)</f>
        <v xml:space="preserve">configure radius-accounting mgmt-access secondary shared-secret </v>
      </c>
    </row>
    <row r="17" spans="1:2">
      <c r="A17" t="str">
        <f>CONCATENATE("configure radius-accounting netlogin primary server ",StartHere!A4," client-ip ",StartHere!A13, " vr VR-Default")</f>
        <v>configure radius-accounting netlogin primary server  client-ip  vr VR-Default</v>
      </c>
    </row>
    <row r="18" spans="1:2">
      <c r="A18" t="str">
        <f>CONCATENATE("configure radius-accounting netlogin primary shared-secret ",StartHere!A10)</f>
        <v xml:space="preserve">configure radius-accounting netlogin primary shared-secret </v>
      </c>
      <c r="B18" s="1" t="s">
        <v>207</v>
      </c>
    </row>
    <row r="19" spans="1:2">
      <c r="A19" t="str">
        <f>CONCATENATE("configure radius-accounting netlogin secondary server ",StartHere!A7," client-ip ",StartHere!A13, " vr VR-Default")</f>
        <v>configure radius-accounting netlogin secondary server  client-ip  vr VR-Default</v>
      </c>
    </row>
    <row r="20" spans="1:2">
      <c r="A20" t="str">
        <f>CONCATENATE("configure radius-accounting netlogin secondary shared-secret ",StartHere!A10)</f>
        <v xml:space="preserve">configure radius-accounting netlogin secondary shared-secret </v>
      </c>
      <c r="B20" s="7" t="s">
        <v>213</v>
      </c>
    </row>
    <row r="21" spans="1:2">
      <c r="A21" t="s">
        <v>178</v>
      </c>
    </row>
    <row r="22" spans="1:2">
      <c r="A22" t="str">
        <f>CONCATENATE("configure tacacs primary server ",StartHere!A4," client-ip ",StartHere!A13," vr VR-Default")</f>
        <v>configure tacacs primary server  client-ip  vr VR-Default</v>
      </c>
      <c r="B22" s="1" t="s">
        <v>208</v>
      </c>
    </row>
    <row r="23" spans="1:2">
      <c r="A23" t="str">
        <f>CONCATENATE("configure tacacs secondary server ",StartHere!A4," client-ip ",StartHere!A13, " vr VR-Default")</f>
        <v>configure tacacs secondary server  client-ip  vr VR-Default</v>
      </c>
    </row>
    <row r="24" spans="1:2">
      <c r="A24" t="str">
        <f>CONCATENATE("configure tacacs primary shared-secret ",StartHere!A10)</f>
        <v xml:space="preserve">configure tacacs primary shared-secret </v>
      </c>
      <c r="B24" s="7" t="s">
        <v>214</v>
      </c>
    </row>
    <row r="25" spans="1:2">
      <c r="A25" t="str">
        <f>CONCATENATE("configure tacacs secondary shared-secret ",StartHere!A10)</f>
        <v xml:space="preserve">configure tacacs secondary shared-secret </v>
      </c>
    </row>
    <row r="26" spans="1:2">
      <c r="A26" t="str">
        <f>CONCATENATE("configure tacacs-accounting primary server ",StartHere!A4," client-ip ",StartHere!A13," vr VR-Default")</f>
        <v>configure tacacs-accounting primary server  client-ip  vr VR-Default</v>
      </c>
    </row>
    <row r="27" spans="1:2">
      <c r="A27" t="str">
        <f>CONCATENATE("configure tacacs-accounting secondary server ",StartHere!A4," client-ip ",StartHere!A13," vr VR-Default")</f>
        <v>configure tacacs-accounting secondary server  client-ip  vr VR-Default</v>
      </c>
    </row>
    <row r="28" spans="1:2">
      <c r="A28" t="str">
        <f>CONCATENATE("configure tacacs-accounting primary shared-secret ",StartHere!A10)</f>
        <v xml:space="preserve">configure tacacs-accounting primary shared-secret </v>
      </c>
    </row>
    <row r="29" spans="1:2">
      <c r="A29" t="str">
        <f>CONCATENATE("configure tacacs-accounting secondary shared-secret ",StartHere!A10)</f>
        <v xml:space="preserve">configure tacacs-accounting secondary shared-secret </v>
      </c>
    </row>
    <row r="31" spans="1:2">
      <c r="A31" t="s">
        <v>187</v>
      </c>
    </row>
    <row r="32" spans="1:2">
      <c r="A32" t="s">
        <v>179</v>
      </c>
    </row>
    <row r="33" spans="1:1">
      <c r="A33" t="s">
        <v>206</v>
      </c>
    </row>
    <row r="34" spans="1:1">
      <c r="A34" t="s">
        <v>205</v>
      </c>
    </row>
    <row r="35" spans="1:1">
      <c r="A35" t="s">
        <v>181</v>
      </c>
    </row>
    <row r="36" spans="1:1">
      <c r="A36" t="s">
        <v>182</v>
      </c>
    </row>
    <row r="37" spans="1:1">
      <c r="A37" t="s">
        <v>183</v>
      </c>
    </row>
    <row r="38" spans="1:1">
      <c r="A38" t="str">
        <f>CONCATENATE("configure netlogin ports ",StartHere!A19,"-",StartHere!A22," restart")</f>
        <v>configure netlogin ports - restart</v>
      </c>
    </row>
    <row r="39" spans="1:1">
      <c r="A39" t="str">
        <f>CONCATENATE("configure netlogin ports ",StartHere!A19,"-",StartHere!A22," mode mac-based-vlans")</f>
        <v>configure netlogin ports - mode mac-based-vlans</v>
      </c>
    </row>
    <row r="40" spans="1:1">
      <c r="A40" t="str">
        <f>CONCATENATE("configure netlogin ports ",StartHere!A19,"-",StartHere!A22," allow egress-traffic all_cast")</f>
        <v>configure netlogin ports - allow egress-traffic all_cast</v>
      </c>
    </row>
    <row r="41" spans="1:1">
      <c r="A41" t="str">
        <f>CONCATENATE("enable netlogin ports ",StartHere!A19,"-",StartHere!A22," dot1x")</f>
        <v>enable netlogin ports - dot1x</v>
      </c>
    </row>
    <row r="42" spans="1:1">
      <c r="A42" t="str">
        <f>CONCATENATE("enable netlogin ports ",StartHere!A19,"-",StartHere!A22," mac")</f>
        <v>enable netlogin ports - mac</v>
      </c>
    </row>
    <row r="43" spans="1:1">
      <c r="A43" t="s">
        <v>194</v>
      </c>
    </row>
    <row r="44" spans="1:1">
      <c r="A44" t="s">
        <v>185</v>
      </c>
    </row>
    <row r="45" spans="1:1">
      <c r="A45" t="s">
        <v>202</v>
      </c>
    </row>
    <row r="46" spans="1:1">
      <c r="A46" t="s">
        <v>186</v>
      </c>
    </row>
    <row r="47" spans="1:1">
      <c r="A47" t="s">
        <v>203</v>
      </c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99" spans="1:1" ht="19">
      <c r="A99" s="12"/>
    </row>
    <row r="100" spans="1:1" ht="19">
      <c r="A100" s="12"/>
    </row>
    <row r="101" spans="1:1">
      <c r="A101" s="4"/>
    </row>
    <row r="102" spans="1:1">
      <c r="A102" s="4"/>
    </row>
    <row r="103" spans="1:1" ht="19">
      <c r="A103" s="12"/>
    </row>
    <row r="104" spans="1:1">
      <c r="A104" s="13"/>
    </row>
    <row r="105" spans="1:1">
      <c r="A105" s="4"/>
    </row>
    <row r="107" spans="1:1" ht="19">
      <c r="A107" s="14"/>
    </row>
    <row r="109" spans="1:1" ht="19">
      <c r="A109" s="5"/>
    </row>
    <row r="110" spans="1:1">
      <c r="A110" s="1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 ht="19">
      <c r="A116" s="5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3" spans="1:1">
      <c r="A12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0"/>
  <sheetViews>
    <sheetView topLeftCell="A4" workbookViewId="0">
      <selection activeCell="B19" sqref="B19:B25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176</v>
      </c>
      <c r="B1" s="14" t="s">
        <v>192</v>
      </c>
    </row>
    <row r="3" spans="1:2" ht="19">
      <c r="A3" s="6" t="s">
        <v>157</v>
      </c>
      <c r="B3" s="5" t="s">
        <v>158</v>
      </c>
    </row>
    <row r="4" spans="1:2" ht="19">
      <c r="A4" s="6"/>
    </row>
    <row r="5" spans="1:2">
      <c r="A5" s="7" t="str">
        <f>CONCATENATE("configure radius mgmt-access primary server ",StartHere!A4," client-ip ",StartHere!A13," shared-secret ",StartHere!A10, " vr VR-Default")</f>
        <v>configure radius mgmt-access primary server  client-ip  shared-secret  vr VR-Default</v>
      </c>
      <c r="B5" t="s">
        <v>167</v>
      </c>
    </row>
    <row r="6" spans="1:2">
      <c r="A6" s="7" t="str">
        <f>CONCATENATE("configure radius mgmt-access secondary server ",StartHere!A7," client-ip ",StartHere!A13," shared-secret ",StartHere!A10, " vr VR-Default")</f>
        <v>configure radius mgmt-access secondary server  client-ip  shared-secret  vr VR-Default</v>
      </c>
      <c r="B6" t="s">
        <v>195</v>
      </c>
    </row>
    <row r="7" spans="1:2">
      <c r="A7" s="7" t="str">
        <f>CONCATENATE("configure radius netlogin primary server ",StartHere!A4," client-ip ",StartHere!A13," shared-secret ",StartHere!A10, " vr VR-Default")</f>
        <v>configure radius netlogin primary server  client-ip  shared-secret  vr VR-Default</v>
      </c>
      <c r="B7" t="s">
        <v>196</v>
      </c>
    </row>
    <row r="8" spans="1:2">
      <c r="A8" s="7" t="str">
        <f>CONCATENATE("configure radius netlogin secondary server ",StartHere!A7," client-ip ",StartHere!A13," shared-secret ",StartHere!A10, " vr VR-Default")</f>
        <v>configure radius netlogin secondary server  client-ip  shared-secret  vr VR-Default</v>
      </c>
      <c r="B8" t="s">
        <v>197</v>
      </c>
    </row>
    <row r="9" spans="1:2">
      <c r="A9" s="7" t="str">
        <f>CONCATENATE("configure vm-tracking nms primary server ",StartHere!A4," client-ip ",StartHere!A13," shared-secret ",StartHere!A10, " vr VR-Default")</f>
        <v>configure vm-tracking nms primary server  client-ip  shared-secret  vr VR-Default</v>
      </c>
      <c r="B9" t="s">
        <v>198</v>
      </c>
    </row>
    <row r="10" spans="1:2">
      <c r="A10" t="str">
        <f>CONCATENATE("configure vm-tracking nms secondary server ",StartHere!A7," client-ip ",StartHere!A13," shared-secret ",StartHere!A10, " vr VR-Default")</f>
        <v>configure vm-tracking nms secondary server  client-ip  shared-secret  vr VR-Default</v>
      </c>
      <c r="B10" t="s">
        <v>199</v>
      </c>
    </row>
    <row r="11" spans="1:2">
      <c r="A11" t="str">
        <f>CONCATENATE("configure radius-accounting mgmt-access primary server ",StartHere!A4," client-ip ",StartHere!A13," shared-secret ",StartHere!A10, " vr VR-Default")</f>
        <v>configure radius-accounting mgmt-access primary server  client-ip  shared-secret  vr VR-Default</v>
      </c>
    </row>
    <row r="12" spans="1:2">
      <c r="A12" t="str">
        <f>CONCATENATE("configure radius-accounting mgmt-access secondary server ",StartHere!A7," client-ip ",StartHere!A13," shared-secret ",StartHere!A10, " vr VR-Default")</f>
        <v>configure radius-accounting mgmt-access secondary server  client-ip  shared-secret  vr VR-Default</v>
      </c>
    </row>
    <row r="13" spans="1:2">
      <c r="A13" t="str">
        <f>CONCATENATE("configure radius-accounting netlogin primary server ",StartHere!A4," client-ip ",StartHere!A13," shared-secret ",StartHere!A10, " vr VR-Default")</f>
        <v>configure radius-accounting netlogin primary server  client-ip  shared-secret  vr VR-Default</v>
      </c>
    </row>
    <row r="14" spans="1:2">
      <c r="A14" t="str">
        <f>CONCATENATE("configure radius-accounting netlogin secondary server ",StartHere!A7," client-ip ",StartHere!A13," shared-secret ",StartHere!A10, " vr VR-Default")</f>
        <v>configure radius-accounting netlogin secondary server  client-ip  shared-secret  vr VR-Default</v>
      </c>
      <c r="B14" s="1" t="s">
        <v>200</v>
      </c>
    </row>
    <row r="15" spans="1:2">
      <c r="A15" t="s">
        <v>178</v>
      </c>
    </row>
    <row r="16" spans="1:2">
      <c r="A16" t="str">
        <f>CONCATENATE("configure tacacs primary server ",StartHere!A4," client-ip ",StartHere!A13," vr VR-Default")</f>
        <v>configure tacacs primary server  client-ip  vr VR-Default</v>
      </c>
      <c r="B16" t="s">
        <v>201</v>
      </c>
    </row>
    <row r="17" spans="1:2">
      <c r="A17" t="str">
        <f>CONCATENATE("configure tacacs secondary server ",StartHere!A4," client-ip ",StartHere!A13, " vr VR-Default")</f>
        <v>configure tacacs secondary server  client-ip  vr VR-Default</v>
      </c>
    </row>
    <row r="18" spans="1:2">
      <c r="A18" t="str">
        <f>CONCATENATE("configure tacacs primary shared-secret ",StartHere!A10)</f>
        <v xml:space="preserve">configure tacacs primary shared-secret </v>
      </c>
    </row>
    <row r="19" spans="1:2">
      <c r="A19" t="str">
        <f>CONCATENATE("configure tacacs secondary shared-secret ",StartHere!A10)</f>
        <v xml:space="preserve">configure tacacs secondary shared-secret </v>
      </c>
      <c r="B19" s="1" t="s">
        <v>207</v>
      </c>
    </row>
    <row r="20" spans="1:2">
      <c r="A20" t="str">
        <f>CONCATENATE("configure tacacs-accounting primary server ",StartHere!A4," client-ip ",StartHere!A13," vr VR-Default")</f>
        <v>configure tacacs-accounting primary server  client-ip  vr VR-Default</v>
      </c>
    </row>
    <row r="21" spans="1:2">
      <c r="A21" t="str">
        <f>CONCATENATE("configure tacacs-accounting secondary server ",StartHere!A4," client-ip ",StartHere!A13," vr VR-Default")</f>
        <v>configure tacacs-accounting secondary server  client-ip  vr VR-Default</v>
      </c>
      <c r="B21" s="7" t="s">
        <v>213</v>
      </c>
    </row>
    <row r="22" spans="1:2">
      <c r="A22" t="str">
        <f>CONCATENATE("configure tacacs-accounting primary shared-secret ",StartHere!A10)</f>
        <v xml:space="preserve">configure tacacs-accounting primary shared-secret </v>
      </c>
    </row>
    <row r="23" spans="1:2">
      <c r="A23" t="str">
        <f>CONCATENATE("configure tacacs-accounting secondary shared-secret ",StartHere!A10)</f>
        <v xml:space="preserve">configure tacacs-accounting secondary shared-secret </v>
      </c>
      <c r="B23" s="1" t="s">
        <v>208</v>
      </c>
    </row>
    <row r="25" spans="1:2">
      <c r="A25" t="s">
        <v>187</v>
      </c>
      <c r="B25" s="7" t="s">
        <v>214</v>
      </c>
    </row>
    <row r="26" spans="1:2">
      <c r="A26" t="s">
        <v>179</v>
      </c>
    </row>
    <row r="27" spans="1:2">
      <c r="A27" t="s">
        <v>193</v>
      </c>
    </row>
    <row r="28" spans="1:2">
      <c r="A28" t="s">
        <v>180</v>
      </c>
    </row>
    <row r="29" spans="1:2">
      <c r="A29" t="s">
        <v>181</v>
      </c>
    </row>
    <row r="30" spans="1:2">
      <c r="A30" t="str">
        <f>CONCATENATE("configure netlogin mac ports ",StartHere!A19,"-",StartHere!A22," timers reauthentication on")</f>
        <v>configure netlogin mac ports - timers reauthentication on</v>
      </c>
    </row>
    <row r="31" spans="1:2">
      <c r="A31" t="s">
        <v>182</v>
      </c>
    </row>
    <row r="32" spans="1:2">
      <c r="A32" t="s">
        <v>183</v>
      </c>
    </row>
    <row r="33" spans="1:1">
      <c r="A33" t="s">
        <v>184</v>
      </c>
    </row>
    <row r="34" spans="1:1">
      <c r="A34" t="str">
        <f>CONCATENATE("configure netlogin ports ",StartHere!A19,"-",StartHere!A22," authentication mode optional")</f>
        <v>configure netlogin ports - authentication mode optional</v>
      </c>
    </row>
    <row r="35" spans="1:1">
      <c r="A35" t="str">
        <f>CONCATENATE("configure netlogin ports ",StartHere!A19,"-",StartHere!A22," restart")</f>
        <v>configure netlogin ports - restart</v>
      </c>
    </row>
    <row r="36" spans="1:1">
      <c r="A36" t="str">
        <f>CONCATENATE("configure netlogin ports ",StartHere!A19,"-",StartHere!A22," mode mac-based-vlans")</f>
        <v>configure netlogin ports - mode mac-based-vlans</v>
      </c>
    </row>
    <row r="37" spans="1:1">
      <c r="A37" t="str">
        <f>CONCATENATE("configure netlogin ports ",StartHere!A19,"-",StartHere!A22," allow egress-traffic all_cast")</f>
        <v>configure netlogin ports - allow egress-traffic all_cast</v>
      </c>
    </row>
    <row r="38" spans="1:1">
      <c r="A38" t="str">
        <f>CONCATENATE("enable netlogin ports ",StartHere!A19,"-",StartHere!A22," dot1x")</f>
        <v>enable netlogin ports - dot1x</v>
      </c>
    </row>
    <row r="39" spans="1:1">
      <c r="A39" t="str">
        <f>CONCATENATE("enable netlogin ports ",StartHere!A19,"-",StartHere!A22," mac")</f>
        <v>enable netlogin ports - mac</v>
      </c>
    </row>
    <row r="40" spans="1:1">
      <c r="A40" t="s">
        <v>194</v>
      </c>
    </row>
    <row r="41" spans="1:1">
      <c r="A41" t="s">
        <v>185</v>
      </c>
    </row>
    <row r="42" spans="1:1">
      <c r="A42" t="s">
        <v>202</v>
      </c>
    </row>
    <row r="43" spans="1:1">
      <c r="A43" t="s">
        <v>186</v>
      </c>
    </row>
    <row r="44" spans="1:1">
      <c r="A44" t="s">
        <v>203</v>
      </c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96" spans="1:1" ht="19">
      <c r="A96" s="12"/>
    </row>
    <row r="97" spans="1:1" ht="19">
      <c r="A97" s="12"/>
    </row>
    <row r="98" spans="1:1">
      <c r="A98" s="4"/>
    </row>
    <row r="99" spans="1:1">
      <c r="A99" s="4"/>
    </row>
    <row r="100" spans="1:1" ht="19">
      <c r="A100" s="12"/>
    </row>
    <row r="101" spans="1:1">
      <c r="A101" s="13"/>
    </row>
    <row r="102" spans="1:1">
      <c r="A102" s="4"/>
    </row>
    <row r="104" spans="1:1" ht="19">
      <c r="A104" s="14"/>
    </row>
    <row r="106" spans="1:1" ht="19">
      <c r="A106" s="5"/>
    </row>
    <row r="107" spans="1:1">
      <c r="A107" s="1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 ht="19">
      <c r="A113" s="5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20" spans="1:1">
      <c r="A120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StartHere</vt:lpstr>
      <vt:lpstr>Cisco Switch Config</vt:lpstr>
      <vt:lpstr>Advanced Cisco Switch Configs</vt:lpstr>
      <vt:lpstr>Juniper EX Config</vt:lpstr>
      <vt:lpstr>HPE Provision Config</vt:lpstr>
      <vt:lpstr>Aruba CX Config</vt:lpstr>
      <vt:lpstr>Aruba S-Series Config</vt:lpstr>
      <vt:lpstr>Extreme EXOS 15- Config</vt:lpstr>
      <vt:lpstr>Extreme EXOS 16+ Config</vt:lpstr>
    </vt:vector>
  </TitlesOfParts>
  <Company>Washington and Lee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Courtney</dc:creator>
  <cp:lastModifiedBy>Microsoft Office User</cp:lastModifiedBy>
  <dcterms:created xsi:type="dcterms:W3CDTF">2011-10-28T20:00:06Z</dcterms:created>
  <dcterms:modified xsi:type="dcterms:W3CDTF">2020-04-15T04:37:53Z</dcterms:modified>
</cp:coreProperties>
</file>